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ivotTables/pivotTable1.xml" ContentType="application/vnd.openxmlformats-officedocument.spreadsheetml.pivotTable+xml"/>
  <Override PartName="/xl/comments4.xml" ContentType="application/vnd.openxmlformats-officedocument.spreadsheetml.comments+xml"/>
  <Override PartName="/xl/pivotTables/pivotTable2.xml" ContentType="application/vnd.openxmlformats-officedocument.spreadsheetml.pivotTable+xml"/>
  <Override PartName="/xl/drawings/drawing1.xml" ContentType="application/vnd.openxmlformats-officedocument.drawing+xml"/>
  <Override PartName="/xl/comments5.xml" ContentType="application/vnd.openxmlformats-officedocument.spreadsheetml.comments+xml"/>
  <Override PartName="/xl/pivotTables/pivotTable3.xml" ContentType="application/vnd.openxmlformats-officedocument.spreadsheetml.pivotTable+xml"/>
  <Override PartName="/xl/drawings/drawing2.xml" ContentType="application/vnd.openxmlformats-officedocument.drawing+xml"/>
  <Override PartName="/xl/comments6.xml" ContentType="application/vnd.openxmlformats-officedocument.spreadsheetml.comments+xml"/>
  <Override PartName="/xl/pivotTables/pivotTable4.xml" ContentType="application/vnd.openxmlformats-officedocument.spreadsheetml.pivotTable+xml"/>
  <Override PartName="/xl/drawings/drawing3.xml" ContentType="application/vnd.openxmlformats-officedocument.drawing+xml"/>
  <Override PartName="/xl/comments7.xml" ContentType="application/vnd.openxmlformats-officedocument.spreadsheetml.comments+xml"/>
  <Override PartName="/xl/pivotTables/pivotTable5.xml" ContentType="application/vnd.openxmlformats-officedocument.spreadsheetml.pivotTable+xml"/>
  <Override PartName="/xl/comments8.xml" ContentType="application/vnd.openxmlformats-officedocument.spreadsheetml.comments+xml"/>
  <Override PartName="/xl/pivotTables/pivotTable6.xml" ContentType="application/vnd.openxmlformats-officedocument.spreadsheetml.pivotTable+xml"/>
  <Override PartName="/xl/comments9.xml" ContentType="application/vnd.openxmlformats-officedocument.spreadsheetml.comments+xml"/>
  <Override PartName="/xl/pivotTables/pivotTable7.xml" ContentType="application/vnd.openxmlformats-officedocument.spreadsheetml.pivotTable+xml"/>
  <Override PartName="/xl/drawings/drawing4.xml" ContentType="application/vnd.openxmlformats-officedocument.drawing+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pivotTables/pivotTable10.xml" ContentType="application/vnd.openxmlformats-officedocument.spreadsheetml.pivotTable+xml"/>
  <Override PartName="/xl/drawings/drawing6.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omments10.xml" ContentType="application/vnd.openxmlformats-officedocument.spreadsheetml.comments+xml"/>
  <Override PartName="/xl/drawings/drawing7.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drawings/drawing8.xml" ContentType="application/vnd.openxmlformats-officedocument.drawing+xml"/>
  <Override PartName="/xl/embeddings/oleObject7.bin" ContentType="application/vnd.openxmlformats-officedocument.oleObject"/>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pivotTables/pivotTable11.xml" ContentType="application/vnd.openxmlformats-officedocument.spreadsheetml.pivotTable+xml"/>
  <Override PartName="/xl/drawings/drawing9.xml" ContentType="application/vnd.openxmlformats-officedocument.drawing+xml"/>
  <Override PartName="/xl/embeddings/oleObject8.bin" ContentType="application/vnd.openxmlformats-officedocument.oleObject"/>
  <Override PartName="/xl/comments14.xml" ContentType="application/vnd.openxmlformats-officedocument.spreadsheetml.comments+xml"/>
  <Override PartName="/xl/drawings/drawing10.xml" ContentType="application/vnd.openxmlformats-officedocument.drawing+xml"/>
  <Override PartName="/xl/embeddings/oleObject9.bin" ContentType="application/vnd.openxmlformats-officedocument.oleObject"/>
  <Override PartName="/xl/comments15.xml" ContentType="application/vnd.openxmlformats-officedocument.spreadsheetml.comments+xml"/>
  <Override PartName="/xl/pivotTables/pivotTable12.xml" ContentType="application/vnd.openxmlformats-officedocument.spreadsheetml.pivotTable+xml"/>
  <Override PartName="/xl/comments16.xml" ContentType="application/vnd.openxmlformats-officedocument.spreadsheetml.comments+xml"/>
  <Override PartName="/xl/drawings/drawing11.xml" ContentType="application/vnd.openxmlformats-officedocument.drawing+xml"/>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comments17.xml" ContentType="application/vnd.openxmlformats-officedocument.spreadsheetml.comments+xml"/>
  <Override PartName="/xl/pivotTables/pivotTable13.xml" ContentType="application/vnd.openxmlformats-officedocument.spreadsheetml.pivotTable+xml"/>
  <Override PartName="/xl/comments18.xml" ContentType="application/vnd.openxmlformats-officedocument.spreadsheetml.comments+xml"/>
  <Override PartName="/xl/pivotTables/pivotTable14.xml" ContentType="application/vnd.openxmlformats-officedocument.spreadsheetml.pivotTable+xml"/>
  <Override PartName="/xl/comments19.xml" ContentType="application/vnd.openxmlformats-officedocument.spreadsheetml.comments+xml"/>
  <Override PartName="/xl/drawings/drawing12.xml" ContentType="application/vnd.openxmlformats-officedocument.drawing+xml"/>
  <Override PartName="/xl/embeddings/oleObject13.bin" ContentType="application/vnd.openxmlformats-officedocument.oleObject"/>
  <Override PartName="/xl/drawings/drawing13.xml" ContentType="application/vnd.openxmlformats-officedocument.drawing+xml"/>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comments2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showInkAnnotation="0" codeName="ThisWorkbook" hidePivotFieldList="1" autoCompressPictures="0"/>
  <mc:AlternateContent xmlns:mc="http://schemas.openxmlformats.org/markup-compatibility/2006">
    <mc:Choice Requires="x15">
      <x15ac:absPath xmlns:x15ac="http://schemas.microsoft.com/office/spreadsheetml/2010/11/ac" url="/Applications/Arenga/vscode/breakdown_app/"/>
    </mc:Choice>
  </mc:AlternateContent>
  <xr:revisionPtr revIDLastSave="0" documentId="13_ncr:1_{0A4908C6-CF60-7045-9503-A45D65D746FA}" xr6:coauthVersionLast="47" xr6:coauthVersionMax="47" xr10:uidLastSave="{00000000-0000-0000-0000-000000000000}"/>
  <bookViews>
    <workbookView xWindow="0" yWindow="500" windowWidth="32000" windowHeight="17500" firstSheet="17" activeTab="17" xr2:uid="{00000000-000D-0000-FFFF-FFFF00000000}"/>
  </bookViews>
  <sheets>
    <sheet name="stock" sheetId="11" r:id="rId1"/>
    <sheet name="Spek" sheetId="6" r:id="rId2"/>
    <sheet name="Data Validation" sheetId="1" r:id="rId3"/>
    <sheet name="Breakdown" sheetId="12" r:id="rId4"/>
    <sheet name="rekap full" sheetId="41" r:id="rId5"/>
    <sheet name="KS" sheetId="63" r:id="rId6"/>
    <sheet name="non KS" sheetId="64" r:id="rId7"/>
    <sheet name="K+Eris" sheetId="72" r:id="rId8"/>
    <sheet name="√flatpack iD" sheetId="74" r:id="rId9"/>
    <sheet name="√+" sheetId="48" r:id="rId10"/>
    <sheet name="Kaca" sheetId="65" r:id="rId11"/>
    <sheet name="Kaca proses Supplier" sheetId="78" r:id="rId12"/>
    <sheet name="Kerja+ Kaca" sheetId="69" r:id="rId13"/>
    <sheet name="Rework Kaca" sheetId="67" r:id="rId14"/>
    <sheet name="Frame Alu.Yn" sheetId="66" r:id="rId15"/>
    <sheet name="SJ" sheetId="68" r:id="rId16"/>
    <sheet name="Frame Alu.Ad" sheetId="47" r:id="rId17"/>
    <sheet name="BPB Setting" sheetId="29" r:id="rId18"/>
    <sheet name="BPB Setting frame dll" sheetId="18" r:id="rId19"/>
    <sheet name="Retur" sheetId="77" r:id="rId20"/>
    <sheet name="Kerja+" sheetId="54" r:id="rId21"/>
    <sheet name="Rework" sheetId="55" r:id="rId22"/>
    <sheet name="Handle" sheetId="17" r:id="rId23"/>
    <sheet name="Handle+" sheetId="60" r:id="rId24"/>
    <sheet name="Cutting Bom" sheetId="80" r:id="rId25"/>
    <sheet name="Bom" sheetId="81" r:id="rId26"/>
    <sheet name="Cutting KS" sheetId="76" r:id="rId27"/>
    <sheet name="Cutting NonKS" sheetId="71" r:id="rId28"/>
    <sheet name="Raw Material" sheetId="75" r:id="rId29"/>
    <sheet name="BPB Raw Material (man.)" sheetId="61" r:id="rId30"/>
    <sheet name="fitting lap." sheetId="10" r:id="rId31"/>
  </sheets>
  <definedNames>
    <definedName name="_1L">'Data Validation'!$C$751</definedName>
    <definedName name="_1P">'Data Validation'!$C$749</definedName>
    <definedName name="_2L">'Data Validation'!$C$752</definedName>
    <definedName name="_2P">'Data Validation'!$C$750</definedName>
    <definedName name="_2PL">Breakdown!$BM$12:$BM$1170</definedName>
    <definedName name="_xlnm._FilterDatabase" localSheetId="25" hidden="1">Bom!$A$12:$F$217</definedName>
    <definedName name="_xlnm._FilterDatabase" localSheetId="17" hidden="1">'BPB Setting'!$A$12:$F$145</definedName>
    <definedName name="_xlnm._FilterDatabase" localSheetId="18" hidden="1">'BPB Setting frame dll'!$A$12:$F$47</definedName>
    <definedName name="_xlnm._FilterDatabase" localSheetId="3" hidden="1">Breakdown!$B$11:$BV$1170</definedName>
    <definedName name="_xlnm._FilterDatabase" localSheetId="2" hidden="1">'Data Validation'!$W$3:$AB$1198</definedName>
    <definedName name="_xlnm._FilterDatabase" localSheetId="7" hidden="1">'K+Eris'!$B$1:$B$24</definedName>
    <definedName name="_xlnm._FilterDatabase" localSheetId="5" hidden="1">KS!$B$1:$B$24</definedName>
    <definedName name="_xlnm._FilterDatabase" localSheetId="6" hidden="1">'non KS'!$B$1:$B$24</definedName>
    <definedName name="_xlnm._FilterDatabase" localSheetId="19" hidden="1">Retur!$A$12:$F$141</definedName>
    <definedName name="_xlnm._FilterDatabase" localSheetId="0" hidden="1">stock!$A$4:$I$1271</definedName>
    <definedName name="_Prf1">'Data Validation'!$D$1087</definedName>
    <definedName name="_pxl">Breakdown!$BN$12:$BN$1170</definedName>
    <definedName name="_ram1">'Data Validation'!$D$1181</definedName>
    <definedName name="_ram2">'Data Validation'!$D$1182</definedName>
    <definedName name="_rel1">'Data Validation'!$C$885</definedName>
    <definedName name="_rel10">'Data Validation'!$C$894</definedName>
    <definedName name="_rel11">'Data Validation'!$C$895</definedName>
    <definedName name="_rel12">'Data Validation'!$C$896</definedName>
    <definedName name="_rel13">'Data Validation'!$C$897</definedName>
    <definedName name="_rel14">'Data Validation'!$C$898</definedName>
    <definedName name="_rel2">'Data Validation'!$C$886</definedName>
    <definedName name="_rel3">'Data Validation'!$C$887</definedName>
    <definedName name="_rel4">'Data Validation'!$C$888</definedName>
    <definedName name="_rel5">'Data Validation'!$C$889</definedName>
    <definedName name="_rel6">'Data Validation'!$C$890</definedName>
    <definedName name="_rel7">'Data Validation'!$C$891</definedName>
    <definedName name="_rel8">'Data Validation'!$C$892</definedName>
    <definedName name="_rel9">'Data Validation'!$C$893</definedName>
    <definedName name="acrylic_mled">stock!$D$623</definedName>
    <definedName name="amfcptr">'Data Validation'!$D$1188</definedName>
    <definedName name="amhcptr">'Data Validation'!$D$1186</definedName>
    <definedName name="amhcptrFlap">'Data Validation'!$D$1187</definedName>
    <definedName name="amled9">'Data Validation'!$D$1183</definedName>
    <definedName name="amwrd">'Data Validation'!$D$1184</definedName>
    <definedName name="amwrddlm">'Data Validation'!$D$1185</definedName>
    <definedName name="anodize">'Data Validation'!$C$902:$C$909</definedName>
    <definedName name="anodizeh">Breakdown!$AR$12:$AR$1170</definedName>
    <definedName name="anodizev">Breakdown!$AP$12:$AP$1170</definedName>
    <definedName name="anodizev2">Breakdown!$AQ$12:$AQ$1170</definedName>
    <definedName name="AR_20">stock!$D$1354:$D$1358</definedName>
    <definedName name="ar_52">stock!$D$1395</definedName>
    <definedName name="avantech">stock!$D$449:$D$458</definedName>
    <definedName name="avantech_dasar">'Data Validation'!$D$1165</definedName>
    <definedName name="avantech_palang">'Data Validation'!$D$1164</definedName>
    <definedName name="aventos">stock!$D$525:$D$530</definedName>
    <definedName name="bahan1">'Data Validation'!$C$386</definedName>
    <definedName name="bahan2">'Data Validation'!$C$387</definedName>
    <definedName name="bahan3">'Data Validation'!$C$388</definedName>
    <definedName name="bahan4">'Data Validation'!$C$389</definedName>
    <definedName name="bahan5">'Data Validation'!$C$390</definedName>
    <definedName name="bahan6">'Data Validation'!$C$391</definedName>
    <definedName name="bahan7">'Data Validation'!$C$392</definedName>
    <definedName name="bahan8">'Data Validation'!$C$393</definedName>
    <definedName name="ball_bearing">stock!$D$433:$D$438</definedName>
    <definedName name="BARANG">stock!$D$4:$D$2304</definedName>
    <definedName name="braket_hc">stock!$D$642</definedName>
    <definedName name="breakdown">Breakdown!$A$11:$CF$1170</definedName>
    <definedName name="camar_807">stock!$D$640</definedName>
    <definedName name="cekbox">stock!$B$2320:$B$2323</definedName>
    <definedName name="centrallock_samping">stock!$D$586</definedName>
    <definedName name="Cermin">stock!$D$2716:$D$2739</definedName>
    <definedName name="cfr">'Data Validation'!$A$826:$A$841</definedName>
    <definedName name="CL_02">stock!$D$1293:$D$1297</definedName>
    <definedName name="Cov_plinth_dalam">stock!$D$1105:$D$1118</definedName>
    <definedName name="Cov_plinth_luar">stock!$D$1090:$D$1104</definedName>
    <definedName name="cprt">'Data Validation'!$A$8:$A$384</definedName>
    <definedName name="csv_format">Breakdown!$CF$12:$CF$1170</definedName>
    <definedName name="cte">'Data Validation'!$A$520:$A$540</definedName>
    <definedName name="ctf">'Data Validation'!$A$404:$A$415</definedName>
    <definedName name="D_Mtx_25">'Data Validation'!$D$1115</definedName>
    <definedName name="D_Mtx_27">'Data Validation'!$D$1114</definedName>
    <definedName name="D_Mtx_30">'Data Validation'!$D$1113</definedName>
    <definedName name="D_Mtx_35">'Data Validation'!$D$1112</definedName>
    <definedName name="D_Mtx_40">'Data Validation'!$D$1111</definedName>
    <definedName name="D_Mtx_45">'Data Validation'!$D$1110</definedName>
    <definedName name="D_Mtx_50">'Data Validation'!$D$1109</definedName>
    <definedName name="D_Qdr_25">'Data Validation'!$D$1100</definedName>
    <definedName name="D_Qdr_30">'Data Validation'!$D$1099</definedName>
    <definedName name="D_Qdr_35">'Data Validation'!$D$1098</definedName>
    <definedName name="D_Qdr_40">'Data Validation'!$D$1097</definedName>
    <definedName name="D_Qdr_45">'Data Validation'!$D$1096</definedName>
    <definedName name="D_Qdr_50">'Data Validation'!$D$1095</definedName>
    <definedName name="D_tdm_27">'Data Validation'!$D$1107</definedName>
    <definedName name="D_tdm_30">'Data Validation'!$D$1106</definedName>
    <definedName name="D_tdm_35">'Data Validation'!$D$1105</definedName>
    <definedName name="D_tdm_40">'Data Validation'!$D$1104</definedName>
    <definedName name="D_tdm_45">'Data Validation'!$D$1103</definedName>
    <definedName name="D_tdm_50">'Data Validation'!$D$1102</definedName>
    <definedName name="desce">'Data Validation'!$B$543:$C$744</definedName>
    <definedName name="descf">'Data Validation'!$B$418:$C$503</definedName>
    <definedName name="descfr">'Data Validation'!$B$844:$C$866</definedName>
    <definedName name="df">'Data Validation'!$C$506:$C$511</definedName>
    <definedName name="dormec">'Data Validation'!$C$912:$C$916</definedName>
    <definedName name="dormec1">'Data Validation'!$C$912</definedName>
    <definedName name="dormec2">'Data Validation'!$C$913</definedName>
    <definedName name="dormec3">'Data Validation'!$C$914</definedName>
    <definedName name="dormec4">'Data Validation'!$C$915</definedName>
    <definedName name="dormecc">Breakdown!$BH$12:$BH$1170</definedName>
    <definedName name="dormecha">Breakdown!$AM$12:$AM$1170</definedName>
    <definedName name="dowel">Breakdown!$BE$12:$BE$1170</definedName>
    <definedName name="dowelØ8">stock!$D$361</definedName>
    <definedName name="ds">'Data Validation'!$D$1200</definedName>
    <definedName name="E">Breakdown!$BI$12:$BI$1170</definedName>
    <definedName name="Edg">stock!$D$1933:$D$2302</definedName>
    <definedName name="edg_blk_ptr">stock!$D$1933</definedName>
    <definedName name="edg_psg_hb411">stock!$D$1979</definedName>
    <definedName name="edg_psg_hb411_lbr">stock!$D$1980</definedName>
    <definedName name="edg_psg_m411">stock!$D$1934</definedName>
    <definedName name="edg_psg_m411_lbr">stock!$D$1935</definedName>
    <definedName name="edging0">'Data Validation'!$C$521</definedName>
    <definedName name="edging1">'Data Validation'!$C$523</definedName>
    <definedName name="edging2">'Data Validation'!$C$528</definedName>
    <definedName name="edging3">'Data Validation'!$C$529</definedName>
    <definedName name="edging4">'Data Validation'!$C$530</definedName>
    <definedName name="edging5">'Data Validation'!$C$532</definedName>
    <definedName name="edging6">'Data Validation'!$C$534</definedName>
    <definedName name="edging7">'Data Validation'!$C$524</definedName>
    <definedName name="edging8">'Data Validation'!$C$525</definedName>
    <definedName name="edging9">'Data Validation'!$C$526</definedName>
    <definedName name="edgingkab1">'Data Validation'!$C$520</definedName>
    <definedName name="edgingkab2">'Data Validation'!$C$531</definedName>
    <definedName name="edgingkab3">'Data Validation'!$C$533</definedName>
    <definedName name="EI">Breakdown!$AO$12:$AO$1170</definedName>
    <definedName name="El">Bom!$D$167</definedName>
    <definedName name="Eng">'Data Validation'!$C$870:$C$882</definedName>
    <definedName name="engsel_fold_het" localSheetId="8">stock!#REF!</definedName>
    <definedName name="engsel_fold_het" localSheetId="25">stock!#REF!</definedName>
    <definedName name="engsel_fold_het" localSheetId="24">stock!#REF!</definedName>
    <definedName name="engsel_fold_het" localSheetId="26">stock!#REF!</definedName>
    <definedName name="engsel_fold_het" localSheetId="27">stock!#REF!</definedName>
    <definedName name="engsel_fold_het" localSheetId="14">stock!#REF!</definedName>
    <definedName name="engsel_fold_het" localSheetId="7">stock!#REF!</definedName>
    <definedName name="engsel_fold_het" localSheetId="10">stock!#REF!</definedName>
    <definedName name="engsel_fold_het" localSheetId="5">stock!#REF!</definedName>
    <definedName name="engsel_fold_het" localSheetId="6">stock!#REF!</definedName>
    <definedName name="engsel_fold_het" localSheetId="19">stock!#REF!</definedName>
    <definedName name="engsel_fold_het">stock!#REF!</definedName>
    <definedName name="engsel_pantry">stock!$D$481:$D$501</definedName>
    <definedName name="engsel_profil">stock!$D$499</definedName>
    <definedName name="engsel_tengah_fold_formwell">stock!$D$542</definedName>
    <definedName name="engsel_wrd">stock!$D$502:$D$515</definedName>
    <definedName name="engsel1">'Data Validation'!$C$870</definedName>
    <definedName name="engsel10">'Data Validation'!$C$879</definedName>
    <definedName name="engsel2">'Data Validation'!$C$871</definedName>
    <definedName name="engsel3">'Data Validation'!$C$872</definedName>
    <definedName name="engsel4">'Data Validation'!$C$873</definedName>
    <definedName name="engsel5">'Data Validation'!$C$874</definedName>
    <definedName name="engsel6">'Data Validation'!$C$875</definedName>
    <definedName name="engsel7">'Data Validation'!$C$876</definedName>
    <definedName name="engsel8">'Data Validation'!$C$877</definedName>
    <definedName name="engsel9">'Data Validation'!$C$878</definedName>
    <definedName name="est">stock!$B$2315:$B$2318</definedName>
    <definedName name="Estimator">Spek!$D$4</definedName>
    <definedName name="fd">'Data Validation'!$D$1192</definedName>
    <definedName name="fm">'Data Validation'!$D$1191</definedName>
    <definedName name="footer_koord">Spek!$D$576:$D$588</definedName>
    <definedName name="fp">'Data Validation'!$D$1190</definedName>
    <definedName name="Fr">'Data Validation'!$C$826:$C$841</definedName>
    <definedName name="fr_0">'Data Validation'!$C$826</definedName>
    <definedName name="fr_1">'Data Validation'!$C$827</definedName>
    <definedName name="fr_10">'Data Validation'!$C$836</definedName>
    <definedName name="fr_11">'Data Validation'!$C$837</definedName>
    <definedName name="fr_12">'Data Validation'!$C$838</definedName>
    <definedName name="fr_13">'Data Validation'!$C$839</definedName>
    <definedName name="fr_14">'Data Validation'!$C$840</definedName>
    <definedName name="fr_2">'Data Validation'!$C$828</definedName>
    <definedName name="fr_3">'Data Validation'!$C$829</definedName>
    <definedName name="fr_4">'Data Validation'!$C$830</definedName>
    <definedName name="fr_5">'Data Validation'!$C$831</definedName>
    <definedName name="fr_6">'Data Validation'!$C$832</definedName>
    <definedName name="fr_7">'Data Validation'!$C$833</definedName>
    <definedName name="fr_8">'Data Validation'!$C$834</definedName>
    <definedName name="fr_9">'Data Validation'!$C$835</definedName>
    <definedName name="Hand1">'Data Validation'!$C$805</definedName>
    <definedName name="hand10">'Data Validation'!$C$814</definedName>
    <definedName name="Hand2">'Data Validation'!$C$806</definedName>
    <definedName name="hand3">'Data Validation'!$C$807</definedName>
    <definedName name="hand4">'Data Validation'!$C$808</definedName>
    <definedName name="hand5">'Data Validation'!$C$809</definedName>
    <definedName name="hand6">'Data Validation'!$C$810</definedName>
    <definedName name="hand7">'Data Validation'!$C$811</definedName>
    <definedName name="hand8">'Data Validation'!$C$812</definedName>
    <definedName name="hand9">'Data Validation'!$C$813</definedName>
    <definedName name="Haned">'Data Validation'!$C$805:$C$815</definedName>
    <definedName name="Hankab">'Data Validation'!$C$794:$C$801</definedName>
    <definedName name="Hantar">'Data Validation'!$C$818:$C$822</definedName>
    <definedName name="HPL">stock!$D$1438:$D$1930</definedName>
    <definedName name="ID">stock!$C$4:$C$2676</definedName>
    <definedName name="jt">'Data Validation'!$D$1195</definedName>
    <definedName name="jumlah_dowel">Breakdown!$BT$12:$BT$1170</definedName>
    <definedName name="jumlah_komponen">Breakdown!#REF!</definedName>
    <definedName name="jumlah_minifix">Breakdown!$BS$12:$BS$1170</definedName>
    <definedName name="jumlah_mled">Handle!$E$38</definedName>
    <definedName name="jumlah_mled_manual">Handle!$E$32</definedName>
    <definedName name="jumlah_mlt" localSheetId="25">Bom!#REF!</definedName>
    <definedName name="jumlah_mlt" localSheetId="19">Retur!$D$126</definedName>
    <definedName name="jumlah_mlt">'BPB Setting'!$D$131</definedName>
    <definedName name="jumlah_pemakaian">Breakdown!$Q$12:$Q$1170</definedName>
    <definedName name="jumlah_ram_depan" localSheetId="25">Bom!#REF!</definedName>
    <definedName name="jumlah_ram_depan" localSheetId="19">Retur!$D$118</definedName>
    <definedName name="jumlah_ram_depan">'BPB Setting'!$D$123</definedName>
    <definedName name="ka_expedisi">Spek!$B$593</definedName>
    <definedName name="ka_kaca">Spek!$B$594</definedName>
    <definedName name="ka_panel">Spek!$B$591</definedName>
    <definedName name="ka_QC">Spek!$B$592</definedName>
    <definedName name="ka_rakit">Spek!$B$590</definedName>
    <definedName name="kab">'Data Validation'!$C$758:$C$791</definedName>
    <definedName name="kabinet1">'Data Validation'!$C$405</definedName>
    <definedName name="kabinet2">'Data Validation'!$C$410</definedName>
    <definedName name="kabinet3">'Data Validation'!$C$414</definedName>
    <definedName name="kaca">stock!$D$2740:$D$2805</definedName>
    <definedName name="kaca1">'Data Validation'!$C$919</definedName>
    <definedName name="kaca10">'Data Validation'!$C$928</definedName>
    <definedName name="kaca11">'Data Validation'!$C$929</definedName>
    <definedName name="kaca2">'Data Validation'!$C$920</definedName>
    <definedName name="kaca3">'Data Validation'!$C$921</definedName>
    <definedName name="kaca4">'Data Validation'!$C$922</definedName>
    <definedName name="kaca5">'Data Validation'!$C$923</definedName>
    <definedName name="kaca6">'Data Validation'!$C$924</definedName>
    <definedName name="kaca7">'Data Validation'!$C$925</definedName>
    <definedName name="kaca8">'Data Validation'!$C$926</definedName>
    <definedName name="kaca9">'Data Validation'!$C$927</definedName>
    <definedName name="kc">'Data Validation'!$C$919:$C$930</definedName>
    <definedName name="kll">'Data Validation'!$C$748</definedName>
    <definedName name="kode">Breakdown!$D$12:$D$1170</definedName>
    <definedName name="koord">Spek!$B$576:$B$588</definedName>
    <definedName name="koordinator">Spek!$D$5</definedName>
    <definedName name="KS">'Data Validation'!$E$8:$E$384</definedName>
    <definedName name="KS_Set">Spek!$G$177:$G$426</definedName>
    <definedName name="L">Breakdown!$BL$12:$BL$1170</definedName>
    <definedName name="lapisan_luar_hb">stock!$D$1442</definedName>
    <definedName name="lapisan_luar_paper">stock!$D$1435</definedName>
    <definedName name="lapisan0">'Data Validation'!$C$408</definedName>
    <definedName name="lapisan1">'Data Validation'!$C$404</definedName>
    <definedName name="lapisan2">'Data Validation'!$C$407</definedName>
    <definedName name="lapisan3">'Data Validation'!$C$409</definedName>
    <definedName name="lapisan4">'Data Validation'!$C$411</definedName>
    <definedName name="lapisan5">'Data Validation'!$C$412</definedName>
    <definedName name="lapisan6">'Data Validation'!$C$413</definedName>
    <definedName name="lapisan7">'Data Validation'!$C$415</definedName>
    <definedName name="Lbr_dasar_Avantech_40">'Data Validation'!$D$1163</definedName>
    <definedName name="Lbr_dasar_Avantech_45">'Data Validation'!$D$1162</definedName>
    <definedName name="Lbr_dasar_Avantech_50">'Data Validation'!$D$1161</definedName>
    <definedName name="Lbr_dasar_legrabox">'Data Validation'!$D$1137</definedName>
    <definedName name="Lbr_dasar_merivobox">'Data Validation'!$D$1148</definedName>
    <definedName name="Lbr_dasar_tandembox">'Data Validation'!$D$1125</definedName>
    <definedName name="lbr_frm_07">'Data Validation'!$D$1202</definedName>
    <definedName name="Lbr_palang_blk_Av1">'Data Validation'!$D$1157</definedName>
    <definedName name="Lbr_palang_blk_Av3">'Data Validation'!$D$1159</definedName>
    <definedName name="Lbr_palang_blk_Av4">'Data Validation'!$D$1160</definedName>
    <definedName name="Lbr_palang_blk_B1I3">'Data Validation'!$D$1118</definedName>
    <definedName name="Lbr_palang_blk_B1I4">'Data Validation'!$D$1120</definedName>
    <definedName name="Lbr_palang_blk_B1I5">'Data Validation'!$D$1123</definedName>
    <definedName name="Lbr_palang_blk_B1I6">'Data Validation'!$D$1124</definedName>
    <definedName name="Lbr_palang_blk_B1S1">'Data Validation'!$D$1117</definedName>
    <definedName name="Lbr_palang_blk_B1S2">'Data Validation'!$D$1119</definedName>
    <definedName name="Lbr_palang_blk_B1S3">'Data Validation'!$D$1121</definedName>
    <definedName name="Lbr_palang_blk_B1S4">'Data Validation'!$D$1122</definedName>
    <definedName name="Lbr_palang_blk_INS1">'Data Validation'!$D$1128</definedName>
    <definedName name="Lbr_palang_blk_INS3">'Data Validation'!$D$1129</definedName>
    <definedName name="Lbr_palang_blk_INS5">'Data Validation'!$D$1130</definedName>
    <definedName name="Lbr_palang_blk_legra_I3">'Data Validation'!$D$1133</definedName>
    <definedName name="Lbr_palang_blk_legra_I6">'Data Validation'!$D$1135</definedName>
    <definedName name="Lbr_palang_blk_legra_S1">'Data Validation'!$D$1132</definedName>
    <definedName name="Lbr_palang_blk_legra_S4">'Data Validation'!$D$1134</definedName>
    <definedName name="Lbr_palang_blk_legra_S4XL">'Data Validation'!$D$1136</definedName>
    <definedName name="Lbr_palang_blk_merivo_I3">'Data Validation'!$D$1150</definedName>
    <definedName name="Lbr_palang_blk_merivo_I6">'Data Validation'!$D$1152</definedName>
    <definedName name="Lbr_palang_blk_merivo_S1">'Data Validation'!$D$1149</definedName>
    <definedName name="Lbr_palang_blk_merivo_S2">'Data Validation'!$D$1151</definedName>
    <definedName name="Lbr_palang_blk_merivo_S4">'Data Validation'!$D$1153</definedName>
    <definedName name="Lbr_palang_blk_merivo_S4XL">'Data Validation'!$D$1154</definedName>
    <definedName name="legadj100">stock!$D$670</definedName>
    <definedName name="legrabox">stock!$D$425:$D$432</definedName>
    <definedName name="legrabox_dasar">'Data Validation'!$D$1139</definedName>
    <definedName name="legrabox_palang">'Data Validation'!$D$1138</definedName>
    <definedName name="LI">Breakdown!$AF$12:$AF$1170</definedName>
    <definedName name="libra_Ch">stock!$D$672</definedName>
    <definedName name="libra_h6">stock!$D$671</definedName>
    <definedName name="LII">Breakdown!$AG$12:$AG$1170</definedName>
    <definedName name="lis_kaca">stock!$D$1151:$D$1161</definedName>
    <definedName name="liskaca">'Data Validation'!$C$905</definedName>
    <definedName name="LS_01">stock!$D$1067:$D$1075</definedName>
    <definedName name="LS_02">stock!$D$1076:$D$1083</definedName>
    <definedName name="m_frm">stock!$D$968:$D$985</definedName>
    <definedName name="m_frm_02">stock!$D$921:$D$931</definedName>
    <definedName name="m_frm_03">stock!$D$940:$D$950</definedName>
    <definedName name="m_frm_04">stock!$D$932:$D$939</definedName>
    <definedName name="m_frm_05">stock!$D$951:$D$967</definedName>
    <definedName name="m_frm_06">stock!$D$1231:$D$1234</definedName>
    <definedName name="m_frm_07">stock!$D$1247:$D$1257</definedName>
    <definedName name="m_frm_ttp_blk">stock!$D$986:$D$997</definedName>
    <definedName name="m_grill">stock!$D$587:$D$597</definedName>
    <definedName name="m_grill_01">Spek!$D$68</definedName>
    <definedName name="M_PLT_01">stock!$D$1048:$D$1057</definedName>
    <definedName name="M_PLT_02">stock!$D$1058:$D$1066</definedName>
    <definedName name="MDF">'Data Validation'!$D$1081</definedName>
    <definedName name="MDFH1">'Data Validation'!$D$1082</definedName>
    <definedName name="MDFH2">'Data Validation'!$D$1083</definedName>
    <definedName name="menu">stock!$B$2353:$B$2460</definedName>
    <definedName name="mepla">stock!$G$2688</definedName>
    <definedName name="merivo_dasar">'Data Validation'!$D$1142</definedName>
    <definedName name="merivo_palang">'Data Validation'!$D$1141</definedName>
    <definedName name="merivobox">stock!$D$440:$D$447</definedName>
    <definedName name="MG">stock!$D$2806:$D$2813</definedName>
    <definedName name="MH">stock!$D$830:$D$902</definedName>
    <definedName name="MH_01">stock!$D$830:$D$839</definedName>
    <definedName name="MH_02">stock!$D$840:$D$850</definedName>
    <definedName name="MH_03">stock!$D$851:$D$873</definedName>
    <definedName name="MH_04">stock!$D$874:$D$877</definedName>
    <definedName name="MH_05">stock!$D$878:$D$881</definedName>
    <definedName name="MH_06">stock!$D$882:$D$887</definedName>
    <definedName name="MH_07">stock!$D$888:$D$893</definedName>
    <definedName name="MH_08">stock!$D$894:$D$902</definedName>
    <definedName name="MH_09">stock!$D$1199:$D$1230</definedName>
    <definedName name="minifix">Breakdown!$BD$12:$BD$1170</definedName>
    <definedName name="minifix_hettich">stock!$D$360</definedName>
    <definedName name="ministrip">stock!$D$784:$D$797</definedName>
    <definedName name="mled_02">stock!$D$1038:$D$1047</definedName>
    <definedName name="mled02">'Data Validation'!$C$902</definedName>
    <definedName name="Mlis_01">stock!$D$1019:$D$1028</definedName>
    <definedName name="mlis1">'Data Validation'!$C$904</definedName>
    <definedName name="MLP_01">stock!$D$1274:$D$1280</definedName>
    <definedName name="MLP_02">stock!$D$1299:$D$1308</definedName>
    <definedName name="MLP_04">stock!$D$1322:$D$1330</definedName>
    <definedName name="MLP_06">stock!$D$1332:$D$1333</definedName>
    <definedName name="MLT_01">stock!$D$1282:$D$1284</definedName>
    <definedName name="MLT_04">stock!$D$1286:$D$1287</definedName>
    <definedName name="MLT_05">stock!$D$1289:$D$1291</definedName>
    <definedName name="modes">stock!$D$546</definedName>
    <definedName name="modesscr">stock!$D$547</definedName>
    <definedName name="mplt1">'Data Validation'!$C$906</definedName>
    <definedName name="mplt2">'Data Validation'!$C$907</definedName>
    <definedName name="MPP_01">stock!$D$1378:$D$1382</definedName>
    <definedName name="MPP_02">stock!$D$1373:$D$1376</definedName>
    <definedName name="MPP_03">stock!$D$1387:$D$1390</definedName>
    <definedName name="MPP_04">stock!$D$1384:$D$1385</definedName>
    <definedName name="Mprf_01">stock!$D$998:$D$1007</definedName>
    <definedName name="mprf1">'Data Validation'!$C$903</definedName>
    <definedName name="MR_01">stock!$D$1370:$D$1371</definedName>
    <definedName name="MR_02">stock!$D$1365:$D$1368</definedName>
    <definedName name="MR_03">stock!$D$1360:$D$1363</definedName>
    <definedName name="Mshf_0102">stock!$D$1008:$D$1018</definedName>
    <definedName name="Mtx">'Data Validation'!$D$1086</definedName>
    <definedName name="mulion_dalam">stock!$D$1165:$D$1174</definedName>
    <definedName name="mulion_luar">stock!$D$1175:$D$1184</definedName>
    <definedName name="mulion_m_frm_07">stock!$D$1235:$D$1245</definedName>
    <definedName name="multiclip">stock!$D$673</definedName>
    <definedName name="nama_proyek">Spek!$I$15</definedName>
    <definedName name="nat">'Data Validation'!$D$1089</definedName>
    <definedName name="Nat_atas">'Data Validation'!$D$1090</definedName>
    <definedName name="Nat_CP">'Data Validation'!$D$1093</definedName>
    <definedName name="Nat_FC">'Data Validation'!$D$1092</definedName>
    <definedName name="nip">Spek!$D$13</definedName>
    <definedName name="no_kontrak">Spek!$D$12</definedName>
    <definedName name="No_proyek">Spek!$D$3</definedName>
    <definedName name="no_ref">Spek!$E$177:$E$571</definedName>
    <definedName name="no√">Breakdown!$G$12:$G$1170</definedName>
    <definedName name="opt">'Data Validation'!$G$8:$G$384</definedName>
    <definedName name="ORNAMEN_BUNGA">stock!$D$1335:$D$1337</definedName>
    <definedName name="ova">Spek!$D$172</definedName>
    <definedName name="ovb">Spek!$D$173</definedName>
    <definedName name="P">Breakdown!$BK$12:$BK$1170</definedName>
    <definedName name="P_Dinding_samping">Breakdown!XEW1</definedName>
    <definedName name="paket_al01">stock!$D$262:$D$271</definedName>
    <definedName name="paket_hmr_polos">stock!$D$312:$D$317</definedName>
    <definedName name="paket_mdf_hb41130">stock!$D$297:$D$305</definedName>
    <definedName name="paket_mdf_polos">stock!$D$199:$D$212</definedName>
    <definedName name="paket_mfs203">stock!$D$214:$D$224</definedName>
    <definedName name="paket_mm002">stock!$D$283:$D$295</definedName>
    <definedName name="paket_mww003">stock!$D$226:$D$236</definedName>
    <definedName name="paket_mww004">stock!$D$238:$D$248</definedName>
    <definedName name="paket_ply_aica">stock!$D$152:$D$156</definedName>
    <definedName name="paket_ply_C001">stock!$D$166:$D$175</definedName>
    <definedName name="paket_ply_duco">stock!$D$338:$D$353</definedName>
    <definedName name="paket_ply_hb41130">stock!$D$177:$D$186</definedName>
    <definedName name="paket_ply_lantrex_C001">stock!$D$52:$D$58</definedName>
    <definedName name="paket_ply_lantrex_hb41130">stock!$D$60:$D$68</definedName>
    <definedName name="paket_ply_lantrex_M41130">stock!$D$70:$D$76</definedName>
    <definedName name="paket_ply_lantrex_polos">stock!$D$5:$D$25</definedName>
    <definedName name="paket_ply_lantrex_polos_duco">stock!$D$27:$D$36</definedName>
    <definedName name="paket_ply_m41130">stock!$D$188:$D$197</definedName>
    <definedName name="paket_ply_polos">stock!$D$78:$D$112</definedName>
    <definedName name="paket_ply_polos_duco">stock!$D$114:$D$125</definedName>
    <definedName name="paket_plyhmr_1mk">stock!$D$322:$D$326</definedName>
    <definedName name="paket_plyhmr_2mk">stock!$D$319:$D$320</definedName>
    <definedName name="paket_UPVC_polos">stock!$D$127:$D$132</definedName>
    <definedName name="paket_UPVC_polos_duco">stock!$D$134:$D$139</definedName>
    <definedName name="paper">stock!$D$1426:$D$1436</definedName>
    <definedName name="PB_15">stock!$D$1351:$D$1352</definedName>
    <definedName name="PB_25">stock!$D$1347</definedName>
    <definedName name="PB_A">stock!$D$1349</definedName>
    <definedName name="PD_blum_45">stock!$D$598</definedName>
    <definedName name="PD_blum_50">stock!$D$599</definedName>
    <definedName name="PD_blum_55">stock!$D$600</definedName>
    <definedName name="pelmet">'Data Validation'!$D$1088</definedName>
    <definedName name="pengganti_AL01">stock!$D$1432</definedName>
    <definedName name="pengganti_MM_002">stock!$D$1433</definedName>
    <definedName name="pengganti_MWW_003">stock!$D$1430</definedName>
    <definedName name="pengganti_MWW_004">stock!$D$1431</definedName>
    <definedName name="PI">Breakdown!$AD$12:$AD$1170</definedName>
    <definedName name="PII">Breakdown!$AE$12:$AE$1170</definedName>
    <definedName name="pipa_ss_½">stock!$D$517</definedName>
    <definedName name="PIRAMID">stock!$D$1310:$D$1320</definedName>
    <definedName name="pk">'Data Validation'!$C$932:$C$1043</definedName>
    <definedName name="pl_masuk">'Data Validation'!$D$1201</definedName>
    <definedName name="plat_join">stock!$D$580</definedName>
    <definedName name="Ply">'Data Validation'!$D$1079</definedName>
    <definedName name="PlyH2">'Data Validation'!$D$1080</definedName>
    <definedName name="polos">'Data Validation'!$C$406</definedName>
    <definedName name="_xlnm.Print_Area" localSheetId="9">'√+'!$A$1:$J$306</definedName>
    <definedName name="_xlnm.Print_Area" localSheetId="8">'√flatpack iD'!$A$1:$K$102</definedName>
    <definedName name="_xlnm.Print_Area" localSheetId="25">Bom!$A$1:$F$223</definedName>
    <definedName name="_xlnm.Print_Area" localSheetId="29">'BPB Raw Material (man.)'!$A$1:$F$63</definedName>
    <definedName name="_xlnm.Print_Area" localSheetId="17">'BPB Setting'!$A$1:$F$151</definedName>
    <definedName name="_xlnm.Print_Area" localSheetId="18">'BPB Setting frame dll'!$A$1:$F$53</definedName>
    <definedName name="_xlnm.Print_Area" localSheetId="24">'Cutting Bom'!$A$1:$I$150</definedName>
    <definedName name="_xlnm.Print_Area" localSheetId="26">'Cutting KS'!$A$1:$I$108</definedName>
    <definedName name="_xlnm.Print_Area" localSheetId="27">'Cutting NonKS'!$A$1:$I$81</definedName>
    <definedName name="_xlnm.Print_Area" localSheetId="16">'Frame Alu.Ad'!$A$1:$H$48</definedName>
    <definedName name="_xlnm.Print_Area" localSheetId="14">'Frame Alu.Yn'!$A$1:$H$48</definedName>
    <definedName name="_xlnm.Print_Area" localSheetId="22">Handle!$A$1:$G$69</definedName>
    <definedName name="_xlnm.Print_Area" localSheetId="23">'Handle+'!$A$1:$G$25</definedName>
    <definedName name="_xlnm.Print_Area" localSheetId="7">'K+Eris'!$A$1:$H$123</definedName>
    <definedName name="_xlnm.Print_Area" localSheetId="10">Kaca!$A$1:$H$58</definedName>
    <definedName name="_xlnm.Print_Area" localSheetId="11">'Kaca proses Supplier'!$A$1:$H$57</definedName>
    <definedName name="_xlnm.Print_Area" localSheetId="20">'Kerja+'!$A$1:$H$55</definedName>
    <definedName name="_xlnm.Print_Area" localSheetId="12">'Kerja+ Kaca'!$A$1:$H$35</definedName>
    <definedName name="_xlnm.Print_Area" localSheetId="5">KS!$A$1:$H$123</definedName>
    <definedName name="_xlnm.Print_Area" localSheetId="6">'non KS'!$A$1:$H$123</definedName>
    <definedName name="_xlnm.Print_Area" localSheetId="28">'Raw Material'!$A$1:$F$46</definedName>
    <definedName name="_xlnm.Print_Area" localSheetId="4">'rekap full'!$A$1:$H$49</definedName>
    <definedName name="_xlnm.Print_Area" localSheetId="19">Retur!$A$1:$F$149</definedName>
    <definedName name="_xlnm.Print_Area" localSheetId="21">Rework!$A$1:$H$54</definedName>
    <definedName name="_xlnm.Print_Area" localSheetId="13">'Rework Kaca'!$A$1:$H$35</definedName>
    <definedName name="_xlnm.Print_Area" localSheetId="15">SJ!$A$1:$M$32</definedName>
    <definedName name="_xlnm.Print_Titles" localSheetId="9">'√+'!$13:$14</definedName>
    <definedName name="_xlnm.Print_Titles" localSheetId="8">'√flatpack iD'!$13:$14</definedName>
    <definedName name="_xlnm.Print_Titles" localSheetId="24">'Cutting Bom'!$14:$15</definedName>
    <definedName name="_xlnm.Print_Titles" localSheetId="26">'Cutting KS'!$13:$14</definedName>
    <definedName name="_xlnm.Print_Titles" localSheetId="27">'Cutting NonKS'!$13:$14</definedName>
    <definedName name="_xlnm.Print_Titles" localSheetId="16">'Frame Alu.Ad'!$13:$14</definedName>
    <definedName name="_xlnm.Print_Titles" localSheetId="14">'Frame Alu.Yn'!$13:$14</definedName>
    <definedName name="_xlnm.Print_Titles" localSheetId="22">Handle!$1:$11</definedName>
    <definedName name="_xlnm.Print_Titles" localSheetId="7">'K+Eris'!$13:$14</definedName>
    <definedName name="_xlnm.Print_Titles" localSheetId="10">Kaca!$13:$14</definedName>
    <definedName name="_xlnm.Print_Titles" localSheetId="5">KS!$13:$14</definedName>
    <definedName name="_xlnm.Print_Titles" localSheetId="6">'non KS'!$13:$14</definedName>
    <definedName name="_xlnm.Print_Titles" localSheetId="4">'rekap full'!$13:$14</definedName>
    <definedName name="prof">'Data Validation'!$C$1047:$C$1059</definedName>
    <definedName name="prof_cor_1">'Data Validation'!$C$1053</definedName>
    <definedName name="prof_cor_2">'Data Validation'!$C$1054</definedName>
    <definedName name="prof_cor_3">'Data Validation'!$C$1055</definedName>
    <definedName name="prof_panel_1">'Data Validation'!$C$1050</definedName>
    <definedName name="prof_panel_2">'Data Validation'!$C$1051</definedName>
    <definedName name="prof_panel_3">'Data Validation'!$C$1052</definedName>
    <definedName name="prof_pb15">stock!$D$1351</definedName>
    <definedName name="prof_pintu_1">'Data Validation'!$C$1047</definedName>
    <definedName name="prof_pintu_2">'Data Validation'!$C$1048</definedName>
    <definedName name="Prof_pintu_3">'Data Validation'!$C$1049</definedName>
    <definedName name="prof_pl_1">'Data Validation'!$C$1056</definedName>
    <definedName name="prof_pl_2">'Data Validation'!$C$1057</definedName>
    <definedName name="prof_pl_3">'Data Validation'!$C$1058</definedName>
    <definedName name="profil">Breakdown!$AJ$12:$AJ$1170</definedName>
    <definedName name="profil_2">Breakdown!$AI$12:$AI$1170</definedName>
    <definedName name="profil_3">Breakdown!$AH$12:$AH$1170</definedName>
    <definedName name="Profil_Top">stock!$D$1392:$D$1393</definedName>
    <definedName name="profil_top_table">stock!$D$1392</definedName>
    <definedName name="proses_k">Breakdown!$I$12:$I$1170</definedName>
    <definedName name="Prt">'Data Validation'!$C$8:$C$384</definedName>
    <definedName name="PT_04">stock!$D$1343:$D$1345</definedName>
    <definedName name="PT_08">stock!$D$1339:$D$1341</definedName>
    <definedName name="Qdr">'Data Validation'!$D$1085</definedName>
    <definedName name="Qty_screw_Jf">Breakdown!$BG$12:$BG$1170</definedName>
    <definedName name="Qty_siku_fr">Breakdown!$BF$12:$BF$1170</definedName>
    <definedName name="ref">Spek!$D$177:$D$571</definedName>
    <definedName name="Rel">Breakdown!$BJ$12:$BJ$1170</definedName>
    <definedName name="rel_atas_fold_formwell">stock!$D$543</definedName>
    <definedName name="rel_pantry">stock!$D$362:$D$395</definedName>
    <definedName name="rel_wrd">stock!$D$461:$D$480</definedName>
    <definedName name="RelI">Breakdown!$AN$12:$AN$1170</definedName>
    <definedName name="RELLC">'Data Validation'!$C$885:$C$899</definedName>
    <definedName name="roda_atas_fold_formwell">stock!$D$544</definedName>
    <definedName name="scr_fr">stock!$D$753</definedName>
    <definedName name="scr_fr05">stock!$D$746</definedName>
    <definedName name="scr_ls01">stock!$D$782</definedName>
    <definedName name="scr_ls02">stock!$D$802</definedName>
    <definedName name="scr_mshf04">stock!$D$773</definedName>
    <definedName name="screw_jf">stock!$D$656</definedName>
    <definedName name="Screw_Join_fr">Breakdown!$AL$12:$AL$1170</definedName>
    <definedName name="se">'Data Validation'!$C$748:$C$756</definedName>
    <definedName name="seal_clear">stock!$D$579</definedName>
    <definedName name="seal_maxbond">stock!$D$578</definedName>
    <definedName name="seal_putih">stock!$D$581</definedName>
    <definedName name="Set_prt">Spek!$D$177:$D$426</definedName>
    <definedName name="set_up">Spek!$D$234:$D$496</definedName>
    <definedName name="sf">'Data Validation'!$C$513:$C$518</definedName>
    <definedName name="siku_fr">stock!$D$677</definedName>
    <definedName name="siku_fr05">stock!$D$745</definedName>
    <definedName name="siku_joint">Breakdown!$AK$12:$AK$1170</definedName>
    <definedName name="siku_ls01">stock!$D$783</definedName>
    <definedName name="siku_ls02">stock!$D$803</definedName>
    <definedName name="siku_mshf04">stock!$D$772</definedName>
    <definedName name="sikubr">stock!$D$574</definedName>
    <definedName name="sl_56_kit">stock!$D$565</definedName>
    <definedName name="sl_56_track">stock!$D$566</definedName>
    <definedName name="sl_tbl">'Data Validation'!$D$1204</definedName>
    <definedName name="soket_ministrip">stock!$D$790</definedName>
    <definedName name="std_anodize_per_ukuran">'Data Validation'!$AF$8:$AF$384</definedName>
    <definedName name="std_anodizeh_proses">'Data Validation'!$S$932:$S$1043</definedName>
    <definedName name="std_anodizev_proses">'Data Validation'!$Q$932:$Q$1043</definedName>
    <definedName name="std_anodizev2_proses">'Data Validation'!$R$932:$R$1043</definedName>
    <definedName name="std_bhn_prt">'Data Validation'!$I$8:$I$384</definedName>
    <definedName name="std_dowel_prt">'Data Validation'!$L$8:$L$384</definedName>
    <definedName name="std_edg_L1_prt">'Data Validation'!$AA$8:$AA$384</definedName>
    <definedName name="std_edg_L2_prt">'Data Validation'!$AB$8:$AB$384</definedName>
    <definedName name="std_edg_P1_prt">'Data Validation'!$Y$8:$Y$384</definedName>
    <definedName name="std_edg_P2_prt">'Data Validation'!$Z$8:$Z$384</definedName>
    <definedName name="std_engsel_prt">'Data Validation'!$AE$8:$AE$384</definedName>
    <definedName name="std_j_screwjf_prt">'Data Validation'!$AK$8:$AK$384</definedName>
    <definedName name="std_j_sikufr_prt">'Data Validation'!$AJ$8:$AJ$384</definedName>
    <definedName name="std_jml_anodize_per_uk">'Data Validation'!$AG$8:$AG$384</definedName>
    <definedName name="std_lapisan_dalam_prt">'Data Validation'!$X$8:$X$384</definedName>
    <definedName name="std_lapisan_luar_prt">'Data Validation'!$W$8:$W$384</definedName>
    <definedName name="std_minifix_prt">'Data Validation'!$K$8:$K$384</definedName>
    <definedName name="std_profil_prt">'Data Validation'!$V$8:$V$384</definedName>
    <definedName name="std_profil2_prt">'Data Validation'!$U$8:$U$384</definedName>
    <definedName name="std_profil3_prt">'Data Validation'!$T$8:$T$384</definedName>
    <definedName name="std_rel_prt">'Data Validation'!$AD$8:$AD$384</definedName>
    <definedName name="std_screw_prt">'Data Validation'!$P$8:$P$384</definedName>
    <definedName name="std_siku_prt">'Data Validation'!$O$8:$O$384</definedName>
    <definedName name="std_sub_prt">'Data Validation'!$H$8:$H$384</definedName>
    <definedName name="std_Tbahan_prt">'Data Validation'!$J$8:$J$384</definedName>
    <definedName name="T_gola">'Data Validation'!$D$1193</definedName>
    <definedName name="T_hkayu">'Data Validation'!$D$1194</definedName>
    <definedName name="T_MH02">'Data Validation'!$D$1179</definedName>
    <definedName name="T_MH08">'Data Validation'!$D$1180</definedName>
    <definedName name="T_min_Av1">'Data Validation'!$D$1166</definedName>
    <definedName name="T_min_Av2">'Data Validation'!$D$1167</definedName>
    <definedName name="T_min_Av3">'Data Validation'!$D$1168</definedName>
    <definedName name="T_min_Av4">'Data Validation'!$D$1169</definedName>
    <definedName name="T_min_B1S1">'Data Validation'!$D$1174</definedName>
    <definedName name="T_min_B1S2">'Data Validation'!$D$1175</definedName>
    <definedName name="T_min_B1S4">'Data Validation'!$D$1173</definedName>
    <definedName name="T_min_Legra_S1">'Data Validation'!$D$1176</definedName>
    <definedName name="T_min_Legra_S4">'Data Validation'!$D$1177</definedName>
    <definedName name="T_min_Legra_S4XL">'Data Validation'!$D$1178</definedName>
    <definedName name="T_min_merivo_S1">'Data Validation'!$D$1143</definedName>
    <definedName name="T_min_merivo_S2">'Data Validation'!$D$1144</definedName>
    <definedName name="T_min_merivo_S4">'Data Validation'!$D$1145</definedName>
    <definedName name="T_min_merivo_S4XL">'Data Validation'!$D$1146</definedName>
    <definedName name="tabdf">'Data Validation'!$C$506:$D$511</definedName>
    <definedName name="tabfr">'Data Validation'!$C$826:$D$841</definedName>
    <definedName name="tabkab">'Data Validation'!$C$758:$D$791</definedName>
    <definedName name="tabprt">'Data Validation'!$C$8:$D$384</definedName>
    <definedName name="tabprtKS√">'Data Validation'!$C$8:$F$384</definedName>
    <definedName name="tabse">'Data Validation'!$C$748:$D$756</definedName>
    <definedName name="tabsf">'Data Validation'!$C$513:$D$518</definedName>
    <definedName name="tabte">'Data Validation'!$C$520:$D$540</definedName>
    <definedName name="tabtf">'Data Validation'!$C$404:$D$415</definedName>
    <definedName name="tabtft">'Data Validation'!$C$404:$E$415</definedName>
    <definedName name="tabthm">'Data Validation'!$C$396:$D$402</definedName>
    <definedName name="tabtpm">'Data Validation'!$C$386:$D$393</definedName>
    <definedName name="tandembox">stock!$D$396:$D$420</definedName>
    <definedName name="tandembox_dasar">'Data Validation'!$D$1127</definedName>
    <definedName name="tandembox_palang">'Data Validation'!$D$1126</definedName>
    <definedName name="tbl_edg">stock!$E$1933:$E$2302</definedName>
    <definedName name="tbl_hpl">stock!$E$1438:$E$1930</definedName>
    <definedName name="tbl_komp_laci">Spek!$D$29</definedName>
    <definedName name="tbl_paper">stock!$E$1426:$E$1436</definedName>
    <definedName name="Tdm">'Data Validation'!$D$1084</definedName>
    <definedName name="te">'Data Validation'!$C$520:$C$540</definedName>
    <definedName name="tebal_lapisan">'Data Validation'!$E$404:$E$415</definedName>
    <definedName name="tf">'Data Validation'!$C$404:$C$415</definedName>
    <definedName name="tgl">Spek!$D$2</definedName>
    <definedName name="thm">'Data Validation'!$C$396:$C$402</definedName>
    <definedName name="tip_on_1">stock!$D$389</definedName>
    <definedName name="tip_on_2">stock!$D$390</definedName>
    <definedName name="tip_on_3">stock!$D$391</definedName>
    <definedName name="tol">'Data Validation'!$D$1197</definedName>
    <definedName name="tol_p">'Data Validation'!$D$1196</definedName>
    <definedName name="tol_R">'Data Validation'!$D$1198</definedName>
    <definedName name="topline22_2pintu">stock!$D$535</definedName>
    <definedName name="topline22_2pintu_TA36">stock!$D$534</definedName>
    <definedName name="total_screw">Breakdown!$BV$12:$BV$1170</definedName>
    <definedName name="total_siku">Breakdown!$BU$12:$BU$1170</definedName>
    <definedName name="tpm">'Data Validation'!$C$386:$C$393</definedName>
    <definedName name="trim">'Data Validation'!$D$1172</definedName>
    <definedName name="trim_21">stock!$D$1119:$D$1128</definedName>
    <definedName name="trim_22">stock!$D$1129:$D$1138</definedName>
    <definedName name="trim_38">stock!$D$1139:$D$1148</definedName>
    <definedName name="trim_miring">stock!$D$1259</definedName>
    <definedName name="tube_meter">'Data Validation'!$D$1203</definedName>
    <definedName name="type_komponen">Breakdown!$C$12:$C$1170</definedName>
    <definedName name="type_room">'Data Validation'!$C$1209:$C$1223</definedName>
    <definedName name="val_prt">'Data Validation'!$D$8:$D$384</definedName>
    <definedName name="wl230_4pintu">stock!$D$540</definedName>
    <definedName name="wl230_ra">stock!$D$541</definedName>
    <definedName name="wl26_2pintu">stock!$D$536</definedName>
    <definedName name="wl77_2pintu">stock!$D$537</definedName>
    <definedName name="wl77_ra">stock!$D$538</definedName>
    <definedName name="wl77_rb">stock!$D$539</definedName>
  </definedNames>
  <calcPr calcId="191029"/>
  <pivotCaches>
    <pivotCache cacheId="5" r:id="rId32"/>
    <pivotCache cacheId="20" r:id="rId33"/>
  </pivotCaches>
  <extLst>
    <ext xmlns:x14="http://schemas.microsoft.com/office/spreadsheetml/2009/9/main" uri="{79F54976-1DA5-4618-B147-4CDE4B953A38}">
      <x14:workbookPr defaultImageDpi="15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35" i="81" l="1"/>
  <c r="BR198" i="12" l="1"/>
  <c r="BE198" i="12"/>
  <c r="BD198" i="12"/>
  <c r="AS198" i="12"/>
  <c r="AT198" i="12" s="1"/>
  <c r="AR198" i="12"/>
  <c r="AQ198" i="12"/>
  <c r="AP198" i="12"/>
  <c r="AO198" i="12"/>
  <c r="AN198" i="12"/>
  <c r="AL198" i="12"/>
  <c r="AK198" i="12"/>
  <c r="AI198" i="12"/>
  <c r="AH198" i="12"/>
  <c r="AC198" i="12"/>
  <c r="AB198" i="12"/>
  <c r="AA198" i="12"/>
  <c r="Z198" i="12"/>
  <c r="U198" i="12"/>
  <c r="X198" i="12" s="1"/>
  <c r="Y198" i="12" s="1"/>
  <c r="T198" i="12"/>
  <c r="V198" i="12" s="1"/>
  <c r="W198" i="12" s="1"/>
  <c r="S198" i="12"/>
  <c r="R198" i="12"/>
  <c r="BO198" i="12" s="1"/>
  <c r="P198" i="12"/>
  <c r="G198" i="12"/>
  <c r="F198" i="12"/>
  <c r="D198" i="12"/>
  <c r="B198" i="12"/>
  <c r="AF198" i="12" s="1"/>
  <c r="CA198" i="12" s="1"/>
  <c r="A198" i="12"/>
  <c r="BR197" i="12"/>
  <c r="BE197" i="12"/>
  <c r="BD197" i="12"/>
  <c r="AS197" i="12"/>
  <c r="AR197" i="12"/>
  <c r="AQ197" i="12"/>
  <c r="AP197" i="12"/>
  <c r="AO197" i="12"/>
  <c r="AN197" i="12"/>
  <c r="AL197" i="12"/>
  <c r="AK197" i="12"/>
  <c r="AJ197" i="12"/>
  <c r="AI197" i="12"/>
  <c r="AH197" i="12"/>
  <c r="AE197" i="12"/>
  <c r="BZ197" i="12" s="1"/>
  <c r="AC197" i="12"/>
  <c r="AB197" i="12"/>
  <c r="AA197" i="12"/>
  <c r="Z197" i="12"/>
  <c r="U197" i="12"/>
  <c r="X197" i="12" s="1"/>
  <c r="Y197" i="12" s="1"/>
  <c r="T197" i="12"/>
  <c r="V197" i="12" s="1"/>
  <c r="AW197" i="12" s="1"/>
  <c r="AY197" i="12" s="1"/>
  <c r="S197" i="12"/>
  <c r="R197" i="12"/>
  <c r="Q197" i="12"/>
  <c r="BH197" i="12" s="1"/>
  <c r="J197" i="12"/>
  <c r="G197" i="12"/>
  <c r="F197" i="12"/>
  <c r="CF197" i="12" s="1"/>
  <c r="D197" i="12"/>
  <c r="B197" i="12"/>
  <c r="AG197" i="12" s="1"/>
  <c r="CB197" i="12" s="1"/>
  <c r="A197" i="12"/>
  <c r="CF196" i="12"/>
  <c r="BR196" i="12"/>
  <c r="BO196" i="12"/>
  <c r="BM196" i="12"/>
  <c r="BE196" i="12"/>
  <c r="BD196" i="12"/>
  <c r="BB196" i="12"/>
  <c r="BA196" i="12"/>
  <c r="AY196" i="12"/>
  <c r="BP196" i="12" s="1"/>
  <c r="AU196" i="12"/>
  <c r="AR196" i="12"/>
  <c r="AQ196" i="12"/>
  <c r="AP196" i="12"/>
  <c r="AL196" i="12"/>
  <c r="AK196" i="12"/>
  <c r="AI196" i="12"/>
  <c r="AG196" i="12"/>
  <c r="CB196" i="12" s="1"/>
  <c r="AF196" i="12"/>
  <c r="CA196" i="12" s="1"/>
  <c r="CC196" i="12" s="1"/>
  <c r="Q196" i="12"/>
  <c r="BK196" i="12" s="1"/>
  <c r="L196" i="12"/>
  <c r="BX196" i="12" s="1"/>
  <c r="G196" i="12"/>
  <c r="F196" i="12"/>
  <c r="D196" i="12"/>
  <c r="B196" i="12"/>
  <c r="A196" i="12"/>
  <c r="CF195" i="12"/>
  <c r="BX195" i="12"/>
  <c r="BW195" i="12"/>
  <c r="BT195" i="12"/>
  <c r="BS195" i="12"/>
  <c r="BQ195" i="12"/>
  <c r="BM195" i="12"/>
  <c r="BL195" i="12"/>
  <c r="BK195" i="12"/>
  <c r="BI195" i="12"/>
  <c r="BE195" i="12"/>
  <c r="BD195" i="12"/>
  <c r="BB195" i="12"/>
  <c r="AY195" i="12"/>
  <c r="AR195" i="12"/>
  <c r="AQ195" i="12"/>
  <c r="AP195" i="12"/>
  <c r="AL195" i="12"/>
  <c r="AK195" i="12"/>
  <c r="AI195" i="12"/>
  <c r="F195" i="12"/>
  <c r="B195" i="12"/>
  <c r="AE195" i="12" s="1"/>
  <c r="BZ195" i="12" s="1"/>
  <c r="A195" i="12"/>
  <c r="BR194" i="12"/>
  <c r="BH194" i="12"/>
  <c r="BE194" i="12"/>
  <c r="BT194" i="12" s="1"/>
  <c r="BD194" i="12"/>
  <c r="BS194" i="12" s="1"/>
  <c r="AS194" i="12"/>
  <c r="AU194" i="12" s="1"/>
  <c r="AR194" i="12"/>
  <c r="AQ194" i="12"/>
  <c r="AP194" i="12"/>
  <c r="AO194" i="12"/>
  <c r="AN194" i="12"/>
  <c r="AL194" i="12"/>
  <c r="AK194" i="12"/>
  <c r="AI194" i="12"/>
  <c r="AH194" i="12"/>
  <c r="AC194" i="12"/>
  <c r="AB194" i="12"/>
  <c r="AA194" i="12"/>
  <c r="Z194" i="12"/>
  <c r="U194" i="12"/>
  <c r="X194" i="12" s="1"/>
  <c r="Y194" i="12" s="1"/>
  <c r="T194" i="12"/>
  <c r="V194" i="12" s="1"/>
  <c r="S194" i="12"/>
  <c r="R194" i="12"/>
  <c r="P194" i="12"/>
  <c r="Q194" i="12" s="1"/>
  <c r="G194" i="12"/>
  <c r="F194" i="12"/>
  <c r="D194" i="12"/>
  <c r="B194" i="12"/>
  <c r="A194" i="12"/>
  <c r="BW193" i="12"/>
  <c r="BR193" i="12"/>
  <c r="BE193" i="12"/>
  <c r="BT193" i="12" s="1"/>
  <c r="BD193" i="12"/>
  <c r="AS193" i="12"/>
  <c r="AU193" i="12" s="1"/>
  <c r="AR193" i="12"/>
  <c r="AQ193" i="12"/>
  <c r="AP193" i="12"/>
  <c r="AO193" i="12"/>
  <c r="AN193" i="12"/>
  <c r="AL193" i="12"/>
  <c r="AK193" i="12"/>
  <c r="AJ193" i="12"/>
  <c r="AI193" i="12"/>
  <c r="AH193" i="12"/>
  <c r="AC193" i="12"/>
  <c r="AB193" i="12"/>
  <c r="AA193" i="12"/>
  <c r="Z193" i="12"/>
  <c r="AD193" i="12" s="1"/>
  <c r="X193" i="12"/>
  <c r="Y193" i="12" s="1"/>
  <c r="U193" i="12"/>
  <c r="T193" i="12"/>
  <c r="V193" i="12" s="1"/>
  <c r="S193" i="12"/>
  <c r="R193" i="12"/>
  <c r="Q193" i="12"/>
  <c r="BH193" i="12" s="1"/>
  <c r="L193" i="12"/>
  <c r="J193" i="12"/>
  <c r="J194" i="12" s="1"/>
  <c r="G193" i="12"/>
  <c r="F193" i="12"/>
  <c r="CF193" i="12" s="1"/>
  <c r="D193" i="12"/>
  <c r="B193" i="12"/>
  <c r="AG193" i="12" s="1"/>
  <c r="CB193" i="12" s="1"/>
  <c r="A193" i="12"/>
  <c r="BR192" i="12"/>
  <c r="BO192" i="12"/>
  <c r="BM192" i="12"/>
  <c r="BL192" i="12"/>
  <c r="BK192" i="12"/>
  <c r="BJ192" i="12"/>
  <c r="BI192" i="12"/>
  <c r="BH192" i="12"/>
  <c r="BE192" i="12"/>
  <c r="BD192" i="12"/>
  <c r="BA192" i="12"/>
  <c r="AY192" i="12"/>
  <c r="BP192" i="12" s="1"/>
  <c r="AU192" i="12"/>
  <c r="AR192" i="12"/>
  <c r="AQ192" i="12"/>
  <c r="AP192" i="12"/>
  <c r="AL192" i="12"/>
  <c r="AK192" i="12"/>
  <c r="AI192" i="12"/>
  <c r="AD192" i="12"/>
  <c r="BY192" i="12" s="1"/>
  <c r="Q192" i="12"/>
  <c r="L192" i="12"/>
  <c r="BW192" i="12" s="1"/>
  <c r="G192" i="12"/>
  <c r="F192" i="12"/>
  <c r="CF192" i="12" s="1"/>
  <c r="D192" i="12"/>
  <c r="B192" i="12"/>
  <c r="A192" i="12"/>
  <c r="BX191" i="12"/>
  <c r="BW191" i="12"/>
  <c r="BS191" i="12"/>
  <c r="BQ191" i="12"/>
  <c r="BM191" i="12"/>
  <c r="BL191" i="12"/>
  <c r="BK191" i="12"/>
  <c r="BI191" i="12"/>
  <c r="BE191" i="12"/>
  <c r="BT191" i="12" s="1"/>
  <c r="BD191" i="12"/>
  <c r="AY191" i="12"/>
  <c r="AR191" i="12"/>
  <c r="AQ191" i="12"/>
  <c r="AP191" i="12"/>
  <c r="AL191" i="12"/>
  <c r="AK191" i="12"/>
  <c r="AI191" i="12"/>
  <c r="AD191" i="12"/>
  <c r="BY191" i="12" s="1"/>
  <c r="F191" i="12"/>
  <c r="CF191" i="12" s="1"/>
  <c r="B191" i="12"/>
  <c r="AF191" i="12" s="1"/>
  <c r="CA191" i="12" s="1"/>
  <c r="A191" i="12"/>
  <c r="BR190" i="12"/>
  <c r="BE190" i="12"/>
  <c r="BD190" i="12"/>
  <c r="AS190" i="12"/>
  <c r="AT190" i="12" s="1"/>
  <c r="AR190" i="12"/>
  <c r="AQ190" i="12"/>
  <c r="AP190" i="12"/>
  <c r="AO190" i="12"/>
  <c r="AN190" i="12"/>
  <c r="AL190" i="12"/>
  <c r="AK190" i="12"/>
  <c r="AJ190" i="12"/>
  <c r="AI190" i="12"/>
  <c r="AH190" i="12"/>
  <c r="AC190" i="12"/>
  <c r="AB190" i="12"/>
  <c r="AA190" i="12"/>
  <c r="Z190" i="12"/>
  <c r="U190" i="12"/>
  <c r="X190" i="12" s="1"/>
  <c r="Y190" i="12" s="1"/>
  <c r="T190" i="12"/>
  <c r="V190" i="12" s="1"/>
  <c r="S190" i="12"/>
  <c r="R190" i="12"/>
  <c r="P190" i="12"/>
  <c r="J190" i="12"/>
  <c r="G190" i="12"/>
  <c r="F190" i="12"/>
  <c r="D190" i="12"/>
  <c r="B190" i="12"/>
  <c r="A190" i="12"/>
  <c r="BR189" i="12"/>
  <c r="BO189" i="12"/>
  <c r="BE189" i="12"/>
  <c r="BD189" i="12"/>
  <c r="AS189" i="12"/>
  <c r="AR189" i="12"/>
  <c r="AQ189" i="12"/>
  <c r="AP189" i="12"/>
  <c r="AO189" i="12"/>
  <c r="AN189" i="12"/>
  <c r="AL189" i="12"/>
  <c r="AK189" i="12"/>
  <c r="AJ189" i="12"/>
  <c r="AI189" i="12"/>
  <c r="AH189" i="12"/>
  <c r="AC189" i="12"/>
  <c r="AB189" i="12"/>
  <c r="AA189" i="12"/>
  <c r="Z189" i="12"/>
  <c r="V189" i="12"/>
  <c r="U189" i="12"/>
  <c r="X189" i="12" s="1"/>
  <c r="Y189" i="12" s="1"/>
  <c r="T189" i="12"/>
  <c r="S189" i="12"/>
  <c r="R189" i="12"/>
  <c r="J189" i="12"/>
  <c r="G189" i="12"/>
  <c r="F189" i="12"/>
  <c r="CF189" i="12" s="1"/>
  <c r="D189" i="12"/>
  <c r="B189" i="12"/>
  <c r="AF189" i="12" s="1"/>
  <c r="CA189" i="12" s="1"/>
  <c r="A189" i="12"/>
  <c r="BR188" i="12"/>
  <c r="BO188" i="12"/>
  <c r="BM188" i="12"/>
  <c r="BE188" i="12"/>
  <c r="BD188" i="12"/>
  <c r="BA188" i="12"/>
  <c r="AY188" i="12"/>
  <c r="BP188" i="12" s="1"/>
  <c r="AU188" i="12"/>
  <c r="AR188" i="12"/>
  <c r="AQ188" i="12"/>
  <c r="AP188" i="12"/>
  <c r="AL188" i="12"/>
  <c r="AK188" i="12"/>
  <c r="AI188" i="12"/>
  <c r="Q188" i="12"/>
  <c r="L188" i="12"/>
  <c r="G188" i="12"/>
  <c r="F188" i="12"/>
  <c r="CF188" i="12" s="1"/>
  <c r="D188" i="12"/>
  <c r="B188" i="12"/>
  <c r="BB188" i="12" s="1"/>
  <c r="A188" i="12"/>
  <c r="BX187" i="12"/>
  <c r="BW187" i="12"/>
  <c r="BT187" i="12"/>
  <c r="BQ187" i="12"/>
  <c r="BM187" i="12"/>
  <c r="BL187" i="12"/>
  <c r="BK187" i="12"/>
  <c r="BI187" i="12"/>
  <c r="BE187" i="12"/>
  <c r="BD187" i="12"/>
  <c r="BS187" i="12" s="1"/>
  <c r="AY187" i="12"/>
  <c r="AR187" i="12"/>
  <c r="AQ187" i="12"/>
  <c r="AP187" i="12"/>
  <c r="AL187" i="12"/>
  <c r="AK187" i="12"/>
  <c r="AI187" i="12"/>
  <c r="G187" i="12"/>
  <c r="F187" i="12"/>
  <c r="CF187" i="12" s="1"/>
  <c r="B187" i="12"/>
  <c r="AG187" i="12" s="1"/>
  <c r="CB187" i="12" s="1"/>
  <c r="A187" i="12"/>
  <c r="BR186" i="12"/>
  <c r="BE186" i="12"/>
  <c r="BD186" i="12"/>
  <c r="AS186" i="12"/>
  <c r="AR186" i="12"/>
  <c r="AQ186" i="12"/>
  <c r="AP186" i="12"/>
  <c r="AO186" i="12"/>
  <c r="AN186" i="12"/>
  <c r="AL186" i="12"/>
  <c r="AK186" i="12"/>
  <c r="AJ186" i="12"/>
  <c r="AI186" i="12"/>
  <c r="AH186" i="12"/>
  <c r="AC186" i="12"/>
  <c r="AB186" i="12"/>
  <c r="AA186" i="12"/>
  <c r="Z186" i="12"/>
  <c r="U186" i="12"/>
  <c r="X186" i="12" s="1"/>
  <c r="Y186" i="12" s="1"/>
  <c r="T186" i="12"/>
  <c r="V186" i="12" s="1"/>
  <c r="S186" i="12"/>
  <c r="R186" i="12"/>
  <c r="P186" i="12"/>
  <c r="G186" i="12"/>
  <c r="F186" i="12"/>
  <c r="D186" i="12"/>
  <c r="B186" i="12"/>
  <c r="AG186" i="12" s="1"/>
  <c r="CB186" i="12" s="1"/>
  <c r="A186" i="12"/>
  <c r="BR185" i="12"/>
  <c r="BE185" i="12"/>
  <c r="BD185" i="12"/>
  <c r="AS185" i="12"/>
  <c r="AR185" i="12"/>
  <c r="AQ185" i="12"/>
  <c r="AP185" i="12"/>
  <c r="AO185" i="12"/>
  <c r="AN185" i="12"/>
  <c r="AL185" i="12"/>
  <c r="AK185" i="12"/>
  <c r="AJ185" i="12"/>
  <c r="AI185" i="12"/>
  <c r="AH185" i="12"/>
  <c r="AG185" i="12"/>
  <c r="CB185" i="12" s="1"/>
  <c r="AF185" i="12"/>
  <c r="CA185" i="12" s="1"/>
  <c r="CC185" i="12" s="1"/>
  <c r="AC185" i="12"/>
  <c r="AB185" i="12"/>
  <c r="AA185" i="12"/>
  <c r="Z185" i="12"/>
  <c r="U185" i="12"/>
  <c r="X185" i="12" s="1"/>
  <c r="Y185" i="12" s="1"/>
  <c r="T185" i="12"/>
  <c r="V185" i="12" s="1"/>
  <c r="S185" i="12"/>
  <c r="R185" i="12"/>
  <c r="P185" i="12"/>
  <c r="G185" i="12"/>
  <c r="F185" i="12"/>
  <c r="D185" i="12"/>
  <c r="B185" i="12"/>
  <c r="A185" i="12"/>
  <c r="BR184" i="12"/>
  <c r="BE184" i="12"/>
  <c r="BD184" i="12"/>
  <c r="AS184" i="12"/>
  <c r="AT184" i="12" s="1"/>
  <c r="AR184" i="12"/>
  <c r="AQ184" i="12"/>
  <c r="AP184" i="12"/>
  <c r="AO184" i="12"/>
  <c r="AN184" i="12"/>
  <c r="AL184" i="12"/>
  <c r="AK184" i="12"/>
  <c r="AJ184" i="12"/>
  <c r="AI184" i="12"/>
  <c r="AH184" i="12"/>
  <c r="AC184" i="12"/>
  <c r="AB184" i="12"/>
  <c r="AA184" i="12"/>
  <c r="Z184" i="12"/>
  <c r="V184" i="12"/>
  <c r="U184" i="12"/>
  <c r="X184" i="12" s="1"/>
  <c r="Y184" i="12" s="1"/>
  <c r="T184" i="12"/>
  <c r="S184" i="12"/>
  <c r="R184" i="12"/>
  <c r="P184" i="12"/>
  <c r="Q184" i="12" s="1"/>
  <c r="G184" i="12"/>
  <c r="F184" i="12"/>
  <c r="D184" i="12"/>
  <c r="B184" i="12"/>
  <c r="A184" i="12"/>
  <c r="BR183" i="12"/>
  <c r="BO183" i="12"/>
  <c r="BM183" i="12"/>
  <c r="BH183" i="12"/>
  <c r="BE183" i="12"/>
  <c r="BT183" i="12" s="1"/>
  <c r="BD183" i="12"/>
  <c r="AY183" i="12"/>
  <c r="BP183" i="12" s="1"/>
  <c r="AU183" i="12"/>
  <c r="AR183" i="12"/>
  <c r="AQ183" i="12"/>
  <c r="AP183" i="12"/>
  <c r="AL183" i="12"/>
  <c r="AK183" i="12"/>
  <c r="AI183" i="12"/>
  <c r="Q183" i="12"/>
  <c r="BJ183" i="12" s="1"/>
  <c r="L183" i="12"/>
  <c r="BL183" i="12" s="1"/>
  <c r="G183" i="12"/>
  <c r="F183" i="12"/>
  <c r="CF183" i="12" s="1"/>
  <c r="D183" i="12"/>
  <c r="B183" i="12"/>
  <c r="BB183" i="12" s="1"/>
  <c r="A183" i="12"/>
  <c r="BX182" i="12"/>
  <c r="BW182" i="12"/>
  <c r="BT182" i="12"/>
  <c r="BS182" i="12"/>
  <c r="BQ182" i="12"/>
  <c r="BM182" i="12"/>
  <c r="BL182" i="12"/>
  <c r="BK182" i="12"/>
  <c r="BI182" i="12"/>
  <c r="BE182" i="12"/>
  <c r="BD182" i="12"/>
  <c r="AY182" i="12"/>
  <c r="AR182" i="12"/>
  <c r="AQ182" i="12"/>
  <c r="AP182" i="12"/>
  <c r="AL182" i="12"/>
  <c r="AK182" i="12"/>
  <c r="AI182" i="12"/>
  <c r="AE182" i="12"/>
  <c r="BZ182" i="12" s="1"/>
  <c r="G182" i="12"/>
  <c r="F182" i="12"/>
  <c r="CF182" i="12" s="1"/>
  <c r="B182" i="12"/>
  <c r="AG182" i="12" s="1"/>
  <c r="CB182" i="12" s="1"/>
  <c r="A182" i="12"/>
  <c r="BS181" i="12"/>
  <c r="BR181" i="12"/>
  <c r="BI181" i="12"/>
  <c r="BG181" i="12"/>
  <c r="BV181" i="12" s="1"/>
  <c r="BF181" i="12"/>
  <c r="BU181" i="12" s="1"/>
  <c r="BE181" i="12"/>
  <c r="BD181" i="12"/>
  <c r="AS181" i="12"/>
  <c r="AR181" i="12"/>
  <c r="AQ181" i="12"/>
  <c r="AP181" i="12"/>
  <c r="AO181" i="12"/>
  <c r="AN181" i="12"/>
  <c r="BJ181" i="12" s="1"/>
  <c r="AL181" i="12"/>
  <c r="AK181" i="12"/>
  <c r="AJ181" i="12"/>
  <c r="AI181" i="12"/>
  <c r="AH181" i="12"/>
  <c r="AC181" i="12"/>
  <c r="AB181" i="12"/>
  <c r="AA181" i="12"/>
  <c r="Z181" i="12"/>
  <c r="U181" i="12"/>
  <c r="X181" i="12" s="1"/>
  <c r="Y181" i="12" s="1"/>
  <c r="T181" i="12"/>
  <c r="V181" i="12" s="1"/>
  <c r="S181" i="12"/>
  <c r="R181" i="12"/>
  <c r="Q181" i="12"/>
  <c r="BH181" i="12" s="1"/>
  <c r="G181" i="12"/>
  <c r="F181" i="12"/>
  <c r="D181" i="12"/>
  <c r="B181" i="12"/>
  <c r="AF181" i="12" s="1"/>
  <c r="CA181" i="12" s="1"/>
  <c r="A181" i="12"/>
  <c r="CF180" i="12"/>
  <c r="BR180" i="12"/>
  <c r="BE180" i="12"/>
  <c r="BD180" i="12"/>
  <c r="AS180" i="12"/>
  <c r="AR180" i="12"/>
  <c r="AQ180" i="12"/>
  <c r="AP180" i="12"/>
  <c r="AO180" i="12"/>
  <c r="AN180" i="12"/>
  <c r="AL180" i="12"/>
  <c r="AK180" i="12"/>
  <c r="AJ180" i="12"/>
  <c r="AI180" i="12"/>
  <c r="AH180" i="12"/>
  <c r="AC180" i="12"/>
  <c r="AB180" i="12"/>
  <c r="AA180" i="12"/>
  <c r="Z180" i="12"/>
  <c r="U180" i="12"/>
  <c r="X180" i="12" s="1"/>
  <c r="Y180" i="12" s="1"/>
  <c r="T180" i="12"/>
  <c r="V180" i="12" s="1"/>
  <c r="S180" i="12"/>
  <c r="R180" i="12"/>
  <c r="BO180" i="12" s="1"/>
  <c r="Q180" i="12"/>
  <c r="BI180" i="12" s="1"/>
  <c r="G180" i="12"/>
  <c r="F180" i="12"/>
  <c r="D180" i="12"/>
  <c r="B180" i="12"/>
  <c r="A180" i="12"/>
  <c r="BR179" i="12"/>
  <c r="BE179" i="12"/>
  <c r="BD179" i="12"/>
  <c r="AU179" i="12"/>
  <c r="AT179" i="12"/>
  <c r="AS179" i="12"/>
  <c r="AR179" i="12"/>
  <c r="AQ179" i="12"/>
  <c r="AP179" i="12"/>
  <c r="AO179" i="12"/>
  <c r="AN179" i="12"/>
  <c r="AL179" i="12"/>
  <c r="AK179" i="12"/>
  <c r="AJ179" i="12"/>
  <c r="AI179" i="12"/>
  <c r="AH179" i="12"/>
  <c r="AG179" i="12"/>
  <c r="CB179" i="12" s="1"/>
  <c r="AC179" i="12"/>
  <c r="AB179" i="12"/>
  <c r="AA179" i="12"/>
  <c r="Z179" i="12"/>
  <c r="V179" i="12"/>
  <c r="W179" i="12" s="1"/>
  <c r="U179" i="12"/>
  <c r="X179" i="12" s="1"/>
  <c r="S179" i="12"/>
  <c r="R179" i="12"/>
  <c r="BO179" i="12" s="1"/>
  <c r="Q179" i="12"/>
  <c r="L179" i="12"/>
  <c r="BQ179" i="12" s="1"/>
  <c r="G179" i="12"/>
  <c r="F179" i="12"/>
  <c r="D179" i="12"/>
  <c r="B179" i="12"/>
  <c r="AD179" i="12" s="1"/>
  <c r="BY179" i="12" s="1"/>
  <c r="A179" i="12"/>
  <c r="BR178" i="12"/>
  <c r="BE178" i="12"/>
  <c r="BD178" i="12"/>
  <c r="AT178" i="12"/>
  <c r="AS178" i="12"/>
  <c r="AR178" i="12"/>
  <c r="AQ178" i="12"/>
  <c r="AP178" i="12"/>
  <c r="AO178" i="12"/>
  <c r="BI178" i="12" s="1"/>
  <c r="AN178" i="12"/>
  <c r="AL178" i="12"/>
  <c r="AK178" i="12"/>
  <c r="AJ178" i="12"/>
  <c r="AI178" i="12"/>
  <c r="AH178" i="12"/>
  <c r="AD178" i="12"/>
  <c r="BY178" i="12" s="1"/>
  <c r="AC178" i="12"/>
  <c r="AB178" i="12"/>
  <c r="AA178" i="12"/>
  <c r="Z178" i="12"/>
  <c r="U178" i="12"/>
  <c r="X178" i="12" s="1"/>
  <c r="Y178" i="12" s="1"/>
  <c r="T178" i="12"/>
  <c r="V178" i="12" s="1"/>
  <c r="W178" i="12" s="1"/>
  <c r="N178" i="12" s="1"/>
  <c r="S178" i="12"/>
  <c r="R178" i="12"/>
  <c r="BO178" i="12" s="1"/>
  <c r="Q178" i="12"/>
  <c r="BH178" i="12" s="1"/>
  <c r="L178" i="12"/>
  <c r="G178" i="12"/>
  <c r="F178" i="12"/>
  <c r="D178" i="12"/>
  <c r="B178" i="12"/>
  <c r="AG178" i="12" s="1"/>
  <c r="CB178" i="12" s="1"/>
  <c r="A178" i="12"/>
  <c r="BR177" i="12"/>
  <c r="BE177" i="12"/>
  <c r="BD177" i="12"/>
  <c r="BS177" i="12" s="1"/>
  <c r="AS177" i="12"/>
  <c r="AR177" i="12"/>
  <c r="AQ177" i="12"/>
  <c r="AP177" i="12"/>
  <c r="AO177" i="12"/>
  <c r="AN177" i="12"/>
  <c r="AL177" i="12"/>
  <c r="AK177" i="12"/>
  <c r="AJ177" i="12"/>
  <c r="AI177" i="12"/>
  <c r="AH177" i="12"/>
  <c r="AF177" i="12"/>
  <c r="CA177" i="12" s="1"/>
  <c r="AC177" i="12"/>
  <c r="AB177" i="12"/>
  <c r="AA177" i="12"/>
  <c r="Z177" i="12"/>
  <c r="U177" i="12"/>
  <c r="X177" i="12" s="1"/>
  <c r="T177" i="12"/>
  <c r="V177" i="12" s="1"/>
  <c r="W177" i="12" s="1"/>
  <c r="S177" i="12"/>
  <c r="R177" i="12"/>
  <c r="Q177" i="12"/>
  <c r="BH177" i="12" s="1"/>
  <c r="L177" i="12"/>
  <c r="G177" i="12"/>
  <c r="F177" i="12"/>
  <c r="D177" i="12"/>
  <c r="B177" i="12"/>
  <c r="AG177" i="12" s="1"/>
  <c r="CB177" i="12" s="1"/>
  <c r="A177" i="12"/>
  <c r="BR176" i="12"/>
  <c r="BE176" i="12"/>
  <c r="BD176" i="12"/>
  <c r="AS176" i="12"/>
  <c r="AR176" i="12"/>
  <c r="AQ176" i="12"/>
  <c r="AP176" i="12"/>
  <c r="AO176" i="12"/>
  <c r="AN176" i="12"/>
  <c r="AL176" i="12"/>
  <c r="AK176" i="12"/>
  <c r="AJ176" i="12"/>
  <c r="AI176" i="12"/>
  <c r="AH176" i="12"/>
  <c r="AC176" i="12"/>
  <c r="AB176" i="12"/>
  <c r="AA176" i="12"/>
  <c r="Z176" i="12"/>
  <c r="U176" i="12"/>
  <c r="X176" i="12" s="1"/>
  <c r="Y176" i="12" s="1"/>
  <c r="T176" i="12"/>
  <c r="V176" i="12" s="1"/>
  <c r="S176" i="12"/>
  <c r="R176" i="12"/>
  <c r="Q176" i="12"/>
  <c r="BS176" i="12" s="1"/>
  <c r="P176" i="12"/>
  <c r="J176" i="12"/>
  <c r="G176" i="12"/>
  <c r="F176" i="12"/>
  <c r="D176" i="12"/>
  <c r="B176" i="12"/>
  <c r="AG176" i="12" s="1"/>
  <c r="CB176" i="12" s="1"/>
  <c r="A176" i="12"/>
  <c r="BR175" i="12"/>
  <c r="BE175" i="12"/>
  <c r="BT175" i="12" s="1"/>
  <c r="BD175" i="12"/>
  <c r="AS175" i="12"/>
  <c r="AU175" i="12" s="1"/>
  <c r="AR175" i="12"/>
  <c r="AQ175" i="12"/>
  <c r="AP175" i="12"/>
  <c r="AO175" i="12"/>
  <c r="AN175" i="12"/>
  <c r="AL175" i="12"/>
  <c r="AK175" i="12"/>
  <c r="AJ175" i="12"/>
  <c r="AI175" i="12"/>
  <c r="AH175" i="12"/>
  <c r="AC175" i="12"/>
  <c r="AB175" i="12"/>
  <c r="AA175" i="12"/>
  <c r="Z175" i="12"/>
  <c r="U175" i="12"/>
  <c r="X175" i="12" s="1"/>
  <c r="Y175" i="12" s="1"/>
  <c r="T175" i="12"/>
  <c r="V175" i="12" s="1"/>
  <c r="S175" i="12"/>
  <c r="BO175" i="12" s="1"/>
  <c r="R175" i="12"/>
  <c r="P175" i="12"/>
  <c r="Q175" i="12" s="1"/>
  <c r="L175" i="12"/>
  <c r="J175" i="12"/>
  <c r="G175" i="12"/>
  <c r="F175" i="12"/>
  <c r="D175" i="12"/>
  <c r="B175" i="12"/>
  <c r="AD175" i="12" s="1"/>
  <c r="BY175" i="12" s="1"/>
  <c r="A175" i="12"/>
  <c r="BR174" i="12"/>
  <c r="AU174" i="12" s="1"/>
  <c r="BO174" i="12"/>
  <c r="BE174" i="12"/>
  <c r="BD174" i="12"/>
  <c r="AT174" i="12"/>
  <c r="AS174" i="12"/>
  <c r="AR174" i="12"/>
  <c r="AQ174" i="12"/>
  <c r="AP174" i="12"/>
  <c r="AO174" i="12"/>
  <c r="BI174" i="12" s="1"/>
  <c r="AN174" i="12"/>
  <c r="BJ174" i="12" s="1"/>
  <c r="AL174" i="12"/>
  <c r="AK174" i="12"/>
  <c r="AJ174" i="12"/>
  <c r="AI174" i="12"/>
  <c r="AH174" i="12"/>
  <c r="AC174" i="12"/>
  <c r="AB174" i="12"/>
  <c r="AA174" i="12"/>
  <c r="Z174" i="12"/>
  <c r="V174" i="12"/>
  <c r="U174" i="12"/>
  <c r="X174" i="12" s="1"/>
  <c r="Y174" i="12" s="1"/>
  <c r="T174" i="12"/>
  <c r="S174" i="12"/>
  <c r="R174" i="12"/>
  <c r="Q174" i="12"/>
  <c r="BH174" i="12" s="1"/>
  <c r="L174" i="12"/>
  <c r="G174" i="12"/>
  <c r="F174" i="12"/>
  <c r="D174" i="12"/>
  <c r="B174" i="12"/>
  <c r="AG174" i="12" s="1"/>
  <c r="CB174" i="12" s="1"/>
  <c r="A174" i="12"/>
  <c r="BR173" i="12"/>
  <c r="BE173" i="12"/>
  <c r="BD173" i="12"/>
  <c r="AS173" i="12"/>
  <c r="AT173" i="12" s="1"/>
  <c r="AR173" i="12"/>
  <c r="AQ173" i="12"/>
  <c r="AP173" i="12"/>
  <c r="AO173" i="12"/>
  <c r="BI173" i="12" s="1"/>
  <c r="AN173" i="12"/>
  <c r="BJ173" i="12" s="1"/>
  <c r="AL173" i="12"/>
  <c r="AK173" i="12"/>
  <c r="AJ173" i="12"/>
  <c r="AI173" i="12"/>
  <c r="AH173" i="12"/>
  <c r="AC173" i="12"/>
  <c r="AB173" i="12"/>
  <c r="AA173" i="12"/>
  <c r="Z173" i="12"/>
  <c r="W173" i="12"/>
  <c r="V173" i="12"/>
  <c r="U173" i="12"/>
  <c r="X173" i="12" s="1"/>
  <c r="T173" i="12"/>
  <c r="S173" i="12"/>
  <c r="R173" i="12"/>
  <c r="P173" i="12"/>
  <c r="Q173" i="12" s="1"/>
  <c r="L173" i="12"/>
  <c r="G173" i="12"/>
  <c r="F173" i="12"/>
  <c r="D173" i="12"/>
  <c r="B173" i="12"/>
  <c r="AF173" i="12" s="1"/>
  <c r="CA173" i="12" s="1"/>
  <c r="A173" i="12"/>
  <c r="BS172" i="12"/>
  <c r="BR172" i="12"/>
  <c r="BF172" i="12"/>
  <c r="BU172" i="12" s="1"/>
  <c r="BE172" i="12"/>
  <c r="BT172" i="12" s="1"/>
  <c r="BD172" i="12"/>
  <c r="AS172" i="12"/>
  <c r="AT172" i="12" s="1"/>
  <c r="AR172" i="12"/>
  <c r="AQ172" i="12"/>
  <c r="AP172" i="12"/>
  <c r="AO172" i="12"/>
  <c r="BI172" i="12" s="1"/>
  <c r="AN172" i="12"/>
  <c r="AL172" i="12"/>
  <c r="AK172" i="12"/>
  <c r="AJ172" i="12"/>
  <c r="AI172" i="12"/>
  <c r="AH172" i="12"/>
  <c r="AC172" i="12"/>
  <c r="AB172" i="12"/>
  <c r="AA172" i="12"/>
  <c r="Z172" i="12"/>
  <c r="U172" i="12"/>
  <c r="X172" i="12" s="1"/>
  <c r="Y172" i="12" s="1"/>
  <c r="T172" i="12"/>
  <c r="V172" i="12" s="1"/>
  <c r="S172" i="12"/>
  <c r="R172" i="12"/>
  <c r="P172" i="12"/>
  <c r="Q172" i="12" s="1"/>
  <c r="BH172" i="12" s="1"/>
  <c r="L172" i="12"/>
  <c r="L181" i="12" s="1"/>
  <c r="G172" i="12"/>
  <c r="F172" i="12"/>
  <c r="D172" i="12"/>
  <c r="B172" i="12"/>
  <c r="A172" i="12"/>
  <c r="BR171" i="12"/>
  <c r="BE171" i="12"/>
  <c r="BD171" i="12"/>
  <c r="AS171" i="12"/>
  <c r="AR171" i="12"/>
  <c r="AQ171" i="12"/>
  <c r="AP171" i="12"/>
  <c r="AO171" i="12"/>
  <c r="AN171" i="12"/>
  <c r="AL171" i="12"/>
  <c r="AK171" i="12"/>
  <c r="AJ171" i="12"/>
  <c r="AI171" i="12"/>
  <c r="AH171" i="12"/>
  <c r="AE171" i="12"/>
  <c r="BZ171" i="12" s="1"/>
  <c r="AD171" i="12"/>
  <c r="BY171" i="12" s="1"/>
  <c r="AC171" i="12"/>
  <c r="AG171" i="12" s="1"/>
  <c r="CB171" i="12" s="1"/>
  <c r="AB171" i="12"/>
  <c r="AA171" i="12"/>
  <c r="Z171" i="12"/>
  <c r="U171" i="12"/>
  <c r="X171" i="12" s="1"/>
  <c r="Y171" i="12" s="1"/>
  <c r="T171" i="12"/>
  <c r="V171" i="12" s="1"/>
  <c r="W171" i="12" s="1"/>
  <c r="S171" i="12"/>
  <c r="R171" i="12"/>
  <c r="P171" i="12"/>
  <c r="Q171" i="12" s="1"/>
  <c r="L171" i="12"/>
  <c r="J171" i="12"/>
  <c r="G171" i="12"/>
  <c r="F171" i="12"/>
  <c r="D171" i="12"/>
  <c r="B171" i="12"/>
  <c r="A171" i="12"/>
  <c r="BW170" i="12"/>
  <c r="BR170" i="12"/>
  <c r="BN170" i="12"/>
  <c r="BK170" i="12"/>
  <c r="BI170" i="12"/>
  <c r="BE170" i="12"/>
  <c r="BD170" i="12"/>
  <c r="BS170" i="12" s="1"/>
  <c r="AS170" i="12"/>
  <c r="AU170" i="12" s="1"/>
  <c r="AR170" i="12"/>
  <c r="AQ170" i="12"/>
  <c r="AP170" i="12"/>
  <c r="AO170" i="12"/>
  <c r="AN170" i="12"/>
  <c r="BJ170" i="12" s="1"/>
  <c r="AL170" i="12"/>
  <c r="AK170" i="12"/>
  <c r="AJ170" i="12"/>
  <c r="AI170" i="12"/>
  <c r="AH170" i="12"/>
  <c r="AC170" i="12"/>
  <c r="AB170" i="12"/>
  <c r="AA170" i="12"/>
  <c r="Z170" i="12"/>
  <c r="V170" i="12"/>
  <c r="U170" i="12"/>
  <c r="X170" i="12" s="1"/>
  <c r="Y170" i="12" s="1"/>
  <c r="T170" i="12"/>
  <c r="S170" i="12"/>
  <c r="BO170" i="12" s="1"/>
  <c r="R170" i="12"/>
  <c r="P170" i="12"/>
  <c r="Q170" i="12" s="1"/>
  <c r="L170" i="12"/>
  <c r="J170" i="12"/>
  <c r="G170" i="12"/>
  <c r="F170" i="12"/>
  <c r="D170" i="12"/>
  <c r="B170" i="12"/>
  <c r="A170" i="12"/>
  <c r="BX169" i="12"/>
  <c r="BW169" i="12"/>
  <c r="BR169" i="12"/>
  <c r="BQ169" i="12"/>
  <c r="BO169" i="12"/>
  <c r="BM169" i="12"/>
  <c r="BL169" i="12"/>
  <c r="BK169" i="12"/>
  <c r="BJ169" i="12"/>
  <c r="BI169" i="12"/>
  <c r="BH169" i="12"/>
  <c r="BE169" i="12"/>
  <c r="BT169" i="12" s="1"/>
  <c r="BD169" i="12"/>
  <c r="BS169" i="12" s="1"/>
  <c r="BA169" i="12"/>
  <c r="AY169" i="12"/>
  <c r="BP169" i="12" s="1"/>
  <c r="AU169" i="12"/>
  <c r="AR169" i="12"/>
  <c r="AQ169" i="12"/>
  <c r="AP169" i="12"/>
  <c r="AL169" i="12"/>
  <c r="AK169" i="12"/>
  <c r="AI169" i="12"/>
  <c r="O169" i="12"/>
  <c r="G169" i="12"/>
  <c r="F169" i="12"/>
  <c r="CF169" i="12" s="1"/>
  <c r="D169" i="12"/>
  <c r="B169" i="12"/>
  <c r="A169" i="12"/>
  <c r="BX168" i="12"/>
  <c r="BW168" i="12"/>
  <c r="BT168" i="12"/>
  <c r="BS168" i="12"/>
  <c r="BQ168" i="12"/>
  <c r="BM168" i="12"/>
  <c r="BL168" i="12"/>
  <c r="BK168" i="12"/>
  <c r="BI168" i="12"/>
  <c r="BE168" i="12"/>
  <c r="BD168" i="12"/>
  <c r="BA168" i="12"/>
  <c r="AY168" i="12"/>
  <c r="AU168" i="12"/>
  <c r="AR168" i="12"/>
  <c r="AQ168" i="12"/>
  <c r="AP168" i="12"/>
  <c r="AL168" i="12"/>
  <c r="AK168" i="12"/>
  <c r="AI168" i="12"/>
  <c r="G168" i="12"/>
  <c r="F168" i="12"/>
  <c r="CF168" i="12" s="1"/>
  <c r="D168" i="12"/>
  <c r="B168" i="12"/>
  <c r="AG168" i="12" s="1"/>
  <c r="CB168" i="12" s="1"/>
  <c r="A168" i="12"/>
  <c r="BR167" i="12"/>
  <c r="BE167" i="12"/>
  <c r="BD167" i="12"/>
  <c r="AS167" i="12"/>
  <c r="AR167" i="12"/>
  <c r="AQ167" i="12"/>
  <c r="AP167" i="12"/>
  <c r="AO167" i="12"/>
  <c r="AN167" i="12"/>
  <c r="AL167" i="12"/>
  <c r="AK167" i="12"/>
  <c r="AJ167" i="12"/>
  <c r="AI167" i="12"/>
  <c r="AH167" i="12"/>
  <c r="AC167" i="12"/>
  <c r="AB167" i="12"/>
  <c r="AA167" i="12"/>
  <c r="Z167" i="12"/>
  <c r="U167" i="12"/>
  <c r="X167" i="12" s="1"/>
  <c r="Y167" i="12" s="1"/>
  <c r="T167" i="12"/>
  <c r="V167" i="12" s="1"/>
  <c r="S167" i="12"/>
  <c r="R167" i="12"/>
  <c r="P167" i="12"/>
  <c r="G167" i="12"/>
  <c r="F167" i="12"/>
  <c r="D167" i="12"/>
  <c r="B167" i="12"/>
  <c r="AG167" i="12" s="1"/>
  <c r="CB167" i="12" s="1"/>
  <c r="A167" i="12"/>
  <c r="BR166" i="12"/>
  <c r="BE166" i="12"/>
  <c r="BD166" i="12"/>
  <c r="AT166" i="12"/>
  <c r="AS166" i="12"/>
  <c r="AR166" i="12"/>
  <c r="AQ166" i="12"/>
  <c r="AP166" i="12"/>
  <c r="AO166" i="12"/>
  <c r="AN166" i="12"/>
  <c r="AL166" i="12"/>
  <c r="AK166" i="12"/>
  <c r="AJ166" i="12"/>
  <c r="AI166" i="12"/>
  <c r="AH166" i="12"/>
  <c r="AC166" i="12"/>
  <c r="AB166" i="12"/>
  <c r="AA166" i="12"/>
  <c r="Z166" i="12"/>
  <c r="U166" i="12"/>
  <c r="X166" i="12" s="1"/>
  <c r="Y166" i="12" s="1"/>
  <c r="T166" i="12"/>
  <c r="V166" i="12" s="1"/>
  <c r="W166" i="12" s="1"/>
  <c r="S166" i="12"/>
  <c r="R166" i="12"/>
  <c r="P166" i="12"/>
  <c r="G166" i="12"/>
  <c r="F166" i="12"/>
  <c r="D166" i="12"/>
  <c r="B166" i="12"/>
  <c r="A166" i="12"/>
  <c r="BR165" i="12"/>
  <c r="BE165" i="12"/>
  <c r="BD165" i="12"/>
  <c r="AS165" i="12"/>
  <c r="AR165" i="12"/>
  <c r="AQ165" i="12"/>
  <c r="AP165" i="12"/>
  <c r="AO165" i="12"/>
  <c r="AN165" i="12"/>
  <c r="AL165" i="12"/>
  <c r="AK165" i="12"/>
  <c r="AJ165" i="12"/>
  <c r="AI165" i="12"/>
  <c r="AH165" i="12"/>
  <c r="AC165" i="12"/>
  <c r="AB165" i="12"/>
  <c r="AA165" i="12"/>
  <c r="Z165" i="12"/>
  <c r="W165" i="12"/>
  <c r="U165" i="12"/>
  <c r="X165" i="12" s="1"/>
  <c r="T165" i="12"/>
  <c r="V165" i="12" s="1"/>
  <c r="S165" i="12"/>
  <c r="R165" i="12"/>
  <c r="BO165" i="12" s="1"/>
  <c r="P165" i="12"/>
  <c r="J165" i="12"/>
  <c r="G165" i="12"/>
  <c r="F165" i="12"/>
  <c r="D165" i="12"/>
  <c r="B165" i="12"/>
  <c r="A165" i="12"/>
  <c r="BZ164" i="12"/>
  <c r="BR164" i="12"/>
  <c r="BO164" i="12"/>
  <c r="BM164" i="12"/>
  <c r="BE164" i="12"/>
  <c r="BD164" i="12"/>
  <c r="AY164" i="12"/>
  <c r="BP164" i="12" s="1"/>
  <c r="AU164" i="12"/>
  <c r="AR164" i="12"/>
  <c r="AQ164" i="12"/>
  <c r="AP164" i="12"/>
  <c r="AL164" i="12"/>
  <c r="AK164" i="12"/>
  <c r="AI164" i="12"/>
  <c r="AE164" i="12"/>
  <c r="G164" i="12"/>
  <c r="F164" i="12"/>
  <c r="CF164" i="12" s="1"/>
  <c r="D164" i="12"/>
  <c r="B164" i="12"/>
  <c r="BB164" i="12" s="1"/>
  <c r="A164" i="12"/>
  <c r="BX163" i="12"/>
  <c r="BW163" i="12"/>
  <c r="BQ163" i="12"/>
  <c r="BM163" i="12"/>
  <c r="BL163" i="12"/>
  <c r="BK163" i="12"/>
  <c r="BI163" i="12"/>
  <c r="BE163" i="12"/>
  <c r="BT163" i="12" s="1"/>
  <c r="BD163" i="12"/>
  <c r="BS163" i="12" s="1"/>
  <c r="BA163" i="12"/>
  <c r="AY163" i="12"/>
  <c r="AU163" i="12"/>
  <c r="AR163" i="12"/>
  <c r="AQ163" i="12"/>
  <c r="AP163" i="12"/>
  <c r="AL163" i="12"/>
  <c r="AK163" i="12"/>
  <c r="AI163" i="12"/>
  <c r="G163" i="12"/>
  <c r="F163" i="12"/>
  <c r="CF163" i="12" s="1"/>
  <c r="D163" i="12"/>
  <c r="B163" i="12"/>
  <c r="A163" i="12"/>
  <c r="BR162" i="12"/>
  <c r="BE162" i="12"/>
  <c r="BD162" i="12"/>
  <c r="AS162" i="12"/>
  <c r="AR162" i="12"/>
  <c r="AQ162" i="12"/>
  <c r="AP162" i="12"/>
  <c r="AO162" i="12"/>
  <c r="AN162" i="12"/>
  <c r="AL162" i="12"/>
  <c r="AK162" i="12"/>
  <c r="AJ162" i="12"/>
  <c r="AI162" i="12"/>
  <c r="AH162" i="12"/>
  <c r="AC162" i="12"/>
  <c r="AB162" i="12"/>
  <c r="AA162" i="12"/>
  <c r="Z162" i="12"/>
  <c r="V162" i="12"/>
  <c r="W162" i="12" s="1"/>
  <c r="U162" i="12"/>
  <c r="X162" i="12" s="1"/>
  <c r="Y162" i="12" s="1"/>
  <c r="T162" i="12"/>
  <c r="S162" i="12"/>
  <c r="R162" i="12"/>
  <c r="P162" i="12"/>
  <c r="Q162" i="12" s="1"/>
  <c r="G162" i="12"/>
  <c r="F162" i="12"/>
  <c r="D162" i="12"/>
  <c r="B162" i="12"/>
  <c r="A162" i="12"/>
  <c r="CF161" i="12"/>
  <c r="BU161" i="12"/>
  <c r="BR161" i="12"/>
  <c r="BG161" i="12"/>
  <c r="BV161" i="12" s="1"/>
  <c r="BF161" i="12"/>
  <c r="BE161" i="12"/>
  <c r="BT161" i="12" s="1"/>
  <c r="BD161" i="12"/>
  <c r="BS161" i="12" s="1"/>
  <c r="AS161" i="12"/>
  <c r="AR161" i="12"/>
  <c r="AQ161" i="12"/>
  <c r="AP161" i="12"/>
  <c r="AO161" i="12"/>
  <c r="AN161" i="12"/>
  <c r="AL161" i="12"/>
  <c r="AK161" i="12"/>
  <c r="AJ161" i="12"/>
  <c r="AI161" i="12"/>
  <c r="AH161" i="12"/>
  <c r="AC161" i="12"/>
  <c r="AB161" i="12"/>
  <c r="AA161" i="12"/>
  <c r="Z161" i="12"/>
  <c r="U161" i="12"/>
  <c r="X161" i="12" s="1"/>
  <c r="Y161" i="12" s="1"/>
  <c r="T161" i="12"/>
  <c r="V161" i="12" s="1"/>
  <c r="S161" i="12"/>
  <c r="R161" i="12"/>
  <c r="G161" i="12"/>
  <c r="F161" i="12"/>
  <c r="D161" i="12"/>
  <c r="B161" i="12"/>
  <c r="AF161" i="12" s="1"/>
  <c r="CA161" i="12" s="1"/>
  <c r="A161" i="12"/>
  <c r="BR160" i="12"/>
  <c r="BO160" i="12"/>
  <c r="BM160" i="12"/>
  <c r="BJ160" i="12"/>
  <c r="BH160" i="12"/>
  <c r="BE160" i="12"/>
  <c r="BD160" i="12"/>
  <c r="AY160" i="12"/>
  <c r="BP160" i="12" s="1"/>
  <c r="AU160" i="12"/>
  <c r="AR160" i="12"/>
  <c r="AQ160" i="12"/>
  <c r="AP160" i="12"/>
  <c r="AL160" i="12"/>
  <c r="AK160" i="12"/>
  <c r="AI160" i="12"/>
  <c r="Q160" i="12"/>
  <c r="Q161" i="12" s="1"/>
  <c r="J160" i="12"/>
  <c r="L165" i="12" s="1"/>
  <c r="G160" i="12"/>
  <c r="F160" i="12"/>
  <c r="CF160" i="12" s="1"/>
  <c r="D160" i="12"/>
  <c r="B160" i="12"/>
  <c r="A160" i="12"/>
  <c r="BX159" i="12"/>
  <c r="BW159" i="12"/>
  <c r="BQ159" i="12"/>
  <c r="BM159" i="12"/>
  <c r="BL159" i="12"/>
  <c r="BK159" i="12"/>
  <c r="BI159" i="12"/>
  <c r="BE159" i="12"/>
  <c r="BT159" i="12" s="1"/>
  <c r="BD159" i="12"/>
  <c r="BS159" i="12" s="1"/>
  <c r="AY159" i="12"/>
  <c r="AR159" i="12"/>
  <c r="AQ159" i="12"/>
  <c r="AP159" i="12"/>
  <c r="AL159" i="12"/>
  <c r="AK159" i="12"/>
  <c r="AI159" i="12"/>
  <c r="F159" i="12"/>
  <c r="CF159" i="12" s="1"/>
  <c r="B159" i="12"/>
  <c r="A159" i="12"/>
  <c r="BR158" i="12"/>
  <c r="BE158" i="12"/>
  <c r="BD158" i="12"/>
  <c r="AS158" i="12"/>
  <c r="AT158" i="12" s="1"/>
  <c r="AR158" i="12"/>
  <c r="AQ158" i="12"/>
  <c r="AP158" i="12"/>
  <c r="AO158" i="12"/>
  <c r="AN158" i="12"/>
  <c r="AL158" i="12"/>
  <c r="AK158" i="12"/>
  <c r="AJ158" i="12"/>
  <c r="AI158" i="12"/>
  <c r="AH158" i="12"/>
  <c r="AC158" i="12"/>
  <c r="AB158" i="12"/>
  <c r="AA158" i="12"/>
  <c r="Z158" i="12"/>
  <c r="AD158" i="12" s="1"/>
  <c r="V158" i="12"/>
  <c r="W158" i="12" s="1"/>
  <c r="U158" i="12"/>
  <c r="X158" i="12" s="1"/>
  <c r="Y158" i="12" s="1"/>
  <c r="T158" i="12"/>
  <c r="S158" i="12"/>
  <c r="R158" i="12"/>
  <c r="P158" i="12"/>
  <c r="G158" i="12"/>
  <c r="F158" i="12"/>
  <c r="D158" i="12"/>
  <c r="B158" i="12"/>
  <c r="AF158" i="12" s="1"/>
  <c r="CA158" i="12" s="1"/>
  <c r="A158" i="12"/>
  <c r="BR157" i="12"/>
  <c r="BE157" i="12"/>
  <c r="BD157" i="12"/>
  <c r="AS157" i="12"/>
  <c r="AR157" i="12"/>
  <c r="AQ157" i="12"/>
  <c r="AP157" i="12"/>
  <c r="AO157" i="12"/>
  <c r="AN157" i="12"/>
  <c r="AL157" i="12"/>
  <c r="AK157" i="12"/>
  <c r="AJ157" i="12"/>
  <c r="AI157" i="12"/>
  <c r="AH157" i="12"/>
  <c r="AG157" i="12"/>
  <c r="CB157" i="12" s="1"/>
  <c r="AF157" i="12"/>
  <c r="CA157" i="12" s="1"/>
  <c r="AC157" i="12"/>
  <c r="AB157" i="12"/>
  <c r="AA157" i="12"/>
  <c r="AE157" i="12" s="1"/>
  <c r="BZ157" i="12" s="1"/>
  <c r="Z157" i="12"/>
  <c r="AD157" i="12" s="1"/>
  <c r="U157" i="12"/>
  <c r="X157" i="12" s="1"/>
  <c r="Y157" i="12" s="1"/>
  <c r="T157" i="12"/>
  <c r="V157" i="12" s="1"/>
  <c r="S157" i="12"/>
  <c r="R157" i="12"/>
  <c r="P157" i="12"/>
  <c r="G157" i="12"/>
  <c r="F157" i="12"/>
  <c r="D157" i="12"/>
  <c r="B157" i="12"/>
  <c r="A157" i="12"/>
  <c r="BR156" i="12"/>
  <c r="BE156" i="12"/>
  <c r="BD156" i="12"/>
  <c r="AW156" i="12"/>
  <c r="AY156" i="12" s="1"/>
  <c r="AS156" i="12"/>
  <c r="AT156" i="12" s="1"/>
  <c r="AR156" i="12"/>
  <c r="AQ156" i="12"/>
  <c r="AP156" i="12"/>
  <c r="AO156" i="12"/>
  <c r="AN156" i="12"/>
  <c r="AL156" i="12"/>
  <c r="AK156" i="12"/>
  <c r="AJ156" i="12"/>
  <c r="AI156" i="12"/>
  <c r="AH156" i="12"/>
  <c r="AC156" i="12"/>
  <c r="AG156" i="12" s="1"/>
  <c r="CB156" i="12" s="1"/>
  <c r="AB156" i="12"/>
  <c r="AA156" i="12"/>
  <c r="Z156" i="12"/>
  <c r="U156" i="12"/>
  <c r="X156" i="12" s="1"/>
  <c r="Y156" i="12" s="1"/>
  <c r="T156" i="12"/>
  <c r="V156" i="12" s="1"/>
  <c r="W156" i="12" s="1"/>
  <c r="S156" i="12"/>
  <c r="N156" i="12" s="1"/>
  <c r="R156" i="12"/>
  <c r="P156" i="12"/>
  <c r="L156" i="12"/>
  <c r="J156" i="12"/>
  <c r="L155" i="12" s="1"/>
  <c r="G156" i="12"/>
  <c r="F156" i="12"/>
  <c r="D156" i="12"/>
  <c r="B156" i="12"/>
  <c r="A156" i="12"/>
  <c r="BR155" i="12"/>
  <c r="BO155" i="12"/>
  <c r="BM155" i="12"/>
  <c r="BE155" i="12"/>
  <c r="BD155" i="12"/>
  <c r="AY155" i="12"/>
  <c r="BP155" i="12" s="1"/>
  <c r="AU155" i="12"/>
  <c r="AR155" i="12"/>
  <c r="AQ155" i="12"/>
  <c r="AP155" i="12"/>
  <c r="AL155" i="12"/>
  <c r="AK155" i="12"/>
  <c r="AI155" i="12"/>
  <c r="N155" i="12"/>
  <c r="G155" i="12"/>
  <c r="F155" i="12"/>
  <c r="CF155" i="12" s="1"/>
  <c r="D155" i="12"/>
  <c r="B155" i="12"/>
  <c r="BB155" i="12" s="1"/>
  <c r="A155" i="12"/>
  <c r="BY154" i="12"/>
  <c r="BX154" i="12"/>
  <c r="BW154" i="12"/>
  <c r="BQ154" i="12"/>
  <c r="BM154" i="12"/>
  <c r="BL154" i="12"/>
  <c r="BK154" i="12"/>
  <c r="BI154" i="12"/>
  <c r="BE154" i="12"/>
  <c r="BT154" i="12" s="1"/>
  <c r="BD154" i="12"/>
  <c r="BS154" i="12" s="1"/>
  <c r="BB154" i="12"/>
  <c r="BA154" i="12"/>
  <c r="AY154" i="12"/>
  <c r="AU154" i="12"/>
  <c r="AR154" i="12"/>
  <c r="AQ154" i="12"/>
  <c r="AP154" i="12"/>
  <c r="AL154" i="12"/>
  <c r="AK154" i="12"/>
  <c r="AI154" i="12"/>
  <c r="AG154" i="12"/>
  <c r="CB154" i="12" s="1"/>
  <c r="AF154" i="12"/>
  <c r="CA154" i="12" s="1"/>
  <c r="AE154" i="12"/>
  <c r="BZ154" i="12" s="1"/>
  <c r="G154" i="12"/>
  <c r="F154" i="12"/>
  <c r="CF154" i="12" s="1"/>
  <c r="D154" i="12"/>
  <c r="B154" i="12"/>
  <c r="AD154" i="12" s="1"/>
  <c r="A154" i="12"/>
  <c r="BR153" i="12"/>
  <c r="BE153" i="12"/>
  <c r="BT153" i="12" s="1"/>
  <c r="BD153" i="12"/>
  <c r="AS153" i="12"/>
  <c r="AT153" i="12" s="1"/>
  <c r="AR153" i="12"/>
  <c r="AQ153" i="12"/>
  <c r="AP153" i="12"/>
  <c r="AO153" i="12"/>
  <c r="AN153" i="12"/>
  <c r="AL153" i="12"/>
  <c r="AK153" i="12"/>
  <c r="AJ153" i="12"/>
  <c r="AI153" i="12"/>
  <c r="AH153" i="12"/>
  <c r="AE153" i="12"/>
  <c r="BZ153" i="12" s="1"/>
  <c r="AC153" i="12"/>
  <c r="AB153" i="12"/>
  <c r="AA153" i="12"/>
  <c r="Z153" i="12"/>
  <c r="U153" i="12"/>
  <c r="X153" i="12" s="1"/>
  <c r="Y153" i="12" s="1"/>
  <c r="T153" i="12"/>
  <c r="V153" i="12" s="1"/>
  <c r="S153" i="12"/>
  <c r="R153" i="12"/>
  <c r="P153" i="12"/>
  <c r="Q153" i="12" s="1"/>
  <c r="J153" i="12"/>
  <c r="G153" i="12"/>
  <c r="F153" i="12"/>
  <c r="D153" i="12"/>
  <c r="B153" i="12"/>
  <c r="AG153" i="12" s="1"/>
  <c r="CB153" i="12" s="1"/>
  <c r="A153" i="12"/>
  <c r="BR152" i="12"/>
  <c r="BE152" i="12"/>
  <c r="BD152" i="12"/>
  <c r="AS152" i="12"/>
  <c r="AR152" i="12"/>
  <c r="AQ152" i="12"/>
  <c r="AP152" i="12"/>
  <c r="AO152" i="12"/>
  <c r="AN152" i="12"/>
  <c r="AL152" i="12"/>
  <c r="AK152" i="12"/>
  <c r="AJ152" i="12"/>
  <c r="AI152" i="12"/>
  <c r="AH152" i="12"/>
  <c r="AF152" i="12"/>
  <c r="CA152" i="12" s="1"/>
  <c r="AC152" i="12"/>
  <c r="AB152" i="12"/>
  <c r="AA152" i="12"/>
  <c r="Z152" i="12"/>
  <c r="U152" i="12"/>
  <c r="X152" i="12" s="1"/>
  <c r="Y152" i="12" s="1"/>
  <c r="T152" i="12"/>
  <c r="V152" i="12" s="1"/>
  <c r="S152" i="12"/>
  <c r="R152" i="12"/>
  <c r="J152" i="12"/>
  <c r="G152" i="12"/>
  <c r="F152" i="12"/>
  <c r="CF152" i="12" s="1"/>
  <c r="D152" i="12"/>
  <c r="B152" i="12"/>
  <c r="AG152" i="12" s="1"/>
  <c r="CB152" i="12" s="1"/>
  <c r="A152" i="12"/>
  <c r="CF151" i="12"/>
  <c r="BR151" i="12"/>
  <c r="BO151" i="12"/>
  <c r="BM151" i="12"/>
  <c r="BE151" i="12"/>
  <c r="BD151" i="12"/>
  <c r="BS151" i="12" s="1"/>
  <c r="BB151" i="12"/>
  <c r="BA151" i="12"/>
  <c r="AY151" i="12"/>
  <c r="BP151" i="12" s="1"/>
  <c r="AU151" i="12"/>
  <c r="AR151" i="12"/>
  <c r="AQ151" i="12"/>
  <c r="AP151" i="12"/>
  <c r="AL151" i="12"/>
  <c r="AK151" i="12"/>
  <c r="AI151" i="12"/>
  <c r="AG151" i="12"/>
  <c r="CB151" i="12" s="1"/>
  <c r="Q151" i="12"/>
  <c r="L151" i="12"/>
  <c r="L152" i="12" s="1"/>
  <c r="G151" i="12"/>
  <c r="F151" i="12"/>
  <c r="D151" i="12"/>
  <c r="B151" i="12"/>
  <c r="A151" i="12"/>
  <c r="BX150" i="12"/>
  <c r="BW150" i="12"/>
  <c r="BT150" i="12"/>
  <c r="BS150" i="12"/>
  <c r="BQ150" i="12"/>
  <c r="BM150" i="12"/>
  <c r="BL150" i="12"/>
  <c r="BK150" i="12"/>
  <c r="BI150" i="12"/>
  <c r="BE150" i="12"/>
  <c r="BD150" i="12"/>
  <c r="BA150" i="12"/>
  <c r="AY150" i="12"/>
  <c r="AU150" i="12"/>
  <c r="AR150" i="12"/>
  <c r="AQ150" i="12"/>
  <c r="AP150" i="12"/>
  <c r="AL150" i="12"/>
  <c r="AK150" i="12"/>
  <c r="AI150" i="12"/>
  <c r="G150" i="12"/>
  <c r="F150" i="12"/>
  <c r="CF150" i="12" s="1"/>
  <c r="D150" i="12"/>
  <c r="B150" i="12"/>
  <c r="AG150" i="12" s="1"/>
  <c r="CB150" i="12" s="1"/>
  <c r="A150" i="12"/>
  <c r="BR149" i="12"/>
  <c r="BE149" i="12"/>
  <c r="BD149" i="12"/>
  <c r="AT149" i="12"/>
  <c r="AS149" i="12"/>
  <c r="AR149" i="12"/>
  <c r="AQ149" i="12"/>
  <c r="AP149" i="12"/>
  <c r="AO149" i="12"/>
  <c r="BI149" i="12" s="1"/>
  <c r="AN149" i="12"/>
  <c r="BJ149" i="12" s="1"/>
  <c r="AL149" i="12"/>
  <c r="AK149" i="12"/>
  <c r="AJ149" i="12"/>
  <c r="AI149" i="12"/>
  <c r="AH149" i="12"/>
  <c r="AC149" i="12"/>
  <c r="AG149" i="12" s="1"/>
  <c r="CB149" i="12" s="1"/>
  <c r="AB149" i="12"/>
  <c r="AA149" i="12"/>
  <c r="Z149" i="12"/>
  <c r="U149" i="12"/>
  <c r="X149" i="12" s="1"/>
  <c r="Y149" i="12" s="1"/>
  <c r="T149" i="12"/>
  <c r="V149" i="12" s="1"/>
  <c r="S149" i="12"/>
  <c r="R149" i="12"/>
  <c r="BO149" i="12" s="1"/>
  <c r="Q149" i="12"/>
  <c r="BF149" i="12" s="1"/>
  <c r="BU149" i="12" s="1"/>
  <c r="P149" i="12"/>
  <c r="L149" i="12"/>
  <c r="J149" i="12"/>
  <c r="G149" i="12"/>
  <c r="F149" i="12"/>
  <c r="D149" i="12"/>
  <c r="B149" i="12"/>
  <c r="A149" i="12"/>
  <c r="CA148" i="12"/>
  <c r="BR148" i="12"/>
  <c r="BE148" i="12"/>
  <c r="BD148" i="12"/>
  <c r="AS148" i="12"/>
  <c r="AR148" i="12"/>
  <c r="AQ148" i="12"/>
  <c r="AP148" i="12"/>
  <c r="AO148" i="12"/>
  <c r="AN148" i="12"/>
  <c r="AL148" i="12"/>
  <c r="AK148" i="12"/>
  <c r="AJ148" i="12"/>
  <c r="AI148" i="12"/>
  <c r="AH148" i="12"/>
  <c r="AC148" i="12"/>
  <c r="AB148" i="12"/>
  <c r="AF148" i="12" s="1"/>
  <c r="AA148" i="12"/>
  <c r="AE148" i="12" s="1"/>
  <c r="BZ148" i="12" s="1"/>
  <c r="Z148" i="12"/>
  <c r="U148" i="12"/>
  <c r="X148" i="12" s="1"/>
  <c r="Y148" i="12" s="1"/>
  <c r="T148" i="12"/>
  <c r="V148" i="12" s="1"/>
  <c r="S148" i="12"/>
  <c r="R148" i="12"/>
  <c r="P148" i="12"/>
  <c r="Q148" i="12" s="1"/>
  <c r="BG148" i="12" s="1"/>
  <c r="BV148" i="12" s="1"/>
  <c r="G148" i="12"/>
  <c r="F148" i="12"/>
  <c r="D148" i="12"/>
  <c r="B148" i="12"/>
  <c r="AD148" i="12" s="1"/>
  <c r="BY148" i="12" s="1"/>
  <c r="A148" i="12"/>
  <c r="BR147" i="12"/>
  <c r="BF147" i="12"/>
  <c r="BU147" i="12" s="1"/>
  <c r="BE147" i="12"/>
  <c r="BT147" i="12" s="1"/>
  <c r="BD147" i="12"/>
  <c r="AS147" i="12"/>
  <c r="AR147" i="12"/>
  <c r="AQ147" i="12"/>
  <c r="AP147" i="12"/>
  <c r="AO147" i="12"/>
  <c r="AN147" i="12"/>
  <c r="AL147" i="12"/>
  <c r="AK147" i="12"/>
  <c r="AJ147" i="12"/>
  <c r="AI147" i="12"/>
  <c r="AH147" i="12"/>
  <c r="AF147" i="12"/>
  <c r="CA147" i="12" s="1"/>
  <c r="AE147" i="12"/>
  <c r="BZ147" i="12" s="1"/>
  <c r="AC147" i="12"/>
  <c r="AB147" i="12"/>
  <c r="AA147" i="12"/>
  <c r="Z147" i="12"/>
  <c r="AD147" i="12" s="1"/>
  <c r="BY147" i="12" s="1"/>
  <c r="CD147" i="12" s="1"/>
  <c r="U147" i="12"/>
  <c r="X147" i="12" s="1"/>
  <c r="Y147" i="12" s="1"/>
  <c r="T147" i="12"/>
  <c r="V147" i="12" s="1"/>
  <c r="S147" i="12"/>
  <c r="R147" i="12"/>
  <c r="Q147" i="12"/>
  <c r="BG147" i="12" s="1"/>
  <c r="BV147" i="12" s="1"/>
  <c r="P147" i="12"/>
  <c r="L147" i="12"/>
  <c r="G147" i="12"/>
  <c r="F147" i="12"/>
  <c r="D147" i="12"/>
  <c r="B147" i="12"/>
  <c r="A147" i="12"/>
  <c r="BR146" i="12"/>
  <c r="BE146" i="12"/>
  <c r="BD146" i="12"/>
  <c r="AT146" i="12"/>
  <c r="AS146" i="12"/>
  <c r="AR146" i="12"/>
  <c r="AQ146" i="12"/>
  <c r="AP146" i="12"/>
  <c r="AO146" i="12"/>
  <c r="AN146" i="12"/>
  <c r="AL146" i="12"/>
  <c r="AK146" i="12"/>
  <c r="AJ146" i="12"/>
  <c r="AI146" i="12"/>
  <c r="AH146" i="12"/>
  <c r="AD146" i="12"/>
  <c r="BY146" i="12" s="1"/>
  <c r="AC146" i="12"/>
  <c r="AG146" i="12" s="1"/>
  <c r="CB146" i="12" s="1"/>
  <c r="AB146" i="12"/>
  <c r="AA146" i="12"/>
  <c r="AE146" i="12" s="1"/>
  <c r="BZ146" i="12" s="1"/>
  <c r="Z146" i="12"/>
  <c r="U146" i="12"/>
  <c r="X146" i="12" s="1"/>
  <c r="Y146" i="12" s="1"/>
  <c r="T146" i="12"/>
  <c r="V146" i="12" s="1"/>
  <c r="S146" i="12"/>
  <c r="R146" i="12"/>
  <c r="BO146" i="12" s="1"/>
  <c r="P146" i="12"/>
  <c r="Q146" i="12" s="1"/>
  <c r="L146" i="12"/>
  <c r="J146" i="12"/>
  <c r="G146" i="12"/>
  <c r="F146" i="12"/>
  <c r="D146" i="12"/>
  <c r="B146" i="12"/>
  <c r="A146" i="12"/>
  <c r="BR145" i="12"/>
  <c r="BE145" i="12"/>
  <c r="BT145" i="12" s="1"/>
  <c r="BD145" i="12"/>
  <c r="AS145" i="12"/>
  <c r="AR145" i="12"/>
  <c r="AQ145" i="12"/>
  <c r="AP145" i="12"/>
  <c r="AO145" i="12"/>
  <c r="AN145" i="12"/>
  <c r="AL145" i="12"/>
  <c r="AK145" i="12"/>
  <c r="AJ145" i="12"/>
  <c r="AI145" i="12"/>
  <c r="AH145" i="12"/>
  <c r="AC145" i="12"/>
  <c r="AB145" i="12"/>
  <c r="AA145" i="12"/>
  <c r="Z145" i="12"/>
  <c r="U145" i="12"/>
  <c r="X145" i="12" s="1"/>
  <c r="Y145" i="12" s="1"/>
  <c r="T145" i="12"/>
  <c r="V145" i="12" s="1"/>
  <c r="S145" i="12"/>
  <c r="R145" i="12"/>
  <c r="P145" i="12"/>
  <c r="Q145" i="12" s="1"/>
  <c r="L145" i="12"/>
  <c r="J145" i="12"/>
  <c r="G145" i="12"/>
  <c r="F145" i="12"/>
  <c r="D145" i="12"/>
  <c r="B145" i="12"/>
  <c r="A145" i="12"/>
  <c r="CF144" i="12"/>
  <c r="BX144" i="12"/>
  <c r="BW144" i="12"/>
  <c r="BR144" i="12"/>
  <c r="BQ144" i="12"/>
  <c r="BO144" i="12"/>
  <c r="BM144" i="12"/>
  <c r="BL144" i="12"/>
  <c r="BK144" i="12"/>
  <c r="BJ144" i="12"/>
  <c r="BI144" i="12"/>
  <c r="BH144" i="12"/>
  <c r="BE144" i="12"/>
  <c r="BT144" i="12" s="1"/>
  <c r="BD144" i="12"/>
  <c r="BS144" i="12" s="1"/>
  <c r="BA144" i="12"/>
  <c r="AY144" i="12"/>
  <c r="BP144" i="12" s="1"/>
  <c r="AU144" i="12"/>
  <c r="AR144" i="12"/>
  <c r="AQ144" i="12"/>
  <c r="AP144" i="12"/>
  <c r="AL144" i="12"/>
  <c r="AK144" i="12"/>
  <c r="AI144" i="12"/>
  <c r="AG144" i="12"/>
  <c r="CB144" i="12" s="1"/>
  <c r="O144" i="12"/>
  <c r="G144" i="12"/>
  <c r="F144" i="12"/>
  <c r="D144" i="12"/>
  <c r="B144" i="12"/>
  <c r="AF144" i="12" s="1"/>
  <c r="CA144" i="12" s="1"/>
  <c r="A144" i="12"/>
  <c r="L121" i="12"/>
  <c r="BL121" i="12" s="1"/>
  <c r="L120" i="12"/>
  <c r="L142" i="12"/>
  <c r="BL142" i="12" s="1"/>
  <c r="J142" i="12"/>
  <c r="BR142" i="12"/>
  <c r="BE142" i="12"/>
  <c r="BT142" i="12" s="1"/>
  <c r="BD142" i="12"/>
  <c r="AS142" i="12"/>
  <c r="AR142" i="12"/>
  <c r="AQ142" i="12"/>
  <c r="AP142" i="12"/>
  <c r="AO142" i="12"/>
  <c r="AN142" i="12"/>
  <c r="AL142" i="12"/>
  <c r="AK142" i="12"/>
  <c r="AJ142" i="12"/>
  <c r="AI142" i="12"/>
  <c r="AH142" i="12"/>
  <c r="AC142" i="12"/>
  <c r="AB142" i="12"/>
  <c r="AA142" i="12"/>
  <c r="T142" i="12"/>
  <c r="S142" i="12"/>
  <c r="Q142" i="12"/>
  <c r="BH142" i="12" s="1"/>
  <c r="G142" i="12"/>
  <c r="F142" i="12"/>
  <c r="CF142" i="12" s="1"/>
  <c r="D142" i="12"/>
  <c r="B142" i="12"/>
  <c r="AG142" i="12" s="1"/>
  <c r="CB142" i="12" s="1"/>
  <c r="A142" i="12"/>
  <c r="J140" i="12"/>
  <c r="BR140" i="12"/>
  <c r="BE140" i="12"/>
  <c r="BD140" i="12"/>
  <c r="AS140" i="12"/>
  <c r="AR140" i="12"/>
  <c r="AQ140" i="12"/>
  <c r="AO140" i="12"/>
  <c r="AN140" i="12"/>
  <c r="BJ140" i="12" s="1"/>
  <c r="AL140" i="12"/>
  <c r="AK140" i="12"/>
  <c r="AJ140" i="12"/>
  <c r="AI140" i="12"/>
  <c r="AH140" i="12"/>
  <c r="AC140" i="12"/>
  <c r="AB140" i="12"/>
  <c r="AA140" i="12"/>
  <c r="T140" i="12"/>
  <c r="S140" i="12"/>
  <c r="Q140" i="12"/>
  <c r="BL140" i="12" s="1"/>
  <c r="G140" i="12"/>
  <c r="F140" i="12"/>
  <c r="CF140" i="12" s="1"/>
  <c r="D140" i="12"/>
  <c r="B140" i="12"/>
  <c r="A140" i="12"/>
  <c r="BR138" i="12"/>
  <c r="BE138" i="12"/>
  <c r="BD138" i="12"/>
  <c r="AS138" i="12"/>
  <c r="AR138" i="12"/>
  <c r="AQ138" i="12"/>
  <c r="AP138" i="12"/>
  <c r="AO138" i="12"/>
  <c r="AN138" i="12"/>
  <c r="AL138" i="12"/>
  <c r="AK138" i="12"/>
  <c r="AJ138" i="12"/>
  <c r="AI138" i="12"/>
  <c r="AH138" i="12"/>
  <c r="AC138" i="12"/>
  <c r="AB138" i="12"/>
  <c r="AA138" i="12"/>
  <c r="Z138" i="12"/>
  <c r="T138" i="12"/>
  <c r="S138" i="12"/>
  <c r="Q138" i="12"/>
  <c r="BL138" i="12" s="1"/>
  <c r="G138" i="12"/>
  <c r="F138" i="12"/>
  <c r="CF138" i="12" s="1"/>
  <c r="D138" i="12"/>
  <c r="B138" i="12"/>
  <c r="AG138" i="12" s="1"/>
  <c r="CB138" i="12" s="1"/>
  <c r="A138" i="12"/>
  <c r="L136" i="12"/>
  <c r="J136" i="12"/>
  <c r="BR136" i="12"/>
  <c r="BE136" i="12"/>
  <c r="BD136" i="12"/>
  <c r="AS136" i="12"/>
  <c r="AR136" i="12"/>
  <c r="AQ136" i="12"/>
  <c r="AP136" i="12"/>
  <c r="AO136" i="12"/>
  <c r="AN136" i="12"/>
  <c r="AL136" i="12"/>
  <c r="AK136" i="12"/>
  <c r="AJ136" i="12"/>
  <c r="AI136" i="12"/>
  <c r="AH136" i="12"/>
  <c r="AC136" i="12"/>
  <c r="AB136" i="12"/>
  <c r="AA136" i="12"/>
  <c r="U136" i="12"/>
  <c r="T136" i="12"/>
  <c r="V136" i="12" s="1"/>
  <c r="Q136" i="12"/>
  <c r="BH136" i="12" s="1"/>
  <c r="G136" i="12"/>
  <c r="F136" i="12"/>
  <c r="D136" i="12"/>
  <c r="B136" i="12"/>
  <c r="A136" i="12"/>
  <c r="J133" i="12"/>
  <c r="BR133" i="12"/>
  <c r="BE133" i="12"/>
  <c r="BT133" i="12" s="1"/>
  <c r="BD133" i="12"/>
  <c r="AS133" i="12"/>
  <c r="AU133" i="12" s="1"/>
  <c r="AR133" i="12"/>
  <c r="AQ133" i="12"/>
  <c r="AP133" i="12"/>
  <c r="AO133" i="12"/>
  <c r="BI133" i="12" s="1"/>
  <c r="AN133" i="12"/>
  <c r="AL133" i="12"/>
  <c r="AK133" i="12"/>
  <c r="AJ133" i="12"/>
  <c r="AI133" i="12"/>
  <c r="AH133" i="12"/>
  <c r="AC133" i="12"/>
  <c r="AB133" i="12"/>
  <c r="AA133" i="12"/>
  <c r="Z133" i="12"/>
  <c r="T133" i="12"/>
  <c r="S133" i="12"/>
  <c r="Q133" i="12"/>
  <c r="BL133" i="12" s="1"/>
  <c r="G133" i="12"/>
  <c r="F133" i="12"/>
  <c r="CF133" i="12" s="1"/>
  <c r="D133" i="12"/>
  <c r="B133" i="12"/>
  <c r="A133" i="12"/>
  <c r="BR132" i="12"/>
  <c r="BE132" i="12"/>
  <c r="BD132" i="12"/>
  <c r="AS132" i="12"/>
  <c r="AR132" i="12"/>
  <c r="AQ132" i="12"/>
  <c r="AP132" i="12"/>
  <c r="AO132" i="12"/>
  <c r="AN132" i="12"/>
  <c r="AL132" i="12"/>
  <c r="AK132" i="12"/>
  <c r="AJ132" i="12"/>
  <c r="AI132" i="12"/>
  <c r="AH132" i="12"/>
  <c r="AC132" i="12"/>
  <c r="AB132" i="12"/>
  <c r="AA132" i="12"/>
  <c r="Z132" i="12"/>
  <c r="T132" i="12"/>
  <c r="S132" i="12"/>
  <c r="Q132" i="12"/>
  <c r="BL132" i="12" s="1"/>
  <c r="G132" i="12"/>
  <c r="F132" i="12"/>
  <c r="CF132" i="12" s="1"/>
  <c r="D132" i="12"/>
  <c r="B132" i="12"/>
  <c r="AG132" i="12" s="1"/>
  <c r="CB132" i="12" s="1"/>
  <c r="A132" i="12"/>
  <c r="BR131" i="12"/>
  <c r="BE131" i="12"/>
  <c r="BD131" i="12"/>
  <c r="AS131" i="12"/>
  <c r="AR131" i="12"/>
  <c r="AQ131" i="12"/>
  <c r="AP131" i="12"/>
  <c r="AO131" i="12"/>
  <c r="AN131" i="12"/>
  <c r="AL131" i="12"/>
  <c r="AK131" i="12"/>
  <c r="AJ131" i="12"/>
  <c r="AI131" i="12"/>
  <c r="AH131" i="12"/>
  <c r="AC131" i="12"/>
  <c r="AB131" i="12"/>
  <c r="AA131" i="12"/>
  <c r="Z131" i="12"/>
  <c r="U131" i="12"/>
  <c r="X131" i="12" s="1"/>
  <c r="T131" i="12"/>
  <c r="S131" i="12"/>
  <c r="Q131" i="12"/>
  <c r="BL131" i="12" s="1"/>
  <c r="G131" i="12"/>
  <c r="F131" i="12"/>
  <c r="CF131" i="12" s="1"/>
  <c r="D131" i="12"/>
  <c r="B131" i="12"/>
  <c r="AG131" i="12" s="1"/>
  <c r="CB131" i="12" s="1"/>
  <c r="A131" i="12"/>
  <c r="J128" i="12"/>
  <c r="L128" i="12"/>
  <c r="L127" i="12"/>
  <c r="J127" i="12"/>
  <c r="BR128" i="12"/>
  <c r="BE128" i="12"/>
  <c r="BD128" i="12"/>
  <c r="BS128" i="12" s="1"/>
  <c r="AS128" i="12"/>
  <c r="AR128" i="12"/>
  <c r="AQ128" i="12"/>
  <c r="AP128" i="12"/>
  <c r="AO128" i="12"/>
  <c r="BI128" i="12" s="1"/>
  <c r="AN128" i="12"/>
  <c r="AL128" i="12"/>
  <c r="AK128" i="12"/>
  <c r="AJ128" i="12"/>
  <c r="AI128" i="12"/>
  <c r="AH128" i="12"/>
  <c r="AC128" i="12"/>
  <c r="AB128" i="12"/>
  <c r="AA128" i="12"/>
  <c r="Z128" i="12"/>
  <c r="U128" i="12"/>
  <c r="T128" i="12"/>
  <c r="S128" i="12"/>
  <c r="Q128" i="12"/>
  <c r="BH128" i="12" s="1"/>
  <c r="BL128" i="12"/>
  <c r="G128" i="12"/>
  <c r="F128" i="12"/>
  <c r="CF128" i="12" s="1"/>
  <c r="D128" i="12"/>
  <c r="B128" i="12"/>
  <c r="A128" i="12"/>
  <c r="BR127" i="12"/>
  <c r="BE127" i="12"/>
  <c r="BD127" i="12"/>
  <c r="AS127" i="12"/>
  <c r="AR127" i="12"/>
  <c r="AQ127" i="12"/>
  <c r="AP127" i="12"/>
  <c r="AO127" i="12"/>
  <c r="AN127" i="12"/>
  <c r="AL127" i="12"/>
  <c r="AK127" i="12"/>
  <c r="AJ127" i="12"/>
  <c r="AI127" i="12"/>
  <c r="AH127" i="12"/>
  <c r="AC127" i="12"/>
  <c r="AB127" i="12"/>
  <c r="AA127" i="12"/>
  <c r="Z127" i="12"/>
  <c r="U127" i="12"/>
  <c r="T127" i="12"/>
  <c r="S127" i="12"/>
  <c r="Q127" i="12"/>
  <c r="BF127" i="12" s="1"/>
  <c r="BU127" i="12" s="1"/>
  <c r="G127" i="12"/>
  <c r="F127" i="12"/>
  <c r="CF127" i="12" s="1"/>
  <c r="D127" i="12"/>
  <c r="B127" i="12"/>
  <c r="A127" i="12"/>
  <c r="J124" i="12"/>
  <c r="A124" i="12"/>
  <c r="B124" i="12"/>
  <c r="D124" i="12"/>
  <c r="F124" i="12"/>
  <c r="G124" i="12"/>
  <c r="L124" i="12"/>
  <c r="Q124" i="12"/>
  <c r="BF124" i="12" s="1"/>
  <c r="BU124" i="12" s="1"/>
  <c r="T124" i="12"/>
  <c r="V124" i="12" s="1"/>
  <c r="U124" i="12"/>
  <c r="AA124" i="12"/>
  <c r="AB124" i="12"/>
  <c r="AC124" i="12"/>
  <c r="AH124" i="12"/>
  <c r="AI124" i="12"/>
  <c r="AJ124" i="12"/>
  <c r="AK124" i="12"/>
  <c r="AL124" i="12"/>
  <c r="AN124" i="12"/>
  <c r="AO124" i="12"/>
  <c r="BI124" i="12" s="1"/>
  <c r="AP124" i="12"/>
  <c r="AQ124" i="12"/>
  <c r="AR124" i="12"/>
  <c r="AS124" i="12"/>
  <c r="BD124" i="12"/>
  <c r="BE124" i="12"/>
  <c r="BR124" i="12"/>
  <c r="J123" i="12"/>
  <c r="L123" i="12"/>
  <c r="BL123" i="12" s="1"/>
  <c r="BR123" i="12"/>
  <c r="BE123" i="12"/>
  <c r="BT123" i="12" s="1"/>
  <c r="BD123" i="12"/>
  <c r="BS123" i="12" s="1"/>
  <c r="AS123" i="12"/>
  <c r="AR123" i="12"/>
  <c r="AQ123" i="12"/>
  <c r="AP123" i="12"/>
  <c r="AO123" i="12"/>
  <c r="AN123" i="12"/>
  <c r="BJ123" i="12" s="1"/>
  <c r="AL123" i="12"/>
  <c r="AK123" i="12"/>
  <c r="AJ123" i="12"/>
  <c r="AI123" i="12"/>
  <c r="AH123" i="12"/>
  <c r="AC123" i="12"/>
  <c r="AB123" i="12"/>
  <c r="AA123" i="12"/>
  <c r="U123" i="12"/>
  <c r="T123" i="12"/>
  <c r="V123" i="12" s="1"/>
  <c r="Q123" i="12"/>
  <c r="BH123" i="12" s="1"/>
  <c r="G123" i="12"/>
  <c r="F123" i="12"/>
  <c r="D123" i="12"/>
  <c r="B123" i="12"/>
  <c r="A123" i="12"/>
  <c r="J121" i="12"/>
  <c r="BQ121" i="12" s="1"/>
  <c r="A121" i="12"/>
  <c r="B121" i="12"/>
  <c r="D121" i="12"/>
  <c r="F121" i="12"/>
  <c r="G121" i="12"/>
  <c r="Q121" i="12"/>
  <c r="BH121" i="12" s="1"/>
  <c r="S121" i="12"/>
  <c r="T121" i="12"/>
  <c r="AA121" i="12"/>
  <c r="AB121" i="12"/>
  <c r="AC121" i="12"/>
  <c r="AG121" i="12" s="1"/>
  <c r="CB121" i="12" s="1"/>
  <c r="AH121" i="12"/>
  <c r="AI121" i="12"/>
  <c r="AJ121" i="12"/>
  <c r="AK121" i="12"/>
  <c r="AL121" i="12"/>
  <c r="AN121" i="12"/>
  <c r="AO121" i="12"/>
  <c r="BI121" i="12" s="1"/>
  <c r="AP121" i="12"/>
  <c r="AQ121" i="12"/>
  <c r="AR121" i="12"/>
  <c r="AS121" i="12"/>
  <c r="BD121" i="12"/>
  <c r="BS121" i="12" s="1"/>
  <c r="BE121" i="12"/>
  <c r="BT121" i="12" s="1"/>
  <c r="BF121" i="12"/>
  <c r="BU121" i="12" s="1"/>
  <c r="BG121" i="12"/>
  <c r="BV121" i="12" s="1"/>
  <c r="BJ121" i="12"/>
  <c r="BR121" i="12"/>
  <c r="CF121" i="12"/>
  <c r="J120" i="12"/>
  <c r="BR120" i="12"/>
  <c r="BE120" i="12"/>
  <c r="BT120" i="12" s="1"/>
  <c r="BD120" i="12"/>
  <c r="AS120" i="12"/>
  <c r="AR120" i="12"/>
  <c r="AQ120" i="12"/>
  <c r="AP120" i="12"/>
  <c r="AO120" i="12"/>
  <c r="AN120" i="12"/>
  <c r="AL120" i="12"/>
  <c r="AK120" i="12"/>
  <c r="AJ120" i="12"/>
  <c r="AI120" i="12"/>
  <c r="AH120" i="12"/>
  <c r="AC120" i="12"/>
  <c r="AB120" i="12"/>
  <c r="AA120" i="12"/>
  <c r="T120" i="12"/>
  <c r="S120" i="12"/>
  <c r="Q120" i="12"/>
  <c r="G120" i="12"/>
  <c r="F120" i="12"/>
  <c r="CF120" i="12" s="1"/>
  <c r="D120" i="12"/>
  <c r="B120" i="12"/>
  <c r="A120" i="12"/>
  <c r="J118" i="12"/>
  <c r="BN118" i="12" s="1"/>
  <c r="A118" i="12"/>
  <c r="B118" i="12"/>
  <c r="D118" i="12"/>
  <c r="F118" i="12"/>
  <c r="CF118" i="12" s="1"/>
  <c r="G118" i="12"/>
  <c r="Q118" i="12"/>
  <c r="BF118" i="12" s="1"/>
  <c r="BU118" i="12" s="1"/>
  <c r="S118" i="12"/>
  <c r="T118" i="12"/>
  <c r="AA118" i="12"/>
  <c r="AB118" i="12"/>
  <c r="AC118" i="12"/>
  <c r="AE118" i="12"/>
  <c r="BZ118" i="12" s="1"/>
  <c r="AH118" i="12"/>
  <c r="AI118" i="12"/>
  <c r="AJ118" i="12"/>
  <c r="AK118" i="12"/>
  <c r="AL118" i="12"/>
  <c r="AN118" i="12"/>
  <c r="AO118" i="12"/>
  <c r="AQ118" i="12"/>
  <c r="AR118" i="12"/>
  <c r="AS118" i="12"/>
  <c r="AU118" i="12"/>
  <c r="BD118" i="12"/>
  <c r="BS118" i="12" s="1"/>
  <c r="BE118" i="12"/>
  <c r="BT118" i="12" s="1"/>
  <c r="BG118" i="12"/>
  <c r="BV118" i="12" s="1"/>
  <c r="BI118" i="12"/>
  <c r="BJ118" i="12"/>
  <c r="BL118" i="12"/>
  <c r="BR118" i="12"/>
  <c r="AQ117" i="12"/>
  <c r="J117" i="12"/>
  <c r="BR117" i="12"/>
  <c r="BE117" i="12"/>
  <c r="BD117" i="12"/>
  <c r="BS117" i="12" s="1"/>
  <c r="AS117" i="12"/>
  <c r="AR117" i="12"/>
  <c r="AO117" i="12"/>
  <c r="AN117" i="12"/>
  <c r="AL117" i="12"/>
  <c r="AK117" i="12"/>
  <c r="AJ117" i="12"/>
  <c r="AI117" i="12"/>
  <c r="AH117" i="12"/>
  <c r="AC117" i="12"/>
  <c r="AB117" i="12"/>
  <c r="AA117" i="12"/>
  <c r="T117" i="12"/>
  <c r="S117" i="12"/>
  <c r="Q117" i="12"/>
  <c r="BL117" i="12" s="1"/>
  <c r="G117" i="12"/>
  <c r="F117" i="12"/>
  <c r="CF117" i="12" s="1"/>
  <c r="D117" i="12"/>
  <c r="B117" i="12"/>
  <c r="A117" i="12"/>
  <c r="A106" i="12"/>
  <c r="B106" i="12"/>
  <c r="AF106" i="12" s="1"/>
  <c r="CA106" i="12" s="1"/>
  <c r="CC106" i="12" s="1"/>
  <c r="D106" i="12"/>
  <c r="F106" i="12"/>
  <c r="CF106" i="12" s="1"/>
  <c r="G106" i="12"/>
  <c r="Q106" i="12"/>
  <c r="BI106" i="12" s="1"/>
  <c r="S106" i="12"/>
  <c r="T106" i="12"/>
  <c r="Z106" i="12"/>
  <c r="AA106" i="12"/>
  <c r="AB106" i="12"/>
  <c r="AC106" i="12"/>
  <c r="AG106" i="12"/>
  <c r="CB106" i="12" s="1"/>
  <c r="AH106" i="12"/>
  <c r="AI106" i="12"/>
  <c r="AJ106" i="12"/>
  <c r="AK106" i="12"/>
  <c r="AL106" i="12"/>
  <c r="AN106" i="12"/>
  <c r="AO106" i="12"/>
  <c r="AP106" i="12"/>
  <c r="AQ106" i="12"/>
  <c r="AR106" i="12"/>
  <c r="AS106" i="12"/>
  <c r="BD106" i="12"/>
  <c r="BS106" i="12" s="1"/>
  <c r="BE106" i="12"/>
  <c r="BG106" i="12"/>
  <c r="BV106" i="12" s="1"/>
  <c r="BH106" i="12"/>
  <c r="BK106" i="12"/>
  <c r="BR106" i="12"/>
  <c r="J105" i="12"/>
  <c r="A105" i="12"/>
  <c r="B105" i="12"/>
  <c r="AG105" i="12" s="1"/>
  <c r="CB105" i="12" s="1"/>
  <c r="D105" i="12"/>
  <c r="F105" i="12"/>
  <c r="CF105" i="12" s="1"/>
  <c r="G105" i="12"/>
  <c r="Q105" i="12"/>
  <c r="BG105" i="12" s="1"/>
  <c r="BV105" i="12" s="1"/>
  <c r="S105" i="12"/>
  <c r="T105" i="12"/>
  <c r="Z105" i="12"/>
  <c r="AA105" i="12"/>
  <c r="AB105" i="12"/>
  <c r="AC105" i="12"/>
  <c r="AH105" i="12"/>
  <c r="AI105" i="12"/>
  <c r="AJ105" i="12"/>
  <c r="AK105" i="12"/>
  <c r="AL105" i="12"/>
  <c r="AN105" i="12"/>
  <c r="AO105" i="12"/>
  <c r="AP105" i="12"/>
  <c r="AQ105" i="12"/>
  <c r="AR105" i="12"/>
  <c r="AS105" i="12"/>
  <c r="BD105" i="12"/>
  <c r="BE105" i="12"/>
  <c r="BL105" i="12"/>
  <c r="BQ105" i="12"/>
  <c r="BR105" i="12"/>
  <c r="A114" i="12"/>
  <c r="B114" i="12"/>
  <c r="D114" i="12"/>
  <c r="F114" i="12"/>
  <c r="G114" i="12"/>
  <c r="Q114" i="12"/>
  <c r="BG114" i="12" s="1"/>
  <c r="BV114" i="12" s="1"/>
  <c r="S114" i="12"/>
  <c r="T114" i="12"/>
  <c r="Z114" i="12"/>
  <c r="AA114" i="12"/>
  <c r="AB114" i="12"/>
  <c r="AC114" i="12"/>
  <c r="AH114" i="12"/>
  <c r="AI114" i="12"/>
  <c r="AJ114" i="12"/>
  <c r="AK114" i="12"/>
  <c r="AL114" i="12"/>
  <c r="AN114" i="12"/>
  <c r="BJ114" i="12" s="1"/>
  <c r="AO114" i="12"/>
  <c r="AP114" i="12"/>
  <c r="AQ114" i="12"/>
  <c r="AR114" i="12"/>
  <c r="AS114" i="12"/>
  <c r="BD114" i="12"/>
  <c r="BE114" i="12"/>
  <c r="BT114" i="12" s="1"/>
  <c r="BR114" i="12"/>
  <c r="CF114" i="12"/>
  <c r="BR113" i="12"/>
  <c r="BE113" i="12"/>
  <c r="BD113" i="12"/>
  <c r="AS113" i="12"/>
  <c r="AR113" i="12"/>
  <c r="AQ113" i="12"/>
  <c r="AP113" i="12"/>
  <c r="AO113" i="12"/>
  <c r="AN113" i="12"/>
  <c r="AL113" i="12"/>
  <c r="AK113" i="12"/>
  <c r="AJ113" i="12"/>
  <c r="AI113" i="12"/>
  <c r="AH113" i="12"/>
  <c r="AC113" i="12"/>
  <c r="AB113" i="12"/>
  <c r="AA113" i="12"/>
  <c r="Z113" i="12"/>
  <c r="T113" i="12"/>
  <c r="S113" i="12"/>
  <c r="Q113" i="12"/>
  <c r="BL113" i="12" s="1"/>
  <c r="G113" i="12"/>
  <c r="F113" i="12"/>
  <c r="CF113" i="12" s="1"/>
  <c r="D113" i="12"/>
  <c r="B113" i="12"/>
  <c r="A113" i="12"/>
  <c r="BR112" i="12"/>
  <c r="BQ112" i="12"/>
  <c r="BE112" i="12"/>
  <c r="BD112" i="12"/>
  <c r="AS112" i="12"/>
  <c r="AR112" i="12"/>
  <c r="AQ112" i="12"/>
  <c r="AP112" i="12"/>
  <c r="AO112" i="12"/>
  <c r="AN112" i="12"/>
  <c r="AL112" i="12"/>
  <c r="AK112" i="12"/>
  <c r="AJ112" i="12"/>
  <c r="AI112" i="12"/>
  <c r="AH112" i="12"/>
  <c r="AC112" i="12"/>
  <c r="AB112" i="12"/>
  <c r="AA112" i="12"/>
  <c r="Z112" i="12"/>
  <c r="U112" i="12"/>
  <c r="X112" i="12" s="1"/>
  <c r="T112" i="12"/>
  <c r="S112" i="12"/>
  <c r="Q112" i="12"/>
  <c r="BL112" i="12" s="1"/>
  <c r="G112" i="12"/>
  <c r="F112" i="12"/>
  <c r="CF112" i="12" s="1"/>
  <c r="D112" i="12"/>
  <c r="B112" i="12"/>
  <c r="AG112" i="12" s="1"/>
  <c r="CB112" i="12" s="1"/>
  <c r="A112" i="12"/>
  <c r="A110" i="12"/>
  <c r="B110" i="12"/>
  <c r="D110" i="12"/>
  <c r="F110" i="12"/>
  <c r="CF110" i="12" s="1"/>
  <c r="G110" i="12"/>
  <c r="Q110" i="12"/>
  <c r="BH110" i="12" s="1"/>
  <c r="S110" i="12"/>
  <c r="T110" i="12"/>
  <c r="U110" i="12"/>
  <c r="Z110" i="12"/>
  <c r="AA110" i="12"/>
  <c r="AB110" i="12"/>
  <c r="AC110" i="12"/>
  <c r="AH110" i="12"/>
  <c r="AI110" i="12"/>
  <c r="AJ110" i="12"/>
  <c r="AK110" i="12"/>
  <c r="AL110" i="12"/>
  <c r="AN110" i="12"/>
  <c r="BJ110" i="12" s="1"/>
  <c r="AO110" i="12"/>
  <c r="BI110" i="12" s="1"/>
  <c r="AP110" i="12"/>
  <c r="AQ110" i="12"/>
  <c r="AR110" i="12"/>
  <c r="AS110" i="12"/>
  <c r="BD110" i="12"/>
  <c r="BE110" i="12"/>
  <c r="BG110" i="12"/>
  <c r="BV110" i="12" s="1"/>
  <c r="BL110" i="12"/>
  <c r="BN110" i="12"/>
  <c r="BR110" i="12"/>
  <c r="BT110" i="12"/>
  <c r="J109" i="12"/>
  <c r="BK109" i="12" s="1"/>
  <c r="A109" i="12"/>
  <c r="B109" i="12"/>
  <c r="D109" i="12"/>
  <c r="F109" i="12"/>
  <c r="CF109" i="12" s="1"/>
  <c r="G109" i="12"/>
  <c r="Q109" i="12"/>
  <c r="BL109" i="12" s="1"/>
  <c r="S109" i="12"/>
  <c r="T109" i="12"/>
  <c r="U109" i="12"/>
  <c r="Z109" i="12"/>
  <c r="AA109" i="12"/>
  <c r="AB109" i="12"/>
  <c r="AC109" i="12"/>
  <c r="AH109" i="12"/>
  <c r="AI109" i="12"/>
  <c r="AJ109" i="12"/>
  <c r="AK109" i="12"/>
  <c r="AL109" i="12"/>
  <c r="AN109" i="12"/>
  <c r="AO109" i="12"/>
  <c r="BI109" i="12" s="1"/>
  <c r="AP109" i="12"/>
  <c r="AQ109" i="12"/>
  <c r="AR109" i="12"/>
  <c r="AS109" i="12"/>
  <c r="BD109" i="12"/>
  <c r="BS109" i="12" s="1"/>
  <c r="BE109" i="12"/>
  <c r="BT109" i="12" s="1"/>
  <c r="BF109" i="12"/>
  <c r="BH109" i="12"/>
  <c r="BR109" i="12"/>
  <c r="BU109" i="12"/>
  <c r="BW109" i="12"/>
  <c r="BR108" i="12"/>
  <c r="BE108" i="12"/>
  <c r="BD108" i="12"/>
  <c r="AS108" i="12"/>
  <c r="AR108" i="12"/>
  <c r="AQ108" i="12"/>
  <c r="AP108" i="12"/>
  <c r="AO108" i="12"/>
  <c r="AN108" i="12"/>
  <c r="AL108" i="12"/>
  <c r="AK108" i="12"/>
  <c r="AJ108" i="12"/>
  <c r="AI108" i="12"/>
  <c r="AH108" i="12"/>
  <c r="AC108" i="12"/>
  <c r="AB108" i="12"/>
  <c r="AA108" i="12"/>
  <c r="Z108" i="12"/>
  <c r="U108" i="12"/>
  <c r="T108" i="12"/>
  <c r="S108" i="12"/>
  <c r="Q108" i="12"/>
  <c r="BL108" i="12" s="1"/>
  <c r="G108" i="12"/>
  <c r="F108" i="12"/>
  <c r="CF108" i="12" s="1"/>
  <c r="D108" i="12"/>
  <c r="B108" i="12"/>
  <c r="A108" i="12"/>
  <c r="BR104" i="12"/>
  <c r="BE104" i="12"/>
  <c r="BD104" i="12"/>
  <c r="AS104" i="12"/>
  <c r="AR104" i="12"/>
  <c r="AQ104" i="12"/>
  <c r="AP104" i="12"/>
  <c r="AO104" i="12"/>
  <c r="AN104" i="12"/>
  <c r="AL104" i="12"/>
  <c r="AK104" i="12"/>
  <c r="AJ104" i="12"/>
  <c r="AI104" i="12"/>
  <c r="AH104" i="12"/>
  <c r="AC104" i="12"/>
  <c r="AB104" i="12"/>
  <c r="AA104" i="12"/>
  <c r="Z104" i="12"/>
  <c r="T104" i="12"/>
  <c r="S104" i="12"/>
  <c r="Q104" i="12"/>
  <c r="G104" i="12"/>
  <c r="F104" i="12"/>
  <c r="CF104" i="12" s="1"/>
  <c r="D104" i="12"/>
  <c r="B104" i="12"/>
  <c r="AG104" i="12" s="1"/>
  <c r="CB104" i="12" s="1"/>
  <c r="A104" i="12"/>
  <c r="J102" i="12"/>
  <c r="A102" i="12"/>
  <c r="B102" i="12"/>
  <c r="D102" i="12"/>
  <c r="F102" i="12"/>
  <c r="G102" i="12"/>
  <c r="L102" i="12"/>
  <c r="Q102" i="12"/>
  <c r="S102" i="12"/>
  <c r="T102" i="12"/>
  <c r="U102" i="12"/>
  <c r="Z102" i="12"/>
  <c r="AA102" i="12"/>
  <c r="AB102" i="12"/>
  <c r="AC102" i="12"/>
  <c r="AH102" i="12"/>
  <c r="AI102" i="12"/>
  <c r="AJ102" i="12"/>
  <c r="AK102" i="12"/>
  <c r="AL102" i="12"/>
  <c r="AN102" i="12"/>
  <c r="AO102" i="12"/>
  <c r="AP102" i="12"/>
  <c r="AQ102" i="12"/>
  <c r="AR102" i="12"/>
  <c r="AS102" i="12"/>
  <c r="BD102" i="12"/>
  <c r="BE102" i="12"/>
  <c r="BR102" i="12"/>
  <c r="CF102" i="12"/>
  <c r="J101" i="12"/>
  <c r="L101" i="12"/>
  <c r="BR101" i="12"/>
  <c r="BE101" i="12"/>
  <c r="BD101" i="12"/>
  <c r="AS101" i="12"/>
  <c r="AR101" i="12"/>
  <c r="AQ101" i="12"/>
  <c r="AP101" i="12"/>
  <c r="AO101" i="12"/>
  <c r="AN101" i="12"/>
  <c r="AL101" i="12"/>
  <c r="AK101" i="12"/>
  <c r="AJ101" i="12"/>
  <c r="AI101" i="12"/>
  <c r="AH101" i="12"/>
  <c r="AC101" i="12"/>
  <c r="AB101" i="12"/>
  <c r="AA101" i="12"/>
  <c r="Z101" i="12"/>
  <c r="U101" i="12"/>
  <c r="T101" i="12"/>
  <c r="S101" i="12"/>
  <c r="Q101" i="12"/>
  <c r="G101" i="12"/>
  <c r="F101" i="12"/>
  <c r="CF101" i="12" s="1"/>
  <c r="D101" i="12"/>
  <c r="B101" i="12"/>
  <c r="A101" i="12"/>
  <c r="BR98" i="12"/>
  <c r="BE98" i="12"/>
  <c r="BD98" i="12"/>
  <c r="AS98" i="12"/>
  <c r="AQ98" i="12"/>
  <c r="AP98" i="12"/>
  <c r="AO98" i="12"/>
  <c r="AN98" i="12"/>
  <c r="AL98" i="12"/>
  <c r="AK98" i="12"/>
  <c r="AJ98" i="12"/>
  <c r="AI98" i="12"/>
  <c r="AH98" i="12"/>
  <c r="AC98" i="12"/>
  <c r="AB98" i="12"/>
  <c r="AA98" i="12"/>
  <c r="Z98" i="12"/>
  <c r="U98" i="12"/>
  <c r="X98" i="12" s="1"/>
  <c r="Q98" i="12"/>
  <c r="BL98" i="12" s="1"/>
  <c r="F98" i="12"/>
  <c r="B98" i="12"/>
  <c r="A98" i="12"/>
  <c r="BR97" i="12"/>
  <c r="BE97" i="12"/>
  <c r="BD97" i="12"/>
  <c r="AS97" i="12"/>
  <c r="AQ97" i="12"/>
  <c r="AP97" i="12"/>
  <c r="AO97" i="12"/>
  <c r="AN97" i="12"/>
  <c r="AL97" i="12"/>
  <c r="AK97" i="12"/>
  <c r="AJ97" i="12"/>
  <c r="AI97" i="12"/>
  <c r="AH97" i="12"/>
  <c r="AC97" i="12"/>
  <c r="AB97" i="12"/>
  <c r="AA97" i="12"/>
  <c r="Z97" i="12"/>
  <c r="U97" i="12"/>
  <c r="X97" i="12" s="1"/>
  <c r="Q97" i="12"/>
  <c r="BL97" i="12" s="1"/>
  <c r="F97" i="12"/>
  <c r="D97" i="12"/>
  <c r="B97" i="12"/>
  <c r="A97" i="12"/>
  <c r="BR96" i="12"/>
  <c r="BN96" i="12"/>
  <c r="BE96" i="12"/>
  <c r="BD96" i="12"/>
  <c r="AS96" i="12"/>
  <c r="AQ96" i="12"/>
  <c r="AP96" i="12"/>
  <c r="AO96" i="12"/>
  <c r="AN96" i="12"/>
  <c r="AL96" i="12"/>
  <c r="AK96" i="12"/>
  <c r="AJ96" i="12"/>
  <c r="AI96" i="12"/>
  <c r="AH96" i="12"/>
  <c r="AC96" i="12"/>
  <c r="AB96" i="12"/>
  <c r="AA96" i="12"/>
  <c r="Z96" i="12"/>
  <c r="U96" i="12"/>
  <c r="X96" i="12" s="1"/>
  <c r="Q96" i="12"/>
  <c r="BL96" i="12" s="1"/>
  <c r="F96" i="12"/>
  <c r="D96" i="12"/>
  <c r="B96" i="12"/>
  <c r="A96" i="12"/>
  <c r="BR95" i="12"/>
  <c r="BE95" i="12"/>
  <c r="BD95" i="12"/>
  <c r="AS95" i="12"/>
  <c r="AR95" i="12"/>
  <c r="AQ95" i="12"/>
  <c r="AP95" i="12"/>
  <c r="AO95" i="12"/>
  <c r="AN95" i="12"/>
  <c r="AL95" i="12"/>
  <c r="AK95" i="12"/>
  <c r="AJ95" i="12"/>
  <c r="AI95" i="12"/>
  <c r="AH95" i="12"/>
  <c r="AC95" i="12"/>
  <c r="AB95" i="12"/>
  <c r="AA95" i="12"/>
  <c r="Z95" i="12"/>
  <c r="X95" i="12"/>
  <c r="T95" i="12"/>
  <c r="V95" i="12" s="1"/>
  <c r="Q95" i="12"/>
  <c r="L95" i="12"/>
  <c r="F95" i="12"/>
  <c r="D95" i="12"/>
  <c r="B95" i="12"/>
  <c r="A95" i="12"/>
  <c r="BO94" i="12"/>
  <c r="BM94" i="12"/>
  <c r="BK94" i="12"/>
  <c r="BJ94" i="12"/>
  <c r="BI94" i="12"/>
  <c r="BH94" i="12"/>
  <c r="BA94" i="12"/>
  <c r="AU94" i="12"/>
  <c r="AR94" i="12"/>
  <c r="AQ94" i="12"/>
  <c r="AP94" i="12"/>
  <c r="O94" i="12"/>
  <c r="BX94" i="12"/>
  <c r="G94" i="12"/>
  <c r="D94" i="12"/>
  <c r="A94" i="12"/>
  <c r="Q92" i="12"/>
  <c r="BG92" i="12" s="1"/>
  <c r="BV92" i="12" s="1"/>
  <c r="A92" i="12"/>
  <c r="B92" i="12"/>
  <c r="AG92" i="12" s="1"/>
  <c r="CB92" i="12" s="1"/>
  <c r="F92" i="12"/>
  <c r="U92" i="12"/>
  <c r="X92" i="12" s="1"/>
  <c r="Z92" i="12"/>
  <c r="AA92" i="12"/>
  <c r="AB92" i="12"/>
  <c r="AC92" i="12"/>
  <c r="AH92" i="12"/>
  <c r="AI92" i="12"/>
  <c r="AJ92" i="12"/>
  <c r="AK92" i="12"/>
  <c r="AL92" i="12"/>
  <c r="AN92" i="12"/>
  <c r="BJ92" i="12" s="1"/>
  <c r="AO92" i="12"/>
  <c r="AP92" i="12"/>
  <c r="AQ92" i="12"/>
  <c r="AS92" i="12"/>
  <c r="BD92" i="12"/>
  <c r="BE92" i="12"/>
  <c r="BF92" i="12"/>
  <c r="BU92" i="12" s="1"/>
  <c r="BK92" i="12"/>
  <c r="BN92" i="12"/>
  <c r="BQ92" i="12"/>
  <c r="BR92" i="12"/>
  <c r="BW92" i="12"/>
  <c r="Q91" i="12"/>
  <c r="BI91" i="12" s="1"/>
  <c r="A91" i="12"/>
  <c r="B91" i="12"/>
  <c r="D91" i="12"/>
  <c r="F91" i="12"/>
  <c r="U91" i="12"/>
  <c r="X91" i="12" s="1"/>
  <c r="Z91" i="12"/>
  <c r="AA91" i="12"/>
  <c r="AB91" i="12"/>
  <c r="AC91" i="12"/>
  <c r="AH91" i="12"/>
  <c r="AI91" i="12"/>
  <c r="AJ91" i="12"/>
  <c r="AK91" i="12"/>
  <c r="AL91" i="12"/>
  <c r="AN91" i="12"/>
  <c r="AO91" i="12"/>
  <c r="AP91" i="12"/>
  <c r="AQ91" i="12"/>
  <c r="AS91" i="12"/>
  <c r="BD91" i="12"/>
  <c r="BE91" i="12"/>
  <c r="BR91" i="12"/>
  <c r="Q90" i="12"/>
  <c r="BH90" i="12" s="1"/>
  <c r="BR90" i="12"/>
  <c r="BE90" i="12"/>
  <c r="BD90" i="12"/>
  <c r="AS90" i="12"/>
  <c r="AQ90" i="12"/>
  <c r="AP90" i="12"/>
  <c r="AO90" i="12"/>
  <c r="AN90" i="12"/>
  <c r="AL90" i="12"/>
  <c r="AK90" i="12"/>
  <c r="AJ90" i="12"/>
  <c r="AI90" i="12"/>
  <c r="AH90" i="12"/>
  <c r="AC90" i="12"/>
  <c r="AB90" i="12"/>
  <c r="AA90" i="12"/>
  <c r="Z90" i="12"/>
  <c r="U90" i="12"/>
  <c r="X90" i="12" s="1"/>
  <c r="F90" i="12"/>
  <c r="D90" i="12"/>
  <c r="B90" i="12"/>
  <c r="A90" i="12"/>
  <c r="BR89" i="12"/>
  <c r="AU89" i="12" s="1"/>
  <c r="BE89" i="12"/>
  <c r="BD89" i="12"/>
  <c r="AS89" i="12"/>
  <c r="AR89" i="12"/>
  <c r="AQ89" i="12"/>
  <c r="AP89" i="12"/>
  <c r="AO89" i="12"/>
  <c r="BI89" i="12" s="1"/>
  <c r="AN89" i="12"/>
  <c r="AL89" i="12"/>
  <c r="AK89" i="12"/>
  <c r="AJ89" i="12"/>
  <c r="AI89" i="12"/>
  <c r="AH89" i="12"/>
  <c r="AC89" i="12"/>
  <c r="AB89" i="12"/>
  <c r="AA89" i="12"/>
  <c r="Z89" i="12"/>
  <c r="X89" i="12"/>
  <c r="T89" i="12"/>
  <c r="V89" i="12" s="1"/>
  <c r="Q89" i="12"/>
  <c r="BH89" i="12" s="1"/>
  <c r="F89" i="12"/>
  <c r="D89" i="12"/>
  <c r="B89" i="12"/>
  <c r="AG89" i="12" s="1"/>
  <c r="CB89" i="12" s="1"/>
  <c r="A89" i="12"/>
  <c r="J83" i="1"/>
  <c r="J84" i="1"/>
  <c r="J85" i="1"/>
  <c r="J86" i="1"/>
  <c r="J91" i="1"/>
  <c r="J106" i="1"/>
  <c r="J104" i="1"/>
  <c r="J103" i="1"/>
  <c r="J102" i="1"/>
  <c r="J101" i="1"/>
  <c r="J100" i="1"/>
  <c r="L88" i="12"/>
  <c r="BL88" i="12" s="1"/>
  <c r="BO88" i="12"/>
  <c r="BM88" i="12"/>
  <c r="BK88" i="12"/>
  <c r="BJ88" i="12"/>
  <c r="BI88" i="12"/>
  <c r="BH88" i="12"/>
  <c r="BA88" i="12"/>
  <c r="AU88" i="12"/>
  <c r="AR88" i="12"/>
  <c r="AQ88" i="12"/>
  <c r="AP88" i="12"/>
  <c r="G88" i="12"/>
  <c r="D88" i="12"/>
  <c r="A88" i="12"/>
  <c r="AR85" i="12"/>
  <c r="J84" i="12"/>
  <c r="BR85" i="12"/>
  <c r="BE85" i="12"/>
  <c r="BD85" i="12"/>
  <c r="AS85" i="12"/>
  <c r="AQ85" i="12"/>
  <c r="AP85" i="12"/>
  <c r="AO85" i="12"/>
  <c r="AN85" i="12"/>
  <c r="AL85" i="12"/>
  <c r="AK85" i="12"/>
  <c r="AJ85" i="12"/>
  <c r="AI85" i="12"/>
  <c r="AH85" i="12"/>
  <c r="AC85" i="12"/>
  <c r="AB85" i="12"/>
  <c r="AA85" i="12"/>
  <c r="Z85" i="12"/>
  <c r="U85" i="12"/>
  <c r="T85" i="12"/>
  <c r="V85" i="12" s="1"/>
  <c r="S85" i="12"/>
  <c r="F85" i="12"/>
  <c r="D85" i="12"/>
  <c r="B85" i="12"/>
  <c r="A85" i="12"/>
  <c r="BR84" i="12"/>
  <c r="BE84" i="12"/>
  <c r="BD84" i="12"/>
  <c r="AS84" i="12"/>
  <c r="AR84" i="12"/>
  <c r="AQ84" i="12"/>
  <c r="AP84" i="12"/>
  <c r="AO84" i="12"/>
  <c r="AN84" i="12"/>
  <c r="AL84" i="12"/>
  <c r="AK84" i="12"/>
  <c r="AJ84" i="12"/>
  <c r="AI84" i="12"/>
  <c r="AH84" i="12"/>
  <c r="AC84" i="12"/>
  <c r="AB84" i="12"/>
  <c r="AA84" i="12"/>
  <c r="Z84" i="12"/>
  <c r="T84" i="12"/>
  <c r="S84" i="12"/>
  <c r="P84" i="12"/>
  <c r="Q84" i="12" s="1"/>
  <c r="BF84" i="12" s="1"/>
  <c r="BU84" i="12" s="1"/>
  <c r="L84" i="12"/>
  <c r="F84" i="12"/>
  <c r="CF84" i="12" s="1"/>
  <c r="D84" i="12"/>
  <c r="B84" i="12"/>
  <c r="A84" i="12"/>
  <c r="BW83" i="12"/>
  <c r="BQ83" i="12"/>
  <c r="BO83" i="12"/>
  <c r="BM83" i="12"/>
  <c r="BL83" i="12"/>
  <c r="BK83" i="12"/>
  <c r="BJ83" i="12"/>
  <c r="BI83" i="12"/>
  <c r="BH83" i="12"/>
  <c r="AU83" i="12"/>
  <c r="AR83" i="12"/>
  <c r="AQ83" i="12"/>
  <c r="AP83" i="12"/>
  <c r="O83" i="12"/>
  <c r="P85" i="12"/>
  <c r="Q85" i="12" s="1"/>
  <c r="G83" i="12"/>
  <c r="D83" i="12"/>
  <c r="A83" i="12"/>
  <c r="L80" i="12"/>
  <c r="A80" i="12"/>
  <c r="B80" i="12"/>
  <c r="D80" i="12"/>
  <c r="F80" i="12"/>
  <c r="CF80" i="12" s="1"/>
  <c r="P80" i="12"/>
  <c r="Q80" i="12" s="1"/>
  <c r="S80" i="12"/>
  <c r="T80" i="12"/>
  <c r="Z80" i="12"/>
  <c r="AA80" i="12"/>
  <c r="AB80" i="12"/>
  <c r="AC80" i="12"/>
  <c r="AH80" i="12"/>
  <c r="AI80" i="12"/>
  <c r="AJ80" i="12"/>
  <c r="AK80" i="12"/>
  <c r="AL80" i="12"/>
  <c r="AN80" i="12"/>
  <c r="AO80" i="12"/>
  <c r="AP80" i="12"/>
  <c r="AQ80" i="12"/>
  <c r="AR80" i="12"/>
  <c r="AS80" i="12"/>
  <c r="BD80" i="12"/>
  <c r="BE80" i="12"/>
  <c r="BR80" i="12"/>
  <c r="J78" i="12"/>
  <c r="BX78" i="12" s="1"/>
  <c r="BR81" i="12"/>
  <c r="BE81" i="12"/>
  <c r="BD81" i="12"/>
  <c r="AS81" i="12"/>
  <c r="AR81" i="12"/>
  <c r="AQ81" i="12"/>
  <c r="AP81" i="12"/>
  <c r="AO81" i="12"/>
  <c r="AN81" i="12"/>
  <c r="AL81" i="12"/>
  <c r="AK81" i="12"/>
  <c r="AJ81" i="12"/>
  <c r="AI81" i="12"/>
  <c r="AH81" i="12"/>
  <c r="AC81" i="12"/>
  <c r="AB81" i="12"/>
  <c r="AA81" i="12"/>
  <c r="Z81" i="12"/>
  <c r="U81" i="12"/>
  <c r="T81" i="12"/>
  <c r="V81" i="12" s="1"/>
  <c r="S81" i="12"/>
  <c r="F81" i="12"/>
  <c r="D81" i="12"/>
  <c r="B81" i="12"/>
  <c r="A81" i="12"/>
  <c r="BR79" i="12"/>
  <c r="BE79" i="12"/>
  <c r="BD79" i="12"/>
  <c r="AS79" i="12"/>
  <c r="AR79" i="12"/>
  <c r="AQ79" i="12"/>
  <c r="AP79" i="12"/>
  <c r="AO79" i="12"/>
  <c r="AN79" i="12"/>
  <c r="AL79" i="12"/>
  <c r="AK79" i="12"/>
  <c r="AJ79" i="12"/>
  <c r="AI79" i="12"/>
  <c r="AH79" i="12"/>
  <c r="AC79" i="12"/>
  <c r="AB79" i="12"/>
  <c r="AA79" i="12"/>
  <c r="Z79" i="12"/>
  <c r="T79" i="12"/>
  <c r="S79" i="12"/>
  <c r="P79" i="12"/>
  <c r="Q79" i="12" s="1"/>
  <c r="BF79" i="12" s="1"/>
  <c r="BU79" i="12" s="1"/>
  <c r="L79" i="12"/>
  <c r="F79" i="12"/>
  <c r="CF79" i="12" s="1"/>
  <c r="D79" i="12"/>
  <c r="B79" i="12"/>
  <c r="A79" i="12"/>
  <c r="BQ78" i="12"/>
  <c r="BO78" i="12"/>
  <c r="BM78" i="12"/>
  <c r="BL78" i="12"/>
  <c r="BJ78" i="12"/>
  <c r="BI78" i="12"/>
  <c r="BH78" i="12"/>
  <c r="AU78" i="12"/>
  <c r="AR78" i="12"/>
  <c r="AQ78" i="12"/>
  <c r="AP78" i="12"/>
  <c r="O78" i="12"/>
  <c r="G78" i="12"/>
  <c r="D78" i="12"/>
  <c r="A78" i="12"/>
  <c r="P74" i="12"/>
  <c r="Q74" i="12" s="1"/>
  <c r="A74" i="12"/>
  <c r="B74" i="12"/>
  <c r="D74" i="12"/>
  <c r="F74" i="12"/>
  <c r="S74" i="12"/>
  <c r="T74" i="12"/>
  <c r="V74" i="12" s="1"/>
  <c r="U74" i="12"/>
  <c r="Z74" i="12"/>
  <c r="AA74" i="12"/>
  <c r="AB74" i="12"/>
  <c r="AC74" i="12"/>
  <c r="AH74" i="12"/>
  <c r="AI74" i="12"/>
  <c r="AJ74" i="12"/>
  <c r="AK74" i="12"/>
  <c r="AL74" i="12"/>
  <c r="AN74" i="12"/>
  <c r="AO74" i="12"/>
  <c r="AP74" i="12"/>
  <c r="AQ74" i="12"/>
  <c r="AR74" i="12"/>
  <c r="AS74" i="12"/>
  <c r="BD74" i="12"/>
  <c r="BE74" i="12"/>
  <c r="BR74" i="12"/>
  <c r="Q73" i="12"/>
  <c r="BH73" i="12" s="1"/>
  <c r="L73" i="12"/>
  <c r="J73" i="12"/>
  <c r="BR73" i="12"/>
  <c r="BE73" i="12"/>
  <c r="BD73" i="12"/>
  <c r="AS73" i="12"/>
  <c r="AR73" i="12"/>
  <c r="AQ73" i="12"/>
  <c r="AP73" i="12"/>
  <c r="AO73" i="12"/>
  <c r="AN73" i="12"/>
  <c r="AL73" i="12"/>
  <c r="AK73" i="12"/>
  <c r="AJ73" i="12"/>
  <c r="AI73" i="12"/>
  <c r="AH73" i="12"/>
  <c r="AC73" i="12"/>
  <c r="AB73" i="12"/>
  <c r="AA73" i="12"/>
  <c r="Z73" i="12"/>
  <c r="U73" i="12"/>
  <c r="T73" i="12"/>
  <c r="V73" i="12" s="1"/>
  <c r="S73" i="12"/>
  <c r="F73" i="12"/>
  <c r="D73" i="12"/>
  <c r="B73" i="12"/>
  <c r="A73" i="12"/>
  <c r="BX72" i="12"/>
  <c r="BW72" i="12"/>
  <c r="BQ72" i="12"/>
  <c r="BO72" i="12"/>
  <c r="BM72" i="12"/>
  <c r="BL72" i="12"/>
  <c r="BK72" i="12"/>
  <c r="BJ72" i="12"/>
  <c r="BI72" i="12"/>
  <c r="BH72" i="12"/>
  <c r="BA72" i="12"/>
  <c r="AU72" i="12"/>
  <c r="AR72" i="12"/>
  <c r="AQ72" i="12"/>
  <c r="AP72" i="12"/>
  <c r="O72" i="12"/>
  <c r="G72" i="12"/>
  <c r="D72" i="12"/>
  <c r="Q69" i="12"/>
  <c r="BF69" i="12" s="1"/>
  <c r="BU69" i="12" s="1"/>
  <c r="A69" i="12"/>
  <c r="B69" i="12"/>
  <c r="AG69" i="12" s="1"/>
  <c r="CB69" i="12" s="1"/>
  <c r="D69" i="12"/>
  <c r="F69" i="12"/>
  <c r="U69" i="12"/>
  <c r="X69" i="12" s="1"/>
  <c r="Z69" i="12"/>
  <c r="AA69" i="12"/>
  <c r="AE69" i="12" s="1"/>
  <c r="BZ69" i="12" s="1"/>
  <c r="AB69" i="12"/>
  <c r="AC69" i="12"/>
  <c r="AH69" i="12"/>
  <c r="AI69" i="12"/>
  <c r="AJ69" i="12"/>
  <c r="AK69" i="12"/>
  <c r="AL69" i="12"/>
  <c r="AN69" i="12"/>
  <c r="BJ69" i="12" s="1"/>
  <c r="AO69" i="12"/>
  <c r="AP69" i="12"/>
  <c r="AQ69" i="12"/>
  <c r="AS69" i="12"/>
  <c r="BD69" i="12"/>
  <c r="BE69" i="12"/>
  <c r="BR69" i="12"/>
  <c r="Q68" i="12"/>
  <c r="BG68" i="12" s="1"/>
  <c r="BV68" i="12" s="1"/>
  <c r="A68" i="12"/>
  <c r="B68" i="12"/>
  <c r="D68" i="12"/>
  <c r="F68" i="12"/>
  <c r="U68" i="12"/>
  <c r="X68" i="12" s="1"/>
  <c r="Z68" i="12"/>
  <c r="AD68" i="12" s="1"/>
  <c r="BY68" i="12" s="1"/>
  <c r="AA68" i="12"/>
  <c r="AE68" i="12" s="1"/>
  <c r="BZ68" i="12" s="1"/>
  <c r="AB68" i="12"/>
  <c r="AC68" i="12"/>
  <c r="AH68" i="12"/>
  <c r="AI68" i="12"/>
  <c r="AJ68" i="12"/>
  <c r="AK68" i="12"/>
  <c r="AL68" i="12"/>
  <c r="AN68" i="12"/>
  <c r="AO68" i="12"/>
  <c r="AP68" i="12"/>
  <c r="AQ68" i="12"/>
  <c r="AS68" i="12"/>
  <c r="BD68" i="12"/>
  <c r="BE68" i="12"/>
  <c r="BR68" i="12"/>
  <c r="BR67" i="12"/>
  <c r="BE67" i="12"/>
  <c r="BD67" i="12"/>
  <c r="AS67" i="12"/>
  <c r="AQ67" i="12"/>
  <c r="AP67" i="12"/>
  <c r="AO67" i="12"/>
  <c r="AN67" i="12"/>
  <c r="AL67" i="12"/>
  <c r="AK67" i="12"/>
  <c r="AJ67" i="12"/>
  <c r="AI67" i="12"/>
  <c r="AH67" i="12"/>
  <c r="AC67" i="12"/>
  <c r="AB67" i="12"/>
  <c r="AA67" i="12"/>
  <c r="Z67" i="12"/>
  <c r="U67" i="12"/>
  <c r="X67" i="12" s="1"/>
  <c r="Q67" i="12"/>
  <c r="BH67" i="12" s="1"/>
  <c r="F67" i="12"/>
  <c r="D67" i="12"/>
  <c r="B67" i="12"/>
  <c r="A67" i="12"/>
  <c r="BX66" i="12"/>
  <c r="BW66" i="12"/>
  <c r="BQ66" i="12"/>
  <c r="BO66" i="12"/>
  <c r="BM66" i="12"/>
  <c r="BL66" i="12"/>
  <c r="BK66" i="12"/>
  <c r="BJ66" i="12"/>
  <c r="BI66" i="12"/>
  <c r="BH66" i="12"/>
  <c r="BA66" i="12"/>
  <c r="AU66" i="12"/>
  <c r="AR66" i="12"/>
  <c r="AQ66" i="12"/>
  <c r="AP66" i="12"/>
  <c r="O66" i="12"/>
  <c r="G66" i="12"/>
  <c r="D66" i="12"/>
  <c r="A66" i="12"/>
  <c r="BR63" i="12"/>
  <c r="BE63" i="12"/>
  <c r="BD63" i="12"/>
  <c r="AS63" i="12"/>
  <c r="AR63" i="12"/>
  <c r="AQ63" i="12"/>
  <c r="AP63" i="12"/>
  <c r="AO63" i="12"/>
  <c r="AN63" i="12"/>
  <c r="BJ63" i="12" s="1"/>
  <c r="AL63" i="12"/>
  <c r="AK63" i="12"/>
  <c r="AJ63" i="12"/>
  <c r="AI63" i="12"/>
  <c r="AH63" i="12"/>
  <c r="AC63" i="12"/>
  <c r="AB63" i="12"/>
  <c r="AA63" i="12"/>
  <c r="Z63" i="12"/>
  <c r="U63" i="12"/>
  <c r="X63" i="12" s="1"/>
  <c r="T63" i="12"/>
  <c r="V63" i="12" s="1"/>
  <c r="Q63" i="12"/>
  <c r="BH63" i="12" s="1"/>
  <c r="L63" i="12"/>
  <c r="J63" i="12"/>
  <c r="F63" i="12"/>
  <c r="D63" i="12"/>
  <c r="B63" i="12"/>
  <c r="A63" i="12"/>
  <c r="BR62" i="12"/>
  <c r="BE62" i="12"/>
  <c r="BD62" i="12"/>
  <c r="AS62" i="12"/>
  <c r="AQ62" i="12"/>
  <c r="AP62" i="12"/>
  <c r="AO62" i="12"/>
  <c r="AN62" i="12"/>
  <c r="AL62" i="12"/>
  <c r="AK62" i="12"/>
  <c r="AJ62" i="12"/>
  <c r="AI62" i="12"/>
  <c r="AH62" i="12"/>
  <c r="AC62" i="12"/>
  <c r="AB62" i="12"/>
  <c r="AA62" i="12"/>
  <c r="Z62" i="12"/>
  <c r="U62" i="12"/>
  <c r="X62" i="12" s="1"/>
  <c r="Q62" i="12"/>
  <c r="BF62" i="12" s="1"/>
  <c r="BU62" i="12" s="1"/>
  <c r="L62" i="12"/>
  <c r="J62" i="12"/>
  <c r="F62" i="12"/>
  <c r="D62" i="12"/>
  <c r="B62" i="12"/>
  <c r="A62" i="12"/>
  <c r="BX61" i="12"/>
  <c r="BW61" i="12"/>
  <c r="BQ61" i="12"/>
  <c r="BO61" i="12"/>
  <c r="BM61" i="12"/>
  <c r="BL61" i="12"/>
  <c r="BK61" i="12"/>
  <c r="BJ61" i="12"/>
  <c r="BI61" i="12"/>
  <c r="BH61" i="12"/>
  <c r="BA61" i="12"/>
  <c r="AU61" i="12"/>
  <c r="AR61" i="12"/>
  <c r="AQ61" i="12"/>
  <c r="AP61" i="12"/>
  <c r="O61" i="12"/>
  <c r="G61" i="12"/>
  <c r="D61" i="12"/>
  <c r="A61" i="12"/>
  <c r="BR59" i="12"/>
  <c r="BE59" i="12"/>
  <c r="BT59" i="12" s="1"/>
  <c r="BD59" i="12"/>
  <c r="AS59" i="12"/>
  <c r="AR59" i="12"/>
  <c r="AQ59" i="12"/>
  <c r="AP59" i="12"/>
  <c r="AO59" i="12"/>
  <c r="AN59" i="12"/>
  <c r="AL59" i="12"/>
  <c r="AK59" i="12"/>
  <c r="AJ59" i="12"/>
  <c r="AI59" i="12"/>
  <c r="AH59" i="12"/>
  <c r="AC59" i="12"/>
  <c r="AB59" i="12"/>
  <c r="AA59" i="12"/>
  <c r="Z59" i="12"/>
  <c r="U59" i="12"/>
  <c r="X59" i="12" s="1"/>
  <c r="T59" i="12"/>
  <c r="V59" i="12" s="1"/>
  <c r="Q59" i="12"/>
  <c r="BG59" i="12" s="1"/>
  <c r="BV59" i="12" s="1"/>
  <c r="L59" i="12"/>
  <c r="J59" i="12"/>
  <c r="F59" i="12"/>
  <c r="D59" i="12"/>
  <c r="B59" i="12"/>
  <c r="A59" i="12"/>
  <c r="BR58" i="12"/>
  <c r="BH58" i="12"/>
  <c r="BE58" i="12"/>
  <c r="BD58" i="12"/>
  <c r="AS58" i="12"/>
  <c r="AQ58" i="12"/>
  <c r="AP58" i="12"/>
  <c r="AO58" i="12"/>
  <c r="AN58" i="12"/>
  <c r="AL58" i="12"/>
  <c r="AK58" i="12"/>
  <c r="AJ58" i="12"/>
  <c r="AI58" i="12"/>
  <c r="AH58" i="12"/>
  <c r="AC58" i="12"/>
  <c r="AB58" i="12"/>
  <c r="AA58" i="12"/>
  <c r="Z58" i="12"/>
  <c r="U58" i="12"/>
  <c r="X58" i="12" s="1"/>
  <c r="Q58" i="12"/>
  <c r="BF58" i="12" s="1"/>
  <c r="BU58" i="12" s="1"/>
  <c r="L58" i="12"/>
  <c r="J58" i="12"/>
  <c r="BK58" i="12" s="1"/>
  <c r="F58" i="12"/>
  <c r="D58" i="12"/>
  <c r="B58" i="12"/>
  <c r="A58" i="12"/>
  <c r="BX57" i="12"/>
  <c r="BW57" i="12"/>
  <c r="BQ57" i="12"/>
  <c r="BO57" i="12"/>
  <c r="BM57" i="12"/>
  <c r="BL57" i="12"/>
  <c r="BK57" i="12"/>
  <c r="BJ57" i="12"/>
  <c r="BI57" i="12"/>
  <c r="BH57" i="12"/>
  <c r="BA57" i="12"/>
  <c r="AU57" i="12"/>
  <c r="AR57" i="12"/>
  <c r="AQ57" i="12"/>
  <c r="AP57" i="12"/>
  <c r="O57" i="12"/>
  <c r="G57" i="12"/>
  <c r="D57" i="12"/>
  <c r="A57" i="12"/>
  <c r="BR55" i="12"/>
  <c r="BE55" i="12"/>
  <c r="BT55" i="12" s="1"/>
  <c r="BD55" i="12"/>
  <c r="AS55" i="12"/>
  <c r="AR55" i="12"/>
  <c r="AQ55" i="12"/>
  <c r="AP55" i="12"/>
  <c r="AO55" i="12"/>
  <c r="BI55" i="12" s="1"/>
  <c r="AN55" i="12"/>
  <c r="AL55" i="12"/>
  <c r="AK55" i="12"/>
  <c r="AJ55" i="12"/>
  <c r="AI55" i="12"/>
  <c r="AH55" i="12"/>
  <c r="AC55" i="12"/>
  <c r="AB55" i="12"/>
  <c r="AA55" i="12"/>
  <c r="Z55" i="12"/>
  <c r="U55" i="12"/>
  <c r="X55" i="12" s="1"/>
  <c r="T55" i="12"/>
  <c r="V55" i="12" s="1"/>
  <c r="Q55" i="12"/>
  <c r="BH55" i="12" s="1"/>
  <c r="L55" i="12"/>
  <c r="BL55" i="12" s="1"/>
  <c r="J55" i="12"/>
  <c r="F55" i="12"/>
  <c r="D55" i="12"/>
  <c r="B55" i="12"/>
  <c r="A55" i="12"/>
  <c r="BR54" i="12"/>
  <c r="BE54" i="12"/>
  <c r="BD54" i="12"/>
  <c r="AS54" i="12"/>
  <c r="AQ54" i="12"/>
  <c r="AP54" i="12"/>
  <c r="AO54" i="12"/>
  <c r="AN54" i="12"/>
  <c r="AL54" i="12"/>
  <c r="AK54" i="12"/>
  <c r="AJ54" i="12"/>
  <c r="AI54" i="12"/>
  <c r="AH54" i="12"/>
  <c r="AC54" i="12"/>
  <c r="AB54" i="12"/>
  <c r="AA54" i="12"/>
  <c r="Z54" i="12"/>
  <c r="U54" i="12"/>
  <c r="X54" i="12" s="1"/>
  <c r="Q54" i="12"/>
  <c r="BF54" i="12" s="1"/>
  <c r="BU54" i="12" s="1"/>
  <c r="L54" i="12"/>
  <c r="J54" i="12"/>
  <c r="F54" i="12"/>
  <c r="D54" i="12"/>
  <c r="B54" i="12"/>
  <c r="A54" i="12"/>
  <c r="BX53" i="12"/>
  <c r="BW53" i="12"/>
  <c r="BQ53" i="12"/>
  <c r="BO53" i="12"/>
  <c r="BM53" i="12"/>
  <c r="BL53" i="12"/>
  <c r="BK53" i="12"/>
  <c r="BJ53" i="12"/>
  <c r="BI53" i="12"/>
  <c r="BH53" i="12"/>
  <c r="BA53" i="12"/>
  <c r="AU53" i="12"/>
  <c r="AR53" i="12"/>
  <c r="AQ53" i="12"/>
  <c r="AP53" i="12"/>
  <c r="O53" i="12"/>
  <c r="G53" i="12"/>
  <c r="D53" i="12"/>
  <c r="A53" i="12"/>
  <c r="AR51" i="12"/>
  <c r="T51" i="12"/>
  <c r="V51" i="12" s="1"/>
  <c r="Q51" i="12"/>
  <c r="L51" i="12"/>
  <c r="BL51" i="12" s="1"/>
  <c r="J51" i="12"/>
  <c r="A51" i="12"/>
  <c r="B51" i="12"/>
  <c r="D51" i="12"/>
  <c r="F51" i="12"/>
  <c r="U51" i="12"/>
  <c r="X51" i="12" s="1"/>
  <c r="Z51" i="12"/>
  <c r="AA51" i="12"/>
  <c r="AB51" i="12"/>
  <c r="AC51" i="12"/>
  <c r="AH51" i="12"/>
  <c r="AI51" i="12"/>
  <c r="AJ51" i="12"/>
  <c r="AK51" i="12"/>
  <c r="AL51" i="12"/>
  <c r="AN51" i="12"/>
  <c r="AO51" i="12"/>
  <c r="AP51" i="12"/>
  <c r="AQ51" i="12"/>
  <c r="AS51" i="12"/>
  <c r="BD51" i="12"/>
  <c r="BE51" i="12"/>
  <c r="BR51" i="12"/>
  <c r="J50" i="12"/>
  <c r="L50" i="12"/>
  <c r="BR50" i="12"/>
  <c r="BE50" i="12"/>
  <c r="BD50" i="12"/>
  <c r="AS50" i="12"/>
  <c r="AQ50" i="12"/>
  <c r="AP50" i="12"/>
  <c r="AO50" i="12"/>
  <c r="AN50" i="12"/>
  <c r="AL50" i="12"/>
  <c r="AK50" i="12"/>
  <c r="AJ50" i="12"/>
  <c r="AI50" i="12"/>
  <c r="AH50" i="12"/>
  <c r="AC50" i="12"/>
  <c r="AB50" i="12"/>
  <c r="AA50" i="12"/>
  <c r="Z50" i="12"/>
  <c r="U50" i="12"/>
  <c r="X50" i="12" s="1"/>
  <c r="F50" i="12"/>
  <c r="D50" i="12"/>
  <c r="B50" i="12"/>
  <c r="A50" i="12"/>
  <c r="BQ49" i="12"/>
  <c r="BX49" i="12"/>
  <c r="BO49" i="12"/>
  <c r="BM49" i="12"/>
  <c r="BI49" i="12"/>
  <c r="BH49" i="12"/>
  <c r="BA49" i="12"/>
  <c r="AU49" i="12"/>
  <c r="AR49" i="12"/>
  <c r="AQ49" i="12"/>
  <c r="AP49" i="12"/>
  <c r="O49" i="12"/>
  <c r="G49" i="12"/>
  <c r="D49" i="12"/>
  <c r="A49" i="12"/>
  <c r="Z46" i="12"/>
  <c r="BR46" i="12"/>
  <c r="BE46" i="12"/>
  <c r="BD46" i="12"/>
  <c r="AS46" i="12"/>
  <c r="AR46" i="12"/>
  <c r="AQ46" i="12"/>
  <c r="AP46" i="12"/>
  <c r="AO46" i="12"/>
  <c r="AN46" i="12"/>
  <c r="AL46" i="12"/>
  <c r="AK46" i="12"/>
  <c r="AJ46" i="12"/>
  <c r="AI46" i="12"/>
  <c r="AH46" i="12"/>
  <c r="AC46" i="12"/>
  <c r="AB46" i="12"/>
  <c r="AA46" i="12"/>
  <c r="U46" i="12"/>
  <c r="T46" i="12"/>
  <c r="S46" i="12"/>
  <c r="Q46" i="12"/>
  <c r="BL46" i="12" s="1"/>
  <c r="G46" i="12"/>
  <c r="F46" i="12"/>
  <c r="CF46" i="12" s="1"/>
  <c r="D46" i="12"/>
  <c r="B46" i="12"/>
  <c r="A46" i="12"/>
  <c r="BR45" i="12"/>
  <c r="BE45" i="12"/>
  <c r="BD45" i="12"/>
  <c r="AS45" i="12"/>
  <c r="AR45" i="12"/>
  <c r="AQ45" i="12"/>
  <c r="AP45" i="12"/>
  <c r="AO45" i="12"/>
  <c r="AN45" i="12"/>
  <c r="AL45" i="12"/>
  <c r="AK45" i="12"/>
  <c r="AJ45" i="12"/>
  <c r="AI45" i="12"/>
  <c r="AH45" i="12"/>
  <c r="AC45" i="12"/>
  <c r="AB45" i="12"/>
  <c r="AA45" i="12"/>
  <c r="T45" i="12"/>
  <c r="S45" i="12"/>
  <c r="Q45" i="12"/>
  <c r="BL45" i="12" s="1"/>
  <c r="G45" i="12"/>
  <c r="F45" i="12"/>
  <c r="CF45" i="12" s="1"/>
  <c r="D45" i="12"/>
  <c r="B45" i="12"/>
  <c r="A45" i="12"/>
  <c r="A43" i="12"/>
  <c r="B43" i="12"/>
  <c r="D43" i="12"/>
  <c r="F43" i="12"/>
  <c r="CF43" i="12" s="1"/>
  <c r="G43" i="12"/>
  <c r="Q43" i="12"/>
  <c r="BN43" i="12" s="1"/>
  <c r="S43" i="12"/>
  <c r="T43" i="12"/>
  <c r="Z43" i="12"/>
  <c r="AA43" i="12"/>
  <c r="AB43" i="12"/>
  <c r="AC43" i="12"/>
  <c r="AH43" i="12"/>
  <c r="AI43" i="12"/>
  <c r="AJ43" i="12"/>
  <c r="AK43" i="12"/>
  <c r="AL43" i="12"/>
  <c r="AN43" i="12"/>
  <c r="AO43" i="12"/>
  <c r="BI43" i="12" s="1"/>
  <c r="AP43" i="12"/>
  <c r="AQ43" i="12"/>
  <c r="AR43" i="12"/>
  <c r="AS43" i="12"/>
  <c r="BD43" i="12"/>
  <c r="BE43" i="12"/>
  <c r="BR43" i="12"/>
  <c r="BS43" i="12"/>
  <c r="BR42" i="12"/>
  <c r="BE42" i="12"/>
  <c r="BD42" i="12"/>
  <c r="AS42" i="12"/>
  <c r="AR42" i="12"/>
  <c r="AQ42" i="12"/>
  <c r="AP42" i="12"/>
  <c r="AO42" i="12"/>
  <c r="AN42" i="12"/>
  <c r="AL42" i="12"/>
  <c r="AK42" i="12"/>
  <c r="AJ42" i="12"/>
  <c r="AI42" i="12"/>
  <c r="AH42" i="12"/>
  <c r="AC42" i="12"/>
  <c r="AB42" i="12"/>
  <c r="AA42" i="12"/>
  <c r="Z42" i="12"/>
  <c r="U42" i="12"/>
  <c r="X42" i="12" s="1"/>
  <c r="T42" i="12"/>
  <c r="S42" i="12"/>
  <c r="Q42" i="12"/>
  <c r="G42" i="12"/>
  <c r="F42" i="12"/>
  <c r="CF42" i="12" s="1"/>
  <c r="D42" i="12"/>
  <c r="B42" i="12"/>
  <c r="AG42" i="12" s="1"/>
  <c r="CB42" i="12" s="1"/>
  <c r="A42" i="12"/>
  <c r="BR38" i="12"/>
  <c r="BE38" i="12"/>
  <c r="BD38" i="12"/>
  <c r="AS38" i="12"/>
  <c r="AR38" i="12"/>
  <c r="AQ38" i="12"/>
  <c r="AP38" i="12"/>
  <c r="AO38" i="12"/>
  <c r="AN38" i="12"/>
  <c r="AL38" i="12"/>
  <c r="AK38" i="12"/>
  <c r="AJ38" i="12"/>
  <c r="AI38" i="12"/>
  <c r="AH38" i="12"/>
  <c r="AC38" i="12"/>
  <c r="AB38" i="12"/>
  <c r="AA38" i="12"/>
  <c r="Z38" i="12"/>
  <c r="U38" i="12"/>
  <c r="X38" i="12" s="1"/>
  <c r="T38" i="12"/>
  <c r="V38" i="12" s="1"/>
  <c r="S38" i="12"/>
  <c r="Q38" i="12"/>
  <c r="BL38" i="12" s="1"/>
  <c r="F38" i="12"/>
  <c r="CF38" i="12" s="1"/>
  <c r="D38" i="12"/>
  <c r="B38" i="12"/>
  <c r="AG38" i="12" s="1"/>
  <c r="CB38" i="12" s="1"/>
  <c r="A38" i="12"/>
  <c r="BR36" i="12"/>
  <c r="BE36" i="12"/>
  <c r="BD36" i="12"/>
  <c r="AS36" i="12"/>
  <c r="AR36" i="12"/>
  <c r="AQ36" i="12"/>
  <c r="AP36" i="12"/>
  <c r="AO36" i="12"/>
  <c r="AN36" i="12"/>
  <c r="AL36" i="12"/>
  <c r="AK36" i="12"/>
  <c r="AJ36" i="12"/>
  <c r="AI36" i="12"/>
  <c r="AH36" i="12"/>
  <c r="AC36" i="12"/>
  <c r="AB36" i="12"/>
  <c r="AA36" i="12"/>
  <c r="Z36" i="12"/>
  <c r="U36" i="12"/>
  <c r="T36" i="12"/>
  <c r="V36" i="12" s="1"/>
  <c r="S36" i="12"/>
  <c r="P36" i="12"/>
  <c r="Q36" i="12" s="1"/>
  <c r="F36" i="12"/>
  <c r="D36" i="12"/>
  <c r="B36" i="12"/>
  <c r="A36" i="12"/>
  <c r="BR35" i="12"/>
  <c r="BE35" i="12"/>
  <c r="BD35" i="12"/>
  <c r="AS35" i="12"/>
  <c r="AR35" i="12"/>
  <c r="AQ35" i="12"/>
  <c r="AP35" i="12"/>
  <c r="AO35" i="12"/>
  <c r="AN35" i="12"/>
  <c r="AL35" i="12"/>
  <c r="AK35" i="12"/>
  <c r="AJ35" i="12"/>
  <c r="AI35" i="12"/>
  <c r="AH35" i="12"/>
  <c r="AC35" i="12"/>
  <c r="AB35" i="12"/>
  <c r="AA35" i="12"/>
  <c r="Z35" i="12"/>
  <c r="T35" i="12"/>
  <c r="S35" i="12"/>
  <c r="P35" i="12"/>
  <c r="Q35" i="12" s="1"/>
  <c r="L35" i="12"/>
  <c r="J35" i="12"/>
  <c r="F35" i="12"/>
  <c r="CF35" i="12" s="1"/>
  <c r="D35" i="12"/>
  <c r="B35" i="12"/>
  <c r="A35" i="12"/>
  <c r="BX34" i="12"/>
  <c r="BW34" i="12"/>
  <c r="BQ34" i="12"/>
  <c r="BO34" i="12"/>
  <c r="BM34" i="12"/>
  <c r="BL34" i="12"/>
  <c r="BK34" i="12"/>
  <c r="BJ34" i="12"/>
  <c r="BI34" i="12"/>
  <c r="BH34" i="12"/>
  <c r="BA34" i="12"/>
  <c r="AU34" i="12"/>
  <c r="AR34" i="12"/>
  <c r="AQ34" i="12"/>
  <c r="AP34" i="12"/>
  <c r="O34" i="12"/>
  <c r="G34" i="12"/>
  <c r="D34" i="12"/>
  <c r="A34" i="12"/>
  <c r="BR32" i="12"/>
  <c r="BE32" i="12"/>
  <c r="BD32" i="12"/>
  <c r="AS32" i="12"/>
  <c r="AR32" i="12"/>
  <c r="AQ32" i="12"/>
  <c r="AP32" i="12"/>
  <c r="AO32" i="12"/>
  <c r="AN32" i="12"/>
  <c r="AL32" i="12"/>
  <c r="AK32" i="12"/>
  <c r="AJ32" i="12"/>
  <c r="AI32" i="12"/>
  <c r="AH32" i="12"/>
  <c r="AC32" i="12"/>
  <c r="AB32" i="12"/>
  <c r="AA32" i="12"/>
  <c r="Z32" i="12"/>
  <c r="U32" i="12"/>
  <c r="X32" i="12" s="1"/>
  <c r="T32" i="12"/>
  <c r="V32" i="12" s="1"/>
  <c r="S32" i="12"/>
  <c r="Q32" i="12"/>
  <c r="BL32" i="12" s="1"/>
  <c r="F32" i="12"/>
  <c r="CF32" i="12" s="1"/>
  <c r="D32" i="12"/>
  <c r="B32" i="12"/>
  <c r="A32" i="12"/>
  <c r="BR30" i="12"/>
  <c r="BE30" i="12"/>
  <c r="BD30" i="12"/>
  <c r="AS30" i="12"/>
  <c r="AR30" i="12"/>
  <c r="AQ30" i="12"/>
  <c r="AP30" i="12"/>
  <c r="AO30" i="12"/>
  <c r="AN30" i="12"/>
  <c r="AL30" i="12"/>
  <c r="AK30" i="12"/>
  <c r="AJ30" i="12"/>
  <c r="AI30" i="12"/>
  <c r="AH30" i="12"/>
  <c r="AC30" i="12"/>
  <c r="AB30" i="12"/>
  <c r="AA30" i="12"/>
  <c r="Z30" i="12"/>
  <c r="U30" i="12"/>
  <c r="T30" i="12"/>
  <c r="V30" i="12" s="1"/>
  <c r="S30" i="12"/>
  <c r="F30" i="12"/>
  <c r="D30" i="12"/>
  <c r="B30" i="12"/>
  <c r="A30" i="12"/>
  <c r="BR29" i="12"/>
  <c r="BE29" i="12"/>
  <c r="BD29" i="12"/>
  <c r="AS29" i="12"/>
  <c r="AR29" i="12"/>
  <c r="AQ29" i="12"/>
  <c r="AP29" i="12"/>
  <c r="AO29" i="12"/>
  <c r="AN29" i="12"/>
  <c r="AL29" i="12"/>
  <c r="AK29" i="12"/>
  <c r="AJ29" i="12"/>
  <c r="AI29" i="12"/>
  <c r="AH29" i="12"/>
  <c r="AC29" i="12"/>
  <c r="AB29" i="12"/>
  <c r="AA29" i="12"/>
  <c r="Z29" i="12"/>
  <c r="T29" i="12"/>
  <c r="S29" i="12"/>
  <c r="P29" i="12"/>
  <c r="Q29" i="12" s="1"/>
  <c r="L29" i="12"/>
  <c r="F29" i="12"/>
  <c r="CF29" i="12" s="1"/>
  <c r="D29" i="12"/>
  <c r="B29" i="12"/>
  <c r="A29" i="12"/>
  <c r="BO28" i="12"/>
  <c r="BM28" i="12"/>
  <c r="BL28" i="12"/>
  <c r="BK28" i="12"/>
  <c r="BJ28" i="12"/>
  <c r="BI28" i="12"/>
  <c r="BH28" i="12"/>
  <c r="AU28" i="12"/>
  <c r="AR28" i="12"/>
  <c r="AQ28" i="12"/>
  <c r="AP28" i="12"/>
  <c r="J29" i="12"/>
  <c r="G28" i="12"/>
  <c r="D28" i="12"/>
  <c r="A28" i="12"/>
  <c r="J21" i="12"/>
  <c r="BQ21" i="12" s="1"/>
  <c r="BR25" i="12"/>
  <c r="BE25" i="12"/>
  <c r="BD25" i="12"/>
  <c r="AS25" i="12"/>
  <c r="AR25" i="12"/>
  <c r="AQ25" i="12"/>
  <c r="AP25" i="12"/>
  <c r="AO25" i="12"/>
  <c r="AN25" i="12"/>
  <c r="AL25" i="12"/>
  <c r="AK25" i="12"/>
  <c r="AJ25" i="12"/>
  <c r="AI25" i="12"/>
  <c r="AH25" i="12"/>
  <c r="AC25" i="12"/>
  <c r="AB25" i="12"/>
  <c r="AA25" i="12"/>
  <c r="Z25" i="12"/>
  <c r="U25" i="12"/>
  <c r="X25" i="12" s="1"/>
  <c r="T25" i="12"/>
  <c r="V25" i="12" s="1"/>
  <c r="S25" i="12"/>
  <c r="Q25" i="12"/>
  <c r="BL25" i="12" s="1"/>
  <c r="F25" i="12"/>
  <c r="CF25" i="12" s="1"/>
  <c r="D25" i="12"/>
  <c r="B25" i="12"/>
  <c r="AG25" i="12" s="1"/>
  <c r="CB25" i="12" s="1"/>
  <c r="A25" i="12"/>
  <c r="BR23" i="12"/>
  <c r="BE23" i="12"/>
  <c r="BD23" i="12"/>
  <c r="AS23" i="12"/>
  <c r="AR23" i="12"/>
  <c r="AQ23" i="12"/>
  <c r="AP23" i="12"/>
  <c r="AO23" i="12"/>
  <c r="AN23" i="12"/>
  <c r="AL23" i="12"/>
  <c r="AK23" i="12"/>
  <c r="AJ23" i="12"/>
  <c r="AI23" i="12"/>
  <c r="AH23" i="12"/>
  <c r="AC23" i="12"/>
  <c r="AB23" i="12"/>
  <c r="AA23" i="12"/>
  <c r="Z23" i="12"/>
  <c r="U23" i="12"/>
  <c r="T23" i="12"/>
  <c r="V23" i="12" s="1"/>
  <c r="S23" i="12"/>
  <c r="P23" i="12"/>
  <c r="Q23" i="12" s="1"/>
  <c r="F23" i="12"/>
  <c r="D23" i="12"/>
  <c r="B23" i="12"/>
  <c r="A23" i="12"/>
  <c r="BR22" i="12"/>
  <c r="BE22" i="12"/>
  <c r="BD22" i="12"/>
  <c r="AS22" i="12"/>
  <c r="AR22" i="12"/>
  <c r="AQ22" i="12"/>
  <c r="AP22" i="12"/>
  <c r="AO22" i="12"/>
  <c r="AN22" i="12"/>
  <c r="AL22" i="12"/>
  <c r="AK22" i="12"/>
  <c r="AJ22" i="12"/>
  <c r="AI22" i="12"/>
  <c r="AH22" i="12"/>
  <c r="AC22" i="12"/>
  <c r="AB22" i="12"/>
  <c r="AA22" i="12"/>
  <c r="Z22" i="12"/>
  <c r="T22" i="12"/>
  <c r="S22" i="12"/>
  <c r="P22" i="12"/>
  <c r="Q22" i="12" s="1"/>
  <c r="L22" i="12"/>
  <c r="F22" i="12"/>
  <c r="CF22" i="12" s="1"/>
  <c r="D22" i="12"/>
  <c r="B22" i="12"/>
  <c r="A22" i="12"/>
  <c r="BO21" i="12"/>
  <c r="BM21" i="12"/>
  <c r="BL21" i="12"/>
  <c r="BJ21" i="12"/>
  <c r="BI21" i="12"/>
  <c r="BH21" i="12"/>
  <c r="AU21" i="12"/>
  <c r="AR21" i="12"/>
  <c r="AQ21" i="12"/>
  <c r="AP21" i="12"/>
  <c r="G21" i="12"/>
  <c r="D21" i="12"/>
  <c r="A21" i="12"/>
  <c r="BR18" i="12"/>
  <c r="BE18" i="12"/>
  <c r="BD18" i="12"/>
  <c r="AS18" i="12"/>
  <c r="AR18" i="12"/>
  <c r="AQ18" i="12"/>
  <c r="AP18" i="12"/>
  <c r="AO18" i="12"/>
  <c r="AN18" i="12"/>
  <c r="AL18" i="12"/>
  <c r="AK18" i="12"/>
  <c r="AJ18" i="12"/>
  <c r="AI18" i="12"/>
  <c r="AH18" i="12"/>
  <c r="AC18" i="12"/>
  <c r="AB18" i="12"/>
  <c r="AA18" i="12"/>
  <c r="Z18" i="12"/>
  <c r="U18" i="12"/>
  <c r="X18" i="12" s="1"/>
  <c r="T18" i="12"/>
  <c r="V18" i="12" s="1"/>
  <c r="S18" i="12"/>
  <c r="Q18" i="12"/>
  <c r="BL18" i="12" s="1"/>
  <c r="F18" i="12"/>
  <c r="CF18" i="12" s="1"/>
  <c r="D18" i="12"/>
  <c r="B18" i="12"/>
  <c r="AG18" i="12" s="1"/>
  <c r="CB18" i="12" s="1"/>
  <c r="A18" i="12"/>
  <c r="BR16" i="12"/>
  <c r="BE16" i="12"/>
  <c r="BD16" i="12"/>
  <c r="AS16" i="12"/>
  <c r="AR16" i="12"/>
  <c r="AQ16" i="12"/>
  <c r="AP16" i="12"/>
  <c r="AO16" i="12"/>
  <c r="AN16" i="12"/>
  <c r="AL16" i="12"/>
  <c r="AK16" i="12"/>
  <c r="AJ16" i="12"/>
  <c r="AI16" i="12"/>
  <c r="AH16" i="12"/>
  <c r="AC16" i="12"/>
  <c r="AB16" i="12"/>
  <c r="AA16" i="12"/>
  <c r="Z16" i="12"/>
  <c r="U16" i="12"/>
  <c r="T16" i="12"/>
  <c r="V16" i="12" s="1"/>
  <c r="S16" i="12"/>
  <c r="P16" i="12"/>
  <c r="Q16" i="12" s="1"/>
  <c r="F16" i="12"/>
  <c r="D16" i="12"/>
  <c r="B16" i="12"/>
  <c r="A16" i="12"/>
  <c r="BR15" i="12"/>
  <c r="BE15" i="12"/>
  <c r="BD15" i="12"/>
  <c r="AS15" i="12"/>
  <c r="AR15" i="12"/>
  <c r="AQ15" i="12"/>
  <c r="AP15" i="12"/>
  <c r="AO15" i="12"/>
  <c r="AN15" i="12"/>
  <c r="AL15" i="12"/>
  <c r="AK15" i="12"/>
  <c r="AJ15" i="12"/>
  <c r="AI15" i="12"/>
  <c r="AH15" i="12"/>
  <c r="AC15" i="12"/>
  <c r="AB15" i="12"/>
  <c r="AA15" i="12"/>
  <c r="Z15" i="12"/>
  <c r="T15" i="12"/>
  <c r="S15" i="12"/>
  <c r="P15" i="12"/>
  <c r="Q15" i="12" s="1"/>
  <c r="L15" i="12"/>
  <c r="J15" i="12"/>
  <c r="F15" i="12"/>
  <c r="CF15" i="12" s="1"/>
  <c r="D15" i="12"/>
  <c r="B15" i="12"/>
  <c r="A15" i="12"/>
  <c r="BX14" i="12"/>
  <c r="BW14" i="12"/>
  <c r="BQ14" i="12"/>
  <c r="BO14" i="12"/>
  <c r="BM14" i="12"/>
  <c r="BL14" i="12"/>
  <c r="BK14" i="12"/>
  <c r="BJ14" i="12"/>
  <c r="BI14" i="12"/>
  <c r="BH14" i="12"/>
  <c r="BA14" i="12"/>
  <c r="AU14" i="12"/>
  <c r="AR14" i="12"/>
  <c r="AQ14" i="12"/>
  <c r="AP14" i="12"/>
  <c r="O14" i="12"/>
  <c r="G14" i="12"/>
  <c r="D14" i="12"/>
  <c r="A14" i="12"/>
  <c r="W193" i="12" l="1"/>
  <c r="AW193" i="12"/>
  <c r="AY193" i="12" s="1"/>
  <c r="BG171" i="12"/>
  <c r="BV171" i="12" s="1"/>
  <c r="BJ171" i="12"/>
  <c r="BH171" i="12"/>
  <c r="BF171" i="12"/>
  <c r="BU171" i="12" s="1"/>
  <c r="BT171" i="12"/>
  <c r="CD148" i="12"/>
  <c r="BI171" i="12"/>
  <c r="BL184" i="12"/>
  <c r="BW184" i="12"/>
  <c r="BN184" i="12"/>
  <c r="BK184" i="12"/>
  <c r="BJ184" i="12"/>
  <c r="BI184" i="12"/>
  <c r="AU184" i="12"/>
  <c r="BH74" i="12"/>
  <c r="BN74" i="12"/>
  <c r="BW74" i="12"/>
  <c r="BI175" i="12"/>
  <c r="BQ175" i="12"/>
  <c r="AU171" i="12"/>
  <c r="AW175" i="12"/>
  <c r="AY175" i="12" s="1"/>
  <c r="BP175" i="12" s="1"/>
  <c r="Y177" i="12"/>
  <c r="N177" i="12" s="1"/>
  <c r="AW177" i="12"/>
  <c r="AY177" i="12" s="1"/>
  <c r="BX88" i="12"/>
  <c r="AU147" i="12"/>
  <c r="BT151" i="12"/>
  <c r="BF176" i="12"/>
  <c r="BU176" i="12" s="1"/>
  <c r="L180" i="12"/>
  <c r="BM180" i="12" s="1"/>
  <c r="BS183" i="12"/>
  <c r="BS197" i="12"/>
  <c r="BW151" i="12"/>
  <c r="AE161" i="12"/>
  <c r="BZ161" i="12" s="1"/>
  <c r="BG176" i="12"/>
  <c r="BV176" i="12" s="1"/>
  <c r="AU178" i="12"/>
  <c r="BS184" i="12"/>
  <c r="O196" i="12"/>
  <c r="BQ196" i="12"/>
  <c r="BT197" i="12"/>
  <c r="BH176" i="12"/>
  <c r="BT177" i="12"/>
  <c r="BS178" i="12"/>
  <c r="BT179" i="12"/>
  <c r="BT184" i="12"/>
  <c r="BF197" i="12"/>
  <c r="BU197" i="12" s="1"/>
  <c r="BI176" i="12"/>
  <c r="BJ177" i="12"/>
  <c r="BT178" i="12"/>
  <c r="BI183" i="12"/>
  <c r="BM184" i="12"/>
  <c r="Q185" i="12"/>
  <c r="AU185" i="12" s="1"/>
  <c r="BS196" i="12"/>
  <c r="BW196" i="12"/>
  <c r="BI197" i="12"/>
  <c r="AG113" i="12"/>
  <c r="CB113" i="12" s="1"/>
  <c r="BT105" i="12"/>
  <c r="AG118" i="12"/>
  <c r="AD149" i="12"/>
  <c r="BY149" i="12" s="1"/>
  <c r="O151" i="12"/>
  <c r="BA156" i="12"/>
  <c r="L160" i="12"/>
  <c r="AG161" i="12"/>
  <c r="CB161" i="12" s="1"/>
  <c r="BS162" i="12"/>
  <c r="AF170" i="12"/>
  <c r="CA170" i="12" s="1"/>
  <c r="AT171" i="12"/>
  <c r="BJ176" i="12"/>
  <c r="BL177" i="12"/>
  <c r="BT196" i="12"/>
  <c r="BW21" i="12"/>
  <c r="BJ18" i="12"/>
  <c r="O21" i="12"/>
  <c r="BX21" i="12"/>
  <c r="BH43" i="12"/>
  <c r="BS51" i="12"/>
  <c r="BL58" i="12"/>
  <c r="BJ62" i="12"/>
  <c r="BJ74" i="12"/>
  <c r="L89" i="12"/>
  <c r="BQ89" i="12" s="1"/>
  <c r="BS105" i="12"/>
  <c r="AF118" i="12"/>
  <c r="CA118" i="12" s="1"/>
  <c r="AG120" i="12"/>
  <c r="CB120" i="12" s="1"/>
  <c r="BQ124" i="12"/>
  <c r="AG133" i="12"/>
  <c r="CB133" i="12" s="1"/>
  <c r="BJ142" i="12"/>
  <c r="BI148" i="12"/>
  <c r="BI160" i="12"/>
  <c r="AU172" i="12"/>
  <c r="BB191" i="12"/>
  <c r="BM193" i="12"/>
  <c r="BH196" i="12"/>
  <c r="AU197" i="12"/>
  <c r="BK51" i="12"/>
  <c r="BG43" i="12"/>
  <c r="BV43" i="12" s="1"/>
  <c r="BQ54" i="12"/>
  <c r="BW59" i="12"/>
  <c r="AG81" i="12"/>
  <c r="CB81" i="12" s="1"/>
  <c r="AU91" i="12"/>
  <c r="BI112" i="12"/>
  <c r="BI114" i="12"/>
  <c r="AG117" i="12"/>
  <c r="CB117" i="12" s="1"/>
  <c r="BW124" i="12"/>
  <c r="AF149" i="12"/>
  <c r="CA149" i="12" s="1"/>
  <c r="CC149" i="12" s="1"/>
  <c r="AE152" i="12"/>
  <c r="BZ152" i="12" s="1"/>
  <c r="J161" i="12"/>
  <c r="BS171" i="12"/>
  <c r="AG173" i="12"/>
  <c r="CB173" i="12" s="1"/>
  <c r="BJ178" i="12"/>
  <c r="AE181" i="12"/>
  <c r="BZ181" i="12" s="1"/>
  <c r="BS193" i="12"/>
  <c r="BI196" i="12"/>
  <c r="BJ197" i="12"/>
  <c r="BQ109" i="12"/>
  <c r="CC152" i="12"/>
  <c r="AT152" i="12"/>
  <c r="BK160" i="12"/>
  <c r="AD168" i="12"/>
  <c r="BY168" i="12" s="1"/>
  <c r="AD173" i="12"/>
  <c r="BI177" i="12"/>
  <c r="AW184" i="12"/>
  <c r="AY184" i="12" s="1"/>
  <c r="BO184" i="12"/>
  <c r="BJ196" i="12"/>
  <c r="AU198" i="12"/>
  <c r="BI38" i="12"/>
  <c r="BL43" i="12"/>
  <c r="AG36" i="12"/>
  <c r="CB36" i="12" s="1"/>
  <c r="BT92" i="12"/>
  <c r="AE92" i="12"/>
  <c r="BZ92" i="12" s="1"/>
  <c r="BN109" i="12"/>
  <c r="BF110" i="12"/>
  <c r="BU110" i="12" s="1"/>
  <c r="BQ106" i="12"/>
  <c r="AG136" i="12"/>
  <c r="CB136" i="12" s="1"/>
  <c r="AG148" i="12"/>
  <c r="CB148" i="12" s="1"/>
  <c r="AD150" i="12"/>
  <c r="BY150" i="12" s="1"/>
  <c r="AD155" i="12"/>
  <c r="BY155" i="12" s="1"/>
  <c r="AE158" i="12"/>
  <c r="BZ158" i="12" s="1"/>
  <c r="AD167" i="12"/>
  <c r="BY167" i="12" s="1"/>
  <c r="AE168" i="12"/>
  <c r="BZ168" i="12" s="1"/>
  <c r="AF171" i="12"/>
  <c r="CA171" i="12" s="1"/>
  <c r="CC171" i="12" s="1"/>
  <c r="AE173" i="12"/>
  <c r="BZ173" i="12" s="1"/>
  <c r="BS174" i="12"/>
  <c r="AG175" i="12"/>
  <c r="CB175" i="12" s="1"/>
  <c r="BB182" i="12"/>
  <c r="BQ188" i="12"/>
  <c r="AE191" i="12"/>
  <c r="BZ191" i="12" s="1"/>
  <c r="CD191" i="12" s="1"/>
  <c r="N193" i="12"/>
  <c r="BI193" i="12"/>
  <c r="BS198" i="12"/>
  <c r="J22" i="12"/>
  <c r="BN22" i="12" s="1"/>
  <c r="BS92" i="12"/>
  <c r="BL114" i="12"/>
  <c r="BN106" i="12"/>
  <c r="BI120" i="12"/>
  <c r="BJ133" i="12"/>
  <c r="BL136" i="12"/>
  <c r="BS140" i="12"/>
  <c r="BS145" i="12"/>
  <c r="BT149" i="12"/>
  <c r="AE150" i="12"/>
  <c r="BZ150" i="12" s="1"/>
  <c r="BB150" i="12"/>
  <c r="AG158" i="12"/>
  <c r="CB158" i="12" s="1"/>
  <c r="AE167" i="12"/>
  <c r="BZ167" i="12" s="1"/>
  <c r="AF168" i="12"/>
  <c r="CA168" i="12" s="1"/>
  <c r="CC168" i="12" s="1"/>
  <c r="BB168" i="12"/>
  <c r="AG170" i="12"/>
  <c r="CB170" i="12" s="1"/>
  <c r="AT170" i="12"/>
  <c r="BG172" i="12"/>
  <c r="BV172" i="12" s="1"/>
  <c r="BF174" i="12"/>
  <c r="BU174" i="12" s="1"/>
  <c r="AT175" i="12"/>
  <c r="AF176" i="12"/>
  <c r="CA176" i="12" s="1"/>
  <c r="CC176" i="12" s="1"/>
  <c r="AU176" i="12"/>
  <c r="AD181" i="12"/>
  <c r="BY181" i="12" s="1"/>
  <c r="AU181" i="12"/>
  <c r="AD186" i="12"/>
  <c r="BY186" i="12" s="1"/>
  <c r="CD186" i="12" s="1"/>
  <c r="AG191" i="12"/>
  <c r="CB191" i="12" s="1"/>
  <c r="CC191" i="12" s="1"/>
  <c r="CE191" i="12" s="1"/>
  <c r="BQ192" i="12"/>
  <c r="BX192" i="12"/>
  <c r="BJ193" i="12"/>
  <c r="BL196" i="12"/>
  <c r="BJ38" i="12"/>
  <c r="AG55" i="12"/>
  <c r="CB55" i="12" s="1"/>
  <c r="BJ51" i="12"/>
  <c r="BS62" i="12"/>
  <c r="O88" i="12"/>
  <c r="BQ88" i="12"/>
  <c r="BS110" i="12"/>
  <c r="BK114" i="12"/>
  <c r="BI105" i="12"/>
  <c r="BL106" i="12"/>
  <c r="BK121" i="12"/>
  <c r="BS124" i="12"/>
  <c r="BT140" i="12"/>
  <c r="BB144" i="12"/>
  <c r="BG149" i="12"/>
  <c r="BV149" i="12" s="1"/>
  <c r="AF150" i="12"/>
  <c r="CA150" i="12" s="1"/>
  <c r="CC150" i="12" s="1"/>
  <c r="AW158" i="12"/>
  <c r="AY158" i="12" s="1"/>
  <c r="BP158" i="12" s="1"/>
  <c r="BJ161" i="12"/>
  <c r="AF167" i="12"/>
  <c r="CA167" i="12" s="1"/>
  <c r="BG174" i="12"/>
  <c r="BV174" i="12" s="1"/>
  <c r="AD177" i="12"/>
  <c r="BY177" i="12" s="1"/>
  <c r="Q186" i="12"/>
  <c r="AE186" i="12"/>
  <c r="BZ186" i="12" s="1"/>
  <c r="AD188" i="12"/>
  <c r="BY188" i="12" s="1"/>
  <c r="AD190" i="12"/>
  <c r="BY190" i="12" s="1"/>
  <c r="O192" i="12"/>
  <c r="BS192" i="12"/>
  <c r="BK193" i="12"/>
  <c r="BW88" i="12"/>
  <c r="BF114" i="12"/>
  <c r="BU114" i="12" s="1"/>
  <c r="AD114" i="12"/>
  <c r="BY114" i="12" s="1"/>
  <c r="CD114" i="12" s="1"/>
  <c r="BJ105" i="12"/>
  <c r="BH149" i="12"/>
  <c r="AD164" i="12"/>
  <c r="BY164" i="12" s="1"/>
  <c r="BJ172" i="12"/>
  <c r="BT176" i="12"/>
  <c r="AE177" i="12"/>
  <c r="BT181" i="12"/>
  <c r="AD182" i="12"/>
  <c r="BY182" i="12" s="1"/>
  <c r="AF186" i="12"/>
  <c r="CA186" i="12" s="1"/>
  <c r="AE188" i="12"/>
  <c r="BZ188" i="12" s="1"/>
  <c r="BT192" i="12"/>
  <c r="L197" i="12"/>
  <c r="BN197" i="12" s="1"/>
  <c r="AD197" i="12"/>
  <c r="BY197" i="12" s="1"/>
  <c r="CD197" i="12" s="1"/>
  <c r="Q198" i="12"/>
  <c r="BI198" i="12" s="1"/>
  <c r="BF146" i="12"/>
  <c r="BU146" i="12" s="1"/>
  <c r="BK146" i="12"/>
  <c r="AU146" i="12"/>
  <c r="BH146" i="12"/>
  <c r="BG146" i="12"/>
  <c r="BV146" i="12" s="1"/>
  <c r="BQ146" i="12"/>
  <c r="N145" i="12"/>
  <c r="O145" i="12" s="1"/>
  <c r="W147" i="12"/>
  <c r="N147" i="12" s="1"/>
  <c r="AW147" i="12"/>
  <c r="AY147" i="12" s="1"/>
  <c r="BA147" i="12" s="1"/>
  <c r="BF162" i="12"/>
  <c r="BU162" i="12" s="1"/>
  <c r="BJ162" i="12"/>
  <c r="BH162" i="12"/>
  <c r="BG162" i="12"/>
  <c r="BV162" i="12" s="1"/>
  <c r="BT162" i="12"/>
  <c r="Y179" i="12"/>
  <c r="AW179" i="12"/>
  <c r="AY179" i="12" s="1"/>
  <c r="BG145" i="12"/>
  <c r="BV145" i="12" s="1"/>
  <c r="CD154" i="12"/>
  <c r="AW157" i="12"/>
  <c r="AY157" i="12" s="1"/>
  <c r="BP157" i="12" s="1"/>
  <c r="W157" i="12"/>
  <c r="N157" i="12" s="1"/>
  <c r="AD163" i="12"/>
  <c r="BY163" i="12" s="1"/>
  <c r="AG163" i="12"/>
  <c r="CB163" i="12" s="1"/>
  <c r="BB163" i="12"/>
  <c r="AF163" i="12"/>
  <c r="CA163" i="12" s="1"/>
  <c r="CC163" i="12" s="1"/>
  <c r="AE163" i="12"/>
  <c r="BZ163" i="12" s="1"/>
  <c r="BB169" i="12"/>
  <c r="AG169" i="12"/>
  <c r="CB169" i="12" s="1"/>
  <c r="AF169" i="12"/>
  <c r="CA169" i="12" s="1"/>
  <c r="CC169" i="12" s="1"/>
  <c r="AE169" i="12"/>
  <c r="BZ169" i="12" s="1"/>
  <c r="AD169" i="12"/>
  <c r="BY169" i="12" s="1"/>
  <c r="CD169" i="12" s="1"/>
  <c r="BH145" i="12"/>
  <c r="BI145" i="12"/>
  <c r="BJ145" i="12"/>
  <c r="BO147" i="12"/>
  <c r="BF145" i="12"/>
  <c r="BU145" i="12" s="1"/>
  <c r="AG145" i="12"/>
  <c r="CB145" i="12" s="1"/>
  <c r="L167" i="12"/>
  <c r="L164" i="12"/>
  <c r="BQ171" i="12"/>
  <c r="BN171" i="12"/>
  <c r="BK171" i="12"/>
  <c r="BW171" i="12"/>
  <c r="AW172" i="12"/>
  <c r="AY172" i="12" s="1"/>
  <c r="W172" i="12"/>
  <c r="N172" i="12" s="1"/>
  <c r="AW165" i="12"/>
  <c r="AY165" i="12" s="1"/>
  <c r="BA165" i="12" s="1"/>
  <c r="Y165" i="12"/>
  <c r="BM146" i="12"/>
  <c r="BS146" i="12"/>
  <c r="AX148" i="12"/>
  <c r="AZ148" i="12" s="1"/>
  <c r="W152" i="12"/>
  <c r="N152" i="12" s="1"/>
  <c r="AW152" i="12"/>
  <c r="AY152" i="12" s="1"/>
  <c r="BA152" i="12" s="1"/>
  <c r="BJ153" i="12"/>
  <c r="BK153" i="12"/>
  <c r="BH153" i="12"/>
  <c r="BG153" i="12"/>
  <c r="BV153" i="12" s="1"/>
  <c r="BF153" i="12"/>
  <c r="BU153" i="12" s="1"/>
  <c r="CC154" i="12"/>
  <c r="N164" i="12"/>
  <c r="BZ177" i="12"/>
  <c r="CD177" i="12" s="1"/>
  <c r="AX177" i="12"/>
  <c r="AZ177" i="12" s="1"/>
  <c r="AU177" i="12"/>
  <c r="AT177" i="12"/>
  <c r="AT157" i="12"/>
  <c r="AW145" i="12"/>
  <c r="AY145" i="12" s="1"/>
  <c r="W145" i="12"/>
  <c r="BQ145" i="12"/>
  <c r="BL146" i="12"/>
  <c r="BO153" i="12"/>
  <c r="AG159" i="12"/>
  <c r="CB159" i="12" s="1"/>
  <c r="AF159" i="12"/>
  <c r="CA159" i="12" s="1"/>
  <c r="CC159" i="12" s="1"/>
  <c r="BB159" i="12"/>
  <c r="AD159" i="12"/>
  <c r="BY159" i="12" s="1"/>
  <c r="AE159" i="12"/>
  <c r="BZ159" i="12" s="1"/>
  <c r="W148" i="12"/>
  <c r="N148" i="12" s="1"/>
  <c r="AW148" i="12"/>
  <c r="AY148" i="12" s="1"/>
  <c r="CC144" i="12"/>
  <c r="BT146" i="12"/>
  <c r="BN145" i="12"/>
  <c r="AE145" i="12"/>
  <c r="BZ145" i="12" s="1"/>
  <c r="AT145" i="12"/>
  <c r="AU145" i="12"/>
  <c r="BJ146" i="12"/>
  <c r="BT148" i="12"/>
  <c r="BW149" i="12"/>
  <c r="AW153" i="12"/>
  <c r="AY153" i="12" s="1"/>
  <c r="BP153" i="12" s="1"/>
  <c r="W153" i="12"/>
  <c r="N153" i="12" s="1"/>
  <c r="BY158" i="12"/>
  <c r="BO145" i="12"/>
  <c r="BA145" i="12"/>
  <c r="BM145" i="12"/>
  <c r="N179" i="12"/>
  <c r="O179" i="12" s="1"/>
  <c r="AD145" i="12"/>
  <c r="BY145" i="12" s="1"/>
  <c r="CD145" i="12" s="1"/>
  <c r="BL145" i="12"/>
  <c r="AF145" i="12"/>
  <c r="CA145" i="12" s="1"/>
  <c r="CC145" i="12" s="1"/>
  <c r="AW146" i="12"/>
  <c r="AY146" i="12" s="1"/>
  <c r="BI146" i="12"/>
  <c r="BS147" i="12"/>
  <c r="BL147" i="12"/>
  <c r="BH147" i="12"/>
  <c r="BJ147" i="12"/>
  <c r="BI147" i="12"/>
  <c r="BL148" i="12"/>
  <c r="BS148" i="12"/>
  <c r="BH148" i="12"/>
  <c r="BJ148" i="12"/>
  <c r="BF148" i="12"/>
  <c r="BU148" i="12" s="1"/>
  <c r="CD149" i="12"/>
  <c r="CE149" i="12" s="1"/>
  <c r="BM149" i="12"/>
  <c r="BL149" i="12"/>
  <c r="BQ149" i="12"/>
  <c r="BN149" i="12"/>
  <c r="BQ151" i="12"/>
  <c r="Q152" i="12"/>
  <c r="BL152" i="12" s="1"/>
  <c r="Q155" i="12"/>
  <c r="BT155" i="12" s="1"/>
  <c r="BL151" i="12"/>
  <c r="BK151" i="12"/>
  <c r="BJ151" i="12"/>
  <c r="BX151" i="12"/>
  <c r="BI151" i="12"/>
  <c r="BH151" i="12"/>
  <c r="BS153" i="12"/>
  <c r="BY157" i="12"/>
  <c r="AX157" i="12"/>
  <c r="AW162" i="12"/>
  <c r="AY162" i="12" s="1"/>
  <c r="AE166" i="12"/>
  <c r="BZ166" i="12" s="1"/>
  <c r="AG166" i="12"/>
  <c r="CB166" i="12" s="1"/>
  <c r="AF166" i="12"/>
  <c r="CA166" i="12" s="1"/>
  <c r="AD166" i="12"/>
  <c r="BY166" i="12" s="1"/>
  <c r="AT176" i="12"/>
  <c r="N198" i="12"/>
  <c r="AF146" i="12"/>
  <c r="CA146" i="12" s="1"/>
  <c r="CC146" i="12" s="1"/>
  <c r="AG147" i="12"/>
  <c r="CB147" i="12" s="1"/>
  <c r="AT147" i="12"/>
  <c r="BA148" i="12"/>
  <c r="AU149" i="12"/>
  <c r="AU152" i="12"/>
  <c r="N158" i="12"/>
  <c r="L157" i="12" s="1"/>
  <c r="AE160" i="12"/>
  <c r="BZ160" i="12" s="1"/>
  <c r="AG160" i="12"/>
  <c r="CB160" i="12" s="1"/>
  <c r="BB160" i="12"/>
  <c r="AF160" i="12"/>
  <c r="CA160" i="12" s="1"/>
  <c r="AD160" i="12"/>
  <c r="BY160" i="12" s="1"/>
  <c r="AT185" i="12"/>
  <c r="BA193" i="12"/>
  <c r="BK188" i="12"/>
  <c r="BJ188" i="12"/>
  <c r="BI188" i="12"/>
  <c r="BW188" i="12"/>
  <c r="BH188" i="12"/>
  <c r="Q189" i="12"/>
  <c r="BO158" i="12"/>
  <c r="BA158" i="12"/>
  <c r="BO167" i="12"/>
  <c r="AU148" i="12"/>
  <c r="BO148" i="12"/>
  <c r="BK185" i="12"/>
  <c r="BF185" i="12"/>
  <c r="BU185" i="12" s="1"/>
  <c r="BS185" i="12"/>
  <c r="BI185" i="12"/>
  <c r="BH185" i="12"/>
  <c r="BG185" i="12"/>
  <c r="BV185" i="12" s="1"/>
  <c r="BT185" i="12"/>
  <c r="CD171" i="12"/>
  <c r="BL171" i="12"/>
  <c r="AT148" i="12"/>
  <c r="BI153" i="12"/>
  <c r="BI162" i="12"/>
  <c r="N165" i="12"/>
  <c r="O165" i="12" s="1"/>
  <c r="BG173" i="12"/>
  <c r="BV173" i="12" s="1"/>
  <c r="BF173" i="12"/>
  <c r="BU173" i="12" s="1"/>
  <c r="BT173" i="12"/>
  <c r="W175" i="12"/>
  <c r="N175" i="12" s="1"/>
  <c r="BO176" i="12"/>
  <c r="O156" i="12"/>
  <c r="L158" i="12"/>
  <c r="AE165" i="12"/>
  <c r="BZ165" i="12" s="1"/>
  <c r="AD165" i="12"/>
  <c r="BY165" i="12" s="1"/>
  <c r="CD165" i="12" s="1"/>
  <c r="AG165" i="12"/>
  <c r="CB165" i="12" s="1"/>
  <c r="AF165" i="12"/>
  <c r="CA165" i="12" s="1"/>
  <c r="CC165" i="12" s="1"/>
  <c r="AU173" i="12"/>
  <c r="BQ180" i="12"/>
  <c r="BX180" i="12"/>
  <c r="BL180" i="12"/>
  <c r="BW180" i="12"/>
  <c r="AD156" i="12"/>
  <c r="BK145" i="12"/>
  <c r="BW145" i="12"/>
  <c r="W146" i="12"/>
  <c r="N146" i="12" s="1"/>
  <c r="BW146" i="12"/>
  <c r="AF151" i="12"/>
  <c r="CA151" i="12" s="1"/>
  <c r="CC151" i="12" s="1"/>
  <c r="AE151" i="12"/>
  <c r="BZ151" i="12" s="1"/>
  <c r="AD151" i="12"/>
  <c r="BY151" i="12" s="1"/>
  <c r="CD151" i="12" s="1"/>
  <c r="AD152" i="12"/>
  <c r="BY152" i="12" s="1"/>
  <c r="CD152" i="12" s="1"/>
  <c r="CE152" i="12" s="1"/>
  <c r="AD144" i="12"/>
  <c r="BY144" i="12" s="1"/>
  <c r="AE149" i="12"/>
  <c r="BZ149" i="12" s="1"/>
  <c r="AW149" i="12"/>
  <c r="AY149" i="12" s="1"/>
  <c r="BP149" i="12" s="1"/>
  <c r="CF149" i="12" s="1"/>
  <c r="W149" i="12"/>
  <c r="N149" i="12" s="1"/>
  <c r="BX149" i="12" s="1"/>
  <c r="BA149" i="12"/>
  <c r="BN153" i="12"/>
  <c r="AD153" i="12"/>
  <c r="AZ157" i="12"/>
  <c r="BB157" i="12" s="1"/>
  <c r="BW160" i="12"/>
  <c r="BA160" i="12"/>
  <c r="BQ160" i="12"/>
  <c r="O160" i="12"/>
  <c r="BT160" i="12"/>
  <c r="AE162" i="12"/>
  <c r="BZ162" i="12" s="1"/>
  <c r="AG162" i="12"/>
  <c r="CB162" i="12" s="1"/>
  <c r="AF162" i="12"/>
  <c r="CA162" i="12" s="1"/>
  <c r="AD162" i="12"/>
  <c r="BP167" i="12"/>
  <c r="AW170" i="12"/>
  <c r="AY170" i="12" s="1"/>
  <c r="W170" i="12"/>
  <c r="N170" i="12" s="1"/>
  <c r="O170" i="12" s="1"/>
  <c r="AW176" i="12"/>
  <c r="AY176" i="12" s="1"/>
  <c r="BP176" i="12" s="1"/>
  <c r="W176" i="12"/>
  <c r="BO157" i="12"/>
  <c r="BS149" i="12"/>
  <c r="AE156" i="12"/>
  <c r="BZ156" i="12" s="1"/>
  <c r="AW166" i="12"/>
  <c r="AY166" i="12" s="1"/>
  <c r="BA166" i="12" s="1"/>
  <c r="BN180" i="12"/>
  <c r="BO177" i="12"/>
  <c r="BB177" i="12"/>
  <c r="BA177" i="12"/>
  <c r="BP177" i="12"/>
  <c r="AT167" i="12"/>
  <c r="AE144" i="12"/>
  <c r="BZ144" i="12" s="1"/>
  <c r="CD146" i="12"/>
  <c r="BN146" i="12"/>
  <c r="AF153" i="12"/>
  <c r="CA153" i="12" s="1"/>
  <c r="CC153" i="12" s="1"/>
  <c r="AU153" i="12"/>
  <c r="BP156" i="12"/>
  <c r="AF156" i="12"/>
  <c r="CA156" i="12" s="1"/>
  <c r="CC156" i="12" s="1"/>
  <c r="AU161" i="12"/>
  <c r="CC160" i="12"/>
  <c r="W161" i="12"/>
  <c r="N161" i="12" s="1"/>
  <c r="AW161" i="12"/>
  <c r="AY161" i="12" s="1"/>
  <c r="BA161" i="12" s="1"/>
  <c r="AU162" i="12"/>
  <c r="AG172" i="12"/>
  <c r="CB172" i="12" s="1"/>
  <c r="AF172" i="12"/>
  <c r="CA172" i="12" s="1"/>
  <c r="AE172" i="12"/>
  <c r="BZ172" i="12" s="1"/>
  <c r="AD172" i="12"/>
  <c r="BY172" i="12" s="1"/>
  <c r="CD172" i="12" s="1"/>
  <c r="Y173" i="12"/>
  <c r="N173" i="12" s="1"/>
  <c r="AW173" i="12"/>
  <c r="AY173" i="12" s="1"/>
  <c r="BA173" i="12" s="1"/>
  <c r="BH173" i="12"/>
  <c r="AW181" i="12"/>
  <c r="AY181" i="12" s="1"/>
  <c r="BA181" i="12" s="1"/>
  <c r="W181" i="12"/>
  <c r="N181" i="12" s="1"/>
  <c r="BH161" i="12"/>
  <c r="Q164" i="12"/>
  <c r="AW167" i="12"/>
  <c r="AY167" i="12" s="1"/>
  <c r="BA167" i="12" s="1"/>
  <c r="W167" i="12"/>
  <c r="N167" i="12" s="1"/>
  <c r="L166" i="12" s="1"/>
  <c r="N176" i="12"/>
  <c r="BA184" i="12"/>
  <c r="BP184" i="12"/>
  <c r="BM152" i="12"/>
  <c r="BI161" i="12"/>
  <c r="BO166" i="12"/>
  <c r="CC170" i="12"/>
  <c r="BQ170" i="12"/>
  <c r="N171" i="12"/>
  <c r="BX171" i="12" s="1"/>
  <c r="AW180" i="12"/>
  <c r="AY180" i="12" s="1"/>
  <c r="W180" i="12"/>
  <c r="N180" i="12" s="1"/>
  <c r="O180" i="12" s="1"/>
  <c r="W184" i="12"/>
  <c r="N184" i="12" s="1"/>
  <c r="AW186" i="12"/>
  <c r="AY186" i="12" s="1"/>
  <c r="BP186" i="12" s="1"/>
  <c r="W186" i="12"/>
  <c r="N186" i="12" s="1"/>
  <c r="Q190" i="12"/>
  <c r="BJ190" i="12" s="1"/>
  <c r="Q165" i="12"/>
  <c r="AU165" i="12" s="1"/>
  <c r="N166" i="12"/>
  <c r="BL174" i="12"/>
  <c r="BT174" i="12"/>
  <c r="AG184" i="12"/>
  <c r="CB184" i="12" s="1"/>
  <c r="AF184" i="12"/>
  <c r="CA184" i="12" s="1"/>
  <c r="AE184" i="12"/>
  <c r="BZ184" i="12" s="1"/>
  <c r="AD184" i="12"/>
  <c r="BY184" i="12" s="1"/>
  <c r="CD184" i="12" s="1"/>
  <c r="AX184" i="12"/>
  <c r="AZ184" i="12" s="1"/>
  <c r="BB184" i="12" s="1"/>
  <c r="O152" i="12"/>
  <c r="BO152" i="12"/>
  <c r="L153" i="12"/>
  <c r="BM153" i="12" s="1"/>
  <c r="AE155" i="12"/>
  <c r="BZ155" i="12" s="1"/>
  <c r="CD155" i="12" s="1"/>
  <c r="BO156" i="12"/>
  <c r="BS160" i="12"/>
  <c r="AD161" i="12"/>
  <c r="BY161" i="12" s="1"/>
  <c r="BA162" i="12"/>
  <c r="BP165" i="12"/>
  <c r="AT165" i="12"/>
  <c r="CD181" i="12"/>
  <c r="BL181" i="12"/>
  <c r="AX173" i="12"/>
  <c r="AZ173" i="12" s="1"/>
  <c r="BG179" i="12"/>
  <c r="BV179" i="12" s="1"/>
  <c r="BF179" i="12"/>
  <c r="BU179" i="12" s="1"/>
  <c r="BK179" i="12"/>
  <c r="BJ179" i="12"/>
  <c r="BI179" i="12"/>
  <c r="BH179" i="12"/>
  <c r="AE180" i="12"/>
  <c r="BZ180" i="12" s="1"/>
  <c r="AD180" i="12"/>
  <c r="BY180" i="12" s="1"/>
  <c r="AG180" i="12"/>
  <c r="CB180" i="12" s="1"/>
  <c r="AF180" i="12"/>
  <c r="CA180" i="12" s="1"/>
  <c r="BJ189" i="12"/>
  <c r="AG194" i="12"/>
  <c r="CB194" i="12" s="1"/>
  <c r="AD194" i="12"/>
  <c r="BY194" i="12" s="1"/>
  <c r="AX154" i="12"/>
  <c r="AZ154" i="12" s="1"/>
  <c r="AF155" i="12"/>
  <c r="CA155" i="12" s="1"/>
  <c r="N162" i="12"/>
  <c r="AT162" i="12"/>
  <c r="BO162" i="12"/>
  <c r="BL170" i="12"/>
  <c r="AW171" i="12"/>
  <c r="AY171" i="12" s="1"/>
  <c r="BA171" i="12" s="1"/>
  <c r="AE176" i="12"/>
  <c r="BZ176" i="12" s="1"/>
  <c r="AD176" i="12"/>
  <c r="BY176" i="12" s="1"/>
  <c r="AT180" i="12"/>
  <c r="AU180" i="12"/>
  <c r="BI189" i="12"/>
  <c r="AE194" i="12"/>
  <c r="BZ194" i="12" s="1"/>
  <c r="AT194" i="12"/>
  <c r="BK149" i="12"/>
  <c r="AG155" i="12"/>
  <c r="CB155" i="12" s="1"/>
  <c r="BP162" i="12"/>
  <c r="BT170" i="12"/>
  <c r="BH170" i="12"/>
  <c r="BG170" i="12"/>
  <c r="BV170" i="12" s="1"/>
  <c r="BF170" i="12"/>
  <c r="BU170" i="12" s="1"/>
  <c r="BM170" i="12"/>
  <c r="BP172" i="12"/>
  <c r="BO172" i="12"/>
  <c r="BA172" i="12"/>
  <c r="BO173" i="12"/>
  <c r="BY173" i="12"/>
  <c r="BS180" i="12"/>
  <c r="AE185" i="12"/>
  <c r="BZ185" i="12" s="1"/>
  <c r="AD185" i="12"/>
  <c r="BY185" i="12" s="1"/>
  <c r="AW189" i="12"/>
  <c r="AY189" i="12" s="1"/>
  <c r="BK194" i="12"/>
  <c r="AF194" i="12"/>
  <c r="CA194" i="12" s="1"/>
  <c r="BO161" i="12"/>
  <c r="BM171" i="12"/>
  <c r="AE174" i="12"/>
  <c r="BZ174" i="12" s="1"/>
  <c r="BS175" i="12"/>
  <c r="BS179" i="12"/>
  <c r="BP185" i="12"/>
  <c r="BI186" i="12"/>
  <c r="BS188" i="12"/>
  <c r="BT190" i="12"/>
  <c r="BJ194" i="12"/>
  <c r="BI194" i="12"/>
  <c r="BF194" i="12"/>
  <c r="BU194" i="12" s="1"/>
  <c r="BG194" i="12"/>
  <c r="BV194" i="12" s="1"/>
  <c r="AF164" i="12"/>
  <c r="AD170" i="12"/>
  <c r="AF174" i="12"/>
  <c r="CA174" i="12" s="1"/>
  <c r="BN175" i="12"/>
  <c r="BF177" i="12"/>
  <c r="BU177" i="12" s="1"/>
  <c r="BG178" i="12"/>
  <c r="BV178" i="12" s="1"/>
  <c r="BF178" i="12"/>
  <c r="BU178" i="12" s="1"/>
  <c r="AF179" i="12"/>
  <c r="CA179" i="12" s="1"/>
  <c r="CC179" i="12" s="1"/>
  <c r="AE179" i="12"/>
  <c r="BZ179" i="12" s="1"/>
  <c r="AX179" i="12"/>
  <c r="AZ179" i="12" s="1"/>
  <c r="BT188" i="12"/>
  <c r="AG164" i="12"/>
  <c r="CB164" i="12" s="1"/>
  <c r="AE170" i="12"/>
  <c r="BZ170" i="12" s="1"/>
  <c r="BO171" i="12"/>
  <c r="BL172" i="12"/>
  <c r="BH175" i="12"/>
  <c r="BW175" i="12"/>
  <c r="L176" i="12"/>
  <c r="BW176" i="12" s="1"/>
  <c r="BG177" i="12"/>
  <c r="BV177" i="12" s="1"/>
  <c r="BF180" i="12"/>
  <c r="BU180" i="12" s="1"/>
  <c r="BK180" i="12"/>
  <c r="BT180" i="12"/>
  <c r="BH180" i="12"/>
  <c r="N194" i="12"/>
  <c r="AW178" i="12"/>
  <c r="AY178" i="12" s="1"/>
  <c r="AX186" i="12"/>
  <c r="AZ186" i="12" s="1"/>
  <c r="BB186" i="12" s="1"/>
  <c r="AW190" i="12"/>
  <c r="AY190" i="12" s="1"/>
  <c r="BP190" i="12" s="1"/>
  <c r="W194" i="12"/>
  <c r="AW194" i="12"/>
  <c r="AY194" i="12" s="1"/>
  <c r="BP194" i="12" s="1"/>
  <c r="BP197" i="12"/>
  <c r="BO197" i="12"/>
  <c r="BA197" i="12"/>
  <c r="BT198" i="12"/>
  <c r="CD173" i="12"/>
  <c r="AD174" i="12"/>
  <c r="BY174" i="12" s="1"/>
  <c r="CD174" i="12" s="1"/>
  <c r="AX174" i="12"/>
  <c r="AZ174" i="12" s="1"/>
  <c r="BG175" i="12"/>
  <c r="BV175" i="12" s="1"/>
  <c r="BF175" i="12"/>
  <c r="BU175" i="12" s="1"/>
  <c r="BJ175" i="12"/>
  <c r="CD182" i="12"/>
  <c r="AW185" i="12"/>
  <c r="AY185" i="12" s="1"/>
  <c r="BA185" i="12" s="1"/>
  <c r="W185" i="12"/>
  <c r="N185" i="12" s="1"/>
  <c r="BJ185" i="12"/>
  <c r="BJ186" i="12"/>
  <c r="BH186" i="12"/>
  <c r="BL186" i="12"/>
  <c r="AU186" i="12"/>
  <c r="AT186" i="12"/>
  <c r="BS189" i="12"/>
  <c r="BH198" i="12"/>
  <c r="BG198" i="12"/>
  <c r="BV198" i="12" s="1"/>
  <c r="BF198" i="12"/>
  <c r="BU198" i="12" s="1"/>
  <c r="BS173" i="12"/>
  <c r="AW174" i="12"/>
  <c r="AY174" i="12" s="1"/>
  <c r="W174" i="12"/>
  <c r="N174" i="12" s="1"/>
  <c r="BM175" i="12"/>
  <c r="BK175" i="12"/>
  <c r="CD179" i="12"/>
  <c r="BM179" i="12"/>
  <c r="BX179" i="12"/>
  <c r="BL179" i="12"/>
  <c r="BW179" i="12"/>
  <c r="BN179" i="12"/>
  <c r="BO186" i="12"/>
  <c r="BY193" i="12"/>
  <c r="BL175" i="12"/>
  <c r="AF178" i="12"/>
  <c r="CA178" i="12" s="1"/>
  <c r="AE178" i="12"/>
  <c r="BZ178" i="12" s="1"/>
  <c r="CD178" i="12" s="1"/>
  <c r="BJ180" i="12"/>
  <c r="BG180" i="12"/>
  <c r="BV180" i="12" s="1"/>
  <c r="BO181" i="12"/>
  <c r="BT186" i="12"/>
  <c r="BJ198" i="12"/>
  <c r="AG189" i="12"/>
  <c r="CB189" i="12" s="1"/>
  <c r="CC189" i="12" s="1"/>
  <c r="O193" i="12"/>
  <c r="BO193" i="12"/>
  <c r="L194" i="12"/>
  <c r="BK197" i="12"/>
  <c r="AG198" i="12"/>
  <c r="CB198" i="12" s="1"/>
  <c r="AD183" i="12"/>
  <c r="BY183" i="12" s="1"/>
  <c r="AE190" i="12"/>
  <c r="AE192" i="12"/>
  <c r="BZ192" i="12" s="1"/>
  <c r="CD192" i="12"/>
  <c r="BP193" i="12"/>
  <c r="BA194" i="12"/>
  <c r="AF195" i="12"/>
  <c r="CA195" i="12" s="1"/>
  <c r="CC195" i="12" s="1"/>
  <c r="CE195" i="12" s="1"/>
  <c r="BL197" i="12"/>
  <c r="AW198" i="12"/>
  <c r="AY198" i="12" s="1"/>
  <c r="BP198" i="12" s="1"/>
  <c r="AE175" i="12"/>
  <c r="AG181" i="12"/>
  <c r="CB181" i="12" s="1"/>
  <c r="AT181" i="12"/>
  <c r="AE183" i="12"/>
  <c r="BZ183" i="12" s="1"/>
  <c r="BQ184" i="12"/>
  <c r="BO185" i="12"/>
  <c r="AD187" i="12"/>
  <c r="BY187" i="12" s="1"/>
  <c r="BX188" i="12"/>
  <c r="W189" i="12"/>
  <c r="N189" i="12" s="1"/>
  <c r="AF190" i="12"/>
  <c r="CA190" i="12" s="1"/>
  <c r="AF192" i="12"/>
  <c r="CA192" i="12" s="1"/>
  <c r="BQ193" i="12"/>
  <c r="BO194" i="12"/>
  <c r="AG195" i="12"/>
  <c r="CB195" i="12" s="1"/>
  <c r="BL173" i="12"/>
  <c r="AF175" i="12"/>
  <c r="CA175" i="12" s="1"/>
  <c r="CC175" i="12" s="1"/>
  <c r="BL178" i="12"/>
  <c r="AF183" i="12"/>
  <c r="CA183" i="12" s="1"/>
  <c r="BF184" i="12"/>
  <c r="BU184" i="12" s="1"/>
  <c r="AE187" i="12"/>
  <c r="BZ187" i="12" s="1"/>
  <c r="BB187" i="12"/>
  <c r="BK189" i="12"/>
  <c r="BW189" i="12"/>
  <c r="AG190" i="12"/>
  <c r="CB190" i="12" s="1"/>
  <c r="AG192" i="12"/>
  <c r="CB192" i="12" s="1"/>
  <c r="BB192" i="12"/>
  <c r="AE193" i="12"/>
  <c r="BZ193" i="12" s="1"/>
  <c r="BF193" i="12"/>
  <c r="BU193" i="12" s="1"/>
  <c r="J198" i="12"/>
  <c r="AG183" i="12"/>
  <c r="CB183" i="12" s="1"/>
  <c r="BG184" i="12"/>
  <c r="BV184" i="12" s="1"/>
  <c r="AF187" i="12"/>
  <c r="CA187" i="12" s="1"/>
  <c r="CC187" i="12" s="1"/>
  <c r="AF193" i="12"/>
  <c r="CA193" i="12" s="1"/>
  <c r="CC193" i="12" s="1"/>
  <c r="BG193" i="12"/>
  <c r="BV193" i="12" s="1"/>
  <c r="AD196" i="12"/>
  <c r="BY196" i="12" s="1"/>
  <c r="CD196" i="12" s="1"/>
  <c r="CE196" i="12" s="1"/>
  <c r="BH184" i="12"/>
  <c r="O188" i="12"/>
  <c r="BL188" i="12"/>
  <c r="L189" i="12"/>
  <c r="W190" i="12"/>
  <c r="N190" i="12" s="1"/>
  <c r="AT193" i="12"/>
  <c r="AE196" i="12"/>
  <c r="BZ196" i="12" s="1"/>
  <c r="AF197" i="12"/>
  <c r="CA197" i="12" s="1"/>
  <c r="CC197" i="12" s="1"/>
  <c r="BG197" i="12"/>
  <c r="BV197" i="12" s="1"/>
  <c r="AF182" i="12"/>
  <c r="CA182" i="12" s="1"/>
  <c r="CC182" i="12" s="1"/>
  <c r="AF188" i="12"/>
  <c r="AD189" i="12"/>
  <c r="BY189" i="12" s="1"/>
  <c r="BQ189" i="12"/>
  <c r="BL193" i="12"/>
  <c r="BX193" i="12"/>
  <c r="AD198" i="12"/>
  <c r="BY198" i="12" s="1"/>
  <c r="BK176" i="12"/>
  <c r="AG188" i="12"/>
  <c r="CB188" i="12" s="1"/>
  <c r="AE189" i="12"/>
  <c r="BZ189" i="12" s="1"/>
  <c r="BO190" i="12"/>
  <c r="AE198" i="12"/>
  <c r="BZ198" i="12" s="1"/>
  <c r="BN193" i="12"/>
  <c r="AD195" i="12"/>
  <c r="BY195" i="12" s="1"/>
  <c r="CD195" i="12" s="1"/>
  <c r="W197" i="12"/>
  <c r="N197" i="12" s="1"/>
  <c r="CB118" i="12"/>
  <c r="BA21" i="12"/>
  <c r="BT25" i="12"/>
  <c r="BJ43" i="12"/>
  <c r="AU58" i="12"/>
  <c r="BI62" i="12"/>
  <c r="BF68" i="12"/>
  <c r="BU68" i="12" s="1"/>
  <c r="BG91" i="12"/>
  <c r="BV91" i="12" s="1"/>
  <c r="BL92" i="12"/>
  <c r="BG109" i="12"/>
  <c r="BV109" i="12" s="1"/>
  <c r="BW110" i="12"/>
  <c r="BS114" i="12"/>
  <c r="AG114" i="12"/>
  <c r="CB114" i="12" s="1"/>
  <c r="AF105" i="12"/>
  <c r="CA105" i="12" s="1"/>
  <c r="CC105" i="12" s="1"/>
  <c r="BW118" i="12"/>
  <c r="BH118" i="12"/>
  <c r="BS58" i="12"/>
  <c r="BF91" i="12"/>
  <c r="BU91" i="12" s="1"/>
  <c r="BS113" i="12"/>
  <c r="AF114" i="12"/>
  <c r="CA114" i="12" s="1"/>
  <c r="CC114" i="12" s="1"/>
  <c r="BW105" i="12"/>
  <c r="BN124" i="12"/>
  <c r="AU124" i="12"/>
  <c r="BS132" i="12"/>
  <c r="AF68" i="12"/>
  <c r="CA68" i="12" s="1"/>
  <c r="P81" i="12"/>
  <c r="Q81" i="12" s="1"/>
  <c r="BT91" i="12"/>
  <c r="BH92" i="12"/>
  <c r="AD96" i="12"/>
  <c r="BY96" i="12" s="1"/>
  <c r="BT96" i="12"/>
  <c r="BI102" i="12"/>
  <c r="BT113" i="12"/>
  <c r="BQ114" i="12"/>
  <c r="AE114" i="12"/>
  <c r="BZ114" i="12" s="1"/>
  <c r="BT117" i="12"/>
  <c r="BQ118" i="12"/>
  <c r="AU121" i="12"/>
  <c r="AE121" i="12"/>
  <c r="BZ121" i="12" s="1"/>
  <c r="BI123" i="12"/>
  <c r="BL124" i="12"/>
  <c r="AG124" i="12"/>
  <c r="CB124" i="12" s="1"/>
  <c r="CC124" i="12" s="1"/>
  <c r="BJ128" i="12"/>
  <c r="BT132" i="12"/>
  <c r="BT136" i="12"/>
  <c r="BI51" i="12"/>
  <c r="BG58" i="12"/>
  <c r="BV58" i="12" s="1"/>
  <c r="BJ59" i="12"/>
  <c r="BA78" i="12"/>
  <c r="BW78" i="12"/>
  <c r="AG90" i="12"/>
  <c r="CB90" i="12" s="1"/>
  <c r="BS91" i="12"/>
  <c r="AE91" i="12"/>
  <c r="BZ91" i="12" s="1"/>
  <c r="BF96" i="12"/>
  <c r="BU96" i="12" s="1"/>
  <c r="BJ102" i="12"/>
  <c r="BQ110" i="12"/>
  <c r="BN114" i="12"/>
  <c r="AU106" i="12"/>
  <c r="BK124" i="12"/>
  <c r="AF124" i="12"/>
  <c r="CA124" i="12" s="1"/>
  <c r="BW91" i="12"/>
  <c r="AF121" i="12"/>
  <c r="CA121" i="12" s="1"/>
  <c r="CC121" i="12" s="1"/>
  <c r="BJ124" i="12"/>
  <c r="AE124" i="12"/>
  <c r="BZ124" i="12" s="1"/>
  <c r="BJ46" i="12"/>
  <c r="BW51" i="12"/>
  <c r="BI46" i="12"/>
  <c r="BT62" i="12"/>
  <c r="AD92" i="12"/>
  <c r="BY92" i="12" s="1"/>
  <c r="CD92" i="12" s="1"/>
  <c r="BQ96" i="12"/>
  <c r="BH124" i="12"/>
  <c r="AU131" i="12"/>
  <c r="BQ51" i="12"/>
  <c r="BJ58" i="12"/>
  <c r="BI68" i="12"/>
  <c r="BI84" i="12"/>
  <c r="BQ91" i="12"/>
  <c r="AU96" i="12"/>
  <c r="BK110" i="12"/>
  <c r="BJ113" i="12"/>
  <c r="BK105" i="12"/>
  <c r="BG124" i="12"/>
  <c r="BV124" i="12" s="1"/>
  <c r="BJ132" i="12"/>
  <c r="BJ136" i="12"/>
  <c r="BI140" i="12"/>
  <c r="AG23" i="12"/>
  <c r="CB23" i="12" s="1"/>
  <c r="BH51" i="12"/>
  <c r="BI58" i="12"/>
  <c r="BF74" i="12"/>
  <c r="BU74" i="12" s="1"/>
  <c r="BN91" i="12"/>
  <c r="BI96" i="12"/>
  <c r="BS112" i="12"/>
  <c r="BI113" i="12"/>
  <c r="BW114" i="12"/>
  <c r="BH114" i="12"/>
  <c r="BJ117" i="12"/>
  <c r="AG123" i="12"/>
  <c r="CB123" i="12" s="1"/>
  <c r="BT124" i="12"/>
  <c r="BI136" i="12"/>
  <c r="BT18" i="12"/>
  <c r="BG51" i="12"/>
  <c r="BV51" i="12" s="1"/>
  <c r="BJ55" i="12"/>
  <c r="BS59" i="12"/>
  <c r="BK78" i="12"/>
  <c r="BL91" i="12"/>
  <c r="BJ91" i="12"/>
  <c r="BJ109" i="12"/>
  <c r="BF106" i="12"/>
  <c r="BU106" i="12" s="1"/>
  <c r="BI117" i="12"/>
  <c r="BK118" i="12"/>
  <c r="BJ120" i="12"/>
  <c r="BJ127" i="12"/>
  <c r="BT128" i="12"/>
  <c r="BQ131" i="12"/>
  <c r="BK68" i="12"/>
  <c r="BK91" i="12"/>
  <c r="AU84" i="12"/>
  <c r="BT95" i="12"/>
  <c r="BW121" i="12"/>
  <c r="AG140" i="12"/>
  <c r="CB140" i="12" s="1"/>
  <c r="BI142" i="12"/>
  <c r="BN121" i="12"/>
  <c r="AU142" i="12"/>
  <c r="BQ142" i="12"/>
  <c r="AE142" i="12"/>
  <c r="BZ142" i="12" s="1"/>
  <c r="BF142" i="12"/>
  <c r="BU142" i="12" s="1"/>
  <c r="BN142" i="12"/>
  <c r="AF142" i="12"/>
  <c r="CA142" i="12" s="1"/>
  <c r="CC142" i="12" s="1"/>
  <c r="BG142" i="12"/>
  <c r="BV142" i="12" s="1"/>
  <c r="BK142" i="12"/>
  <c r="BS142" i="12"/>
  <c r="BW142" i="12"/>
  <c r="AU140" i="12"/>
  <c r="BQ140" i="12"/>
  <c r="AE140" i="12"/>
  <c r="BZ140" i="12" s="1"/>
  <c r="BF140" i="12"/>
  <c r="BU140" i="12" s="1"/>
  <c r="BN140" i="12"/>
  <c r="AF140" i="12"/>
  <c r="CA140" i="12" s="1"/>
  <c r="CC140" i="12" s="1"/>
  <c r="BG140" i="12"/>
  <c r="BV140" i="12" s="1"/>
  <c r="BK140" i="12"/>
  <c r="BW140" i="12"/>
  <c r="BH140" i="12"/>
  <c r="BI138" i="12"/>
  <c r="BS138" i="12"/>
  <c r="BT138" i="12"/>
  <c r="BJ138" i="12"/>
  <c r="AU138" i="12"/>
  <c r="BQ138" i="12"/>
  <c r="BF138" i="12"/>
  <c r="BU138" i="12" s="1"/>
  <c r="BN138" i="12"/>
  <c r="AF138" i="12"/>
  <c r="CA138" i="12" s="1"/>
  <c r="CC138" i="12" s="1"/>
  <c r="BG138" i="12"/>
  <c r="BV138" i="12" s="1"/>
  <c r="BK138" i="12"/>
  <c r="BW138" i="12"/>
  <c r="BH138" i="12"/>
  <c r="AU136" i="12"/>
  <c r="BQ136" i="12"/>
  <c r="AE136" i="12"/>
  <c r="BZ136" i="12" s="1"/>
  <c r="BF136" i="12"/>
  <c r="BU136" i="12" s="1"/>
  <c r="BN136" i="12"/>
  <c r="AF136" i="12"/>
  <c r="CA136" i="12" s="1"/>
  <c r="CC136" i="12" s="1"/>
  <c r="BG136" i="12"/>
  <c r="BV136" i="12" s="1"/>
  <c r="BK136" i="12"/>
  <c r="BS136" i="12"/>
  <c r="BW136" i="12"/>
  <c r="BS133" i="12"/>
  <c r="AD133" i="12"/>
  <c r="BQ133" i="12"/>
  <c r="AE133" i="12"/>
  <c r="BZ133" i="12" s="1"/>
  <c r="BF133" i="12"/>
  <c r="BU133" i="12" s="1"/>
  <c r="BN133" i="12"/>
  <c r="AF133" i="12"/>
  <c r="CA133" i="12" s="1"/>
  <c r="CC133" i="12" s="1"/>
  <c r="BG133" i="12"/>
  <c r="BV133" i="12" s="1"/>
  <c r="BK133" i="12"/>
  <c r="BW133" i="12"/>
  <c r="BH133" i="12"/>
  <c r="BI132" i="12"/>
  <c r="BI131" i="12"/>
  <c r="BJ131" i="12"/>
  <c r="BT131" i="12"/>
  <c r="AD132" i="12"/>
  <c r="AU132" i="12"/>
  <c r="BQ132" i="12"/>
  <c r="AE131" i="12"/>
  <c r="BZ131" i="12" s="1"/>
  <c r="BF131" i="12"/>
  <c r="BU131" i="12" s="1"/>
  <c r="BN131" i="12"/>
  <c r="AE132" i="12"/>
  <c r="BZ132" i="12" s="1"/>
  <c r="BF132" i="12"/>
  <c r="BU132" i="12" s="1"/>
  <c r="BN132" i="12"/>
  <c r="AF131" i="12"/>
  <c r="CA131" i="12" s="1"/>
  <c r="CC131" i="12" s="1"/>
  <c r="BG131" i="12"/>
  <c r="BV131" i="12" s="1"/>
  <c r="BK131" i="12"/>
  <c r="BS131" i="12"/>
  <c r="BW131" i="12"/>
  <c r="AF132" i="12"/>
  <c r="CA132" i="12" s="1"/>
  <c r="CC132" i="12" s="1"/>
  <c r="BG132" i="12"/>
  <c r="BV132" i="12" s="1"/>
  <c r="BK132" i="12"/>
  <c r="BW132" i="12"/>
  <c r="BH131" i="12"/>
  <c r="BH132" i="12"/>
  <c r="BS127" i="12"/>
  <c r="BT127" i="12"/>
  <c r="BI127" i="12"/>
  <c r="AU127" i="12"/>
  <c r="BN127" i="12"/>
  <c r="BG127" i="12"/>
  <c r="BV127" i="12" s="1"/>
  <c r="BK127" i="12"/>
  <c r="BW127" i="12"/>
  <c r="AU128" i="12"/>
  <c r="BQ128" i="12"/>
  <c r="BH127" i="12"/>
  <c r="BL127" i="12"/>
  <c r="BF128" i="12"/>
  <c r="BU128" i="12" s="1"/>
  <c r="BN128" i="12"/>
  <c r="BQ127" i="12"/>
  <c r="BG128" i="12"/>
  <c r="BV128" i="12" s="1"/>
  <c r="BK128" i="12"/>
  <c r="BW128" i="12"/>
  <c r="AU123" i="12"/>
  <c r="BQ123" i="12"/>
  <c r="AE123" i="12"/>
  <c r="BZ123" i="12" s="1"/>
  <c r="BF123" i="12"/>
  <c r="BU123" i="12" s="1"/>
  <c r="BN123" i="12"/>
  <c r="AF123" i="12"/>
  <c r="CA123" i="12" s="1"/>
  <c r="CC123" i="12" s="1"/>
  <c r="BG123" i="12"/>
  <c r="BV123" i="12" s="1"/>
  <c r="BK123" i="12"/>
  <c r="BW123" i="12"/>
  <c r="BL120" i="12"/>
  <c r="AU120" i="12"/>
  <c r="BQ120" i="12"/>
  <c r="AE120" i="12"/>
  <c r="BZ120" i="12" s="1"/>
  <c r="BF120" i="12"/>
  <c r="BU120" i="12" s="1"/>
  <c r="BN120" i="12"/>
  <c r="AF120" i="12"/>
  <c r="CA120" i="12" s="1"/>
  <c r="CC120" i="12" s="1"/>
  <c r="BG120" i="12"/>
  <c r="BV120" i="12" s="1"/>
  <c r="BK120" i="12"/>
  <c r="BS120" i="12"/>
  <c r="BW120" i="12"/>
  <c r="BH120" i="12"/>
  <c r="AU117" i="12"/>
  <c r="BQ117" i="12"/>
  <c r="AE117" i="12"/>
  <c r="BZ117" i="12" s="1"/>
  <c r="BF117" i="12"/>
  <c r="BU117" i="12" s="1"/>
  <c r="BN117" i="12"/>
  <c r="AF117" i="12"/>
  <c r="CA117" i="12" s="1"/>
  <c r="CC117" i="12" s="1"/>
  <c r="BG117" i="12"/>
  <c r="BV117" i="12" s="1"/>
  <c r="BK117" i="12"/>
  <c r="BW117" i="12"/>
  <c r="BH117" i="12"/>
  <c r="BT106" i="12"/>
  <c r="BJ106" i="12"/>
  <c r="BW106" i="12"/>
  <c r="AF43" i="12"/>
  <c r="CA43" i="12" s="1"/>
  <c r="AG67" i="12"/>
  <c r="CB67" i="12" s="1"/>
  <c r="BS68" i="12"/>
  <c r="AG91" i="12"/>
  <c r="CB91" i="12" s="1"/>
  <c r="AU109" i="12"/>
  <c r="AU105" i="12"/>
  <c r="AF91" i="12"/>
  <c r="CA91" i="12" s="1"/>
  <c r="CC91" i="12" s="1"/>
  <c r="AU110" i="12"/>
  <c r="AU114" i="12"/>
  <c r="BF105" i="12"/>
  <c r="BU105" i="12" s="1"/>
  <c r="BH105" i="12"/>
  <c r="BN105" i="12"/>
  <c r="AE51" i="12"/>
  <c r="BZ51" i="12" s="1"/>
  <c r="AD91" i="12"/>
  <c r="BY91" i="12" s="1"/>
  <c r="AF92" i="12"/>
  <c r="AF98" i="12"/>
  <c r="CA98" i="12" s="1"/>
  <c r="BT104" i="12"/>
  <c r="AU112" i="12"/>
  <c r="AD23" i="12"/>
  <c r="BY23" i="12" s="1"/>
  <c r="AG45" i="12"/>
  <c r="CB45" i="12" s="1"/>
  <c r="AU59" i="12"/>
  <c r="AD74" i="12"/>
  <c r="BY74" i="12" s="1"/>
  <c r="AD89" i="12"/>
  <c r="BY89" i="12" s="1"/>
  <c r="BS95" i="12"/>
  <c r="AE43" i="12"/>
  <c r="BZ43" i="12" s="1"/>
  <c r="AU62" i="12"/>
  <c r="AG85" i="12"/>
  <c r="CB85" i="12" s="1"/>
  <c r="BJ112" i="12"/>
  <c r="BT112" i="12"/>
  <c r="AD113" i="12"/>
  <c r="BY113" i="12" s="1"/>
  <c r="AU113" i="12"/>
  <c r="BQ113" i="12"/>
  <c r="AE112" i="12"/>
  <c r="BZ112" i="12" s="1"/>
  <c r="BF112" i="12"/>
  <c r="BU112" i="12" s="1"/>
  <c r="BN112" i="12"/>
  <c r="AE113" i="12"/>
  <c r="BZ113" i="12" s="1"/>
  <c r="BF113" i="12"/>
  <c r="BU113" i="12" s="1"/>
  <c r="BN113" i="12"/>
  <c r="AF112" i="12"/>
  <c r="CA112" i="12" s="1"/>
  <c r="CC112" i="12" s="1"/>
  <c r="BG112" i="12"/>
  <c r="BV112" i="12" s="1"/>
  <c r="BK112" i="12"/>
  <c r="BW112" i="12"/>
  <c r="AF113" i="12"/>
  <c r="CA113" i="12" s="1"/>
  <c r="CC113" i="12" s="1"/>
  <c r="BG113" i="12"/>
  <c r="BV113" i="12" s="1"/>
  <c r="BK113" i="12"/>
  <c r="BW113" i="12"/>
  <c r="BH112" i="12"/>
  <c r="BH113" i="12"/>
  <c r="BI108" i="12"/>
  <c r="BS108" i="12"/>
  <c r="BT108" i="12"/>
  <c r="BJ108" i="12"/>
  <c r="AU108" i="12"/>
  <c r="BQ108" i="12"/>
  <c r="BF108" i="12"/>
  <c r="BU108" i="12" s="1"/>
  <c r="BN108" i="12"/>
  <c r="BG108" i="12"/>
  <c r="BV108" i="12" s="1"/>
  <c r="BK108" i="12"/>
  <c r="BW108" i="12"/>
  <c r="BH108" i="12"/>
  <c r="BL104" i="12"/>
  <c r="BI104" i="12"/>
  <c r="BS104" i="12"/>
  <c r="BJ104" i="12"/>
  <c r="AU104" i="12"/>
  <c r="BQ104" i="12"/>
  <c r="BF104" i="12"/>
  <c r="BU104" i="12" s="1"/>
  <c r="BN104" i="12"/>
  <c r="AF104" i="12"/>
  <c r="CA104" i="12" s="1"/>
  <c r="CC104" i="12" s="1"/>
  <c r="BG104" i="12"/>
  <c r="BV104" i="12" s="1"/>
  <c r="BK104" i="12"/>
  <c r="BW104" i="12"/>
  <c r="BH104" i="12"/>
  <c r="BF102" i="12"/>
  <c r="BU102" i="12" s="1"/>
  <c r="BN102" i="12"/>
  <c r="BG102" i="12"/>
  <c r="BV102" i="12" s="1"/>
  <c r="BK102" i="12"/>
  <c r="BS102" i="12"/>
  <c r="BW102" i="12"/>
  <c r="BH102" i="12"/>
  <c r="BL102" i="12"/>
  <c r="BT102" i="12"/>
  <c r="BQ102" i="12"/>
  <c r="AU102" i="12"/>
  <c r="BT101" i="12"/>
  <c r="BJ101" i="12"/>
  <c r="BS101" i="12"/>
  <c r="BH101" i="12"/>
  <c r="BK101" i="12"/>
  <c r="BG101" i="12"/>
  <c r="BV101" i="12" s="1"/>
  <c r="BF101" i="12"/>
  <c r="BU101" i="12" s="1"/>
  <c r="BI101" i="12"/>
  <c r="AU101" i="12"/>
  <c r="BQ101" i="12"/>
  <c r="BN101" i="12"/>
  <c r="BW101" i="12"/>
  <c r="BL101" i="12"/>
  <c r="BJ98" i="12"/>
  <c r="BI98" i="12"/>
  <c r="BT98" i="12"/>
  <c r="BJ97" i="12"/>
  <c r="BT97" i="12"/>
  <c r="BI97" i="12"/>
  <c r="AU97" i="12"/>
  <c r="BS97" i="12"/>
  <c r="BQ97" i="12"/>
  <c r="BS96" i="12"/>
  <c r="BJ96" i="12"/>
  <c r="BW95" i="12"/>
  <c r="BJ95" i="12"/>
  <c r="BI95" i="12"/>
  <c r="AU95" i="12"/>
  <c r="AF95" i="12"/>
  <c r="CA95" i="12" s="1"/>
  <c r="BL94" i="12"/>
  <c r="BQ94" i="12"/>
  <c r="BW94" i="12"/>
  <c r="AG95" i="12"/>
  <c r="CB95" i="12" s="1"/>
  <c r="BH95" i="12"/>
  <c r="BL95" i="12"/>
  <c r="AE96" i="12"/>
  <c r="BZ96" i="12" s="1"/>
  <c r="BG96" i="12"/>
  <c r="BV96" i="12" s="1"/>
  <c r="BK96" i="12"/>
  <c r="BW96" i="12"/>
  <c r="AD97" i="12"/>
  <c r="BY97" i="12" s="1"/>
  <c r="BF97" i="12"/>
  <c r="BU97" i="12" s="1"/>
  <c r="BN97" i="12"/>
  <c r="AG98" i="12"/>
  <c r="CB98" i="12" s="1"/>
  <c r="AU98" i="12"/>
  <c r="BQ98" i="12"/>
  <c r="AD95" i="12"/>
  <c r="BY95" i="12" s="1"/>
  <c r="BQ95" i="12"/>
  <c r="AF96" i="12"/>
  <c r="CA96" i="12" s="1"/>
  <c r="BH96" i="12"/>
  <c r="AE97" i="12"/>
  <c r="BZ97" i="12" s="1"/>
  <c r="BG97" i="12"/>
  <c r="BV97" i="12" s="1"/>
  <c r="BK97" i="12"/>
  <c r="BW97" i="12"/>
  <c r="AD98" i="12"/>
  <c r="BY98" i="12" s="1"/>
  <c r="BF98" i="12"/>
  <c r="BU98" i="12" s="1"/>
  <c r="BN98" i="12"/>
  <c r="AE95" i="12"/>
  <c r="BZ95" i="12" s="1"/>
  <c r="BF95" i="12"/>
  <c r="BU95" i="12" s="1"/>
  <c r="BN95" i="12"/>
  <c r="AG96" i="12"/>
  <c r="CB96" i="12" s="1"/>
  <c r="AF97" i="12"/>
  <c r="CA97" i="12" s="1"/>
  <c r="BH97" i="12"/>
  <c r="AE98" i="12"/>
  <c r="BZ98" i="12" s="1"/>
  <c r="BG98" i="12"/>
  <c r="BV98" i="12" s="1"/>
  <c r="BK98" i="12"/>
  <c r="BS98" i="12"/>
  <c r="BW98" i="12"/>
  <c r="BG95" i="12"/>
  <c r="BV95" i="12" s="1"/>
  <c r="BK95" i="12"/>
  <c r="AG97" i="12"/>
  <c r="CB97" i="12" s="1"/>
  <c r="BH98" i="12"/>
  <c r="BI92" i="12"/>
  <c r="CA92" i="12"/>
  <c r="CC92" i="12" s="1"/>
  <c r="AU92" i="12"/>
  <c r="BH91" i="12"/>
  <c r="BI90" i="12"/>
  <c r="BS90" i="12"/>
  <c r="BT90" i="12"/>
  <c r="BJ90" i="12"/>
  <c r="AD90" i="12"/>
  <c r="BY90" i="12" s="1"/>
  <c r="AU90" i="12"/>
  <c r="BQ90" i="12"/>
  <c r="AE90" i="12"/>
  <c r="BZ90" i="12" s="1"/>
  <c r="BF90" i="12"/>
  <c r="BU90" i="12" s="1"/>
  <c r="BN90" i="12"/>
  <c r="AF90" i="12"/>
  <c r="CA90" i="12" s="1"/>
  <c r="CC90" i="12" s="1"/>
  <c r="BG90" i="12"/>
  <c r="BV90" i="12" s="1"/>
  <c r="BK90" i="12"/>
  <c r="BW90" i="12"/>
  <c r="BL90" i="12"/>
  <c r="BJ89" i="12"/>
  <c r="BT89" i="12"/>
  <c r="AE89" i="12"/>
  <c r="BZ89" i="12" s="1"/>
  <c r="BF89" i="12"/>
  <c r="BU89" i="12" s="1"/>
  <c r="AF89" i="12"/>
  <c r="CA89" i="12" s="1"/>
  <c r="CC89" i="12" s="1"/>
  <c r="BG89" i="12"/>
  <c r="BV89" i="12" s="1"/>
  <c r="BK89" i="12"/>
  <c r="BS89" i="12"/>
  <c r="BW89" i="12"/>
  <c r="BI18" i="12"/>
  <c r="AU18" i="12"/>
  <c r="BJ25" i="12"/>
  <c r="AD30" i="12"/>
  <c r="BY30" i="12" s="1"/>
  <c r="BS36" i="12"/>
  <c r="BS38" i="12"/>
  <c r="BW43" i="12"/>
  <c r="BQ43" i="12"/>
  <c r="BK43" i="12"/>
  <c r="BF43" i="12"/>
  <c r="BU43" i="12" s="1"/>
  <c r="BS46" i="12"/>
  <c r="AG50" i="12"/>
  <c r="CB50" i="12" s="1"/>
  <c r="BF51" i="12"/>
  <c r="BU51" i="12" s="1"/>
  <c r="BN54" i="12"/>
  <c r="BI54" i="12"/>
  <c r="AU54" i="12"/>
  <c r="BS55" i="12"/>
  <c r="BT58" i="12"/>
  <c r="BQ59" i="12"/>
  <c r="BF59" i="12"/>
  <c r="BU59" i="12" s="1"/>
  <c r="BQ62" i="12"/>
  <c r="AG62" i="12"/>
  <c r="CB62" i="12" s="1"/>
  <c r="BL63" i="12"/>
  <c r="BI63" i="12"/>
  <c r="BL67" i="12"/>
  <c r="BS67" i="12"/>
  <c r="AU68" i="12"/>
  <c r="BH68" i="12"/>
  <c r="AG68" i="12"/>
  <c r="BG69" i="12"/>
  <c r="BV69" i="12" s="1"/>
  <c r="AD69" i="12"/>
  <c r="BJ84" i="12"/>
  <c r="BS84" i="12"/>
  <c r="BS18" i="12"/>
  <c r="BI25" i="12"/>
  <c r="BS32" i="12"/>
  <c r="AD36" i="12"/>
  <c r="BY36" i="12" s="1"/>
  <c r="BT36" i="12"/>
  <c r="BT38" i="12"/>
  <c r="BT43" i="12"/>
  <c r="BT46" i="12"/>
  <c r="BT51" i="12"/>
  <c r="AF51" i="12"/>
  <c r="CA51" i="12" s="1"/>
  <c r="BN51" i="12"/>
  <c r="BS54" i="12"/>
  <c r="BI59" i="12"/>
  <c r="AD62" i="12"/>
  <c r="BY62" i="12" s="1"/>
  <c r="CD62" i="12" s="1"/>
  <c r="BS63" i="12"/>
  <c r="BT67" i="12"/>
  <c r="AE74" i="12"/>
  <c r="BZ74" i="12" s="1"/>
  <c r="CD74" i="12" s="1"/>
  <c r="J80" i="12"/>
  <c r="BQ80" i="12" s="1"/>
  <c r="BT84" i="12"/>
  <c r="BL15" i="12"/>
  <c r="BT15" i="12"/>
  <c r="BS25" i="12"/>
  <c r="BJ32" i="12"/>
  <c r="BT32" i="12"/>
  <c r="BT54" i="12"/>
  <c r="BT63" i="12"/>
  <c r="BJ67" i="12"/>
  <c r="BI32" i="12"/>
  <c r="AU51" i="12"/>
  <c r="BJ54" i="12"/>
  <c r="BQ58" i="12"/>
  <c r="BT68" i="12"/>
  <c r="BJ68" i="12"/>
  <c r="BI69" i="12"/>
  <c r="AG73" i="12"/>
  <c r="CB73" i="12" s="1"/>
  <c r="BA83" i="12"/>
  <c r="BH85" i="12"/>
  <c r="BK85" i="12"/>
  <c r="BG85" i="12"/>
  <c r="BV85" i="12" s="1"/>
  <c r="BF85" i="12"/>
  <c r="BU85" i="12" s="1"/>
  <c r="BI85" i="12"/>
  <c r="BS85" i="12"/>
  <c r="BT85" i="12"/>
  <c r="BJ85" i="12"/>
  <c r="BX83" i="12"/>
  <c r="BG84" i="12"/>
  <c r="BV84" i="12" s="1"/>
  <c r="AD85" i="12"/>
  <c r="BY85" i="12" s="1"/>
  <c r="AU85" i="12"/>
  <c r="BH84" i="12"/>
  <c r="BL84" i="12"/>
  <c r="AF85" i="12"/>
  <c r="CA85" i="12" s="1"/>
  <c r="CC85" i="12" s="1"/>
  <c r="BI79" i="12"/>
  <c r="AU79" i="12"/>
  <c r="BT80" i="12"/>
  <c r="BI80" i="12"/>
  <c r="BH80" i="12"/>
  <c r="BL80" i="12"/>
  <c r="BG80" i="12"/>
  <c r="BV80" i="12" s="1"/>
  <c r="BS80" i="12"/>
  <c r="BF80" i="12"/>
  <c r="BU80" i="12" s="1"/>
  <c r="BJ80" i="12"/>
  <c r="BN80" i="12"/>
  <c r="AU80" i="12"/>
  <c r="CB68" i="12"/>
  <c r="CC68" i="12" s="1"/>
  <c r="AF16" i="12"/>
  <c r="CA16" i="12" s="1"/>
  <c r="AD16" i="12"/>
  <c r="AG30" i="12"/>
  <c r="CB30" i="12" s="1"/>
  <c r="AG54" i="12"/>
  <c r="CB54" i="12" s="1"/>
  <c r="AG58" i="12"/>
  <c r="CB58" i="12" s="1"/>
  <c r="AE59" i="12"/>
  <c r="BZ59" i="12" s="1"/>
  <c r="CD59" i="12" s="1"/>
  <c r="AE62" i="12"/>
  <c r="BZ62" i="12" s="1"/>
  <c r="AG63" i="12"/>
  <c r="CB63" i="12" s="1"/>
  <c r="AF69" i="12"/>
  <c r="CA69" i="12" s="1"/>
  <c r="CC69" i="12" s="1"/>
  <c r="AG74" i="12"/>
  <c r="CB74" i="12" s="1"/>
  <c r="BN79" i="12"/>
  <c r="BT29" i="12"/>
  <c r="AG32" i="12"/>
  <c r="CB32" i="12" s="1"/>
  <c r="AU43" i="12"/>
  <c r="AG43" i="12"/>
  <c r="CB43" i="12" s="1"/>
  <c r="AG51" i="12"/>
  <c r="CB51" i="12" s="1"/>
  <c r="AD54" i="12"/>
  <c r="BY54" i="12" s="1"/>
  <c r="AD58" i="12"/>
  <c r="BY58" i="12" s="1"/>
  <c r="CD58" i="12" s="1"/>
  <c r="AF74" i="12"/>
  <c r="CA74" i="12" s="1"/>
  <c r="BJ79" i="12"/>
  <c r="BS79" i="12"/>
  <c r="AD43" i="12"/>
  <c r="BY43" i="12" s="1"/>
  <c r="AD51" i="12"/>
  <c r="AE54" i="12"/>
  <c r="BZ54" i="12" s="1"/>
  <c r="CD54" i="12" s="1"/>
  <c r="AE58" i="12"/>
  <c r="BZ58" i="12" s="1"/>
  <c r="AF58" i="12"/>
  <c r="CA58" i="12" s="1"/>
  <c r="AD59" i="12"/>
  <c r="BY59" i="12" s="1"/>
  <c r="BT79" i="12"/>
  <c r="BQ79" i="12"/>
  <c r="BS81" i="12"/>
  <c r="BT81" i="12"/>
  <c r="BJ81" i="12"/>
  <c r="BH81" i="12"/>
  <c r="BK81" i="12"/>
  <c r="BG81" i="12"/>
  <c r="BV81" i="12" s="1"/>
  <c r="BF81" i="12"/>
  <c r="BU81" i="12" s="1"/>
  <c r="BI81" i="12"/>
  <c r="BG79" i="12"/>
  <c r="BV79" i="12" s="1"/>
  <c r="BK79" i="12"/>
  <c r="BW79" i="12"/>
  <c r="AD81" i="12"/>
  <c r="BY81" i="12" s="1"/>
  <c r="AU81" i="12"/>
  <c r="BH79" i="12"/>
  <c r="BL79" i="12"/>
  <c r="AF81" i="12"/>
  <c r="CA81" i="12" s="1"/>
  <c r="CC81" i="12" s="1"/>
  <c r="BL73" i="12"/>
  <c r="BI73" i="12"/>
  <c r="BS74" i="12"/>
  <c r="AU74" i="12"/>
  <c r="BT74" i="12"/>
  <c r="BK74" i="12"/>
  <c r="BG74" i="12"/>
  <c r="BV74" i="12" s="1"/>
  <c r="BI74" i="12"/>
  <c r="BQ74" i="12"/>
  <c r="BL74" i="12"/>
  <c r="BJ73" i="12"/>
  <c r="BT73" i="12"/>
  <c r="BS73" i="12"/>
  <c r="AD73" i="12"/>
  <c r="BY73" i="12" s="1"/>
  <c r="AU73" i="12"/>
  <c r="BQ73" i="12"/>
  <c r="AE73" i="12"/>
  <c r="BZ73" i="12" s="1"/>
  <c r="BF73" i="12"/>
  <c r="BU73" i="12" s="1"/>
  <c r="BN73" i="12"/>
  <c r="AF73" i="12"/>
  <c r="CA73" i="12" s="1"/>
  <c r="BG73" i="12"/>
  <c r="BV73" i="12" s="1"/>
  <c r="BK73" i="12"/>
  <c r="BW73" i="12"/>
  <c r="AU69" i="12"/>
  <c r="BT69" i="12"/>
  <c r="BH69" i="12"/>
  <c r="BS69" i="12"/>
  <c r="BK69" i="12"/>
  <c r="BI67" i="12"/>
  <c r="AD67" i="12"/>
  <c r="BY67" i="12" s="1"/>
  <c r="AU67" i="12"/>
  <c r="BQ67" i="12"/>
  <c r="AE67" i="12"/>
  <c r="BZ67" i="12" s="1"/>
  <c r="BF67" i="12"/>
  <c r="BU67" i="12" s="1"/>
  <c r="BN67" i="12"/>
  <c r="AF67" i="12"/>
  <c r="CA67" i="12" s="1"/>
  <c r="CC67" i="12" s="1"/>
  <c r="BG67" i="12"/>
  <c r="BV67" i="12" s="1"/>
  <c r="BK67" i="12"/>
  <c r="BW67" i="12"/>
  <c r="BN62" i="12"/>
  <c r="BN58" i="12"/>
  <c r="BN59" i="12"/>
  <c r="AG59" i="12"/>
  <c r="CB59" i="12" s="1"/>
  <c r="BH59" i="12"/>
  <c r="BL59" i="12"/>
  <c r="AF62" i="12"/>
  <c r="CA62" i="12" s="1"/>
  <c r="BG62" i="12"/>
  <c r="BV62" i="12" s="1"/>
  <c r="BK62" i="12"/>
  <c r="BW62" i="12"/>
  <c r="AD63" i="12"/>
  <c r="BY63" i="12" s="1"/>
  <c r="AU63" i="12"/>
  <c r="BQ63" i="12"/>
  <c r="BW58" i="12"/>
  <c r="BH62" i="12"/>
  <c r="BL62" i="12"/>
  <c r="AE63" i="12"/>
  <c r="BZ63" i="12" s="1"/>
  <c r="BF63" i="12"/>
  <c r="BU63" i="12" s="1"/>
  <c r="BN63" i="12"/>
  <c r="AF63" i="12"/>
  <c r="CA63" i="12" s="1"/>
  <c r="CC63" i="12" s="1"/>
  <c r="BG63" i="12"/>
  <c r="BV63" i="12" s="1"/>
  <c r="BK63" i="12"/>
  <c r="BW63" i="12"/>
  <c r="AF59" i="12"/>
  <c r="CA59" i="12" s="1"/>
  <c r="BK59" i="12"/>
  <c r="AF54" i="12"/>
  <c r="CA54" i="12" s="1"/>
  <c r="BG54" i="12"/>
  <c r="BV54" i="12" s="1"/>
  <c r="BK54" i="12"/>
  <c r="BW54" i="12"/>
  <c r="AD55" i="12"/>
  <c r="BY55" i="12" s="1"/>
  <c r="AU55" i="12"/>
  <c r="BQ55" i="12"/>
  <c r="BH54" i="12"/>
  <c r="BL54" i="12"/>
  <c r="AE55" i="12"/>
  <c r="BZ55" i="12" s="1"/>
  <c r="BF55" i="12"/>
  <c r="BU55" i="12" s="1"/>
  <c r="BN55" i="12"/>
  <c r="AF55" i="12"/>
  <c r="CA55" i="12" s="1"/>
  <c r="CC55" i="12" s="1"/>
  <c r="BG55" i="12"/>
  <c r="BV55" i="12" s="1"/>
  <c r="BK55" i="12"/>
  <c r="BW55" i="12"/>
  <c r="CC51" i="12"/>
  <c r="BY51" i="12"/>
  <c r="CD51" i="12" s="1"/>
  <c r="BL49" i="12"/>
  <c r="BW49" i="12"/>
  <c r="Q50" i="12"/>
  <c r="BL50" i="12" s="1"/>
  <c r="BJ49" i="12"/>
  <c r="BJ50" i="12"/>
  <c r="BS50" i="12"/>
  <c r="AD50" i="12"/>
  <c r="BY50" i="12" s="1"/>
  <c r="AU50" i="12"/>
  <c r="BQ50" i="12"/>
  <c r="AE50" i="12"/>
  <c r="BZ50" i="12" s="1"/>
  <c r="BN50" i="12"/>
  <c r="AF50" i="12"/>
  <c r="CA50" i="12" s="1"/>
  <c r="BK50" i="12"/>
  <c r="BH50" i="12"/>
  <c r="BK49" i="12"/>
  <c r="AU46" i="12"/>
  <c r="BQ46" i="12"/>
  <c r="BF46" i="12"/>
  <c r="BU46" i="12" s="1"/>
  <c r="BN46" i="12"/>
  <c r="BG46" i="12"/>
  <c r="BV46" i="12" s="1"/>
  <c r="BK46" i="12"/>
  <c r="BW46" i="12"/>
  <c r="BH46" i="12"/>
  <c r="BJ45" i="12"/>
  <c r="BI45" i="12"/>
  <c r="BS45" i="12"/>
  <c r="BT45" i="12"/>
  <c r="AU45" i="12"/>
  <c r="BQ45" i="12"/>
  <c r="AE45" i="12"/>
  <c r="BZ45" i="12" s="1"/>
  <c r="BF45" i="12"/>
  <c r="BU45" i="12" s="1"/>
  <c r="BN45" i="12"/>
  <c r="AF45" i="12"/>
  <c r="CA45" i="12" s="1"/>
  <c r="BG45" i="12"/>
  <c r="BV45" i="12" s="1"/>
  <c r="BK45" i="12"/>
  <c r="BW45" i="12"/>
  <c r="BH45" i="12"/>
  <c r="BJ42" i="12"/>
  <c r="BL42" i="12"/>
  <c r="BI42" i="12"/>
  <c r="BS42" i="12"/>
  <c r="BH42" i="12"/>
  <c r="BG42" i="12"/>
  <c r="BV42" i="12" s="1"/>
  <c r="BF42" i="12"/>
  <c r="BU42" i="12" s="1"/>
  <c r="BT42" i="12"/>
  <c r="AU42" i="12"/>
  <c r="BQ42" i="12"/>
  <c r="AE42" i="12"/>
  <c r="BZ42" i="12" s="1"/>
  <c r="BN42" i="12"/>
  <c r="AF42" i="12"/>
  <c r="CA42" i="12" s="1"/>
  <c r="CC42" i="12" s="1"/>
  <c r="BK42" i="12"/>
  <c r="BW42" i="12"/>
  <c r="BJ35" i="12"/>
  <c r="BI35" i="12"/>
  <c r="BW35" i="12"/>
  <c r="BT35" i="12"/>
  <c r="BS35" i="12"/>
  <c r="BG35" i="12"/>
  <c r="BV35" i="12" s="1"/>
  <c r="BF35" i="12"/>
  <c r="BU35" i="12" s="1"/>
  <c r="AU35" i="12"/>
  <c r="BH35" i="12"/>
  <c r="BI36" i="12"/>
  <c r="AU36" i="12"/>
  <c r="BH36" i="12"/>
  <c r="BK36" i="12"/>
  <c r="BG36" i="12"/>
  <c r="BV36" i="12" s="1"/>
  <c r="BF36" i="12"/>
  <c r="BU36" i="12" s="1"/>
  <c r="BJ36" i="12"/>
  <c r="BL35" i="12"/>
  <c r="AD38" i="12"/>
  <c r="BY38" i="12" s="1"/>
  <c r="AU38" i="12"/>
  <c r="BQ35" i="12"/>
  <c r="AF36" i="12"/>
  <c r="CA36" i="12" s="1"/>
  <c r="AE38" i="12"/>
  <c r="BZ38" i="12" s="1"/>
  <c r="BF38" i="12"/>
  <c r="BU38" i="12" s="1"/>
  <c r="BN35" i="12"/>
  <c r="AF38" i="12"/>
  <c r="CA38" i="12" s="1"/>
  <c r="BG38" i="12"/>
  <c r="BV38" i="12" s="1"/>
  <c r="BK35" i="12"/>
  <c r="BH38" i="12"/>
  <c r="BW29" i="12"/>
  <c r="BK29" i="12"/>
  <c r="BN29" i="12"/>
  <c r="BQ29" i="12"/>
  <c r="BJ29" i="12"/>
  <c r="BS29" i="12"/>
  <c r="BG29" i="12"/>
  <c r="BV29" i="12" s="1"/>
  <c r="BF29" i="12"/>
  <c r="BU29" i="12" s="1"/>
  <c r="BH29" i="12"/>
  <c r="BI29" i="12"/>
  <c r="AU29" i="12"/>
  <c r="BA28" i="12"/>
  <c r="BQ28" i="12"/>
  <c r="BW28" i="12"/>
  <c r="BL29" i="12"/>
  <c r="AD32" i="12"/>
  <c r="BY32" i="12" s="1"/>
  <c r="AU32" i="12"/>
  <c r="BX28" i="12"/>
  <c r="P30" i="12"/>
  <c r="Q30" i="12" s="1"/>
  <c r="BJ30" i="12" s="1"/>
  <c r="AF30" i="12"/>
  <c r="CA30" i="12" s="1"/>
  <c r="CC30" i="12" s="1"/>
  <c r="AE32" i="12"/>
  <c r="BZ32" i="12" s="1"/>
  <c r="BF32" i="12"/>
  <c r="BU32" i="12" s="1"/>
  <c r="O28" i="12"/>
  <c r="AF32" i="12"/>
  <c r="CA32" i="12" s="1"/>
  <c r="BG32" i="12"/>
  <c r="BV32" i="12" s="1"/>
  <c r="BH32" i="12"/>
  <c r="BK21" i="12"/>
  <c r="BS23" i="12"/>
  <c r="BT23" i="12"/>
  <c r="BT22" i="12"/>
  <c r="BF22" i="12"/>
  <c r="BU22" i="12" s="1"/>
  <c r="BH22" i="12"/>
  <c r="BS22" i="12"/>
  <c r="BG22" i="12"/>
  <c r="BV22" i="12" s="1"/>
  <c r="BJ22" i="12"/>
  <c r="BI22" i="12"/>
  <c r="AU22" i="12"/>
  <c r="BI23" i="12"/>
  <c r="AU23" i="12"/>
  <c r="BH23" i="12"/>
  <c r="BK23" i="12"/>
  <c r="BG23" i="12"/>
  <c r="BV23" i="12" s="1"/>
  <c r="BF23" i="12"/>
  <c r="BU23" i="12" s="1"/>
  <c r="BJ23" i="12"/>
  <c r="BK22" i="12"/>
  <c r="BW22" i="12"/>
  <c r="BL22" i="12"/>
  <c r="AD25" i="12"/>
  <c r="BY25" i="12" s="1"/>
  <c r="AU25" i="12"/>
  <c r="AF23" i="12"/>
  <c r="CA23" i="12" s="1"/>
  <c r="CC23" i="12" s="1"/>
  <c r="AE25" i="12"/>
  <c r="BZ25" i="12" s="1"/>
  <c r="BF25" i="12"/>
  <c r="BU25" i="12" s="1"/>
  <c r="AF25" i="12"/>
  <c r="CA25" i="12" s="1"/>
  <c r="BG25" i="12"/>
  <c r="BV25" i="12" s="1"/>
  <c r="BH25" i="12"/>
  <c r="BJ16" i="12"/>
  <c r="BQ15" i="12"/>
  <c r="BH15" i="12"/>
  <c r="BS15" i="12"/>
  <c r="BG15" i="12"/>
  <c r="BV15" i="12" s="1"/>
  <c r="BI15" i="12"/>
  <c r="AU15" i="12"/>
  <c r="BF15" i="12"/>
  <c r="BU15" i="12" s="1"/>
  <c r="BJ15" i="12"/>
  <c r="BY16" i="12"/>
  <c r="BT16" i="12"/>
  <c r="BS16" i="12"/>
  <c r="BK16" i="12"/>
  <c r="BG16" i="12"/>
  <c r="BV16" i="12" s="1"/>
  <c r="BF16" i="12"/>
  <c r="BU16" i="12" s="1"/>
  <c r="BH16" i="12"/>
  <c r="BI16" i="12"/>
  <c r="AU16" i="12"/>
  <c r="BN15" i="12"/>
  <c r="AG16" i="12"/>
  <c r="CB16" i="12" s="1"/>
  <c r="AD18" i="12"/>
  <c r="BY18" i="12" s="1"/>
  <c r="BK15" i="12"/>
  <c r="BW15" i="12"/>
  <c r="AE18" i="12"/>
  <c r="BZ18" i="12" s="1"/>
  <c r="BF18" i="12"/>
  <c r="BU18" i="12" s="1"/>
  <c r="AF18" i="12"/>
  <c r="CA18" i="12" s="1"/>
  <c r="BG18" i="12"/>
  <c r="BV18" i="12" s="1"/>
  <c r="BH18" i="12"/>
  <c r="BX175" i="12" l="1"/>
  <c r="O175" i="12"/>
  <c r="CC190" i="12"/>
  <c r="BK190" i="12"/>
  <c r="BW161" i="12"/>
  <c r="J162" i="12"/>
  <c r="BQ152" i="12"/>
  <c r="CD159" i="12"/>
  <c r="CE159" i="12" s="1"/>
  <c r="CE193" i="12"/>
  <c r="CD187" i="12"/>
  <c r="CD193" i="12"/>
  <c r="BA175" i="12"/>
  <c r="BM197" i="12"/>
  <c r="CD180" i="12"/>
  <c r="BK161" i="12"/>
  <c r="BN165" i="12"/>
  <c r="CE169" i="12"/>
  <c r="CD150" i="12"/>
  <c r="CE150" i="12" s="1"/>
  <c r="BT50" i="12"/>
  <c r="CD198" i="12"/>
  <c r="AX191" i="12"/>
  <c r="AZ191" i="12" s="1"/>
  <c r="BA186" i="12"/>
  <c r="BB173" i="12"/>
  <c r="Q156" i="12"/>
  <c r="BQ156" i="12" s="1"/>
  <c r="BM161" i="12"/>
  <c r="AX150" i="12"/>
  <c r="AZ150" i="12" s="1"/>
  <c r="BL165" i="12"/>
  <c r="BQ165" i="12"/>
  <c r="CD89" i="12"/>
  <c r="BL89" i="12"/>
  <c r="CD161" i="12"/>
  <c r="CE161" i="12" s="1"/>
  <c r="BA153" i="12"/>
  <c r="BL160" i="12"/>
  <c r="L161" i="12"/>
  <c r="BX160" i="12"/>
  <c r="BN161" i="12"/>
  <c r="L198" i="12"/>
  <c r="BL198" i="12" s="1"/>
  <c r="BQ197" i="12"/>
  <c r="AX166" i="12"/>
  <c r="AZ166" i="12" s="1"/>
  <c r="BB166" i="12" s="1"/>
  <c r="CC36" i="12"/>
  <c r="BW50" i="12"/>
  <c r="BN89" i="12"/>
  <c r="CD96" i="12"/>
  <c r="CD91" i="12"/>
  <c r="BX189" i="12"/>
  <c r="CD183" i="12"/>
  <c r="BP181" i="12"/>
  <c r="BA157" i="12"/>
  <c r="BP161" i="12"/>
  <c r="CC161" i="12"/>
  <c r="CD188" i="12"/>
  <c r="AX176" i="12"/>
  <c r="AZ176" i="12" s="1"/>
  <c r="BB176" i="12" s="1"/>
  <c r="CE151" i="12"/>
  <c r="CC118" i="12"/>
  <c r="CC194" i="12"/>
  <c r="AX167" i="12"/>
  <c r="AZ167" i="12" s="1"/>
  <c r="BB167" i="12" s="1"/>
  <c r="AX149" i="12"/>
  <c r="AZ149" i="12" s="1"/>
  <c r="BB149" i="12" s="1"/>
  <c r="BP152" i="12"/>
  <c r="BX145" i="12"/>
  <c r="AX160" i="12"/>
  <c r="AZ160" i="12" s="1"/>
  <c r="AX158" i="12"/>
  <c r="AZ158" i="12" s="1"/>
  <c r="BB158" i="12" s="1"/>
  <c r="CC16" i="12"/>
  <c r="BQ22" i="12"/>
  <c r="BG50" i="12"/>
  <c r="BV50" i="12" s="1"/>
  <c r="BI50" i="12"/>
  <c r="BW197" i="12"/>
  <c r="AX171" i="12"/>
  <c r="AZ171" i="12" s="1"/>
  <c r="BB171" i="12" s="1"/>
  <c r="BP166" i="12"/>
  <c r="AX146" i="12"/>
  <c r="AZ146" i="12" s="1"/>
  <c r="AX181" i="12"/>
  <c r="AZ181" i="12" s="1"/>
  <c r="BB181" i="12" s="1"/>
  <c r="CD160" i="12"/>
  <c r="BB148" i="12"/>
  <c r="BS186" i="12"/>
  <c r="BG186" i="12"/>
  <c r="BV186" i="12" s="1"/>
  <c r="BF186" i="12"/>
  <c r="BU186" i="12" s="1"/>
  <c r="CF194" i="12"/>
  <c r="CC43" i="12"/>
  <c r="AX178" i="12"/>
  <c r="AZ178" i="12" s="1"/>
  <c r="BB178" i="12" s="1"/>
  <c r="O161" i="12"/>
  <c r="BA176" i="12"/>
  <c r="O149" i="12"/>
  <c r="AT197" i="12"/>
  <c r="CD168" i="12"/>
  <c r="CE168" i="12" s="1"/>
  <c r="AX168" i="12"/>
  <c r="AZ168" i="12" s="1"/>
  <c r="O153" i="12"/>
  <c r="BX153" i="12"/>
  <c r="O146" i="12"/>
  <c r="BX146" i="12"/>
  <c r="O197" i="12"/>
  <c r="BX197" i="12"/>
  <c r="CE189" i="12"/>
  <c r="CE194" i="12"/>
  <c r="CE146" i="12"/>
  <c r="CE197" i="12"/>
  <c r="CD166" i="12"/>
  <c r="BP171" i="12"/>
  <c r="CF171" i="12" s="1"/>
  <c r="BK156" i="12"/>
  <c r="AX144" i="12"/>
  <c r="AZ144" i="12" s="1"/>
  <c r="BX156" i="12"/>
  <c r="BP146" i="12"/>
  <c r="CF146" i="12" s="1"/>
  <c r="BB146" i="12"/>
  <c r="BA146" i="12"/>
  <c r="BP145" i="12"/>
  <c r="CF145" i="12" s="1"/>
  <c r="CD167" i="12"/>
  <c r="BP147" i="12"/>
  <c r="BL194" i="12"/>
  <c r="CD194" i="12"/>
  <c r="BA178" i="12"/>
  <c r="BM194" i="12"/>
  <c r="AX194" i="12"/>
  <c r="AZ194" i="12" s="1"/>
  <c r="BB194" i="12" s="1"/>
  <c r="BY153" i="12"/>
  <c r="CD153" i="12" s="1"/>
  <c r="CE153" i="12" s="1"/>
  <c r="AX153" i="12"/>
  <c r="AZ153" i="12" s="1"/>
  <c r="BB153" i="12" s="1"/>
  <c r="BM156" i="12"/>
  <c r="AX192" i="12"/>
  <c r="AZ192" i="12" s="1"/>
  <c r="BP178" i="12"/>
  <c r="CE145" i="12"/>
  <c r="CE154" i="12"/>
  <c r="BW156" i="12"/>
  <c r="BA189" i="12"/>
  <c r="BP189" i="12"/>
  <c r="O176" i="12"/>
  <c r="BX176" i="12"/>
  <c r="CD176" i="12"/>
  <c r="CE176" i="12" s="1"/>
  <c r="BN176" i="12"/>
  <c r="BQ176" i="12"/>
  <c r="BM176" i="12"/>
  <c r="BL176" i="12"/>
  <c r="AX198" i="12"/>
  <c r="AZ198" i="12" s="1"/>
  <c r="BB198" i="12" s="1"/>
  <c r="AX187" i="12"/>
  <c r="AZ187" i="12" s="1"/>
  <c r="AX183" i="12"/>
  <c r="AZ183" i="12" s="1"/>
  <c r="BN194" i="12"/>
  <c r="BF165" i="12"/>
  <c r="BU165" i="12" s="1"/>
  <c r="BH165" i="12"/>
  <c r="BT165" i="12"/>
  <c r="BS165" i="12"/>
  <c r="BG165" i="12"/>
  <c r="BV165" i="12" s="1"/>
  <c r="CD144" i="12"/>
  <c r="CD158" i="12"/>
  <c r="BL158" i="12"/>
  <c r="Q158" i="12"/>
  <c r="BJ155" i="12"/>
  <c r="BI155" i="12"/>
  <c r="Q157" i="12"/>
  <c r="BL157" i="12" s="1"/>
  <c r="BH155" i="12"/>
  <c r="BW165" i="12"/>
  <c r="CE171" i="12"/>
  <c r="BB179" i="12"/>
  <c r="BA179" i="12"/>
  <c r="BP179" i="12"/>
  <c r="CF179" i="12" s="1"/>
  <c r="CE165" i="12"/>
  <c r="BA190" i="12"/>
  <c r="BB174" i="12"/>
  <c r="BA174" i="12"/>
  <c r="CF184" i="12"/>
  <c r="O194" i="12"/>
  <c r="AX185" i="12"/>
  <c r="AZ185" i="12" s="1"/>
  <c r="BB185" i="12" s="1"/>
  <c r="CC180" i="12"/>
  <c r="CE180" i="12" s="1"/>
  <c r="CC184" i="12"/>
  <c r="CE184" i="12" s="1"/>
  <c r="BI190" i="12"/>
  <c r="AU190" i="12"/>
  <c r="BH190" i="12"/>
  <c r="BS190" i="12"/>
  <c r="BG190" i="12"/>
  <c r="BV190" i="12" s="1"/>
  <c r="BF190" i="12"/>
  <c r="BU190" i="12" s="1"/>
  <c r="BI164" i="12"/>
  <c r="BJ164" i="12"/>
  <c r="BH164" i="12"/>
  <c r="Q166" i="12"/>
  <c r="BL166" i="12" s="1"/>
  <c r="BS164" i="12"/>
  <c r="Q167" i="12"/>
  <c r="BT164" i="12"/>
  <c r="AX172" i="12"/>
  <c r="AZ172" i="12" s="1"/>
  <c r="BB172" i="12" s="1"/>
  <c r="AX155" i="12"/>
  <c r="AZ155" i="12" s="1"/>
  <c r="BW152" i="12"/>
  <c r="BF152" i="12"/>
  <c r="BU152" i="12" s="1"/>
  <c r="BT152" i="12"/>
  <c r="BK152" i="12"/>
  <c r="BS152" i="12"/>
  <c r="BJ152" i="12"/>
  <c r="BN152" i="12"/>
  <c r="BI152" i="12"/>
  <c r="BH152" i="12"/>
  <c r="BG152" i="12"/>
  <c r="BV152" i="12" s="1"/>
  <c r="CD164" i="12"/>
  <c r="BL164" i="12"/>
  <c r="AX145" i="12"/>
  <c r="AZ145" i="12" s="1"/>
  <c r="BB145" i="12" s="1"/>
  <c r="AX197" i="12"/>
  <c r="AZ197" i="12" s="1"/>
  <c r="BB197" i="12" s="1"/>
  <c r="BL156" i="12"/>
  <c r="CD189" i="12"/>
  <c r="BL189" i="12"/>
  <c r="AT189" i="12"/>
  <c r="BN189" i="12"/>
  <c r="O189" i="12"/>
  <c r="L190" i="12"/>
  <c r="BZ190" i="12"/>
  <c r="AX190" i="12"/>
  <c r="AZ190" i="12" s="1"/>
  <c r="BB190" i="12" s="1"/>
  <c r="BM189" i="12"/>
  <c r="BP174" i="12"/>
  <c r="BQ194" i="12"/>
  <c r="BI165" i="12"/>
  <c r="BN156" i="12"/>
  <c r="BX161" i="12"/>
  <c r="CD157" i="12"/>
  <c r="CF176" i="12"/>
  <c r="BX165" i="12"/>
  <c r="CE160" i="12"/>
  <c r="O171" i="12"/>
  <c r="AX195" i="12"/>
  <c r="AZ195" i="12" s="1"/>
  <c r="AX189" i="12"/>
  <c r="AZ189" i="12" s="1"/>
  <c r="BB189" i="12" s="1"/>
  <c r="AX161" i="12"/>
  <c r="AZ161" i="12" s="1"/>
  <c r="BB161" i="12" s="1"/>
  <c r="AX151" i="12"/>
  <c r="AZ151" i="12" s="1"/>
  <c r="CF156" i="12"/>
  <c r="AX159" i="12"/>
  <c r="AZ159" i="12" s="1"/>
  <c r="BP148" i="12"/>
  <c r="AX169" i="12"/>
  <c r="AZ169" i="12" s="1"/>
  <c r="AX163" i="12"/>
  <c r="AZ163" i="12" s="1"/>
  <c r="CE187" i="12"/>
  <c r="CC198" i="12"/>
  <c r="BQ198" i="12"/>
  <c r="BN198" i="12"/>
  <c r="BX198" i="12"/>
  <c r="BW198" i="12"/>
  <c r="BK198" i="12"/>
  <c r="O198" i="12"/>
  <c r="BZ175" i="12"/>
  <c r="CD175" i="12" s="1"/>
  <c r="CE175" i="12" s="1"/>
  <c r="AX175" i="12"/>
  <c r="AZ175" i="12" s="1"/>
  <c r="BB175" i="12" s="1"/>
  <c r="BY170" i="12"/>
  <c r="CD170" i="12" s="1"/>
  <c r="CE170" i="12" s="1"/>
  <c r="AX170" i="12"/>
  <c r="AZ170" i="12" s="1"/>
  <c r="L185" i="12"/>
  <c r="BX184" i="12"/>
  <c r="J186" i="12"/>
  <c r="O184" i="12"/>
  <c r="BY156" i="12"/>
  <c r="CD156" i="12" s="1"/>
  <c r="CE156" i="12" s="1"/>
  <c r="AX156" i="12"/>
  <c r="AZ156" i="12" s="1"/>
  <c r="BB156" i="12" s="1"/>
  <c r="BJ165" i="12"/>
  <c r="BG189" i="12"/>
  <c r="BV189" i="12" s="1"/>
  <c r="BF189" i="12"/>
  <c r="BU189" i="12" s="1"/>
  <c r="AU189" i="12"/>
  <c r="BT189" i="12"/>
  <c r="BH189" i="12"/>
  <c r="BS155" i="12"/>
  <c r="BK165" i="12"/>
  <c r="CD163" i="12"/>
  <c r="CE163" i="12" s="1"/>
  <c r="CC192" i="12"/>
  <c r="CE192" i="12" s="1"/>
  <c r="AX182" i="12"/>
  <c r="AZ182" i="12" s="1"/>
  <c r="BA198" i="12"/>
  <c r="CE179" i="12"/>
  <c r="CA164" i="12"/>
  <c r="AX164" i="12"/>
  <c r="AZ164" i="12" s="1"/>
  <c r="BW194" i="12"/>
  <c r="BP173" i="12"/>
  <c r="AX180" i="12"/>
  <c r="AZ180" i="12" s="1"/>
  <c r="BB180" i="12" s="1"/>
  <c r="BL153" i="12"/>
  <c r="BQ153" i="12"/>
  <c r="BW153" i="12"/>
  <c r="J172" i="12"/>
  <c r="BX170" i="12"/>
  <c r="AX165" i="12"/>
  <c r="AZ165" i="12" s="1"/>
  <c r="BB165" i="12" s="1"/>
  <c r="AX147" i="12"/>
  <c r="AZ147" i="12" s="1"/>
  <c r="BB147" i="12" s="1"/>
  <c r="CE144" i="12"/>
  <c r="BM165" i="12"/>
  <c r="BL155" i="12"/>
  <c r="BJ156" i="12"/>
  <c r="BI156" i="12"/>
  <c r="BH156" i="12"/>
  <c r="BG156" i="12"/>
  <c r="BV156" i="12" s="1"/>
  <c r="BF156" i="12"/>
  <c r="BU156" i="12" s="1"/>
  <c r="BT156" i="12"/>
  <c r="BS156" i="12"/>
  <c r="AU156" i="12"/>
  <c r="BY162" i="12"/>
  <c r="AX162" i="12"/>
  <c r="AZ162" i="12" s="1"/>
  <c r="BB162" i="12" s="1"/>
  <c r="J147" i="12"/>
  <c r="CA188" i="12"/>
  <c r="CC188" i="12" s="1"/>
  <c r="CE188" i="12" s="1"/>
  <c r="AX188" i="12"/>
  <c r="AZ188" i="12" s="1"/>
  <c r="CE182" i="12"/>
  <c r="BM198" i="12"/>
  <c r="AX196" i="12"/>
  <c r="AZ196" i="12" s="1"/>
  <c r="AX193" i="12"/>
  <c r="AZ193" i="12" s="1"/>
  <c r="BB193" i="12" s="1"/>
  <c r="CF198" i="12"/>
  <c r="BX194" i="12"/>
  <c r="BA180" i="12"/>
  <c r="BP180" i="12"/>
  <c r="BP170" i="12"/>
  <c r="BB170" i="12"/>
  <c r="BA170" i="12"/>
  <c r="AX152" i="12"/>
  <c r="AZ152" i="12" s="1"/>
  <c r="BB152" i="12" s="1"/>
  <c r="BX152" i="12"/>
  <c r="CF165" i="12"/>
  <c r="BY133" i="12"/>
  <c r="CC45" i="12"/>
  <c r="CC96" i="12"/>
  <c r="BY132" i="12"/>
  <c r="CD132" i="12" s="1"/>
  <c r="CC50" i="12"/>
  <c r="CC54" i="12"/>
  <c r="CC95" i="12"/>
  <c r="CD43" i="12"/>
  <c r="BF50" i="12"/>
  <c r="BU50" i="12" s="1"/>
  <c r="BY69" i="12"/>
  <c r="CC73" i="12"/>
  <c r="CC62" i="12"/>
  <c r="BK80" i="12"/>
  <c r="CC98" i="12"/>
  <c r="CD133" i="12"/>
  <c r="CD95" i="12"/>
  <c r="CD63" i="12"/>
  <c r="CC58" i="12"/>
  <c r="CD90" i="12"/>
  <c r="CD97" i="12"/>
  <c r="CD55" i="12"/>
  <c r="CD98" i="12"/>
  <c r="CD113" i="12"/>
  <c r="CC97" i="12"/>
  <c r="CC59" i="12"/>
  <c r="CC74" i="12"/>
  <c r="BW80" i="12"/>
  <c r="CD67" i="12"/>
  <c r="BN84" i="12"/>
  <c r="BQ84" i="12"/>
  <c r="BW84" i="12"/>
  <c r="BK84" i="12"/>
  <c r="CD73" i="12"/>
  <c r="CD50" i="12"/>
  <c r="CD38" i="12"/>
  <c r="CD32" i="12"/>
  <c r="BI30" i="12"/>
  <c r="AU30" i="12"/>
  <c r="BH30" i="12"/>
  <c r="BS30" i="12"/>
  <c r="BK30" i="12"/>
  <c r="BG30" i="12"/>
  <c r="BV30" i="12" s="1"/>
  <c r="BF30" i="12"/>
  <c r="BU30" i="12" s="1"/>
  <c r="BT30" i="12"/>
  <c r="CD25" i="12"/>
  <c r="CD18" i="12"/>
  <c r="CE198" i="12" l="1"/>
  <c r="BK162" i="12"/>
  <c r="CC162" i="12"/>
  <c r="L162" i="12"/>
  <c r="BL161" i="12"/>
  <c r="AT161" i="12"/>
  <c r="BX162" i="12"/>
  <c r="BQ161" i="12"/>
  <c r="CD190" i="12"/>
  <c r="CE190" i="12" s="1"/>
  <c r="BL190" i="12"/>
  <c r="BW190" i="12"/>
  <c r="BN190" i="12"/>
  <c r="BX190" i="12"/>
  <c r="O190" i="12"/>
  <c r="BM190" i="12"/>
  <c r="CF190" i="12"/>
  <c r="BQ190" i="12"/>
  <c r="BX185" i="12"/>
  <c r="BL185" i="12"/>
  <c r="BW185" i="12"/>
  <c r="CD185" i="12"/>
  <c r="CE185" i="12" s="1"/>
  <c r="BQ185" i="12"/>
  <c r="BN185" i="12"/>
  <c r="O185" i="12"/>
  <c r="BM185" i="12"/>
  <c r="CF185" i="12"/>
  <c r="BG158" i="12"/>
  <c r="BV158" i="12" s="1"/>
  <c r="BH158" i="12"/>
  <c r="BF158" i="12"/>
  <c r="BU158" i="12" s="1"/>
  <c r="BT158" i="12"/>
  <c r="AU158" i="12"/>
  <c r="BJ158" i="12"/>
  <c r="BI158" i="12"/>
  <c r="BS158" i="12"/>
  <c r="BI157" i="12"/>
  <c r="BH157" i="12"/>
  <c r="BS157" i="12"/>
  <c r="BG157" i="12"/>
  <c r="BV157" i="12" s="1"/>
  <c r="BT157" i="12"/>
  <c r="BF157" i="12"/>
  <c r="BU157" i="12" s="1"/>
  <c r="AU157" i="12"/>
  <c r="BJ157" i="12"/>
  <c r="J148" i="12"/>
  <c r="BN147" i="12"/>
  <c r="O147" i="12"/>
  <c r="J157" i="12"/>
  <c r="BW147" i="12"/>
  <c r="BQ147" i="12"/>
  <c r="CC147" i="12"/>
  <c r="CE147" i="12" s="1"/>
  <c r="BK147" i="12"/>
  <c r="J166" i="12"/>
  <c r="BX147" i="12"/>
  <c r="BM147" i="12"/>
  <c r="CF147" i="12"/>
  <c r="CC172" i="12"/>
  <c r="CE172" i="12" s="1"/>
  <c r="BN172" i="12"/>
  <c r="O172" i="12"/>
  <c r="J177" i="12"/>
  <c r="J173" i="12"/>
  <c r="J181" i="12"/>
  <c r="BX172" i="12"/>
  <c r="BW172" i="12"/>
  <c r="BK172" i="12"/>
  <c r="J174" i="12"/>
  <c r="BQ172" i="12"/>
  <c r="CF172" i="12"/>
  <c r="BM172" i="12"/>
  <c r="CF175" i="12"/>
  <c r="CF153" i="12"/>
  <c r="BF166" i="12"/>
  <c r="BU166" i="12" s="1"/>
  <c r="BJ166" i="12"/>
  <c r="BI166" i="12"/>
  <c r="BH166" i="12"/>
  <c r="BG166" i="12"/>
  <c r="BV166" i="12" s="1"/>
  <c r="BT166" i="12"/>
  <c r="BS166" i="12"/>
  <c r="AU166" i="12"/>
  <c r="CF162" i="12"/>
  <c r="J183" i="12"/>
  <c r="BN186" i="12"/>
  <c r="O186" i="12"/>
  <c r="BX186" i="12"/>
  <c r="BW186" i="12"/>
  <c r="BK186" i="12"/>
  <c r="CC186" i="12"/>
  <c r="CE186" i="12" s="1"/>
  <c r="BQ186" i="12"/>
  <c r="BM186" i="12"/>
  <c r="CF186" i="12"/>
  <c r="BI167" i="12"/>
  <c r="BH167" i="12"/>
  <c r="BG167" i="12"/>
  <c r="BV167" i="12" s="1"/>
  <c r="BF167" i="12"/>
  <c r="BU167" i="12" s="1"/>
  <c r="BT167" i="12"/>
  <c r="BS167" i="12"/>
  <c r="BJ167" i="12"/>
  <c r="AU167" i="12"/>
  <c r="BL167" i="12"/>
  <c r="CF170" i="12"/>
  <c r="D353" i="1"/>
  <c r="BL162" i="12" l="1"/>
  <c r="BN162" i="12"/>
  <c r="O162" i="12"/>
  <c r="BM162" i="12"/>
  <c r="BW162" i="12"/>
  <c r="BQ162" i="12"/>
  <c r="CD162" i="12"/>
  <c r="CE162" i="12" s="1"/>
  <c r="BN148" i="12"/>
  <c r="O148" i="12"/>
  <c r="BX148" i="12"/>
  <c r="CC148" i="12"/>
  <c r="CE148" i="12" s="1"/>
  <c r="BQ148" i="12"/>
  <c r="BK148" i="12"/>
  <c r="BW148" i="12"/>
  <c r="BM148" i="12"/>
  <c r="CF148" i="12"/>
  <c r="J164" i="12"/>
  <c r="J167" i="12"/>
  <c r="BN166" i="12"/>
  <c r="O166" i="12"/>
  <c r="BX166" i="12"/>
  <c r="BQ166" i="12"/>
  <c r="BK166" i="12"/>
  <c r="BW166" i="12"/>
  <c r="CC166" i="12"/>
  <c r="CE166" i="12" s="1"/>
  <c r="BM166" i="12"/>
  <c r="CF166" i="12"/>
  <c r="CC174" i="12"/>
  <c r="CE174" i="12" s="1"/>
  <c r="BQ174" i="12"/>
  <c r="BN174" i="12"/>
  <c r="BM174" i="12"/>
  <c r="BK174" i="12"/>
  <c r="BX174" i="12"/>
  <c r="BW174" i="12"/>
  <c r="CF174" i="12"/>
  <c r="O174" i="12"/>
  <c r="O181" i="12"/>
  <c r="BQ181" i="12"/>
  <c r="BN181" i="12"/>
  <c r="BM181" i="12"/>
  <c r="BK181" i="12"/>
  <c r="CC181" i="12"/>
  <c r="CE181" i="12" s="1"/>
  <c r="BW181" i="12"/>
  <c r="BX181" i="12"/>
  <c r="CF181" i="12"/>
  <c r="BX173" i="12"/>
  <c r="O173" i="12"/>
  <c r="BQ173" i="12"/>
  <c r="CF173" i="12"/>
  <c r="CC173" i="12"/>
  <c r="CE173" i="12" s="1"/>
  <c r="BN173" i="12"/>
  <c r="BW173" i="12"/>
  <c r="BM173" i="12"/>
  <c r="BK173" i="12"/>
  <c r="BK183" i="12"/>
  <c r="BQ183" i="12"/>
  <c r="BA183" i="12"/>
  <c r="CC183" i="12"/>
  <c r="CE183" i="12" s="1"/>
  <c r="O183" i="12"/>
  <c r="BX183" i="12"/>
  <c r="BW183" i="12"/>
  <c r="J178" i="12"/>
  <c r="BN177" i="12"/>
  <c r="O177" i="12"/>
  <c r="BK177" i="12"/>
  <c r="CC177" i="12"/>
  <c r="CE177" i="12" s="1"/>
  <c r="BX177" i="12"/>
  <c r="BW177" i="12"/>
  <c r="BQ177" i="12"/>
  <c r="BM177" i="12"/>
  <c r="CF177" i="12"/>
  <c r="BQ157" i="12"/>
  <c r="O157" i="12"/>
  <c r="CC157" i="12"/>
  <c r="CE157" i="12" s="1"/>
  <c r="BN157" i="12"/>
  <c r="J158" i="12"/>
  <c r="BX157" i="12"/>
  <c r="BW157" i="12"/>
  <c r="J155" i="12"/>
  <c r="BK157" i="12"/>
  <c r="CF157" i="12"/>
  <c r="BM157" i="12"/>
  <c r="G1149" i="12"/>
  <c r="G1150" i="12"/>
  <c r="BQ155" i="12" l="1"/>
  <c r="BA155" i="12"/>
  <c r="CC155" i="12"/>
  <c r="CE155" i="12" s="1"/>
  <c r="O155" i="12"/>
  <c r="BW155" i="12"/>
  <c r="BK155" i="12"/>
  <c r="BX155" i="12"/>
  <c r="BX167" i="12"/>
  <c r="BW167" i="12"/>
  <c r="BK167" i="12"/>
  <c r="CC167" i="12"/>
  <c r="CE167" i="12" s="1"/>
  <c r="BQ167" i="12"/>
  <c r="BN167" i="12"/>
  <c r="CF167" i="12"/>
  <c r="O167" i="12"/>
  <c r="BM167" i="12"/>
  <c r="BQ158" i="12"/>
  <c r="CC158" i="12"/>
  <c r="CE158" i="12" s="1"/>
  <c r="O158" i="12"/>
  <c r="BN158" i="12"/>
  <c r="BK158" i="12"/>
  <c r="BX158" i="12"/>
  <c r="BW158" i="12"/>
  <c r="CF158" i="12"/>
  <c r="BM158" i="12"/>
  <c r="BX178" i="12"/>
  <c r="BW178" i="12"/>
  <c r="BK178" i="12"/>
  <c r="BQ178" i="12"/>
  <c r="O178" i="12"/>
  <c r="BN178" i="12"/>
  <c r="CF178" i="12"/>
  <c r="CC178" i="12"/>
  <c r="CE178" i="12" s="1"/>
  <c r="BM178" i="12"/>
  <c r="BX164" i="12"/>
  <c r="BQ164" i="12"/>
  <c r="BA164" i="12"/>
  <c r="CC164" i="12"/>
  <c r="CE164" i="12" s="1"/>
  <c r="BK164" i="12"/>
  <c r="O164" i="12"/>
  <c r="BW164" i="12"/>
  <c r="F73" i="61"/>
  <c r="D52" i="61"/>
  <c r="B47" i="61"/>
  <c r="B45" i="61"/>
  <c r="B44" i="61"/>
  <c r="B42" i="61"/>
  <c r="B41" i="61"/>
  <c r="B39" i="61"/>
  <c r="B37" i="61"/>
  <c r="B36" i="61"/>
  <c r="B30" i="61"/>
  <c r="B29" i="61"/>
  <c r="B24" i="61"/>
  <c r="B23" i="61"/>
  <c r="B22" i="61"/>
  <c r="B21" i="61"/>
  <c r="B17" i="61"/>
  <c r="B16" i="61"/>
  <c r="B15" i="61"/>
  <c r="B14" i="61"/>
  <c r="C10" i="61"/>
  <c r="C74" i="61" s="1"/>
  <c r="C129" i="61" s="1"/>
  <c r="F9" i="61"/>
  <c r="C8" i="61"/>
  <c r="C72" i="61" s="1"/>
  <c r="C127" i="61" s="1"/>
  <c r="C7" i="61"/>
  <c r="C71" i="61" s="1"/>
  <c r="C126" i="61" s="1"/>
  <c r="F6" i="61"/>
  <c r="F70" i="61" s="1"/>
  <c r="F125" i="61" s="1"/>
  <c r="C10" i="75"/>
  <c r="F9" i="75"/>
  <c r="C8" i="75"/>
  <c r="C7" i="75"/>
  <c r="F6" i="75"/>
  <c r="E9" i="71"/>
  <c r="E7" i="71"/>
  <c r="E5" i="71"/>
  <c r="E4" i="71"/>
  <c r="E3" i="71"/>
  <c r="E9" i="76"/>
  <c r="E7" i="76"/>
  <c r="E5" i="76"/>
  <c r="E4" i="76"/>
  <c r="E3" i="76"/>
  <c r="F233" i="81"/>
  <c r="C206" i="81"/>
  <c r="B206" i="81" s="1"/>
  <c r="C204" i="81"/>
  <c r="B204" i="81" s="1"/>
  <c r="C202" i="81"/>
  <c r="B202" i="81" s="1"/>
  <c r="C201" i="81"/>
  <c r="B201" i="81" s="1"/>
  <c r="C200" i="81"/>
  <c r="B200" i="81" s="1"/>
  <c r="C199" i="81"/>
  <c r="B199" i="81" s="1"/>
  <c r="C198" i="81"/>
  <c r="B198" i="81" s="1"/>
  <c r="C194" i="81"/>
  <c r="D194" i="81" s="1"/>
  <c r="C192" i="81"/>
  <c r="D192" i="81" s="1"/>
  <c r="C191" i="81"/>
  <c r="D191" i="81" s="1"/>
  <c r="C189" i="81"/>
  <c r="B189" i="81" s="1"/>
  <c r="C188" i="81"/>
  <c r="D188" i="81" s="1"/>
  <c r="C185" i="81"/>
  <c r="D185" i="81" s="1"/>
  <c r="C184" i="81"/>
  <c r="D184" i="81" s="1"/>
  <c r="C182" i="81"/>
  <c r="B182" i="81" s="1"/>
  <c r="C181" i="81"/>
  <c r="D181" i="81" s="1"/>
  <c r="C180" i="81"/>
  <c r="D180" i="81" s="1"/>
  <c r="C164" i="81"/>
  <c r="B164" i="81" s="1"/>
  <c r="C163" i="81"/>
  <c r="B163" i="81" s="1"/>
  <c r="C162" i="81"/>
  <c r="B162" i="81" s="1"/>
  <c r="C159" i="81"/>
  <c r="B159" i="81" s="1"/>
  <c r="B140" i="81"/>
  <c r="B139" i="81"/>
  <c r="C137" i="81"/>
  <c r="B137" i="81" s="1"/>
  <c r="C136" i="81"/>
  <c r="B136" i="81" s="1"/>
  <c r="B132" i="81"/>
  <c r="B131" i="81"/>
  <c r="B130" i="81"/>
  <c r="B129" i="81"/>
  <c r="B128" i="81"/>
  <c r="B126" i="81"/>
  <c r="B125" i="81"/>
  <c r="B124" i="81"/>
  <c r="B123" i="81"/>
  <c r="B122" i="81"/>
  <c r="B121" i="81"/>
  <c r="C116" i="81"/>
  <c r="B116" i="81" s="1"/>
  <c r="C115" i="81"/>
  <c r="B115" i="81" s="1"/>
  <c r="C114" i="81"/>
  <c r="B114" i="81" s="1"/>
  <c r="C113" i="81"/>
  <c r="B113" i="81" s="1"/>
  <c r="C111" i="81"/>
  <c r="B111" i="81" s="1"/>
  <c r="C110" i="81"/>
  <c r="B110" i="81" s="1"/>
  <c r="C109" i="81"/>
  <c r="B109" i="81" s="1"/>
  <c r="C108" i="81"/>
  <c r="B108" i="81" s="1"/>
  <c r="C107" i="81"/>
  <c r="B107" i="81" s="1"/>
  <c r="B88" i="81"/>
  <c r="B87" i="81"/>
  <c r="K33" i="81"/>
  <c r="D33" i="81"/>
  <c r="K32" i="81"/>
  <c r="D32" i="81"/>
  <c r="K31" i="81"/>
  <c r="D31" i="81" s="1"/>
  <c r="K30" i="81"/>
  <c r="D30" i="81"/>
  <c r="B30" i="81"/>
  <c r="K29" i="81"/>
  <c r="D29" i="81" s="1"/>
  <c r="K27" i="81"/>
  <c r="D27" i="81" s="1"/>
  <c r="B27" i="81"/>
  <c r="D26" i="81"/>
  <c r="B26" i="81"/>
  <c r="D25" i="81"/>
  <c r="B25" i="81"/>
  <c r="K24" i="81"/>
  <c r="D24" i="81"/>
  <c r="B24" i="81"/>
  <c r="K23" i="81"/>
  <c r="D23" i="81" s="1"/>
  <c r="B23" i="81"/>
  <c r="B18" i="81"/>
  <c r="B16" i="81"/>
  <c r="B15" i="81"/>
  <c r="C10" i="81"/>
  <c r="C234" i="81" s="1"/>
  <c r="C289" i="81" s="1"/>
  <c r="F9" i="81"/>
  <c r="C8" i="81"/>
  <c r="C232" i="81" s="1"/>
  <c r="C287" i="81" s="1"/>
  <c r="C7" i="81"/>
  <c r="C231" i="81" s="1"/>
  <c r="C286" i="81" s="1"/>
  <c r="F6" i="81"/>
  <c r="F230" i="81" s="1"/>
  <c r="F285" i="81" s="1"/>
  <c r="C9" i="80"/>
  <c r="C7" i="80"/>
  <c r="C5" i="80"/>
  <c r="C4" i="80"/>
  <c r="C3" i="80"/>
  <c r="A22" i="60"/>
  <c r="B15" i="60"/>
  <c r="C9" i="60"/>
  <c r="C7" i="60"/>
  <c r="C6" i="60"/>
  <c r="F5" i="60"/>
  <c r="A77" i="17"/>
  <c r="A64" i="17"/>
  <c r="B53" i="17"/>
  <c r="B51" i="17"/>
  <c r="B48" i="17"/>
  <c r="B46" i="17"/>
  <c r="B45" i="17"/>
  <c r="B44" i="17"/>
  <c r="B43" i="17"/>
  <c r="H39" i="17"/>
  <c r="C9" i="17"/>
  <c r="F8" i="17"/>
  <c r="C7" i="17"/>
  <c r="C6" i="17"/>
  <c r="F5" i="17"/>
  <c r="I9" i="55"/>
  <c r="C9" i="55"/>
  <c r="C7" i="55"/>
  <c r="C5" i="55"/>
  <c r="C4" i="55"/>
  <c r="C3" i="55"/>
  <c r="I9" i="54"/>
  <c r="C9" i="54"/>
  <c r="C7" i="54"/>
  <c r="C5" i="54"/>
  <c r="C4" i="54"/>
  <c r="C3" i="54"/>
  <c r="B137" i="77"/>
  <c r="I136" i="77"/>
  <c r="B113" i="77"/>
  <c r="C108" i="77"/>
  <c r="B108" i="77" s="1"/>
  <c r="C107" i="77"/>
  <c r="B107" i="77" s="1"/>
  <c r="C106" i="77"/>
  <c r="B106" i="77" s="1"/>
  <c r="C104" i="77"/>
  <c r="B104" i="77" s="1"/>
  <c r="C102" i="77"/>
  <c r="B102" i="77" s="1"/>
  <c r="C97" i="77"/>
  <c r="B97" i="77" s="1"/>
  <c r="C95" i="77"/>
  <c r="B95" i="77" s="1"/>
  <c r="C70" i="77"/>
  <c r="B70" i="77" s="1"/>
  <c r="C69" i="77"/>
  <c r="B69" i="77" s="1"/>
  <c r="C68" i="77"/>
  <c r="B68" i="77" s="1"/>
  <c r="C66" i="77"/>
  <c r="B66" i="77" s="1"/>
  <c r="C62" i="77"/>
  <c r="B62" i="77" s="1"/>
  <c r="C61" i="77"/>
  <c r="B61" i="77" s="1"/>
  <c r="C59" i="77"/>
  <c r="B59" i="77" s="1"/>
  <c r="C58" i="77"/>
  <c r="B58" i="77" s="1"/>
  <c r="C55" i="77"/>
  <c r="B55" i="77" s="1"/>
  <c r="C54" i="77"/>
  <c r="B54" i="77" s="1"/>
  <c r="C52" i="77"/>
  <c r="B52" i="77" s="1"/>
  <c r="C51" i="77"/>
  <c r="B51" i="77" s="1"/>
  <c r="C50" i="77"/>
  <c r="B50" i="77" s="1"/>
  <c r="C36" i="77"/>
  <c r="B36" i="77" s="1"/>
  <c r="C35" i="77"/>
  <c r="B35" i="77" s="1"/>
  <c r="C34" i="77"/>
  <c r="B34" i="77" s="1"/>
  <c r="C31" i="77"/>
  <c r="B31" i="77" s="1"/>
  <c r="B17" i="77"/>
  <c r="B16" i="77"/>
  <c r="C14" i="77"/>
  <c r="B14" i="77" s="1"/>
  <c r="C13" i="77"/>
  <c r="B13" i="77" s="1"/>
  <c r="C10" i="77"/>
  <c r="F9" i="77"/>
  <c r="C8" i="77"/>
  <c r="C7" i="77"/>
  <c r="F6" i="77"/>
  <c r="C40" i="18"/>
  <c r="B40" i="18" s="1"/>
  <c r="F39" i="18"/>
  <c r="F38" i="18"/>
  <c r="B38" i="18"/>
  <c r="B37" i="18"/>
  <c r="B36" i="18"/>
  <c r="B35" i="18"/>
  <c r="B34" i="18"/>
  <c r="B32" i="18"/>
  <c r="B31" i="18"/>
  <c r="B30" i="18"/>
  <c r="B29" i="18"/>
  <c r="B28" i="18"/>
  <c r="B27" i="18"/>
  <c r="C22" i="18"/>
  <c r="B22" i="18" s="1"/>
  <c r="C21" i="18"/>
  <c r="B21" i="18" s="1"/>
  <c r="C20" i="18"/>
  <c r="B20" i="18" s="1"/>
  <c r="C19" i="18"/>
  <c r="B19" i="18" s="1"/>
  <c r="C17" i="18"/>
  <c r="B17" i="18" s="1"/>
  <c r="C16" i="18"/>
  <c r="B16" i="18" s="1"/>
  <c r="K15" i="18"/>
  <c r="C15" i="18"/>
  <c r="B15" i="18" s="1"/>
  <c r="C14" i="18"/>
  <c r="B14" i="18" s="1"/>
  <c r="C13" i="18"/>
  <c r="B13" i="18" s="1"/>
  <c r="C10" i="18"/>
  <c r="C64" i="18" s="1"/>
  <c r="C120" i="18" s="1"/>
  <c r="F9" i="18"/>
  <c r="C8" i="18"/>
  <c r="C62" i="18" s="1"/>
  <c r="C118" i="18" s="1"/>
  <c r="C7" i="18"/>
  <c r="C61" i="18" s="1"/>
  <c r="C117" i="18" s="1"/>
  <c r="F6" i="18"/>
  <c r="F60" i="18" s="1"/>
  <c r="F116" i="18" s="1"/>
  <c r="F161" i="29"/>
  <c r="B142" i="29"/>
  <c r="I141" i="29"/>
  <c r="B118" i="29"/>
  <c r="C113" i="29"/>
  <c r="B113" i="29" s="1"/>
  <c r="C112" i="29"/>
  <c r="B112" i="29" s="1"/>
  <c r="C111" i="29"/>
  <c r="B111" i="29" s="1"/>
  <c r="C109" i="29"/>
  <c r="B109" i="29" s="1"/>
  <c r="C107" i="29"/>
  <c r="B107" i="29" s="1"/>
  <c r="C102" i="29"/>
  <c r="B102" i="29" s="1"/>
  <c r="C100" i="29"/>
  <c r="B100" i="29" s="1"/>
  <c r="C75" i="29"/>
  <c r="B75" i="29" s="1"/>
  <c r="C74" i="29"/>
  <c r="B74" i="29" s="1"/>
  <c r="C73" i="29"/>
  <c r="B73" i="29" s="1"/>
  <c r="C71" i="29"/>
  <c r="B71" i="29" s="1"/>
  <c r="C67" i="29"/>
  <c r="B67" i="29" s="1"/>
  <c r="C66" i="29"/>
  <c r="B66" i="29" s="1"/>
  <c r="C64" i="29"/>
  <c r="B64" i="29" s="1"/>
  <c r="C63" i="29"/>
  <c r="B63" i="29" s="1"/>
  <c r="C60" i="29"/>
  <c r="B60" i="29" s="1"/>
  <c r="C59" i="29"/>
  <c r="B59" i="29" s="1"/>
  <c r="C57" i="29"/>
  <c r="B57" i="29" s="1"/>
  <c r="C56" i="29"/>
  <c r="B56" i="29" s="1"/>
  <c r="C55" i="29"/>
  <c r="B55" i="29" s="1"/>
  <c r="C41" i="29"/>
  <c r="B41" i="29" s="1"/>
  <c r="C40" i="29"/>
  <c r="B40" i="29" s="1"/>
  <c r="C39" i="29"/>
  <c r="B39" i="29" s="1"/>
  <c r="C36" i="29"/>
  <c r="B36" i="29"/>
  <c r="B17" i="29"/>
  <c r="B16" i="29"/>
  <c r="C14" i="29"/>
  <c r="B14" i="29" s="1"/>
  <c r="C13" i="29"/>
  <c r="B13" i="29" s="1"/>
  <c r="C10" i="29"/>
  <c r="C162" i="29" s="1"/>
  <c r="C217" i="29" s="1"/>
  <c r="F9" i="29"/>
  <c r="C8" i="29"/>
  <c r="C160" i="29" s="1"/>
  <c r="C215" i="29" s="1"/>
  <c r="C7" i="29"/>
  <c r="C159" i="29" s="1"/>
  <c r="C214" i="29" s="1"/>
  <c r="F6" i="29"/>
  <c r="F158" i="29" s="1"/>
  <c r="F213" i="29" s="1"/>
  <c r="C9" i="47"/>
  <c r="I7" i="47"/>
  <c r="C7" i="47"/>
  <c r="C5" i="47"/>
  <c r="C4" i="47"/>
  <c r="C3" i="47"/>
  <c r="A30" i="68"/>
  <c r="I10" i="68"/>
  <c r="I8" i="68"/>
  <c r="C8" i="68"/>
  <c r="C9" i="66"/>
  <c r="I7" i="66"/>
  <c r="C7" i="66"/>
  <c r="C5" i="66"/>
  <c r="C4" i="66"/>
  <c r="C3" i="66"/>
  <c r="I9" i="67"/>
  <c r="C9" i="67"/>
  <c r="C7" i="67"/>
  <c r="C5" i="67"/>
  <c r="C4" i="67"/>
  <c r="C3" i="67"/>
  <c r="I9" i="69"/>
  <c r="C9" i="69"/>
  <c r="C7" i="69"/>
  <c r="C5" i="69"/>
  <c r="C4" i="69"/>
  <c r="C3" i="69"/>
  <c r="A55" i="78"/>
  <c r="I9" i="78"/>
  <c r="C9" i="78"/>
  <c r="C7" i="78"/>
  <c r="C5" i="78"/>
  <c r="C4" i="78"/>
  <c r="C3" i="78"/>
  <c r="A55" i="65"/>
  <c r="I9" i="65"/>
  <c r="C9" i="65"/>
  <c r="C7" i="65"/>
  <c r="C5" i="65"/>
  <c r="C4" i="65"/>
  <c r="C3" i="65"/>
  <c r="Q32" i="48"/>
  <c r="O32" i="48"/>
  <c r="M32" i="48"/>
  <c r="K32" i="48"/>
  <c r="Q31" i="48"/>
  <c r="O31" i="48"/>
  <c r="M31" i="48"/>
  <c r="K31" i="48"/>
  <c r="Q29" i="48"/>
  <c r="O29" i="48"/>
  <c r="M29" i="48"/>
  <c r="K29" i="48"/>
  <c r="Q27" i="48"/>
  <c r="O27" i="48"/>
  <c r="M27" i="48"/>
  <c r="K27" i="48"/>
  <c r="Q25" i="48"/>
  <c r="O25" i="48"/>
  <c r="M25" i="48"/>
  <c r="K25" i="48"/>
  <c r="Q23" i="48"/>
  <c r="O23" i="48"/>
  <c r="M23" i="48"/>
  <c r="K23" i="48"/>
  <c r="Q21" i="48"/>
  <c r="O21" i="48"/>
  <c r="M21" i="48"/>
  <c r="K21" i="48"/>
  <c r="Q19" i="48"/>
  <c r="O19" i="48"/>
  <c r="M19" i="48"/>
  <c r="K19" i="48"/>
  <c r="Q17" i="48"/>
  <c r="O17" i="48"/>
  <c r="M17" i="48"/>
  <c r="K17" i="48"/>
  <c r="Q15" i="48"/>
  <c r="O15" i="48"/>
  <c r="M15" i="48"/>
  <c r="K15" i="48"/>
  <c r="K9" i="48"/>
  <c r="C9" i="48"/>
  <c r="C7" i="48"/>
  <c r="C5" i="48"/>
  <c r="C4" i="48"/>
  <c r="C3" i="48"/>
  <c r="R34" i="74"/>
  <c r="P34" i="74"/>
  <c r="N34" i="74"/>
  <c r="L34" i="74"/>
  <c r="R33" i="74"/>
  <c r="P33" i="74"/>
  <c r="N33" i="74"/>
  <c r="L33" i="74"/>
  <c r="R31" i="74"/>
  <c r="P31" i="74"/>
  <c r="N31" i="74"/>
  <c r="L31" i="74"/>
  <c r="R29" i="74"/>
  <c r="P29" i="74"/>
  <c r="N29" i="74"/>
  <c r="L29" i="74"/>
  <c r="R27" i="74"/>
  <c r="P27" i="74"/>
  <c r="N27" i="74"/>
  <c r="L27" i="74"/>
  <c r="R25" i="74"/>
  <c r="P25" i="74"/>
  <c r="N25" i="74"/>
  <c r="L25" i="74"/>
  <c r="R23" i="74"/>
  <c r="P23" i="74"/>
  <c r="N23" i="74"/>
  <c r="L23" i="74"/>
  <c r="R21" i="74"/>
  <c r="P21" i="74"/>
  <c r="N21" i="74"/>
  <c r="L21" i="74"/>
  <c r="R19" i="74"/>
  <c r="P19" i="74"/>
  <c r="N19" i="74"/>
  <c r="L19" i="74"/>
  <c r="R17" i="74"/>
  <c r="P17" i="74"/>
  <c r="N17" i="74"/>
  <c r="L17" i="74"/>
  <c r="R15" i="74"/>
  <c r="P15" i="74"/>
  <c r="N15" i="74"/>
  <c r="L15" i="74"/>
  <c r="L9" i="74"/>
  <c r="D9" i="74"/>
  <c r="D7" i="74"/>
  <c r="D5" i="74"/>
  <c r="D4" i="74"/>
  <c r="D3" i="74"/>
  <c r="O23" i="72"/>
  <c r="M23" i="72"/>
  <c r="K23" i="72"/>
  <c r="I23" i="72"/>
  <c r="O21" i="72"/>
  <c r="M21" i="72"/>
  <c r="K21" i="72"/>
  <c r="I21" i="72"/>
  <c r="O19" i="72"/>
  <c r="M19" i="72"/>
  <c r="K19" i="72"/>
  <c r="I19" i="72"/>
  <c r="O17" i="72"/>
  <c r="M17" i="72"/>
  <c r="K17" i="72"/>
  <c r="I17" i="72"/>
  <c r="O15" i="72"/>
  <c r="M15" i="72"/>
  <c r="K15" i="72"/>
  <c r="I15" i="72"/>
  <c r="I9" i="72"/>
  <c r="C9" i="72"/>
  <c r="H8" i="72"/>
  <c r="G8" i="72"/>
  <c r="C7" i="72"/>
  <c r="G5" i="72"/>
  <c r="C5" i="72"/>
  <c r="G4" i="72"/>
  <c r="C4" i="72"/>
  <c r="C3" i="72"/>
  <c r="O23" i="64"/>
  <c r="M23" i="64"/>
  <c r="K23" i="64"/>
  <c r="I23" i="64"/>
  <c r="O21" i="64"/>
  <c r="M21" i="64"/>
  <c r="K21" i="64"/>
  <c r="I21" i="64"/>
  <c r="O19" i="64"/>
  <c r="M19" i="64"/>
  <c r="K19" i="64"/>
  <c r="I19" i="64"/>
  <c r="O17" i="64"/>
  <c r="M17" i="64"/>
  <c r="K17" i="64"/>
  <c r="I17" i="64"/>
  <c r="O15" i="64"/>
  <c r="M15" i="64"/>
  <c r="K15" i="64"/>
  <c r="I15" i="64"/>
  <c r="I9" i="64"/>
  <c r="C9" i="64"/>
  <c r="H8" i="64"/>
  <c r="G8" i="64"/>
  <c r="C7" i="64"/>
  <c r="G5" i="64"/>
  <c r="C5" i="64"/>
  <c r="G4" i="64"/>
  <c r="C4" i="64"/>
  <c r="C3" i="64"/>
  <c r="O23" i="63"/>
  <c r="M23" i="63"/>
  <c r="K23" i="63"/>
  <c r="I23" i="63"/>
  <c r="O21" i="63"/>
  <c r="M21" i="63"/>
  <c r="K21" i="63"/>
  <c r="I21" i="63"/>
  <c r="O19" i="63"/>
  <c r="M19" i="63"/>
  <c r="K19" i="63"/>
  <c r="I19" i="63"/>
  <c r="O17" i="63"/>
  <c r="M17" i="63"/>
  <c r="K17" i="63"/>
  <c r="I17" i="63"/>
  <c r="O15" i="63"/>
  <c r="M15" i="63"/>
  <c r="K15" i="63"/>
  <c r="I15" i="63"/>
  <c r="I9" i="63"/>
  <c r="C9" i="63"/>
  <c r="H8" i="63"/>
  <c r="G8" i="63"/>
  <c r="C7" i="63"/>
  <c r="G5" i="63"/>
  <c r="C5" i="63"/>
  <c r="G4" i="63"/>
  <c r="C4" i="63"/>
  <c r="C3" i="63"/>
  <c r="I5110" i="41"/>
  <c r="P258" i="41"/>
  <c r="I258" i="41"/>
  <c r="I254" i="41"/>
  <c r="I252" i="41"/>
  <c r="P244" i="41"/>
  <c r="I240" i="41"/>
  <c r="I238" i="41"/>
  <c r="P230" i="41"/>
  <c r="I230" i="41"/>
  <c r="I226" i="41"/>
  <c r="P216" i="41"/>
  <c r="I216" i="41"/>
  <c r="P214" i="41"/>
  <c r="K214" i="41"/>
  <c r="K210" i="41"/>
  <c r="K209" i="41"/>
  <c r="K208" i="41"/>
  <c r="K207" i="41"/>
  <c r="I15" i="41"/>
  <c r="I9" i="41"/>
  <c r="C9" i="41"/>
  <c r="H8" i="41"/>
  <c r="G8" i="41"/>
  <c r="C7" i="41"/>
  <c r="G5" i="41"/>
  <c r="C5" i="41"/>
  <c r="G4" i="41"/>
  <c r="C4" i="41"/>
  <c r="C3" i="41"/>
  <c r="BX1170" i="12"/>
  <c r="BW1170" i="12"/>
  <c r="BQ1170" i="12"/>
  <c r="BM1170" i="12"/>
  <c r="BL1170" i="12"/>
  <c r="BK1170" i="12"/>
  <c r="BI1170" i="12"/>
  <c r="AU1170" i="12"/>
  <c r="AR1170" i="12"/>
  <c r="AQ1170" i="12"/>
  <c r="AP1170" i="12"/>
  <c r="O1170" i="12"/>
  <c r="A1170" i="12"/>
  <c r="BX1134" i="12"/>
  <c r="BW1134" i="12"/>
  <c r="BI1134" i="12"/>
  <c r="AR1134" i="12"/>
  <c r="AQ1134" i="12"/>
  <c r="AP1134" i="12"/>
  <c r="A1134" i="12"/>
  <c r="AR1133" i="12"/>
  <c r="AQ1133" i="12"/>
  <c r="AP1133" i="12"/>
  <c r="O1133" i="12"/>
  <c r="BX1132" i="12"/>
  <c r="BW1132" i="12"/>
  <c r="A1132" i="12"/>
  <c r="BX1131" i="12"/>
  <c r="BW1131" i="12"/>
  <c r="A1131" i="12"/>
  <c r="BX1130" i="12"/>
  <c r="BW1130" i="12"/>
  <c r="A1130" i="12"/>
  <c r="BX1129" i="12"/>
  <c r="BW1129" i="12"/>
  <c r="A1129" i="12"/>
  <c r="BX1128" i="12"/>
  <c r="BW1128" i="12"/>
  <c r="A1128" i="12"/>
  <c r="BX1127" i="12"/>
  <c r="BW1127" i="12"/>
  <c r="A1127" i="12"/>
  <c r="BX1126" i="12"/>
  <c r="BW1126" i="12"/>
  <c r="A1126" i="12"/>
  <c r="BX1125" i="12"/>
  <c r="BW1125" i="12"/>
  <c r="A1125" i="12"/>
  <c r="BX1124" i="12"/>
  <c r="BW1124" i="12"/>
  <c r="A1124" i="12"/>
  <c r="BX1123" i="12"/>
  <c r="BW1123" i="12"/>
  <c r="A1123" i="12"/>
  <c r="BX1122" i="12"/>
  <c r="BW1122" i="12"/>
  <c r="A1122" i="12"/>
  <c r="BX1121" i="12"/>
  <c r="BW1121" i="12"/>
  <c r="A1121" i="12"/>
  <c r="BX1120" i="12"/>
  <c r="BW1120" i="12"/>
  <c r="A1120" i="12"/>
  <c r="BX1119" i="12"/>
  <c r="BW1119" i="12"/>
  <c r="A1119" i="12"/>
  <c r="BX1118" i="12"/>
  <c r="BW1118" i="12"/>
  <c r="A1118" i="12"/>
  <c r="CB12" i="12"/>
  <c r="CA12" i="12"/>
  <c r="BZ12" i="12"/>
  <c r="BY12" i="12"/>
  <c r="D1204" i="1"/>
  <c r="D1201" i="1"/>
  <c r="D1200" i="1"/>
  <c r="D1182" i="1"/>
  <c r="D1181" i="1"/>
  <c r="D1175" i="1"/>
  <c r="D1169" i="1"/>
  <c r="D1168" i="1"/>
  <c r="D1167" i="1"/>
  <c r="D1166" i="1"/>
  <c r="D1163" i="1"/>
  <c r="D1162" i="1"/>
  <c r="D1161" i="1"/>
  <c r="D1160" i="1"/>
  <c r="D1159" i="1"/>
  <c r="D1158" i="1"/>
  <c r="D1157" i="1"/>
  <c r="D1148" i="1"/>
  <c r="D1146" i="1"/>
  <c r="D1145" i="1"/>
  <c r="D1143" i="1"/>
  <c r="D1092" i="1"/>
  <c r="D1089" i="1"/>
  <c r="C1058" i="1"/>
  <c r="C1057" i="1"/>
  <c r="C1056" i="1"/>
  <c r="C1055" i="1"/>
  <c r="C1054" i="1"/>
  <c r="C1053" i="1"/>
  <c r="C1052" i="1"/>
  <c r="T245" i="1" s="1"/>
  <c r="C1051" i="1"/>
  <c r="C1050" i="1"/>
  <c r="T246" i="1" s="1"/>
  <c r="C1049" i="1"/>
  <c r="T199" i="1" s="1"/>
  <c r="C1048" i="1"/>
  <c r="C1047" i="1"/>
  <c r="C929" i="1"/>
  <c r="C928" i="1"/>
  <c r="C927" i="1"/>
  <c r="I361" i="1" s="1"/>
  <c r="C926" i="1"/>
  <c r="C925" i="1"/>
  <c r="I364" i="1" s="1"/>
  <c r="C924" i="1"/>
  <c r="C923" i="1"/>
  <c r="I362" i="1" s="1"/>
  <c r="C922" i="1"/>
  <c r="C921" i="1"/>
  <c r="I366" i="1" s="1"/>
  <c r="C920" i="1"/>
  <c r="I365" i="1" s="1"/>
  <c r="C919" i="1"/>
  <c r="I355" i="1" s="1"/>
  <c r="C915" i="1"/>
  <c r="C914" i="1"/>
  <c r="C913" i="1"/>
  <c r="C907" i="1"/>
  <c r="C380" i="1" s="1"/>
  <c r="C906" i="1"/>
  <c r="C379" i="1" s="1"/>
  <c r="C905" i="1"/>
  <c r="C904" i="1"/>
  <c r="R961" i="1" s="1"/>
  <c r="C903" i="1"/>
  <c r="Q1005" i="1" s="1"/>
  <c r="C902" i="1"/>
  <c r="R1005" i="1" s="1"/>
  <c r="C898" i="1"/>
  <c r="AD99" i="1" s="1"/>
  <c r="C897" i="1"/>
  <c r="C896" i="1"/>
  <c r="D509" i="6" s="1"/>
  <c r="C895" i="1"/>
  <c r="C894" i="1"/>
  <c r="C893" i="1"/>
  <c r="C892" i="1"/>
  <c r="D505" i="6" s="1"/>
  <c r="C891" i="1"/>
  <c r="C890" i="1"/>
  <c r="C889" i="1"/>
  <c r="D502" i="6" s="1"/>
  <c r="C888" i="1"/>
  <c r="D501" i="6" s="1"/>
  <c r="C887" i="1"/>
  <c r="C886" i="1"/>
  <c r="D499" i="6" s="1"/>
  <c r="C885" i="1"/>
  <c r="C878" i="1"/>
  <c r="C877" i="1"/>
  <c r="D520" i="6" s="1"/>
  <c r="C876" i="1"/>
  <c r="D519" i="6" s="1"/>
  <c r="C875" i="1"/>
  <c r="D518" i="6" s="1"/>
  <c r="C874" i="1"/>
  <c r="D517" i="6" s="1"/>
  <c r="C873" i="1"/>
  <c r="D516" i="6" s="1"/>
  <c r="C872" i="1"/>
  <c r="D515" i="6" s="1"/>
  <c r="C871" i="1"/>
  <c r="D514" i="6" s="1"/>
  <c r="C870" i="1"/>
  <c r="D513" i="6" s="1"/>
  <c r="B864" i="1"/>
  <c r="B863" i="1"/>
  <c r="B862" i="1"/>
  <c r="B861" i="1"/>
  <c r="B860" i="1"/>
  <c r="B859" i="1"/>
  <c r="B858" i="1"/>
  <c r="B857" i="1"/>
  <c r="B856" i="1"/>
  <c r="B855" i="1"/>
  <c r="B854" i="1"/>
  <c r="B853" i="1"/>
  <c r="B852" i="1"/>
  <c r="B851" i="1"/>
  <c r="B850" i="1"/>
  <c r="B849" i="1"/>
  <c r="B848" i="1"/>
  <c r="B847" i="1"/>
  <c r="B846" i="1"/>
  <c r="B845" i="1"/>
  <c r="B844" i="1"/>
  <c r="C840" i="1"/>
  <c r="C839" i="1"/>
  <c r="C838" i="1"/>
  <c r="C837" i="1"/>
  <c r="S1039" i="1" s="1"/>
  <c r="C836" i="1"/>
  <c r="Q1037" i="1" s="1"/>
  <c r="C835" i="1"/>
  <c r="C834" i="1"/>
  <c r="I346" i="1" s="1"/>
  <c r="C833" i="1"/>
  <c r="C832" i="1"/>
  <c r="C831" i="1"/>
  <c r="AF354" i="1" s="1"/>
  <c r="C830" i="1"/>
  <c r="I344" i="1" s="1"/>
  <c r="C829" i="1"/>
  <c r="I340" i="1" s="1"/>
  <c r="C828" i="1"/>
  <c r="I345" i="1" s="1"/>
  <c r="C827" i="1"/>
  <c r="C826" i="1"/>
  <c r="T343" i="1" s="1"/>
  <c r="C814" i="1"/>
  <c r="AF378" i="1" s="1"/>
  <c r="C813" i="1"/>
  <c r="AF377" i="1" s="1"/>
  <c r="C810" i="1"/>
  <c r="C809" i="1"/>
  <c r="C808" i="1"/>
  <c r="C805" i="1"/>
  <c r="AF187" i="1" s="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C595"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C560" i="1"/>
  <c r="B560" i="1"/>
  <c r="B559" i="1"/>
  <c r="B558" i="1"/>
  <c r="B557" i="1"/>
  <c r="B556" i="1"/>
  <c r="B555" i="1"/>
  <c r="B554" i="1"/>
  <c r="B553" i="1"/>
  <c r="B552" i="1"/>
  <c r="B551" i="1"/>
  <c r="B550" i="1"/>
  <c r="B549" i="1"/>
  <c r="B548" i="1"/>
  <c r="B547" i="1"/>
  <c r="B546" i="1"/>
  <c r="B545" i="1"/>
  <c r="B544" i="1"/>
  <c r="B543" i="1"/>
  <c r="E540" i="1"/>
  <c r="E539" i="1"/>
  <c r="E538" i="1"/>
  <c r="E537" i="1"/>
  <c r="E536" i="1"/>
  <c r="E535" i="1"/>
  <c r="C534" i="1"/>
  <c r="C659" i="1" s="1"/>
  <c r="C533" i="1"/>
  <c r="C657" i="1" s="1"/>
  <c r="C532" i="1"/>
  <c r="C531" i="1"/>
  <c r="C648" i="1" s="1"/>
  <c r="C530" i="1"/>
  <c r="C529" i="1"/>
  <c r="C528" i="1"/>
  <c r="C527" i="1"/>
  <c r="E526" i="1"/>
  <c r="C526" i="1"/>
  <c r="C525" i="1"/>
  <c r="E525" i="1" s="1"/>
  <c r="C524" i="1"/>
  <c r="AF178" i="1" s="1"/>
  <c r="C523" i="1"/>
  <c r="E522" i="1"/>
  <c r="C521" i="1"/>
  <c r="C520"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C415" i="1"/>
  <c r="C414" i="1"/>
  <c r="C499" i="1" s="1"/>
  <c r="C413" i="1"/>
  <c r="C412" i="1"/>
  <c r="C410" i="1"/>
  <c r="C409" i="1"/>
  <c r="C405" i="1"/>
  <c r="C404" i="1"/>
  <c r="C393" i="1"/>
  <c r="C392" i="1"/>
  <c r="C391" i="1"/>
  <c r="C390" i="1"/>
  <c r="I324" i="1" s="1"/>
  <c r="C389" i="1"/>
  <c r="C388" i="1"/>
  <c r="C387" i="1"/>
  <c r="I335" i="1" s="1"/>
  <c r="C386" i="1"/>
  <c r="D384" i="1"/>
  <c r="D383" i="1"/>
  <c r="D382" i="1"/>
  <c r="D381" i="1"/>
  <c r="D380" i="1"/>
  <c r="AF379" i="1"/>
  <c r="D379" i="1"/>
  <c r="D378" i="1"/>
  <c r="C378" i="1"/>
  <c r="D377" i="1"/>
  <c r="D376" i="1"/>
  <c r="D375" i="1"/>
  <c r="D374" i="1"/>
  <c r="D373" i="1"/>
  <c r="D372" i="1"/>
  <c r="D371" i="1"/>
  <c r="D370" i="1"/>
  <c r="D369" i="1"/>
  <c r="I368" i="1"/>
  <c r="D368" i="1"/>
  <c r="D367" i="1"/>
  <c r="D366" i="1"/>
  <c r="D365" i="1"/>
  <c r="D364" i="1"/>
  <c r="I363" i="1"/>
  <c r="D363" i="1"/>
  <c r="D362" i="1"/>
  <c r="D361" i="1"/>
  <c r="D360" i="1"/>
  <c r="D359" i="1"/>
  <c r="D358" i="1"/>
  <c r="D357" i="1"/>
  <c r="I356" i="1"/>
  <c r="D356" i="1"/>
  <c r="D355" i="1"/>
  <c r="D354" i="1"/>
  <c r="D352" i="1"/>
  <c r="D351" i="1"/>
  <c r="P350" i="1"/>
  <c r="O350" i="1"/>
  <c r="D350" i="1"/>
  <c r="P349" i="1"/>
  <c r="O349" i="1"/>
  <c r="D349" i="1"/>
  <c r="AK348" i="1"/>
  <c r="T348" i="1"/>
  <c r="P348" i="1"/>
  <c r="O348" i="1"/>
  <c r="D348" i="1"/>
  <c r="AK347" i="1"/>
  <c r="D347" i="1"/>
  <c r="AK346" i="1"/>
  <c r="P346" i="1"/>
  <c r="O346" i="1"/>
  <c r="D346" i="1"/>
  <c r="AK345" i="1"/>
  <c r="T345" i="1"/>
  <c r="P345" i="1"/>
  <c r="O345" i="1"/>
  <c r="D345" i="1"/>
  <c r="AK344" i="1"/>
  <c r="T344" i="1"/>
  <c r="P344" i="1"/>
  <c r="O344" i="1"/>
  <c r="D344" i="1"/>
  <c r="AK343" i="1"/>
  <c r="P343" i="1"/>
  <c r="O343" i="1"/>
  <c r="I343" i="1"/>
  <c r="D343" i="1"/>
  <c r="AK342" i="1"/>
  <c r="T342" i="1"/>
  <c r="P342" i="1"/>
  <c r="O342" i="1"/>
  <c r="D342" i="1"/>
  <c r="AK341" i="1"/>
  <c r="P341" i="1"/>
  <c r="O341" i="1"/>
  <c r="I341" i="1"/>
  <c r="D341" i="1"/>
  <c r="AK340" i="1"/>
  <c r="T340" i="1"/>
  <c r="P340" i="1"/>
  <c r="O340" i="1"/>
  <c r="D340" i="1"/>
  <c r="AK339" i="1"/>
  <c r="P339" i="1"/>
  <c r="O339" i="1"/>
  <c r="D339" i="1"/>
  <c r="W338" i="1"/>
  <c r="I338" i="1"/>
  <c r="D338" i="1"/>
  <c r="W337" i="1"/>
  <c r="J337" i="1"/>
  <c r="I337" i="1"/>
  <c r="D337" i="1"/>
  <c r="I336" i="1"/>
  <c r="D336" i="1"/>
  <c r="D335" i="1"/>
  <c r="I334" i="1"/>
  <c r="D334" i="1"/>
  <c r="I333" i="1"/>
  <c r="D333" i="1"/>
  <c r="D332" i="1"/>
  <c r="D331" i="1"/>
  <c r="I330" i="1"/>
  <c r="D330" i="1"/>
  <c r="I329" i="1"/>
  <c r="D329" i="1"/>
  <c r="I328" i="1"/>
  <c r="D328" i="1"/>
  <c r="I327" i="1"/>
  <c r="D327" i="1"/>
  <c r="I326" i="1"/>
  <c r="D326" i="1"/>
  <c r="I325" i="1"/>
  <c r="D325" i="1"/>
  <c r="D324" i="1"/>
  <c r="D323" i="1"/>
  <c r="D322" i="1"/>
  <c r="J321" i="1"/>
  <c r="D321" i="1"/>
  <c r="J320" i="1"/>
  <c r="D320" i="1"/>
  <c r="W319" i="1"/>
  <c r="I319" i="1"/>
  <c r="D319" i="1"/>
  <c r="W318" i="1"/>
  <c r="D318" i="1"/>
  <c r="I317" i="1"/>
  <c r="D317" i="1"/>
  <c r="I316" i="1"/>
  <c r="D316" i="1"/>
  <c r="O315" i="1"/>
  <c r="I315" i="1"/>
  <c r="D315" i="1"/>
  <c r="O314" i="1"/>
  <c r="I314" i="1"/>
  <c r="D314" i="1"/>
  <c r="O313" i="1"/>
  <c r="I313" i="1"/>
  <c r="D313" i="1"/>
  <c r="I312" i="1"/>
  <c r="D312" i="1"/>
  <c r="I311" i="1"/>
  <c r="D311" i="1"/>
  <c r="I310" i="1"/>
  <c r="D310" i="1"/>
  <c r="X309" i="1"/>
  <c r="I309" i="1"/>
  <c r="D309" i="1"/>
  <c r="X308" i="1"/>
  <c r="I308" i="1"/>
  <c r="D308" i="1"/>
  <c r="X307" i="1"/>
  <c r="I307" i="1"/>
  <c r="D307" i="1"/>
  <c r="X306" i="1"/>
  <c r="I306" i="1"/>
  <c r="D306" i="1"/>
  <c r="X305" i="1"/>
  <c r="I305" i="1"/>
  <c r="D305" i="1"/>
  <c r="X304" i="1"/>
  <c r="I304" i="1"/>
  <c r="D304" i="1"/>
  <c r="X303" i="1"/>
  <c r="I303" i="1"/>
  <c r="D303" i="1"/>
  <c r="X302" i="1"/>
  <c r="I302" i="1"/>
  <c r="D302" i="1"/>
  <c r="I301" i="1"/>
  <c r="D301" i="1"/>
  <c r="W300" i="1"/>
  <c r="D300" i="1"/>
  <c r="D299" i="1"/>
  <c r="I298" i="1"/>
  <c r="D298" i="1"/>
  <c r="I297" i="1"/>
  <c r="D297" i="1"/>
  <c r="I296" i="1"/>
  <c r="D296" i="1"/>
  <c r="I295" i="1"/>
  <c r="D295" i="1"/>
  <c r="I294" i="1"/>
  <c r="D294" i="1"/>
  <c r="I293" i="1"/>
  <c r="D293" i="1"/>
  <c r="I292" i="1"/>
  <c r="D292" i="1"/>
  <c r="I291" i="1"/>
  <c r="D291" i="1"/>
  <c r="I290" i="1"/>
  <c r="D290" i="1"/>
  <c r="X289" i="1"/>
  <c r="I289" i="1"/>
  <c r="D289" i="1"/>
  <c r="I288" i="1"/>
  <c r="D288" i="1"/>
  <c r="I287" i="1"/>
  <c r="D287" i="1"/>
  <c r="I286" i="1"/>
  <c r="D286" i="1"/>
  <c r="I285" i="1"/>
  <c r="X285" i="1" s="1"/>
  <c r="D285" i="1"/>
  <c r="I284" i="1"/>
  <c r="X284" i="1" s="1"/>
  <c r="D284" i="1"/>
  <c r="I283" i="1"/>
  <c r="D283" i="1"/>
  <c r="I282" i="1"/>
  <c r="D282" i="1"/>
  <c r="J281" i="1"/>
  <c r="I281" i="1"/>
  <c r="D281" i="1"/>
  <c r="I280" i="1"/>
  <c r="D280" i="1"/>
  <c r="I279" i="1"/>
  <c r="D279" i="1"/>
  <c r="I278" i="1"/>
  <c r="D278" i="1"/>
  <c r="J277" i="1"/>
  <c r="I277" i="1"/>
  <c r="D277" i="1"/>
  <c r="I276" i="1"/>
  <c r="D276" i="1"/>
  <c r="D275" i="1"/>
  <c r="D274" i="1"/>
  <c r="I273" i="1"/>
  <c r="D273" i="1"/>
  <c r="D272" i="1"/>
  <c r="I271" i="1"/>
  <c r="D271" i="1"/>
  <c r="D270" i="1"/>
  <c r="I269" i="1"/>
  <c r="D269" i="1"/>
  <c r="I268" i="1"/>
  <c r="D268" i="1"/>
  <c r="V267" i="1"/>
  <c r="U267" i="1"/>
  <c r="I267" i="1"/>
  <c r="D267" i="1"/>
  <c r="I266" i="1"/>
  <c r="D266" i="1"/>
  <c r="I265" i="1"/>
  <c r="D265" i="1"/>
  <c r="I264" i="1"/>
  <c r="D264" i="1"/>
  <c r="I263" i="1"/>
  <c r="D263" i="1"/>
  <c r="I262" i="1"/>
  <c r="D262" i="1"/>
  <c r="I261" i="1"/>
  <c r="D261" i="1"/>
  <c r="T260" i="1"/>
  <c r="D260" i="1"/>
  <c r="T259" i="1"/>
  <c r="D259" i="1"/>
  <c r="T258" i="1"/>
  <c r="D258" i="1"/>
  <c r="T257" i="1"/>
  <c r="D257" i="1"/>
  <c r="D256" i="1"/>
  <c r="X255" i="1"/>
  <c r="D255" i="1"/>
  <c r="X254" i="1"/>
  <c r="D254" i="1"/>
  <c r="X253" i="1"/>
  <c r="D253" i="1"/>
  <c r="X252" i="1"/>
  <c r="D252" i="1"/>
  <c r="X251" i="1"/>
  <c r="D251" i="1"/>
  <c r="D250" i="1"/>
  <c r="D249" i="1"/>
  <c r="I248" i="1"/>
  <c r="D248" i="1"/>
  <c r="W247" i="1"/>
  <c r="D247" i="1"/>
  <c r="D246" i="1"/>
  <c r="W245" i="1"/>
  <c r="D245" i="1"/>
  <c r="D244" i="1"/>
  <c r="T243" i="1"/>
  <c r="D243" i="1"/>
  <c r="T242" i="1"/>
  <c r="I242" i="1"/>
  <c r="D242" i="1"/>
  <c r="T241" i="1"/>
  <c r="D241" i="1"/>
  <c r="T240" i="1"/>
  <c r="D240" i="1"/>
  <c r="T239" i="1"/>
  <c r="D239" i="1"/>
  <c r="T238" i="1"/>
  <c r="D238" i="1"/>
  <c r="D237" i="1"/>
  <c r="D236" i="1"/>
  <c r="D235" i="1"/>
  <c r="D234" i="1"/>
  <c r="I233" i="1"/>
  <c r="D233" i="1"/>
  <c r="T232" i="1"/>
  <c r="D232" i="1"/>
  <c r="T231" i="1"/>
  <c r="D231" i="1"/>
  <c r="T230" i="1"/>
  <c r="D230" i="1"/>
  <c r="T229" i="1"/>
  <c r="D229" i="1"/>
  <c r="T228" i="1"/>
  <c r="D228" i="1"/>
  <c r="I227" i="1"/>
  <c r="D227" i="1"/>
  <c r="D226" i="1"/>
  <c r="D225" i="1"/>
  <c r="D224" i="1"/>
  <c r="I223" i="1"/>
  <c r="D223" i="1"/>
  <c r="D222" i="1"/>
  <c r="I221" i="1"/>
  <c r="D221" i="1"/>
  <c r="D220" i="1"/>
  <c r="D219" i="1"/>
  <c r="D218" i="1"/>
  <c r="D217" i="1"/>
  <c r="X216" i="1"/>
  <c r="D216" i="1"/>
  <c r="X215" i="1"/>
  <c r="D215" i="1"/>
  <c r="X214" i="1"/>
  <c r="D214" i="1"/>
  <c r="D213" i="1"/>
  <c r="D212" i="1"/>
  <c r="D211" i="1"/>
  <c r="D210" i="1"/>
  <c r="D209" i="1"/>
  <c r="D208" i="1"/>
  <c r="U207" i="1"/>
  <c r="D207" i="1"/>
  <c r="D206" i="1"/>
  <c r="D205" i="1"/>
  <c r="D204" i="1"/>
  <c r="D203" i="1"/>
  <c r="X202" i="1"/>
  <c r="D202" i="1"/>
  <c r="X201" i="1"/>
  <c r="D201" i="1"/>
  <c r="W200" i="1"/>
  <c r="X200" i="1" s="1"/>
  <c r="I200" i="1"/>
  <c r="D200" i="1"/>
  <c r="X199" i="1"/>
  <c r="U199" i="1"/>
  <c r="D199" i="1"/>
  <c r="X198" i="1"/>
  <c r="D198" i="1"/>
  <c r="X197" i="1"/>
  <c r="D197" i="1"/>
  <c r="AF196" i="1"/>
  <c r="X196" i="1"/>
  <c r="W196" i="1"/>
  <c r="D196" i="1"/>
  <c r="X195" i="1"/>
  <c r="W195" i="1"/>
  <c r="D195" i="1"/>
  <c r="X194" i="1"/>
  <c r="W194" i="1"/>
  <c r="D194" i="1"/>
  <c r="X193" i="1"/>
  <c r="W193" i="1"/>
  <c r="D193" i="1"/>
  <c r="X192" i="1"/>
  <c r="T192" i="1"/>
  <c r="D192" i="1"/>
  <c r="AF191" i="1"/>
  <c r="X191" i="1"/>
  <c r="T191" i="1"/>
  <c r="D191" i="1"/>
  <c r="X190" i="1"/>
  <c r="T190" i="1"/>
  <c r="D190" i="1"/>
  <c r="X189" i="1"/>
  <c r="T189" i="1"/>
  <c r="D189" i="1"/>
  <c r="X188" i="1"/>
  <c r="T188" i="1"/>
  <c r="D188" i="1"/>
  <c r="X187" i="1"/>
  <c r="T187" i="1"/>
  <c r="D187" i="1"/>
  <c r="X186" i="1"/>
  <c r="T186" i="1"/>
  <c r="D186" i="1"/>
  <c r="X185" i="1"/>
  <c r="T185" i="1"/>
  <c r="D185" i="1"/>
  <c r="X184" i="1"/>
  <c r="T184" i="1"/>
  <c r="I184" i="1"/>
  <c r="D184" i="1"/>
  <c r="X183" i="1"/>
  <c r="T183" i="1"/>
  <c r="D183" i="1"/>
  <c r="X182" i="1"/>
  <c r="T182" i="1"/>
  <c r="D182" i="1"/>
  <c r="X181" i="1"/>
  <c r="T181" i="1"/>
  <c r="D181" i="1"/>
  <c r="X180" i="1"/>
  <c r="T180" i="1"/>
  <c r="I180" i="1"/>
  <c r="D180" i="1"/>
  <c r="X179" i="1"/>
  <c r="T179" i="1"/>
  <c r="D179" i="1"/>
  <c r="X178" i="1"/>
  <c r="T178" i="1"/>
  <c r="D178" i="1"/>
  <c r="AF177" i="1"/>
  <c r="X177" i="1"/>
  <c r="T177" i="1"/>
  <c r="D177" i="1"/>
  <c r="X176" i="1"/>
  <c r="U176" i="1"/>
  <c r="D176" i="1"/>
  <c r="X175" i="1"/>
  <c r="U175" i="1"/>
  <c r="D175" i="1"/>
  <c r="X174" i="1"/>
  <c r="U174" i="1"/>
  <c r="D174" i="1"/>
  <c r="X173" i="1"/>
  <c r="D173" i="1"/>
  <c r="X172" i="1"/>
  <c r="D172" i="1"/>
  <c r="X171" i="1"/>
  <c r="D171" i="1"/>
  <c r="X170" i="1"/>
  <c r="D170" i="1"/>
  <c r="X169" i="1"/>
  <c r="D169" i="1"/>
  <c r="D168" i="1"/>
  <c r="X167" i="1"/>
  <c r="D167" i="1"/>
  <c r="X166" i="1"/>
  <c r="D166" i="1"/>
  <c r="X165" i="1"/>
  <c r="D165" i="1"/>
  <c r="X164" i="1"/>
  <c r="D164" i="1"/>
  <c r="X163" i="1"/>
  <c r="D163" i="1"/>
  <c r="D162" i="1"/>
  <c r="D161" i="1"/>
  <c r="X160" i="1"/>
  <c r="T160" i="1"/>
  <c r="D160" i="1"/>
  <c r="X159" i="1"/>
  <c r="T159" i="1"/>
  <c r="I159" i="1"/>
  <c r="D159" i="1"/>
  <c r="X158" i="1"/>
  <c r="I158" i="1"/>
  <c r="D158" i="1"/>
  <c r="W157" i="1"/>
  <c r="D157" i="1"/>
  <c r="X156" i="1"/>
  <c r="D156" i="1"/>
  <c r="X155" i="1"/>
  <c r="D155" i="1"/>
  <c r="W154" i="1"/>
  <c r="X154" i="1" s="1"/>
  <c r="D154" i="1"/>
  <c r="AE153" i="1"/>
  <c r="X153" i="1"/>
  <c r="D153" i="1"/>
  <c r="X152" i="1"/>
  <c r="D152" i="1"/>
  <c r="AE151" i="1"/>
  <c r="X151" i="1"/>
  <c r="T151" i="1"/>
  <c r="D151" i="1"/>
  <c r="X150" i="1"/>
  <c r="D150" i="1"/>
  <c r="X149" i="1"/>
  <c r="D149" i="1"/>
  <c r="AE148" i="1"/>
  <c r="X148" i="1"/>
  <c r="D148" i="1"/>
  <c r="X147" i="1"/>
  <c r="D147" i="1"/>
  <c r="X146" i="1"/>
  <c r="W146" i="1"/>
  <c r="T146" i="1"/>
  <c r="D146" i="1"/>
  <c r="X145" i="1"/>
  <c r="W145" i="1"/>
  <c r="D145" i="1"/>
  <c r="AE144" i="1"/>
  <c r="X144" i="1"/>
  <c r="W144" i="1"/>
  <c r="D144" i="1"/>
  <c r="X143" i="1"/>
  <c r="W143" i="1"/>
  <c r="D143" i="1"/>
  <c r="AE142" i="1"/>
  <c r="X142" i="1"/>
  <c r="T142" i="1"/>
  <c r="D142" i="1"/>
  <c r="AF141" i="1"/>
  <c r="X141" i="1"/>
  <c r="T141" i="1"/>
  <c r="D141" i="1"/>
  <c r="X140" i="1"/>
  <c r="T140" i="1"/>
  <c r="D140" i="1"/>
  <c r="X139" i="1"/>
  <c r="T139" i="1"/>
  <c r="I139" i="1"/>
  <c r="D139" i="1"/>
  <c r="X138" i="1"/>
  <c r="T138" i="1"/>
  <c r="D138" i="1"/>
  <c r="X137" i="1"/>
  <c r="T137" i="1"/>
  <c r="D137" i="1"/>
  <c r="X136" i="1"/>
  <c r="T136" i="1"/>
  <c r="I136" i="1"/>
  <c r="D136" i="1"/>
  <c r="AE135" i="1"/>
  <c r="X135" i="1"/>
  <c r="T135" i="1"/>
  <c r="D135" i="1"/>
  <c r="X134" i="1"/>
  <c r="T134" i="1"/>
  <c r="D134" i="1"/>
  <c r="X133" i="1"/>
  <c r="T133" i="1"/>
  <c r="D133" i="1"/>
  <c r="AE132" i="1"/>
  <c r="X132" i="1"/>
  <c r="T132" i="1"/>
  <c r="D132" i="1"/>
  <c r="X131" i="1"/>
  <c r="T131" i="1"/>
  <c r="D131" i="1"/>
  <c r="X130" i="1"/>
  <c r="T130" i="1"/>
  <c r="D130" i="1"/>
  <c r="AF129" i="1"/>
  <c r="AE129" i="1"/>
  <c r="X129" i="1"/>
  <c r="T129" i="1"/>
  <c r="D129" i="1"/>
  <c r="X128" i="1"/>
  <c r="T128" i="1"/>
  <c r="D128" i="1"/>
  <c r="X127" i="1"/>
  <c r="T127" i="1"/>
  <c r="I127" i="1"/>
  <c r="D127" i="1"/>
  <c r="AE126" i="1"/>
  <c r="X126" i="1"/>
  <c r="T126" i="1"/>
  <c r="D126" i="1"/>
  <c r="X125" i="1"/>
  <c r="T125" i="1"/>
  <c r="D125" i="1"/>
  <c r="AF124" i="1"/>
  <c r="AE124" i="1"/>
  <c r="X124" i="1"/>
  <c r="T124" i="1"/>
  <c r="D124" i="1"/>
  <c r="X123" i="1"/>
  <c r="T123" i="1"/>
  <c r="D123" i="1"/>
  <c r="AF122" i="1"/>
  <c r="AE122" i="1"/>
  <c r="X122" i="1"/>
  <c r="T122" i="1"/>
  <c r="D122" i="1"/>
  <c r="AF121" i="1"/>
  <c r="X121" i="1"/>
  <c r="T121" i="1"/>
  <c r="D121" i="1"/>
  <c r="X120" i="1"/>
  <c r="T120" i="1"/>
  <c r="D120" i="1"/>
  <c r="AF119" i="1"/>
  <c r="AE119" i="1"/>
  <c r="Y119" i="1"/>
  <c r="X119" i="1"/>
  <c r="T119" i="1"/>
  <c r="D119" i="1"/>
  <c r="X118" i="1"/>
  <c r="T118" i="1"/>
  <c r="D118" i="1"/>
  <c r="X117" i="1"/>
  <c r="T117" i="1"/>
  <c r="D117" i="1"/>
  <c r="AE116" i="1"/>
  <c r="X116" i="1"/>
  <c r="T116" i="1"/>
  <c r="D116" i="1"/>
  <c r="AF115" i="1"/>
  <c r="X115" i="1"/>
  <c r="U115" i="1"/>
  <c r="I115" i="1"/>
  <c r="D115" i="1"/>
  <c r="X114" i="1"/>
  <c r="U114" i="1"/>
  <c r="D114" i="1"/>
  <c r="X113" i="1"/>
  <c r="U113" i="1"/>
  <c r="D113" i="1"/>
  <c r="X112" i="1"/>
  <c r="U112" i="1"/>
  <c r="D112" i="1"/>
  <c r="X111" i="1"/>
  <c r="D111" i="1"/>
  <c r="X110" i="1"/>
  <c r="D110" i="1"/>
  <c r="AE109" i="1"/>
  <c r="X109" i="1"/>
  <c r="D109" i="1"/>
  <c r="X108" i="1"/>
  <c r="D108" i="1"/>
  <c r="X107" i="1"/>
  <c r="D107" i="1"/>
  <c r="D106" i="1"/>
  <c r="D105" i="1"/>
  <c r="D104" i="1"/>
  <c r="D103" i="1"/>
  <c r="I102" i="1"/>
  <c r="D102" i="1"/>
  <c r="D101" i="1"/>
  <c r="D100" i="1"/>
  <c r="D99" i="1"/>
  <c r="D98" i="1"/>
  <c r="D97" i="1"/>
  <c r="AD96" i="1"/>
  <c r="D96" i="1"/>
  <c r="O95" i="1"/>
  <c r="D95" i="1"/>
  <c r="O94" i="1"/>
  <c r="D94" i="1"/>
  <c r="O93" i="1"/>
  <c r="D93" i="1"/>
  <c r="J92" i="1"/>
  <c r="D92" i="1"/>
  <c r="D91" i="1"/>
  <c r="D90" i="1"/>
  <c r="D89" i="1"/>
  <c r="D88" i="1"/>
  <c r="D87" i="1"/>
  <c r="L86" i="1"/>
  <c r="D86" i="1"/>
  <c r="D85" i="1"/>
  <c r="D84" i="1"/>
  <c r="D83" i="1"/>
  <c r="D82" i="1"/>
  <c r="L81" i="1"/>
  <c r="K81" i="1"/>
  <c r="D81" i="1"/>
  <c r="D80" i="1"/>
  <c r="L79" i="1"/>
  <c r="K79" i="1"/>
  <c r="D79" i="1"/>
  <c r="L78" i="1"/>
  <c r="K78" i="1"/>
  <c r="D78" i="1"/>
  <c r="L77" i="1"/>
  <c r="K77" i="1"/>
  <c r="D77" i="1"/>
  <c r="L76" i="1"/>
  <c r="K76" i="1"/>
  <c r="D76" i="1"/>
  <c r="L75" i="1"/>
  <c r="K75" i="1"/>
  <c r="D75" i="1"/>
  <c r="L74" i="1"/>
  <c r="K74" i="1"/>
  <c r="D74" i="1"/>
  <c r="L73" i="1"/>
  <c r="K73" i="1"/>
  <c r="D73" i="1"/>
  <c r="L72" i="1"/>
  <c r="K72" i="1"/>
  <c r="D72" i="1"/>
  <c r="L71" i="1"/>
  <c r="K71" i="1"/>
  <c r="D71" i="1"/>
  <c r="L70" i="1"/>
  <c r="K70" i="1"/>
  <c r="D70" i="1"/>
  <c r="L69" i="1"/>
  <c r="K69" i="1"/>
  <c r="D69" i="1"/>
  <c r="L68" i="1"/>
  <c r="K68" i="1"/>
  <c r="D68" i="1"/>
  <c r="L67" i="1"/>
  <c r="K67" i="1"/>
  <c r="D67" i="1"/>
  <c r="L66" i="1"/>
  <c r="K66" i="1"/>
  <c r="D66" i="1"/>
  <c r="L65" i="1"/>
  <c r="K65" i="1"/>
  <c r="D65" i="1"/>
  <c r="L64" i="1"/>
  <c r="K64" i="1"/>
  <c r="D64" i="1"/>
  <c r="L63" i="1"/>
  <c r="K63" i="1"/>
  <c r="D63" i="1"/>
  <c r="L62" i="1"/>
  <c r="K62" i="1"/>
  <c r="D62" i="1"/>
  <c r="L61" i="1"/>
  <c r="K61" i="1"/>
  <c r="D61" i="1"/>
  <c r="Z60" i="1"/>
  <c r="L60" i="1"/>
  <c r="K60" i="1"/>
  <c r="D60" i="1"/>
  <c r="L59" i="1"/>
  <c r="K59" i="1"/>
  <c r="D59" i="1"/>
  <c r="D58" i="1"/>
  <c r="D57" i="1"/>
  <c r="D56" i="1"/>
  <c r="D55" i="1"/>
  <c r="D54" i="1"/>
  <c r="D53" i="1"/>
  <c r="D52" i="1"/>
  <c r="D51" i="1"/>
  <c r="D50" i="1"/>
  <c r="W49" i="1"/>
  <c r="J49" i="1"/>
  <c r="D49" i="1"/>
  <c r="W48" i="1"/>
  <c r="J48" i="1"/>
  <c r="D48" i="1"/>
  <c r="J47" i="1"/>
  <c r="D47" i="1"/>
  <c r="J46" i="1"/>
  <c r="D46" i="1"/>
  <c r="L45" i="1"/>
  <c r="K45" i="1"/>
  <c r="D45" i="1"/>
  <c r="D44" i="1"/>
  <c r="L43" i="1"/>
  <c r="K43" i="1"/>
  <c r="D43" i="1"/>
  <c r="Z42" i="1"/>
  <c r="L42" i="1"/>
  <c r="K42" i="1"/>
  <c r="D42" i="1"/>
  <c r="Z41" i="1"/>
  <c r="L41" i="1"/>
  <c r="K41" i="1"/>
  <c r="D41" i="1"/>
  <c r="L40" i="1"/>
  <c r="K40" i="1"/>
  <c r="D40" i="1"/>
  <c r="L39" i="1"/>
  <c r="K39" i="1"/>
  <c r="D39" i="1"/>
  <c r="L38" i="1"/>
  <c r="K38" i="1"/>
  <c r="D38" i="1"/>
  <c r="L37" i="1"/>
  <c r="K37" i="1"/>
  <c r="D37" i="1"/>
  <c r="L36" i="1"/>
  <c r="K36" i="1"/>
  <c r="D36" i="1"/>
  <c r="L35" i="1"/>
  <c r="K35" i="1"/>
  <c r="D35" i="1"/>
  <c r="L34" i="1"/>
  <c r="K34" i="1"/>
  <c r="D34" i="1"/>
  <c r="L33" i="1"/>
  <c r="K33" i="1"/>
  <c r="D33" i="1"/>
  <c r="L32" i="1"/>
  <c r="K32" i="1"/>
  <c r="D32" i="1"/>
  <c r="AB31" i="1"/>
  <c r="Z31" i="1"/>
  <c r="L31" i="1"/>
  <c r="K31" i="1"/>
  <c r="D31" i="1"/>
  <c r="AB30" i="1"/>
  <c r="Z30" i="1"/>
  <c r="W30" i="1"/>
  <c r="L30" i="1"/>
  <c r="K30" i="1"/>
  <c r="D30" i="1"/>
  <c r="Z29" i="1"/>
  <c r="L29" i="1"/>
  <c r="K29" i="1"/>
  <c r="D29" i="1"/>
  <c r="L28" i="1"/>
  <c r="K28" i="1"/>
  <c r="D28" i="1"/>
  <c r="L27" i="1"/>
  <c r="K27" i="1"/>
  <c r="D27" i="1"/>
  <c r="Z26" i="1"/>
  <c r="L26" i="1"/>
  <c r="K26" i="1"/>
  <c r="D26" i="1"/>
  <c r="Z25" i="1"/>
  <c r="W25" i="1"/>
  <c r="T25" i="1"/>
  <c r="L25" i="1"/>
  <c r="K25" i="1"/>
  <c r="D25" i="1"/>
  <c r="Z24" i="1"/>
  <c r="W24" i="1"/>
  <c r="T24" i="1"/>
  <c r="L24" i="1"/>
  <c r="K24" i="1"/>
  <c r="D24" i="1"/>
  <c r="D23" i="1"/>
  <c r="L22" i="1"/>
  <c r="K22" i="1"/>
  <c r="D22" i="1"/>
  <c r="D21" i="1"/>
  <c r="AF20" i="1"/>
  <c r="D20" i="1"/>
  <c r="D19" i="1"/>
  <c r="D18" i="1"/>
  <c r="W17" i="1"/>
  <c r="D17" i="1"/>
  <c r="D16" i="1"/>
  <c r="D15" i="1"/>
  <c r="W14" i="1"/>
  <c r="D14" i="1"/>
  <c r="AB13" i="1"/>
  <c r="AA13" i="1"/>
  <c r="Z13" i="1"/>
  <c r="D13" i="1"/>
  <c r="AB12" i="1"/>
  <c r="AA12" i="1"/>
  <c r="Z12" i="1"/>
  <c r="D12" i="1"/>
  <c r="D11" i="1"/>
  <c r="D10" i="1"/>
  <c r="D9" i="1"/>
  <c r="AB8" i="1"/>
  <c r="AA8" i="1"/>
  <c r="Z8" i="1"/>
  <c r="W8" i="1"/>
  <c r="D8" i="1"/>
  <c r="D773" i="6"/>
  <c r="D772" i="6"/>
  <c r="D771" i="6"/>
  <c r="D770" i="6"/>
  <c r="G681" i="6"/>
  <c r="F681" i="6"/>
  <c r="H681" i="6" s="1"/>
  <c r="G659" i="6"/>
  <c r="H659" i="6" s="1"/>
  <c r="F659" i="6"/>
  <c r="G658" i="6"/>
  <c r="F658" i="6"/>
  <c r="H658" i="6" s="1"/>
  <c r="G657" i="6"/>
  <c r="F657" i="6"/>
  <c r="H657" i="6" s="1"/>
  <c r="I657" i="6" s="1"/>
  <c r="G656" i="6"/>
  <c r="F656" i="6"/>
  <c r="H656" i="6" s="1"/>
  <c r="H655" i="6"/>
  <c r="G655" i="6"/>
  <c r="F655" i="6"/>
  <c r="G654" i="6"/>
  <c r="H654" i="6" s="1"/>
  <c r="F654" i="6"/>
  <c r="G653" i="6"/>
  <c r="F653" i="6"/>
  <c r="H653" i="6" s="1"/>
  <c r="I653" i="6" s="1"/>
  <c r="G652" i="6"/>
  <c r="H652" i="6" s="1"/>
  <c r="I652" i="6" s="1"/>
  <c r="F652" i="6"/>
  <c r="G651" i="6"/>
  <c r="H651" i="6" s="1"/>
  <c r="I651" i="6" s="1"/>
  <c r="F651" i="6"/>
  <c r="G650" i="6"/>
  <c r="F650" i="6"/>
  <c r="H650" i="6" s="1"/>
  <c r="I650" i="6" s="1"/>
  <c r="D496" i="6"/>
  <c r="D166" i="6"/>
  <c r="D1088" i="1" s="1"/>
  <c r="D132" i="6"/>
  <c r="C912" i="1" s="1"/>
  <c r="D114" i="6"/>
  <c r="C879" i="1" s="1"/>
  <c r="D522" i="6" s="1"/>
  <c r="D77" i="6"/>
  <c r="C806" i="1" s="1"/>
  <c r="E60" i="6"/>
  <c r="E415" i="1" s="1"/>
  <c r="E58" i="6"/>
  <c r="E413" i="1" s="1"/>
  <c r="E56" i="6"/>
  <c r="J333" i="1" s="1"/>
  <c r="E52" i="6"/>
  <c r="E409" i="1" s="1"/>
  <c r="D50" i="6"/>
  <c r="C407" i="1" s="1"/>
  <c r="E48" i="6"/>
  <c r="E404" i="1" s="1"/>
  <c r="E46" i="6"/>
  <c r="E414" i="1" s="1"/>
  <c r="E44" i="6"/>
  <c r="E410" i="1" s="1"/>
  <c r="E42" i="6"/>
  <c r="E405" i="1" s="1"/>
  <c r="D40" i="6"/>
  <c r="C408" i="1" s="1"/>
  <c r="D37" i="6"/>
  <c r="I15" i="6"/>
  <c r="A502" i="11"/>
  <c r="A503" i="11" s="1"/>
  <c r="A481" i="11"/>
  <c r="A484" i="11" s="1"/>
  <c r="A485" i="11" s="1"/>
  <c r="A486" i="11" s="1"/>
  <c r="A487" i="11" s="1"/>
  <c r="A488" i="11" s="1"/>
  <c r="A403" i="11"/>
  <c r="A404" i="11" s="1"/>
  <c r="A405" i="11" s="1"/>
  <c r="A406" i="11" s="1"/>
  <c r="A407" i="11" s="1"/>
  <c r="A408" i="11" s="1"/>
  <c r="A461" i="11" s="1"/>
  <c r="A462" i="11" s="1"/>
  <c r="A463" i="11" s="1"/>
  <c r="A464" i="11" s="1"/>
  <c r="A465" i="11" s="1"/>
  <c r="A466" i="11" s="1"/>
  <c r="A467" i="11" s="1"/>
  <c r="A468" i="11" s="1"/>
  <c r="A469" i="11" s="1"/>
  <c r="A470" i="11" s="1"/>
  <c r="A471" i="11" s="1"/>
  <c r="A472" i="11" s="1"/>
  <c r="A473" i="11" s="1"/>
  <c r="A474" i="11" s="1"/>
  <c r="A475" i="11" s="1"/>
  <c r="A476" i="11" s="1"/>
  <c r="A477" i="11" s="1"/>
  <c r="A478" i="11" s="1"/>
  <c r="A479" i="11" s="1"/>
  <c r="A480" i="11" s="1"/>
  <c r="A395" i="11"/>
  <c r="A396" i="11" s="1"/>
  <c r="A397" i="11" s="1"/>
  <c r="A398" i="11" s="1"/>
  <c r="A399" i="11" s="1"/>
  <c r="A400" i="11" s="1"/>
  <c r="A402" i="11" s="1"/>
  <c r="A393" i="11"/>
  <c r="A394" i="11" s="1"/>
  <c r="A362" i="11"/>
  <c r="A363" i="11" s="1"/>
  <c r="A364" i="11" s="1"/>
  <c r="A365" i="11" s="1"/>
  <c r="A366" i="11" s="1"/>
  <c r="A367" i="11" s="1"/>
  <c r="A368" i="11" s="1"/>
  <c r="A369" i="11" s="1"/>
  <c r="A370" i="11" s="1"/>
  <c r="A371" i="11" s="1"/>
  <c r="A372" i="11" s="1"/>
  <c r="A373" i="11" s="1"/>
  <c r="A374" i="11" s="1"/>
  <c r="A375" i="11" s="1"/>
  <c r="A376" i="11" s="1"/>
  <c r="A377" i="11" s="1"/>
  <c r="A378" i="11" s="1"/>
  <c r="A379" i="11" s="1"/>
  <c r="A380" i="11" s="1"/>
  <c r="A381" i="11" s="1"/>
  <c r="A382" i="11" s="1"/>
  <c r="A383" i="11" s="1"/>
  <c r="V245" i="1" l="1"/>
  <c r="V145" i="1"/>
  <c r="V149" i="1"/>
  <c r="D521" i="6"/>
  <c r="AE351" i="1"/>
  <c r="T225" i="1"/>
  <c r="U193" i="1"/>
  <c r="U198" i="1"/>
  <c r="U149" i="1"/>
  <c r="U143" i="1"/>
  <c r="U147" i="1"/>
  <c r="U145" i="1"/>
  <c r="U195" i="1"/>
  <c r="U151" i="1"/>
  <c r="U146" i="1"/>
  <c r="Z232" i="1"/>
  <c r="Y186" i="1"/>
  <c r="AB116" i="1"/>
  <c r="I26" i="1"/>
  <c r="I13" i="1"/>
  <c r="I17" i="1"/>
  <c r="I81" i="1"/>
  <c r="Z118" i="1"/>
  <c r="Y187" i="1"/>
  <c r="AA232" i="1"/>
  <c r="I53" i="1"/>
  <c r="AA117" i="1"/>
  <c r="I23" i="1"/>
  <c r="Y185" i="1"/>
  <c r="I42" i="1"/>
  <c r="I85" i="1"/>
  <c r="I51" i="1"/>
  <c r="I22" i="1"/>
  <c r="I82" i="1"/>
  <c r="I98" i="1"/>
  <c r="I15" i="1"/>
  <c r="AF374" i="1"/>
  <c r="D83" i="6"/>
  <c r="C812" i="1" s="1"/>
  <c r="C374" i="1"/>
  <c r="D82" i="6"/>
  <c r="C811" i="1" s="1"/>
  <c r="C467" i="1"/>
  <c r="V84" i="12"/>
  <c r="V79" i="12"/>
  <c r="V80" i="12"/>
  <c r="T144" i="1"/>
  <c r="U121" i="12"/>
  <c r="X121" i="12" s="1"/>
  <c r="Y121" i="12" s="1"/>
  <c r="U45" i="12"/>
  <c r="X45" i="12" s="1"/>
  <c r="Y45" i="12" s="1"/>
  <c r="U142" i="12"/>
  <c r="X142" i="12" s="1"/>
  <c r="Y142" i="12" s="1"/>
  <c r="U120" i="12"/>
  <c r="X120" i="12" s="1"/>
  <c r="Y120" i="12" s="1"/>
  <c r="R105" i="12"/>
  <c r="R106" i="12"/>
  <c r="R104" i="12"/>
  <c r="R138" i="12"/>
  <c r="R98" i="12"/>
  <c r="R92" i="12"/>
  <c r="R133" i="12"/>
  <c r="R113" i="12"/>
  <c r="R132" i="12"/>
  <c r="R43" i="12"/>
  <c r="R114" i="12"/>
  <c r="I125" i="1"/>
  <c r="T195" i="1"/>
  <c r="AE133" i="1"/>
  <c r="I250" i="1"/>
  <c r="AX114" i="12"/>
  <c r="AZ114" i="12" s="1"/>
  <c r="AX92" i="12"/>
  <c r="AZ92" i="12" s="1"/>
  <c r="AX43" i="12"/>
  <c r="AZ43" i="12" s="1"/>
  <c r="AX51" i="12"/>
  <c r="AZ51" i="12" s="1"/>
  <c r="AX113" i="12"/>
  <c r="AZ113" i="12" s="1"/>
  <c r="AX58" i="12"/>
  <c r="AZ58" i="12" s="1"/>
  <c r="AX25" i="12"/>
  <c r="AZ25" i="12" s="1"/>
  <c r="AX62" i="12"/>
  <c r="AZ62" i="12" s="1"/>
  <c r="AX133" i="12"/>
  <c r="AZ133" i="12" s="1"/>
  <c r="AX68" i="12"/>
  <c r="AZ68" i="12" s="1"/>
  <c r="AX63" i="12"/>
  <c r="AZ63" i="12" s="1"/>
  <c r="AX59" i="12"/>
  <c r="AZ59" i="12" s="1"/>
  <c r="AX67" i="12"/>
  <c r="AZ67" i="12" s="1"/>
  <c r="AX91" i="12"/>
  <c r="AZ91" i="12" s="1"/>
  <c r="AX54" i="12"/>
  <c r="AZ54" i="12" s="1"/>
  <c r="AX38" i="12"/>
  <c r="AZ38" i="12" s="1"/>
  <c r="AX97" i="12"/>
  <c r="AZ97" i="12" s="1"/>
  <c r="AX55" i="12"/>
  <c r="AZ55" i="12" s="1"/>
  <c r="AX132" i="12"/>
  <c r="AZ132" i="12" s="1"/>
  <c r="AX69" i="12"/>
  <c r="AZ69" i="12" s="1"/>
  <c r="AX32" i="12"/>
  <c r="AZ32" i="12" s="1"/>
  <c r="AX98" i="12"/>
  <c r="AZ98" i="12" s="1"/>
  <c r="AX90" i="12"/>
  <c r="AZ90" i="12" s="1"/>
  <c r="AX95" i="12"/>
  <c r="AZ95" i="12" s="1"/>
  <c r="AX96" i="12"/>
  <c r="AZ96" i="12" s="1"/>
  <c r="AX18" i="12"/>
  <c r="AZ18" i="12" s="1"/>
  <c r="AX73" i="12"/>
  <c r="AZ73" i="12" s="1"/>
  <c r="AX89" i="12"/>
  <c r="AZ89" i="12" s="1"/>
  <c r="AX74" i="12"/>
  <c r="AZ74" i="12" s="1"/>
  <c r="AX50" i="12"/>
  <c r="AZ50" i="12" s="1"/>
  <c r="I118" i="1"/>
  <c r="I131" i="1"/>
  <c r="I143" i="1"/>
  <c r="T145" i="1"/>
  <c r="T147" i="1"/>
  <c r="T152" i="1"/>
  <c r="I198" i="1"/>
  <c r="I201" i="1"/>
  <c r="I217" i="1"/>
  <c r="I225" i="1"/>
  <c r="R16" i="12"/>
  <c r="R85" i="12"/>
  <c r="R36" i="12"/>
  <c r="R81" i="12"/>
  <c r="R30" i="12"/>
  <c r="R23" i="12"/>
  <c r="T339" i="1"/>
  <c r="I351" i="1"/>
  <c r="AE30" i="12"/>
  <c r="BZ30" i="12" s="1"/>
  <c r="AE36" i="12"/>
  <c r="BZ36" i="12" s="1"/>
  <c r="AE81" i="12"/>
  <c r="BZ81" i="12" s="1"/>
  <c r="AE16" i="12"/>
  <c r="BZ16" i="12" s="1"/>
  <c r="AE23" i="12"/>
  <c r="BZ23" i="12" s="1"/>
  <c r="AE85" i="12"/>
  <c r="BZ85" i="12" s="1"/>
  <c r="C667" i="1"/>
  <c r="AF84" i="12"/>
  <c r="CA84" i="12" s="1"/>
  <c r="CC84" i="12" s="1"/>
  <c r="AF79" i="12"/>
  <c r="CA79" i="12" s="1"/>
  <c r="AD80" i="12"/>
  <c r="AE80" i="12"/>
  <c r="BZ80" i="12" s="1"/>
  <c r="AD79" i="12"/>
  <c r="AG84" i="12"/>
  <c r="CB84" i="12" s="1"/>
  <c r="AE79" i="12"/>
  <c r="BZ79" i="12" s="1"/>
  <c r="AF80" i="12"/>
  <c r="CA80" i="12" s="1"/>
  <c r="AG79" i="12"/>
  <c r="CB79" i="12" s="1"/>
  <c r="AE84" i="12"/>
  <c r="BZ84" i="12" s="1"/>
  <c r="AD84" i="12"/>
  <c r="AG80" i="12"/>
  <c r="CB80" i="12" s="1"/>
  <c r="U104" i="12"/>
  <c r="X104" i="12" s="1"/>
  <c r="Y104" i="12" s="1"/>
  <c r="U105" i="12"/>
  <c r="X105" i="12" s="1"/>
  <c r="Y105" i="12" s="1"/>
  <c r="U106" i="12"/>
  <c r="X106" i="12" s="1"/>
  <c r="Y106" i="12" s="1"/>
  <c r="U138" i="12"/>
  <c r="X138" i="12" s="1"/>
  <c r="Y138" i="12" s="1"/>
  <c r="T197" i="1"/>
  <c r="AE155" i="1"/>
  <c r="AY1170" i="12"/>
  <c r="AE107" i="1"/>
  <c r="I123" i="1"/>
  <c r="T143" i="1"/>
  <c r="AE149" i="1"/>
  <c r="AE159" i="1"/>
  <c r="I165" i="1"/>
  <c r="T198" i="1"/>
  <c r="I232" i="1"/>
  <c r="I245" i="1"/>
  <c r="U15" i="12"/>
  <c r="X15" i="12" s="1"/>
  <c r="Y15" i="12" s="1"/>
  <c r="U35" i="12"/>
  <c r="X35" i="12" s="1"/>
  <c r="Y35" i="12" s="1"/>
  <c r="U22" i="12"/>
  <c r="X22" i="12" s="1"/>
  <c r="Y22" i="12" s="1"/>
  <c r="U29" i="12"/>
  <c r="X29" i="12" s="1"/>
  <c r="Y29" i="12" s="1"/>
  <c r="I257" i="1"/>
  <c r="I275" i="1"/>
  <c r="AE339" i="1"/>
  <c r="T341" i="1"/>
  <c r="AR58" i="12"/>
  <c r="AR69" i="12"/>
  <c r="AR54" i="12"/>
  <c r="AD124" i="12"/>
  <c r="AR68" i="12"/>
  <c r="AR67" i="12"/>
  <c r="AR62" i="12"/>
  <c r="AR50" i="12"/>
  <c r="AD138" i="12"/>
  <c r="AD123" i="12"/>
  <c r="AF101" i="12"/>
  <c r="CA101" i="12" s="1"/>
  <c r="CC101" i="12" s="1"/>
  <c r="AD15" i="12"/>
  <c r="AE106" i="12"/>
  <c r="BZ106" i="12" s="1"/>
  <c r="AD127" i="12"/>
  <c r="AF22" i="12"/>
  <c r="CA22" i="12" s="1"/>
  <c r="AG35" i="12"/>
  <c r="CB35" i="12" s="1"/>
  <c r="AD112" i="12"/>
  <c r="AG128" i="12"/>
  <c r="CB128" i="12" s="1"/>
  <c r="AE128" i="12"/>
  <c r="BZ128" i="12" s="1"/>
  <c r="AD104" i="12"/>
  <c r="AF46" i="12"/>
  <c r="CA46" i="12" s="1"/>
  <c r="AD45" i="12"/>
  <c r="AD22" i="12"/>
  <c r="AG22" i="12"/>
  <c r="CB22" i="12" s="1"/>
  <c r="AE15" i="12"/>
  <c r="BZ15" i="12" s="1"/>
  <c r="AD105" i="12"/>
  <c r="AD136" i="12"/>
  <c r="AF29" i="12"/>
  <c r="CA29" i="12" s="1"/>
  <c r="AF15" i="12"/>
  <c r="CA15" i="12" s="1"/>
  <c r="AD42" i="12"/>
  <c r="AG102" i="12"/>
  <c r="CB102" i="12" s="1"/>
  <c r="AE138" i="12"/>
  <c r="BZ138" i="12" s="1"/>
  <c r="AD128" i="12"/>
  <c r="AE104" i="12"/>
  <c r="BZ104" i="12" s="1"/>
  <c r="AG46" i="12"/>
  <c r="CB46" i="12" s="1"/>
  <c r="AD121" i="12"/>
  <c r="AD131" i="12"/>
  <c r="AD101" i="12"/>
  <c r="AD46" i="12"/>
  <c r="AE105" i="12"/>
  <c r="BZ105" i="12" s="1"/>
  <c r="AE46" i="12"/>
  <c r="BZ46" i="12" s="1"/>
  <c r="AE35" i="12"/>
  <c r="BZ35" i="12" s="1"/>
  <c r="AD106" i="12"/>
  <c r="AE29" i="12"/>
  <c r="BZ29" i="12" s="1"/>
  <c r="AF128" i="12"/>
  <c r="CA128" i="12" s="1"/>
  <c r="CC128" i="12" s="1"/>
  <c r="AE127" i="12"/>
  <c r="BZ127" i="12" s="1"/>
  <c r="AD142" i="12"/>
  <c r="AF102" i="12"/>
  <c r="CA102" i="12" s="1"/>
  <c r="CC102" i="12" s="1"/>
  <c r="AG127" i="12"/>
  <c r="CB127" i="12" s="1"/>
  <c r="AD102" i="12"/>
  <c r="AG101" i="12"/>
  <c r="CB101" i="12" s="1"/>
  <c r="AD120" i="12"/>
  <c r="AE22" i="12"/>
  <c r="BZ22" i="12" s="1"/>
  <c r="AE102" i="12"/>
  <c r="BZ102" i="12" s="1"/>
  <c r="AF127" i="12"/>
  <c r="CA127" i="12" s="1"/>
  <c r="AF35" i="12"/>
  <c r="CA35" i="12" s="1"/>
  <c r="AG29" i="12"/>
  <c r="CB29" i="12" s="1"/>
  <c r="AG15" i="12"/>
  <c r="CB15" i="12" s="1"/>
  <c r="AE101" i="12"/>
  <c r="BZ101" i="12" s="1"/>
  <c r="AD35" i="12"/>
  <c r="AD29" i="12"/>
  <c r="AY83" i="12"/>
  <c r="BP83" i="12" s="1"/>
  <c r="AY94" i="12"/>
  <c r="BP94" i="12" s="1"/>
  <c r="AY72" i="12"/>
  <c r="BP72" i="12" s="1"/>
  <c r="AY57" i="12"/>
  <c r="BP57" i="12" s="1"/>
  <c r="AY88" i="12"/>
  <c r="BP88" i="12" s="1"/>
  <c r="AY14" i="12"/>
  <c r="BP14" i="12" s="1"/>
  <c r="AY53" i="12"/>
  <c r="BP53" i="12" s="1"/>
  <c r="AY49" i="12"/>
  <c r="BP49" i="12" s="1"/>
  <c r="AY28" i="12"/>
  <c r="BP28" i="12" s="1"/>
  <c r="AY78" i="12"/>
  <c r="BP78" i="12" s="1"/>
  <c r="AY66" i="12"/>
  <c r="BP66" i="12" s="1"/>
  <c r="AY34" i="12"/>
  <c r="BP34" i="12" s="1"/>
  <c r="AY61" i="12"/>
  <c r="BP61" i="12" s="1"/>
  <c r="AY21" i="12"/>
  <c r="BP21" i="12" s="1"/>
  <c r="I141" i="1"/>
  <c r="AE152" i="1"/>
  <c r="AE156" i="1"/>
  <c r="I176" i="1"/>
  <c r="V127" i="12"/>
  <c r="W124" i="12"/>
  <c r="W95" i="12"/>
  <c r="V131" i="12"/>
  <c r="V106" i="12"/>
  <c r="Y38" i="12"/>
  <c r="V108" i="12"/>
  <c r="Y98" i="12"/>
  <c r="V101" i="12"/>
  <c r="Y32" i="12"/>
  <c r="V121" i="12"/>
  <c r="V120" i="12"/>
  <c r="V133" i="12"/>
  <c r="Y63" i="12"/>
  <c r="W89" i="12"/>
  <c r="AW32" i="12"/>
  <c r="AY32" i="12" s="1"/>
  <c r="BP32" i="12" s="1"/>
  <c r="W74" i="12"/>
  <c r="W123" i="12"/>
  <c r="V113" i="12"/>
  <c r="AW59" i="12"/>
  <c r="AY59" i="12" s="1"/>
  <c r="AW55" i="12"/>
  <c r="AY55" i="12" s="1"/>
  <c r="AW18" i="12"/>
  <c r="AY18" i="12" s="1"/>
  <c r="W18" i="12"/>
  <c r="N18" i="12" s="1"/>
  <c r="W63" i="12"/>
  <c r="W51" i="12"/>
  <c r="V42" i="12"/>
  <c r="Y42" i="12"/>
  <c r="X128" i="12"/>
  <c r="Y128" i="12" s="1"/>
  <c r="Y131" i="12"/>
  <c r="V142" i="12"/>
  <c r="V138" i="12"/>
  <c r="Y112" i="12"/>
  <c r="Y58" i="12"/>
  <c r="Y59" i="12"/>
  <c r="W55" i="12"/>
  <c r="W30" i="12"/>
  <c r="W32" i="12"/>
  <c r="N32" i="12" s="1"/>
  <c r="W36" i="12"/>
  <c r="Y62" i="12"/>
  <c r="V132" i="12"/>
  <c r="AW89" i="12"/>
  <c r="AY89" i="12" s="1"/>
  <c r="V109" i="12"/>
  <c r="V114" i="12"/>
  <c r="V29" i="12"/>
  <c r="V128" i="12"/>
  <c r="Y18" i="12"/>
  <c r="Y50" i="12"/>
  <c r="V104" i="12"/>
  <c r="Y55" i="12"/>
  <c r="AW63" i="12"/>
  <c r="AY63" i="12" s="1"/>
  <c r="Y91" i="12"/>
  <c r="V22" i="12"/>
  <c r="Y67" i="12"/>
  <c r="V35" i="12"/>
  <c r="V105" i="12"/>
  <c r="Y90" i="12"/>
  <c r="Y68" i="12"/>
  <c r="W73" i="12"/>
  <c r="AW51" i="12"/>
  <c r="AY51" i="12" s="1"/>
  <c r="Y97" i="12"/>
  <c r="Y54" i="12"/>
  <c r="V15" i="12"/>
  <c r="V45" i="12"/>
  <c r="W25" i="12"/>
  <c r="N25" i="12" s="1"/>
  <c r="V102" i="12"/>
  <c r="W59" i="12"/>
  <c r="Y89" i="12"/>
  <c r="AW95" i="12"/>
  <c r="AY95" i="12" s="1"/>
  <c r="Y25" i="12"/>
  <c r="W81" i="12"/>
  <c r="W136" i="12"/>
  <c r="Y51" i="12"/>
  <c r="V43" i="12"/>
  <c r="V46" i="12"/>
  <c r="W38" i="12"/>
  <c r="AW25" i="12"/>
  <c r="AY25" i="12" s="1"/>
  <c r="BP25" i="12" s="1"/>
  <c r="V110" i="12"/>
  <c r="Y96" i="12"/>
  <c r="Y95" i="12"/>
  <c r="W85" i="12"/>
  <c r="W16" i="12"/>
  <c r="Y92" i="12"/>
  <c r="V112" i="12"/>
  <c r="Y69" i="12"/>
  <c r="AW38" i="12"/>
  <c r="AY38" i="12" s="1"/>
  <c r="W23" i="12"/>
  <c r="AE147" i="1"/>
  <c r="I150" i="1"/>
  <c r="I172" i="1"/>
  <c r="T193" i="1"/>
  <c r="I202" i="1"/>
  <c r="I219" i="1"/>
  <c r="R91" i="12"/>
  <c r="R67" i="12"/>
  <c r="R62" i="12"/>
  <c r="R68" i="12"/>
  <c r="R96" i="12"/>
  <c r="R90" i="12"/>
  <c r="R58" i="12"/>
  <c r="R50" i="12"/>
  <c r="R54" i="12"/>
  <c r="R97" i="12"/>
  <c r="R69" i="12"/>
  <c r="R108" i="12"/>
  <c r="R109" i="12"/>
  <c r="R110" i="12"/>
  <c r="U117" i="12"/>
  <c r="X117" i="12" s="1"/>
  <c r="Y117" i="12" s="1"/>
  <c r="U140" i="12"/>
  <c r="X140" i="12" s="1"/>
  <c r="Y140" i="12" s="1"/>
  <c r="U118" i="12"/>
  <c r="X118" i="12" s="1"/>
  <c r="Y118" i="12" s="1"/>
  <c r="X127" i="12"/>
  <c r="X101" i="12"/>
  <c r="X102" i="12"/>
  <c r="AD97" i="1"/>
  <c r="T149" i="1"/>
  <c r="I121" i="1"/>
  <c r="AE125" i="1"/>
  <c r="R136" i="12"/>
  <c r="R124" i="12"/>
  <c r="R123" i="12"/>
  <c r="AF345" i="1"/>
  <c r="AD100" i="1"/>
  <c r="I113" i="1"/>
  <c r="I129" i="1"/>
  <c r="AE134" i="1"/>
  <c r="I342" i="1"/>
  <c r="U80" i="12"/>
  <c r="X80" i="12" s="1"/>
  <c r="Y80" i="12" s="1"/>
  <c r="U84" i="12"/>
  <c r="X84" i="12" s="1"/>
  <c r="Y84" i="12" s="1"/>
  <c r="U79" i="12"/>
  <c r="X79" i="12" s="1"/>
  <c r="Y79" i="12" s="1"/>
  <c r="R74" i="12"/>
  <c r="R73" i="12"/>
  <c r="AE109" i="12"/>
  <c r="BZ109" i="12" s="1"/>
  <c r="AG110" i="12"/>
  <c r="AF108" i="12"/>
  <c r="CA108" i="12" s="1"/>
  <c r="AF110" i="12"/>
  <c r="CA110" i="12" s="1"/>
  <c r="AG108" i="12"/>
  <c r="CB108" i="12" s="1"/>
  <c r="AD109" i="12"/>
  <c r="AG109" i="12"/>
  <c r="CB109" i="12" s="1"/>
  <c r="AD108" i="12"/>
  <c r="AD110" i="12"/>
  <c r="BY110" i="12" s="1"/>
  <c r="AE110" i="12"/>
  <c r="BZ110" i="12" s="1"/>
  <c r="AE108" i="12"/>
  <c r="BZ108" i="12" s="1"/>
  <c r="AF109" i="12"/>
  <c r="CA109" i="12" s="1"/>
  <c r="C497" i="1"/>
  <c r="V92" i="12"/>
  <c r="V96" i="12"/>
  <c r="V91" i="12"/>
  <c r="V90" i="12"/>
  <c r="V58" i="12"/>
  <c r="V68" i="12"/>
  <c r="V50" i="12"/>
  <c r="V98" i="12"/>
  <c r="V54" i="12"/>
  <c r="V97" i="12"/>
  <c r="V67" i="12"/>
  <c r="V62" i="12"/>
  <c r="V69" i="12"/>
  <c r="AD140" i="12"/>
  <c r="AD117" i="12"/>
  <c r="AD118" i="12"/>
  <c r="R131" i="12"/>
  <c r="R112" i="12"/>
  <c r="R42" i="12"/>
  <c r="AE343" i="1"/>
  <c r="AE131" i="1"/>
  <c r="S136" i="12"/>
  <c r="S124" i="12"/>
  <c r="S123" i="12"/>
  <c r="AF348" i="1"/>
  <c r="AF53" i="1"/>
  <c r="AF123" i="1"/>
  <c r="T150" i="1"/>
  <c r="T153" i="1"/>
  <c r="AF179" i="1"/>
  <c r="T196" i="1"/>
  <c r="R38" i="12"/>
  <c r="R25" i="12"/>
  <c r="R32" i="12"/>
  <c r="R18" i="12"/>
  <c r="I299" i="1"/>
  <c r="V117" i="12"/>
  <c r="V118" i="12"/>
  <c r="V140" i="12"/>
  <c r="AE121" i="1"/>
  <c r="AE141" i="1"/>
  <c r="AE143" i="1"/>
  <c r="AE145" i="1"/>
  <c r="T148" i="1"/>
  <c r="AE157" i="1"/>
  <c r="AE160" i="1"/>
  <c r="I253" i="1"/>
  <c r="X124" i="12"/>
  <c r="X74" i="12"/>
  <c r="X46" i="12"/>
  <c r="Y46" i="12" s="1"/>
  <c r="X73" i="12"/>
  <c r="X36" i="12"/>
  <c r="X23" i="12"/>
  <c r="X30" i="12"/>
  <c r="X123" i="12"/>
  <c r="X110" i="12"/>
  <c r="Y110" i="12" s="1"/>
  <c r="X108" i="12"/>
  <c r="Y108" i="12" s="1"/>
  <c r="X16" i="12"/>
  <c r="X81" i="12"/>
  <c r="X109" i="12"/>
  <c r="Y109" i="12" s="1"/>
  <c r="X136" i="12"/>
  <c r="X85" i="12"/>
  <c r="Q1003" i="1"/>
  <c r="AE341" i="1"/>
  <c r="AE108" i="1"/>
  <c r="AE111" i="1"/>
  <c r="AE112" i="1"/>
  <c r="AE115" i="1"/>
  <c r="AE118" i="1"/>
  <c r="AE130" i="1"/>
  <c r="AE139" i="1"/>
  <c r="AE140" i="1"/>
  <c r="AE342" i="1"/>
  <c r="AE345" i="1"/>
  <c r="AE110" i="1"/>
  <c r="AE113" i="1"/>
  <c r="AE114" i="1"/>
  <c r="AE117" i="1"/>
  <c r="AE120" i="1"/>
  <c r="AE123" i="1"/>
  <c r="AE127" i="1"/>
  <c r="AE128" i="1"/>
  <c r="AE136" i="1"/>
  <c r="AE137" i="1"/>
  <c r="AE138" i="1"/>
  <c r="AE146" i="1"/>
  <c r="AE150" i="1"/>
  <c r="AE154" i="1"/>
  <c r="AE340" i="1"/>
  <c r="AE344" i="1"/>
  <c r="AF380" i="1"/>
  <c r="R1002" i="1"/>
  <c r="AF127" i="1"/>
  <c r="AF131" i="1"/>
  <c r="AF228" i="1"/>
  <c r="AF181" i="1"/>
  <c r="AF229" i="1"/>
  <c r="C654" i="1"/>
  <c r="E532" i="1"/>
  <c r="I358" i="1"/>
  <c r="C562" i="1"/>
  <c r="Q937" i="1"/>
  <c r="I354" i="1"/>
  <c r="I353" i="1"/>
  <c r="S934" i="1"/>
  <c r="AF371" i="1"/>
  <c r="C377" i="1"/>
  <c r="E534" i="1"/>
  <c r="C551" i="1"/>
  <c r="C658" i="1"/>
  <c r="Q936" i="1"/>
  <c r="R1004" i="1"/>
  <c r="U245" i="1"/>
  <c r="I357" i="1"/>
  <c r="I367" i="1"/>
  <c r="C437" i="1"/>
  <c r="C501" i="1"/>
  <c r="Q1040" i="1"/>
  <c r="U196" i="1"/>
  <c r="I352" i="1"/>
  <c r="Q986" i="1"/>
  <c r="C650" i="1"/>
  <c r="C656" i="1"/>
  <c r="D498" i="6"/>
  <c r="G79" i="12" s="1"/>
  <c r="H1147" i="12"/>
  <c r="D510" i="6"/>
  <c r="H1140" i="12"/>
  <c r="A1140" i="12" s="1"/>
  <c r="D503" i="6"/>
  <c r="H1148" i="12"/>
  <c r="D511" i="6"/>
  <c r="AF120" i="1"/>
  <c r="AF125" i="1"/>
  <c r="AF136" i="1"/>
  <c r="U148" i="1"/>
  <c r="U150" i="1"/>
  <c r="AF159" i="1"/>
  <c r="AF180" i="1"/>
  <c r="U197" i="1"/>
  <c r="AF256" i="1"/>
  <c r="I246" i="1"/>
  <c r="C439" i="1"/>
  <c r="E524" i="1"/>
  <c r="C579" i="1"/>
  <c r="C613" i="1"/>
  <c r="H1141" i="12"/>
  <c r="A1141" i="12" s="1"/>
  <c r="D504" i="6"/>
  <c r="Q932" i="1"/>
  <c r="Q938" i="1"/>
  <c r="E527" i="1"/>
  <c r="H1145" i="12"/>
  <c r="A1145" i="12" s="1"/>
  <c r="D508" i="6"/>
  <c r="AD98" i="1"/>
  <c r="H1144" i="12"/>
  <c r="D507" i="6"/>
  <c r="H1143" i="12"/>
  <c r="D506" i="6"/>
  <c r="AD92" i="1"/>
  <c r="AD93" i="1"/>
  <c r="AD94" i="1"/>
  <c r="AD95" i="1"/>
  <c r="H1137" i="12"/>
  <c r="A1137" i="12" s="1"/>
  <c r="D500" i="6"/>
  <c r="E530" i="1"/>
  <c r="C644" i="1"/>
  <c r="C642" i="1"/>
  <c r="C609" i="1"/>
  <c r="E528" i="1"/>
  <c r="C607" i="1"/>
  <c r="C615" i="1"/>
  <c r="C630" i="1"/>
  <c r="C605" i="1"/>
  <c r="C603" i="1"/>
  <c r="C611" i="1"/>
  <c r="J332" i="1"/>
  <c r="E520" i="1"/>
  <c r="E40" i="6"/>
  <c r="E408" i="1" s="1"/>
  <c r="C457" i="1"/>
  <c r="C465" i="1"/>
  <c r="C475" i="1"/>
  <c r="C426" i="1"/>
  <c r="X157" i="1"/>
  <c r="X283" i="1"/>
  <c r="E412" i="1"/>
  <c r="B181" i="81"/>
  <c r="B184" i="81"/>
  <c r="B188" i="81"/>
  <c r="B191" i="81"/>
  <c r="B194" i="81"/>
  <c r="A384" i="11"/>
  <c r="A385" i="11"/>
  <c r="A386" i="11" s="1"/>
  <c r="A388" i="11" s="1"/>
  <c r="A389" i="11" s="1"/>
  <c r="A390" i="11" s="1"/>
  <c r="A391" i="11" s="1"/>
  <c r="A392" i="11" s="1"/>
  <c r="E54" i="6"/>
  <c r="E411" i="1" s="1"/>
  <c r="J331" i="1"/>
  <c r="B180" i="81"/>
  <c r="D182" i="81"/>
  <c r="B185" i="81"/>
  <c r="D189" i="81"/>
  <c r="B192" i="81"/>
  <c r="C498" i="1"/>
  <c r="C444" i="1"/>
  <c r="C442" i="1"/>
  <c r="C440" i="1"/>
  <c r="C443" i="1"/>
  <c r="C441" i="1"/>
  <c r="C433" i="1"/>
  <c r="C376" i="1"/>
  <c r="AF376" i="1"/>
  <c r="A1144" i="12"/>
  <c r="A1148" i="12"/>
  <c r="H1160" i="12"/>
  <c r="C187" i="81"/>
  <c r="C176" i="81"/>
  <c r="C62" i="29"/>
  <c r="C57" i="77"/>
  <c r="C48" i="77"/>
  <c r="C53" i="29"/>
  <c r="AF175" i="1"/>
  <c r="AF157" i="1"/>
  <c r="AF140" i="1"/>
  <c r="AF135" i="1"/>
  <c r="AF112" i="1"/>
  <c r="AF195" i="1"/>
  <c r="C372" i="1"/>
  <c r="AF145" i="1"/>
  <c r="AF139" i="1"/>
  <c r="AF372" i="1"/>
  <c r="AF186" i="1"/>
  <c r="AF176" i="1"/>
  <c r="AF151" i="1"/>
  <c r="AF118" i="1"/>
  <c r="AF113" i="1"/>
  <c r="C448" i="1"/>
  <c r="C434" i="1"/>
  <c r="C477" i="1"/>
  <c r="C459" i="1"/>
  <c r="C469" i="1"/>
  <c r="C447" i="1"/>
  <c r="C428" i="1"/>
  <c r="D36" i="6"/>
  <c r="C375" i="1"/>
  <c r="AF375" i="1"/>
  <c r="A1143" i="12"/>
  <c r="A1147" i="12"/>
  <c r="C51" i="61"/>
  <c r="B51" i="61" s="1"/>
  <c r="C31" i="61"/>
  <c r="B31" i="61" s="1"/>
  <c r="C25" i="61"/>
  <c r="B25" i="61" s="1"/>
  <c r="C18" i="61"/>
  <c r="B18" i="61" s="1"/>
  <c r="C31" i="81"/>
  <c r="B31" i="81" s="1"/>
  <c r="C19" i="81"/>
  <c r="B19" i="81" s="1"/>
  <c r="C73" i="77"/>
  <c r="B73" i="77" s="1"/>
  <c r="C78" i="29"/>
  <c r="B78" i="29" s="1"/>
  <c r="C77" i="77"/>
  <c r="B77" i="77" s="1"/>
  <c r="C82" i="29"/>
  <c r="B82" i="29" s="1"/>
  <c r="C76" i="77"/>
  <c r="B76" i="77" s="1"/>
  <c r="C81" i="29"/>
  <c r="B81" i="29" s="1"/>
  <c r="C449" i="1"/>
  <c r="C98" i="81"/>
  <c r="C23" i="17"/>
  <c r="C148" i="81"/>
  <c r="C25" i="77"/>
  <c r="C25" i="29"/>
  <c r="F35" i="6"/>
  <c r="D54" i="6"/>
  <c r="C411" i="1" s="1"/>
  <c r="I8" i="1"/>
  <c r="I10" i="1"/>
  <c r="I12" i="1"/>
  <c r="I18" i="1"/>
  <c r="I20" i="1"/>
  <c r="I32" i="1"/>
  <c r="I33" i="1"/>
  <c r="I34" i="1"/>
  <c r="I35" i="1"/>
  <c r="I36" i="1"/>
  <c r="I37" i="1"/>
  <c r="I38" i="1"/>
  <c r="I39" i="1"/>
  <c r="I40" i="1"/>
  <c r="I41" i="1"/>
  <c r="I45" i="1"/>
  <c r="I46" i="1"/>
  <c r="I54" i="1"/>
  <c r="I56" i="1"/>
  <c r="I58" i="1"/>
  <c r="I86" i="1"/>
  <c r="I87" i="1"/>
  <c r="I89" i="1"/>
  <c r="I91" i="1"/>
  <c r="I99" i="1"/>
  <c r="I103" i="1"/>
  <c r="I106" i="1"/>
  <c r="AA116" i="1"/>
  <c r="I117" i="1"/>
  <c r="Z117" i="1"/>
  <c r="Y118" i="1"/>
  <c r="I133" i="1"/>
  <c r="AF133" i="1"/>
  <c r="I138" i="1"/>
  <c r="I144" i="1"/>
  <c r="I147" i="1"/>
  <c r="U152" i="1"/>
  <c r="I153" i="1"/>
  <c r="I166" i="1"/>
  <c r="I169" i="1"/>
  <c r="I173" i="1"/>
  <c r="I175" i="1"/>
  <c r="I179" i="1"/>
  <c r="I183" i="1"/>
  <c r="AF184" i="1"/>
  <c r="AB185" i="1"/>
  <c r="I193" i="1"/>
  <c r="V198" i="1"/>
  <c r="I207" i="1"/>
  <c r="I208" i="1"/>
  <c r="I210" i="1"/>
  <c r="I212" i="1"/>
  <c r="I214" i="1"/>
  <c r="V225" i="1"/>
  <c r="I235" i="1"/>
  <c r="I237" i="1"/>
  <c r="AF238" i="1"/>
  <c r="AF239" i="1"/>
  <c r="AF240" i="1"/>
  <c r="I243" i="1"/>
  <c r="I254" i="1"/>
  <c r="I258" i="1"/>
  <c r="I259" i="1"/>
  <c r="I320" i="1"/>
  <c r="I323" i="1"/>
  <c r="I331" i="1"/>
  <c r="I360" i="1"/>
  <c r="C418" i="1"/>
  <c r="C420" i="1"/>
  <c r="C422" i="1"/>
  <c r="C424" i="1"/>
  <c r="C430" i="1"/>
  <c r="C27" i="75"/>
  <c r="C13" i="75"/>
  <c r="C62" i="81"/>
  <c r="C55" i="81"/>
  <c r="C47" i="81"/>
  <c r="C35" i="81"/>
  <c r="C86" i="77"/>
  <c r="C79" i="77"/>
  <c r="C91" i="29"/>
  <c r="C84" i="29"/>
  <c r="C543" i="1"/>
  <c r="C545" i="1"/>
  <c r="C547" i="1"/>
  <c r="C549" i="1"/>
  <c r="C556" i="1"/>
  <c r="C558" i="1"/>
  <c r="C564" i="1"/>
  <c r="C566" i="1"/>
  <c r="C568" i="1"/>
  <c r="C581" i="1"/>
  <c r="C583" i="1"/>
  <c r="C585" i="1"/>
  <c r="C587" i="1"/>
  <c r="C589" i="1"/>
  <c r="C591" i="1"/>
  <c r="C617" i="1"/>
  <c r="C632" i="1"/>
  <c r="C634" i="1"/>
  <c r="C636" i="1"/>
  <c r="C638" i="1"/>
  <c r="C640" i="1"/>
  <c r="C646" i="1"/>
  <c r="C652" i="1"/>
  <c r="C660" i="1"/>
  <c r="C662" i="1"/>
  <c r="C664" i="1"/>
  <c r="C666" i="1"/>
  <c r="C668" i="1"/>
  <c r="C18" i="17"/>
  <c r="C93" i="81"/>
  <c r="C97" i="81"/>
  <c r="C22" i="17"/>
  <c r="C101" i="81"/>
  <c r="C26" i="17"/>
  <c r="H1152" i="12"/>
  <c r="C168" i="81"/>
  <c r="C40" i="77"/>
  <c r="C45" i="29"/>
  <c r="H1156" i="12"/>
  <c r="C172" i="81"/>
  <c r="C49" i="29"/>
  <c r="C44" i="77"/>
  <c r="C147" i="81"/>
  <c r="C24" i="77"/>
  <c r="C24" i="29"/>
  <c r="C151" i="81"/>
  <c r="C28" i="77"/>
  <c r="C28" i="29"/>
  <c r="C155" i="81"/>
  <c r="C32" i="29"/>
  <c r="C82" i="81"/>
  <c r="C37" i="17"/>
  <c r="Q961" i="1"/>
  <c r="Q977" i="1"/>
  <c r="Q985" i="1"/>
  <c r="Q989" i="1"/>
  <c r="S1036" i="1"/>
  <c r="C135" i="29"/>
  <c r="C130" i="77"/>
  <c r="C125" i="77"/>
  <c r="C130" i="29"/>
  <c r="C134" i="77"/>
  <c r="C139" i="29"/>
  <c r="I244" i="41"/>
  <c r="H1133" i="12"/>
  <c r="H1139" i="12"/>
  <c r="E10" i="71"/>
  <c r="E10" i="76"/>
  <c r="C10" i="55"/>
  <c r="C10" i="80"/>
  <c r="C10" i="54"/>
  <c r="C10" i="63"/>
  <c r="C10" i="41"/>
  <c r="C10" i="72"/>
  <c r="C10" i="64"/>
  <c r="C453" i="1"/>
  <c r="C28" i="75"/>
  <c r="C14" i="75"/>
  <c r="C63" i="81"/>
  <c r="C36" i="81"/>
  <c r="C56" i="81"/>
  <c r="C48" i="81"/>
  <c r="C87" i="77"/>
  <c r="C85" i="29"/>
  <c r="C80" i="77"/>
  <c r="C92" i="29"/>
  <c r="C577" i="1"/>
  <c r="C94" i="81"/>
  <c r="C19" i="17"/>
  <c r="H1153" i="12"/>
  <c r="C169" i="81"/>
  <c r="C41" i="77"/>
  <c r="C46" i="29"/>
  <c r="H1135" i="12"/>
  <c r="C144" i="81"/>
  <c r="C21" i="29"/>
  <c r="C21" i="77"/>
  <c r="C152" i="81"/>
  <c r="C29" i="29"/>
  <c r="C29" i="77"/>
  <c r="Q982" i="1"/>
  <c r="C118" i="77"/>
  <c r="C123" i="29"/>
  <c r="C129" i="77"/>
  <c r="C134" i="29"/>
  <c r="C124" i="77"/>
  <c r="C129" i="29"/>
  <c r="C1069" i="1"/>
  <c r="C445" i="1"/>
  <c r="C451" i="1"/>
  <c r="C455" i="1"/>
  <c r="C479" i="1"/>
  <c r="C481" i="1"/>
  <c r="C483" i="1"/>
  <c r="C487" i="1"/>
  <c r="C489" i="1"/>
  <c r="C491" i="1"/>
  <c r="C493" i="1"/>
  <c r="C495" i="1"/>
  <c r="C26" i="61"/>
  <c r="B26" i="61" s="1"/>
  <c r="C52" i="61"/>
  <c r="B52" i="61" s="1"/>
  <c r="C33" i="61"/>
  <c r="B33" i="61" s="1"/>
  <c r="C30" i="75"/>
  <c r="C16" i="75"/>
  <c r="C64" i="81"/>
  <c r="C49" i="81"/>
  <c r="C57" i="81"/>
  <c r="C38" i="81"/>
  <c r="C81" i="77"/>
  <c r="C86" i="29"/>
  <c r="C88" i="77"/>
  <c r="C93" i="29"/>
  <c r="C19" i="61"/>
  <c r="B19" i="61" s="1"/>
  <c r="C32" i="75"/>
  <c r="C18" i="75"/>
  <c r="C49" i="61"/>
  <c r="B49" i="61" s="1"/>
  <c r="C59" i="81"/>
  <c r="C40" i="81"/>
  <c r="C51" i="81"/>
  <c r="C66" i="81"/>
  <c r="C90" i="77"/>
  <c r="C95" i="29"/>
  <c r="C83" i="77"/>
  <c r="C88" i="29"/>
  <c r="C575" i="1"/>
  <c r="H1157" i="12"/>
  <c r="C173" i="81"/>
  <c r="C45" i="77"/>
  <c r="C50" i="29"/>
  <c r="C83" i="81"/>
  <c r="C39" i="17"/>
  <c r="Q933" i="1"/>
  <c r="C9" i="75"/>
  <c r="E6" i="71"/>
  <c r="E6" i="76"/>
  <c r="C9" i="61"/>
  <c r="C73" i="61" s="1"/>
  <c r="C128" i="61" s="1"/>
  <c r="C6" i="55"/>
  <c r="C9" i="81"/>
  <c r="C233" i="81" s="1"/>
  <c r="C288" i="81" s="1"/>
  <c r="C6" i="80"/>
  <c r="C8" i="60"/>
  <c r="C8" i="17"/>
  <c r="C6" i="48"/>
  <c r="C9" i="18"/>
  <c r="C63" i="18" s="1"/>
  <c r="C119" i="18" s="1"/>
  <c r="C9" i="77"/>
  <c r="C6" i="54"/>
  <c r="C9" i="29"/>
  <c r="C161" i="29" s="1"/>
  <c r="C216" i="29" s="1"/>
  <c r="I7" i="68"/>
  <c r="C6" i="66"/>
  <c r="D6" i="74"/>
  <c r="C6" i="72"/>
  <c r="C6" i="64"/>
  <c r="C6" i="47"/>
  <c r="C6" i="69"/>
  <c r="C6" i="78"/>
  <c r="C6" i="65"/>
  <c r="C6" i="63"/>
  <c r="C6" i="67"/>
  <c r="C6" i="41"/>
  <c r="E50" i="6"/>
  <c r="E407" i="1" s="1"/>
  <c r="D78" i="6"/>
  <c r="C807" i="1" s="1"/>
  <c r="I9" i="1"/>
  <c r="I11" i="1"/>
  <c r="I14" i="1"/>
  <c r="I19" i="1"/>
  <c r="I25" i="1"/>
  <c r="I27" i="1"/>
  <c r="I28" i="1"/>
  <c r="I29" i="1"/>
  <c r="I31" i="1"/>
  <c r="I43" i="1"/>
  <c r="I44" i="1"/>
  <c r="I48" i="1"/>
  <c r="I49" i="1"/>
  <c r="I50" i="1"/>
  <c r="I55" i="1"/>
  <c r="I57" i="1"/>
  <c r="I59" i="1"/>
  <c r="I60" i="1"/>
  <c r="I84" i="1"/>
  <c r="I88" i="1"/>
  <c r="I90" i="1"/>
  <c r="I97" i="1"/>
  <c r="I101" i="1"/>
  <c r="AD102" i="1"/>
  <c r="I105" i="1"/>
  <c r="Y116" i="1"/>
  <c r="AB117" i="1"/>
  <c r="AA118" i="1"/>
  <c r="I119" i="1"/>
  <c r="AA119" i="1"/>
  <c r="I134" i="1"/>
  <c r="I145" i="1"/>
  <c r="V146" i="1"/>
  <c r="AF146" i="1"/>
  <c r="V148" i="1"/>
  <c r="I149" i="1"/>
  <c r="I152" i="1"/>
  <c r="U153" i="1"/>
  <c r="I154" i="1"/>
  <c r="I164" i="1"/>
  <c r="I168" i="1"/>
  <c r="I171" i="1"/>
  <c r="AF174" i="1"/>
  <c r="I177" i="1"/>
  <c r="I181" i="1"/>
  <c r="AF182" i="1"/>
  <c r="I185" i="1"/>
  <c r="Z185" i="1"/>
  <c r="I186" i="1"/>
  <c r="Z186" i="1"/>
  <c r="I187" i="1"/>
  <c r="AA187" i="1"/>
  <c r="I188" i="1"/>
  <c r="I189" i="1"/>
  <c r="I190" i="1"/>
  <c r="I191" i="1"/>
  <c r="AF192" i="1"/>
  <c r="I194" i="1"/>
  <c r="V195" i="1"/>
  <c r="V196" i="1"/>
  <c r="V197" i="1"/>
  <c r="V199" i="1"/>
  <c r="I206" i="1"/>
  <c r="AF207" i="1"/>
  <c r="I209" i="1"/>
  <c r="I211" i="1"/>
  <c r="I213" i="1"/>
  <c r="I216" i="1"/>
  <c r="I226" i="1"/>
  <c r="I231" i="1"/>
  <c r="AB232" i="1"/>
  <c r="I234" i="1"/>
  <c r="R46" i="12" s="1"/>
  <c r="I236" i="1"/>
  <c r="I238" i="1"/>
  <c r="I239" i="1"/>
  <c r="I240" i="1"/>
  <c r="I241" i="1"/>
  <c r="I247" i="1"/>
  <c r="I252" i="1"/>
  <c r="I256" i="1"/>
  <c r="AF258" i="1"/>
  <c r="X275" i="1"/>
  <c r="I300" i="1"/>
  <c r="I318" i="1"/>
  <c r="I322" i="1"/>
  <c r="I339" i="1"/>
  <c r="I349" i="1"/>
  <c r="I350" i="1"/>
  <c r="I359" i="1"/>
  <c r="C419" i="1"/>
  <c r="C421" i="1"/>
  <c r="C423" i="1"/>
  <c r="C425" i="1"/>
  <c r="C427" i="1"/>
  <c r="C429" i="1"/>
  <c r="C431" i="1"/>
  <c r="C29" i="75"/>
  <c r="C15" i="75"/>
  <c r="C37" i="81"/>
  <c r="E523" i="1"/>
  <c r="E529" i="1"/>
  <c r="E531" i="1"/>
  <c r="E533" i="1"/>
  <c r="C544" i="1"/>
  <c r="C546" i="1"/>
  <c r="C548" i="1"/>
  <c r="C550" i="1"/>
  <c r="C552" i="1"/>
  <c r="C555" i="1"/>
  <c r="C557" i="1"/>
  <c r="C559" i="1"/>
  <c r="C561" i="1"/>
  <c r="C563" i="1"/>
  <c r="C565" i="1"/>
  <c r="C567" i="1"/>
  <c r="C569" i="1"/>
  <c r="C580" i="1"/>
  <c r="C582" i="1"/>
  <c r="C584" i="1"/>
  <c r="C586" i="1"/>
  <c r="C588" i="1"/>
  <c r="C590" i="1"/>
  <c r="C618" i="1"/>
  <c r="C629" i="1"/>
  <c r="C631" i="1"/>
  <c r="C633" i="1"/>
  <c r="C635" i="1"/>
  <c r="C637" i="1"/>
  <c r="C639" i="1"/>
  <c r="C641" i="1"/>
  <c r="C643" i="1"/>
  <c r="C645" i="1"/>
  <c r="C647" i="1"/>
  <c r="C649" i="1"/>
  <c r="C651" i="1"/>
  <c r="C653" i="1"/>
  <c r="C655" i="1"/>
  <c r="C661" i="1"/>
  <c r="C663" i="1"/>
  <c r="C665" i="1"/>
  <c r="C669" i="1"/>
  <c r="C95" i="81"/>
  <c r="C20" i="17"/>
  <c r="C99" i="81"/>
  <c r="C24" i="17"/>
  <c r="H1154" i="12"/>
  <c r="C170" i="81"/>
  <c r="C42" i="77"/>
  <c r="C47" i="29"/>
  <c r="H1158" i="12"/>
  <c r="C174" i="81"/>
  <c r="C51" i="29"/>
  <c r="C46" i="77"/>
  <c r="H1136" i="12"/>
  <c r="C145" i="81"/>
  <c r="C22" i="77"/>
  <c r="C22" i="29"/>
  <c r="C149" i="81"/>
  <c r="C26" i="77"/>
  <c r="C26" i="29"/>
  <c r="C153" i="81"/>
  <c r="C30" i="77"/>
  <c r="C30" i="29"/>
  <c r="C157" i="81"/>
  <c r="C34" i="29"/>
  <c r="C75" i="81"/>
  <c r="C84" i="81"/>
  <c r="C15" i="17"/>
  <c r="B16" i="68"/>
  <c r="Q962" i="1"/>
  <c r="Q979" i="1"/>
  <c r="Q983" i="1"/>
  <c r="Q992" i="1"/>
  <c r="R1003" i="1"/>
  <c r="Q1038" i="1"/>
  <c r="C124" i="29"/>
  <c r="C119" i="77"/>
  <c r="C133" i="29"/>
  <c r="C128" i="77"/>
  <c r="C132" i="77"/>
  <c r="C136" i="77"/>
  <c r="B136" i="77" s="1"/>
  <c r="C141" i="29"/>
  <c r="B141" i="29" s="1"/>
  <c r="C137" i="29"/>
  <c r="I212" i="41"/>
  <c r="I211" i="41"/>
  <c r="I208" i="41"/>
  <c r="G1170" i="12"/>
  <c r="E11" i="71"/>
  <c r="E11" i="76"/>
  <c r="C11" i="54"/>
  <c r="C11" i="80"/>
  <c r="C11" i="55"/>
  <c r="C11" i="72"/>
  <c r="C11" i="41"/>
  <c r="C11" i="64"/>
  <c r="C11" i="63"/>
  <c r="C48" i="61"/>
  <c r="B48" i="61" s="1"/>
  <c r="C32" i="61"/>
  <c r="B32" i="61" s="1"/>
  <c r="C20" i="81"/>
  <c r="B20" i="81" s="1"/>
  <c r="C32" i="81"/>
  <c r="B32" i="81" s="1"/>
  <c r="C74" i="77"/>
  <c r="B74" i="77" s="1"/>
  <c r="C79" i="29"/>
  <c r="B79" i="29" s="1"/>
  <c r="C435" i="1"/>
  <c r="C78" i="81"/>
  <c r="C37" i="75"/>
  <c r="C23" i="75"/>
  <c r="C12" i="60"/>
  <c r="B12" i="60" s="1"/>
  <c r="C72" i="81"/>
  <c r="C12" i="17"/>
  <c r="C601" i="1"/>
  <c r="C102" i="81"/>
  <c r="C27" i="17"/>
  <c r="C156" i="81"/>
  <c r="C33" i="29"/>
  <c r="D35" i="6"/>
  <c r="I16" i="1"/>
  <c r="I21" i="1"/>
  <c r="I24" i="1"/>
  <c r="I30" i="1"/>
  <c r="I47" i="1"/>
  <c r="W50" i="1"/>
  <c r="I52" i="1"/>
  <c r="I61" i="1"/>
  <c r="I62" i="1"/>
  <c r="I63" i="1"/>
  <c r="I64" i="1"/>
  <c r="I65" i="1"/>
  <c r="I66" i="1"/>
  <c r="I67" i="1"/>
  <c r="I68" i="1"/>
  <c r="I69" i="1"/>
  <c r="I70" i="1"/>
  <c r="I71" i="1"/>
  <c r="I72" i="1"/>
  <c r="I73" i="1"/>
  <c r="I74" i="1"/>
  <c r="I75" i="1"/>
  <c r="I76" i="1"/>
  <c r="I77" i="1"/>
  <c r="I78" i="1"/>
  <c r="I79" i="1"/>
  <c r="I80" i="1"/>
  <c r="I83" i="1"/>
  <c r="I92" i="1"/>
  <c r="I93" i="1"/>
  <c r="I94" i="1"/>
  <c r="I95" i="1"/>
  <c r="I96" i="1"/>
  <c r="I100" i="1"/>
  <c r="AD101" i="1"/>
  <c r="I104" i="1"/>
  <c r="I107" i="1"/>
  <c r="I108" i="1"/>
  <c r="I109" i="1"/>
  <c r="I110" i="1"/>
  <c r="I111" i="1"/>
  <c r="I112" i="1"/>
  <c r="I114" i="1"/>
  <c r="AF114" i="1"/>
  <c r="I116" i="1"/>
  <c r="Z116" i="1"/>
  <c r="Y117" i="1"/>
  <c r="AB119" i="1"/>
  <c r="I120" i="1"/>
  <c r="I122" i="1"/>
  <c r="I124" i="1"/>
  <c r="I126" i="1"/>
  <c r="AF126" i="1"/>
  <c r="I128" i="1"/>
  <c r="AF128" i="1"/>
  <c r="I130" i="1"/>
  <c r="AF130" i="1"/>
  <c r="I132" i="1"/>
  <c r="I135" i="1"/>
  <c r="I137" i="1"/>
  <c r="I140" i="1"/>
  <c r="I142" i="1"/>
  <c r="AF142" i="1"/>
  <c r="I146" i="1"/>
  <c r="V147" i="1"/>
  <c r="I148" i="1"/>
  <c r="I151" i="1"/>
  <c r="I155" i="1"/>
  <c r="I156" i="1"/>
  <c r="I157" i="1"/>
  <c r="AE158" i="1"/>
  <c r="I160" i="1"/>
  <c r="AF160" i="1"/>
  <c r="I163" i="1"/>
  <c r="I167" i="1"/>
  <c r="I170" i="1"/>
  <c r="I174" i="1"/>
  <c r="I178" i="1"/>
  <c r="I182" i="1"/>
  <c r="AF183" i="1"/>
  <c r="AA185" i="1"/>
  <c r="AA186" i="1"/>
  <c r="AB187" i="1"/>
  <c r="I192" i="1"/>
  <c r="T194" i="1"/>
  <c r="I195" i="1"/>
  <c r="I196" i="1"/>
  <c r="I197" i="1"/>
  <c r="I199" i="1"/>
  <c r="I215" i="1"/>
  <c r="I218" i="1"/>
  <c r="R128" i="12" s="1"/>
  <c r="I220" i="1"/>
  <c r="I222" i="1"/>
  <c r="I224" i="1"/>
  <c r="U225" i="1"/>
  <c r="T226" i="1"/>
  <c r="I228" i="1"/>
  <c r="I229" i="1"/>
  <c r="I230" i="1"/>
  <c r="Y232" i="1"/>
  <c r="I244" i="1"/>
  <c r="I249" i="1"/>
  <c r="I251" i="1"/>
  <c r="I255" i="1"/>
  <c r="I260" i="1"/>
  <c r="T267" i="1"/>
  <c r="I270" i="1"/>
  <c r="I272" i="1"/>
  <c r="I274" i="1"/>
  <c r="I321" i="1"/>
  <c r="I332" i="1"/>
  <c r="I348" i="1"/>
  <c r="C371" i="1"/>
  <c r="C29" i="81"/>
  <c r="B29" i="81" s="1"/>
  <c r="C33" i="81"/>
  <c r="B33" i="81" s="1"/>
  <c r="C75" i="77"/>
  <c r="B75" i="77" s="1"/>
  <c r="C80" i="29"/>
  <c r="B80" i="29" s="1"/>
  <c r="C436" i="1"/>
  <c r="C438" i="1"/>
  <c r="C446" i="1"/>
  <c r="C450" i="1"/>
  <c r="C452" i="1"/>
  <c r="C454" i="1"/>
  <c r="C456" i="1"/>
  <c r="C458" i="1"/>
  <c r="C464" i="1"/>
  <c r="C466" i="1"/>
  <c r="C468" i="1"/>
  <c r="C474" i="1"/>
  <c r="C476" i="1"/>
  <c r="C478" i="1"/>
  <c r="C480" i="1"/>
  <c r="C482" i="1"/>
  <c r="C486" i="1"/>
  <c r="C488" i="1"/>
  <c r="C490" i="1"/>
  <c r="C492" i="1"/>
  <c r="C494" i="1"/>
  <c r="C496" i="1"/>
  <c r="C500" i="1"/>
  <c r="C502" i="1"/>
  <c r="E521" i="1"/>
  <c r="C36" i="75"/>
  <c r="C22" i="75"/>
  <c r="C14" i="60"/>
  <c r="B14" i="60" s="1"/>
  <c r="C74" i="81"/>
  <c r="C80" i="81"/>
  <c r="C14" i="17"/>
  <c r="C79" i="81"/>
  <c r="C73" i="81"/>
  <c r="C38" i="75"/>
  <c r="C24" i="75"/>
  <c r="C13" i="17"/>
  <c r="C13" i="60"/>
  <c r="B13" i="60" s="1"/>
  <c r="C31" i="75"/>
  <c r="C17" i="75"/>
  <c r="C65" i="81"/>
  <c r="C27" i="61"/>
  <c r="B27" i="61" s="1"/>
  <c r="C53" i="61"/>
  <c r="B53" i="61" s="1"/>
  <c r="C58" i="81"/>
  <c r="C50" i="81"/>
  <c r="C39" i="81"/>
  <c r="C89" i="77"/>
  <c r="C94" i="29"/>
  <c r="C82" i="77"/>
  <c r="C87" i="29"/>
  <c r="C60" i="81"/>
  <c r="C33" i="75"/>
  <c r="C19" i="75"/>
  <c r="C67" i="81"/>
  <c r="C41" i="81"/>
  <c r="C52" i="81"/>
  <c r="C89" i="29"/>
  <c r="C84" i="77"/>
  <c r="C96" i="29"/>
  <c r="C91" i="77"/>
  <c r="C34" i="75"/>
  <c r="C20" i="75"/>
  <c r="C42" i="81"/>
  <c r="C35" i="75"/>
  <c r="C21" i="75"/>
  <c r="C43" i="81"/>
  <c r="C576" i="1"/>
  <c r="C600" i="1"/>
  <c r="C602" i="1"/>
  <c r="C604" i="1"/>
  <c r="C606" i="1"/>
  <c r="C608" i="1"/>
  <c r="C610" i="1"/>
  <c r="C612" i="1"/>
  <c r="C614" i="1"/>
  <c r="C92" i="81"/>
  <c r="C17" i="17"/>
  <c r="C96" i="81"/>
  <c r="C21" i="17"/>
  <c r="C100" i="81"/>
  <c r="C25" i="17"/>
  <c r="H1151" i="12"/>
  <c r="C167" i="81"/>
  <c r="C39" i="77"/>
  <c r="C44" i="29"/>
  <c r="H1155" i="12"/>
  <c r="C171" i="81"/>
  <c r="C43" i="77"/>
  <c r="C48" i="29"/>
  <c r="H1159" i="12"/>
  <c r="C175" i="81"/>
  <c r="C47" i="77"/>
  <c r="C52" i="29"/>
  <c r="C146" i="81"/>
  <c r="C23" i="77"/>
  <c r="C23" i="29"/>
  <c r="C150" i="81"/>
  <c r="C27" i="77"/>
  <c r="C27" i="29"/>
  <c r="C154" i="81"/>
  <c r="C31" i="29"/>
  <c r="C81" i="81"/>
  <c r="C38" i="17"/>
  <c r="C32" i="17"/>
  <c r="C31" i="17"/>
  <c r="B31" i="17" s="1"/>
  <c r="Q935" i="1"/>
  <c r="Q960" i="1"/>
  <c r="Q976" i="1"/>
  <c r="Q980" i="1"/>
  <c r="Q988" i="1"/>
  <c r="Q1002" i="1"/>
  <c r="Q1004" i="1"/>
  <c r="Q1035" i="1"/>
  <c r="C126" i="29"/>
  <c r="C120" i="77"/>
  <c r="C121" i="77"/>
  <c r="C125" i="29"/>
  <c r="C126" i="77"/>
  <c r="C131" i="29"/>
  <c r="C133" i="77"/>
  <c r="C138" i="29"/>
  <c r="K230" i="41"/>
  <c r="K216" i="41"/>
  <c r="K258" i="41"/>
  <c r="K244" i="41"/>
  <c r="H1138" i="12"/>
  <c r="H1142" i="12"/>
  <c r="H1146" i="12"/>
  <c r="A1135" i="12"/>
  <c r="A1136" i="12"/>
  <c r="D52" i="81" l="1"/>
  <c r="CC108" i="12"/>
  <c r="CC80" i="12"/>
  <c r="D50" i="81"/>
  <c r="CC15" i="12"/>
  <c r="CC29" i="12"/>
  <c r="CC109" i="12"/>
  <c r="CD110" i="12"/>
  <c r="N95" i="12"/>
  <c r="BX95" i="12" s="1"/>
  <c r="R79" i="12"/>
  <c r="R84" i="12"/>
  <c r="R80" i="12"/>
  <c r="BO128" i="12"/>
  <c r="BM128" i="12"/>
  <c r="R117" i="12"/>
  <c r="R118" i="12"/>
  <c r="R140" i="12"/>
  <c r="BO46" i="12"/>
  <c r="BM46" i="12"/>
  <c r="AT67" i="12"/>
  <c r="AT109" i="12"/>
  <c r="AT120" i="12"/>
  <c r="AT117" i="12"/>
  <c r="AT81" i="12"/>
  <c r="AT45" i="12"/>
  <c r="AT43" i="12"/>
  <c r="AT42" i="12"/>
  <c r="AT63" i="12"/>
  <c r="AT38" i="12"/>
  <c r="AT95" i="12"/>
  <c r="AT90" i="12"/>
  <c r="AT89" i="12"/>
  <c r="AT25" i="12"/>
  <c r="AT50" i="12"/>
  <c r="AT142" i="12"/>
  <c r="AT15" i="12"/>
  <c r="AT22" i="12"/>
  <c r="AT110" i="12"/>
  <c r="AT97" i="12"/>
  <c r="AT105" i="12"/>
  <c r="AT92" i="12"/>
  <c r="AT102" i="12"/>
  <c r="AT138" i="12"/>
  <c r="AT121" i="12"/>
  <c r="AT114" i="12"/>
  <c r="AT123" i="12"/>
  <c r="AT84" i="12"/>
  <c r="AT101" i="12"/>
  <c r="AT108" i="12"/>
  <c r="AT131" i="12"/>
  <c r="AT59" i="12"/>
  <c r="AT85" i="12"/>
  <c r="AT104" i="12"/>
  <c r="AT35" i="12"/>
  <c r="AT128" i="12"/>
  <c r="AT91" i="12"/>
  <c r="AT80" i="12"/>
  <c r="AT98" i="12"/>
  <c r="AT18" i="12"/>
  <c r="AT46" i="12"/>
  <c r="AT30" i="12"/>
  <c r="AT62" i="12"/>
  <c r="AT127" i="12"/>
  <c r="AT118" i="12"/>
  <c r="AT29" i="12"/>
  <c r="AT140" i="12"/>
  <c r="AT73" i="12"/>
  <c r="AT54" i="12"/>
  <c r="AT16" i="12"/>
  <c r="AT133" i="12"/>
  <c r="AT51" i="12"/>
  <c r="AT124" i="12"/>
  <c r="AT74" i="12"/>
  <c r="AT58" i="12"/>
  <c r="AT55" i="12"/>
  <c r="AT132" i="12"/>
  <c r="AT113" i="12"/>
  <c r="AT106" i="12"/>
  <c r="AT96" i="12"/>
  <c r="AT23" i="12"/>
  <c r="AT112" i="12"/>
  <c r="AT68" i="12"/>
  <c r="AT136" i="12"/>
  <c r="AT32" i="12"/>
  <c r="AT36" i="12"/>
  <c r="AT69" i="12"/>
  <c r="AT79" i="12"/>
  <c r="R55" i="12"/>
  <c r="R63" i="12"/>
  <c r="R51" i="12"/>
  <c r="R59" i="12"/>
  <c r="BB106" i="12"/>
  <c r="R29" i="12"/>
  <c r="R22" i="12"/>
  <c r="R15" i="12"/>
  <c r="R35" i="12"/>
  <c r="R121" i="12"/>
  <c r="R142" i="12"/>
  <c r="R120" i="12"/>
  <c r="R45" i="12"/>
  <c r="U114" i="12"/>
  <c r="X114" i="12" s="1"/>
  <c r="Y114" i="12" s="1"/>
  <c r="U113" i="12"/>
  <c r="X113" i="12" s="1"/>
  <c r="Y113" i="12" s="1"/>
  <c r="U132" i="12"/>
  <c r="X132" i="12" s="1"/>
  <c r="Y132" i="12" s="1"/>
  <c r="U133" i="12"/>
  <c r="X133" i="12" s="1"/>
  <c r="Y133" i="12" s="1"/>
  <c r="U43" i="12"/>
  <c r="X43" i="12" s="1"/>
  <c r="Y43" i="12" s="1"/>
  <c r="Y123" i="12"/>
  <c r="N123" i="12" s="1"/>
  <c r="AW123" i="12"/>
  <c r="AY123" i="12" s="1"/>
  <c r="BP123" i="12" s="1"/>
  <c r="W54" i="12"/>
  <c r="N54" i="12" s="1"/>
  <c r="AW54" i="12"/>
  <c r="AY54" i="12" s="1"/>
  <c r="Y102" i="12"/>
  <c r="G18" i="12"/>
  <c r="G55" i="12"/>
  <c r="G22" i="12"/>
  <c r="BO97" i="12"/>
  <c r="BM97" i="12"/>
  <c r="BA97" i="12"/>
  <c r="W35" i="12"/>
  <c r="N35" i="12" s="1"/>
  <c r="AW35" i="12"/>
  <c r="AY35" i="12" s="1"/>
  <c r="W109" i="12"/>
  <c r="N109" i="12" s="1"/>
  <c r="AW109" i="12"/>
  <c r="AY109" i="12" s="1"/>
  <c r="W142" i="12"/>
  <c r="N142" i="12" s="1"/>
  <c r="AW142" i="12"/>
  <c r="AY142" i="12" s="1"/>
  <c r="BP142" i="12" s="1"/>
  <c r="BY29" i="12"/>
  <c r="CD29" i="12" s="1"/>
  <c r="AX29" i="12"/>
  <c r="AZ29" i="12" s="1"/>
  <c r="BY131" i="12"/>
  <c r="CD131" i="12" s="1"/>
  <c r="AX131" i="12"/>
  <c r="AZ131" i="12" s="1"/>
  <c r="BY79" i="12"/>
  <c r="CD79" i="12" s="1"/>
  <c r="AX79" i="12"/>
  <c r="AZ79" i="12" s="1"/>
  <c r="BB62" i="12"/>
  <c r="Y30" i="12"/>
  <c r="N30" i="12" s="1"/>
  <c r="J32" i="12" s="1"/>
  <c r="AW30" i="12"/>
  <c r="AY30" i="12" s="1"/>
  <c r="W98" i="12"/>
  <c r="N98" i="12" s="1"/>
  <c r="AW98" i="12"/>
  <c r="AY98" i="12" s="1"/>
  <c r="Y101" i="12"/>
  <c r="G25" i="12"/>
  <c r="G96" i="12"/>
  <c r="G35" i="12"/>
  <c r="BM54" i="12"/>
  <c r="BA54" i="12"/>
  <c r="BP54" i="12"/>
  <c r="BO54" i="12"/>
  <c r="W110" i="12"/>
  <c r="N110" i="12" s="1"/>
  <c r="AW110" i="12"/>
  <c r="AY110" i="12" s="1"/>
  <c r="W102" i="12"/>
  <c r="N102" i="12" s="1"/>
  <c r="AW102" i="12"/>
  <c r="AY102" i="12" s="1"/>
  <c r="W106" i="12"/>
  <c r="N106" i="12" s="1"/>
  <c r="AW106" i="12"/>
  <c r="AY106" i="12" s="1"/>
  <c r="BY35" i="12"/>
  <c r="CD35" i="12" s="1"/>
  <c r="AX35" i="12"/>
  <c r="AZ35" i="12" s="1"/>
  <c r="CE102" i="12"/>
  <c r="BY121" i="12"/>
  <c r="CD121" i="12" s="1"/>
  <c r="AX121" i="12"/>
  <c r="AZ121" i="12" s="1"/>
  <c r="CC22" i="12"/>
  <c r="BY15" i="12"/>
  <c r="CD15" i="12" s="1"/>
  <c r="AX15" i="12"/>
  <c r="AZ15" i="12" s="1"/>
  <c r="AX23" i="12"/>
  <c r="AZ23" i="12" s="1"/>
  <c r="AX16" i="12"/>
  <c r="AZ16" i="12" s="1"/>
  <c r="BM114" i="12"/>
  <c r="BO114" i="12"/>
  <c r="Y23" i="12"/>
  <c r="N23" i="12" s="1"/>
  <c r="J25" i="12" s="1"/>
  <c r="AW23" i="12"/>
  <c r="AY23" i="12" s="1"/>
  <c r="BP23" i="12" s="1"/>
  <c r="BO42" i="12"/>
  <c r="BM42" i="12"/>
  <c r="W50" i="12"/>
  <c r="N50" i="12" s="1"/>
  <c r="AW50" i="12"/>
  <c r="AY50" i="12" s="1"/>
  <c r="BP50" i="12" s="1"/>
  <c r="BY108" i="12"/>
  <c r="CD108" i="12" s="1"/>
  <c r="AX108" i="12"/>
  <c r="AZ108" i="12" s="1"/>
  <c r="BM123" i="12"/>
  <c r="BO123" i="12"/>
  <c r="Y127" i="12"/>
  <c r="G32" i="12"/>
  <c r="G29" i="12"/>
  <c r="G67" i="12"/>
  <c r="BM50" i="12"/>
  <c r="BO50" i="12"/>
  <c r="BA50" i="12"/>
  <c r="AW22" i="12"/>
  <c r="AY22" i="12" s="1"/>
  <c r="W22" i="12"/>
  <c r="N22" i="12" s="1"/>
  <c r="AW132" i="12"/>
  <c r="AY132" i="12" s="1"/>
  <c r="BP132" i="12" s="1"/>
  <c r="W132" i="12"/>
  <c r="N132" i="12" s="1"/>
  <c r="AW131" i="12"/>
  <c r="AY131" i="12" s="1"/>
  <c r="BB131" i="12" s="1"/>
  <c r="W131" i="12"/>
  <c r="N131" i="12" s="1"/>
  <c r="BY142" i="12"/>
  <c r="CD142" i="12" s="1"/>
  <c r="CE142" i="12" s="1"/>
  <c r="AX142" i="12"/>
  <c r="AZ142" i="12" s="1"/>
  <c r="BB142" i="12" s="1"/>
  <c r="BY22" i="12"/>
  <c r="CD22" i="12" s="1"/>
  <c r="AX22" i="12"/>
  <c r="AZ22" i="12" s="1"/>
  <c r="BB22" i="12" s="1"/>
  <c r="BY80" i="12"/>
  <c r="CD80" i="12" s="1"/>
  <c r="AX80" i="12"/>
  <c r="AZ80" i="12" s="1"/>
  <c r="BO23" i="12"/>
  <c r="BB73" i="12"/>
  <c r="BB25" i="12"/>
  <c r="BM43" i="12"/>
  <c r="BO43" i="12"/>
  <c r="Y36" i="12"/>
  <c r="N36" i="12" s="1"/>
  <c r="J38" i="12" s="1"/>
  <c r="AW36" i="12"/>
  <c r="AY36" i="12" s="1"/>
  <c r="BP36" i="12" s="1"/>
  <c r="BO18" i="12"/>
  <c r="BA18" i="12"/>
  <c r="BM112" i="12"/>
  <c r="BO112" i="12"/>
  <c r="W68" i="12"/>
  <c r="N68" i="12" s="1"/>
  <c r="L69" i="12" s="1"/>
  <c r="AW68" i="12"/>
  <c r="AY68" i="12" s="1"/>
  <c r="BP68" i="12" s="1"/>
  <c r="BO124" i="12"/>
  <c r="BM124" i="12"/>
  <c r="BA124" i="12"/>
  <c r="G80" i="12"/>
  <c r="G50" i="12"/>
  <c r="G59" i="12"/>
  <c r="BM58" i="12"/>
  <c r="BO58" i="12"/>
  <c r="N38" i="12"/>
  <c r="AW45" i="12"/>
  <c r="AY45" i="12" s="1"/>
  <c r="BP45" i="12" s="1"/>
  <c r="W45" i="12"/>
  <c r="N45" i="12" s="1"/>
  <c r="N89" i="12"/>
  <c r="BY45" i="12"/>
  <c r="CD45" i="12" s="1"/>
  <c r="CE45" i="12" s="1"/>
  <c r="AX45" i="12"/>
  <c r="AZ45" i="12" s="1"/>
  <c r="BB45" i="12" s="1"/>
  <c r="BY123" i="12"/>
  <c r="CD123" i="12" s="1"/>
  <c r="AX123" i="12"/>
  <c r="AZ123" i="12" s="1"/>
  <c r="BB123" i="12" s="1"/>
  <c r="CC79" i="12"/>
  <c r="BO30" i="12"/>
  <c r="BA30" i="12"/>
  <c r="BP30" i="12"/>
  <c r="BB18" i="12"/>
  <c r="BB38" i="12"/>
  <c r="AX85" i="12"/>
  <c r="AZ85" i="12" s="1"/>
  <c r="BM132" i="12"/>
  <c r="BO132" i="12"/>
  <c r="BO92" i="12"/>
  <c r="BM92" i="12"/>
  <c r="W80" i="12"/>
  <c r="N80" i="12" s="1"/>
  <c r="AW80" i="12"/>
  <c r="AY80" i="12" s="1"/>
  <c r="Y73" i="12"/>
  <c r="AW73" i="12"/>
  <c r="AY73" i="12" s="1"/>
  <c r="BP73" i="12" s="1"/>
  <c r="BO32" i="12"/>
  <c r="BA32" i="12"/>
  <c r="BP131" i="12"/>
  <c r="BA131" i="12"/>
  <c r="BO131" i="12"/>
  <c r="BM131" i="12"/>
  <c r="AW58" i="12"/>
  <c r="AY58" i="12" s="1"/>
  <c r="BP58" i="12" s="1"/>
  <c r="W58" i="12"/>
  <c r="N58" i="12" s="1"/>
  <c r="BY109" i="12"/>
  <c r="CD109" i="12" s="1"/>
  <c r="AX109" i="12"/>
  <c r="AZ109" i="12" s="1"/>
  <c r="BO136" i="12"/>
  <c r="BM136" i="12"/>
  <c r="G84" i="12"/>
  <c r="G90" i="12"/>
  <c r="G30" i="12"/>
  <c r="BO90" i="12"/>
  <c r="BM90" i="12"/>
  <c r="W46" i="12"/>
  <c r="N46" i="12" s="1"/>
  <c r="AW46" i="12"/>
  <c r="AY46" i="12" s="1"/>
  <c r="BP46" i="12" s="1"/>
  <c r="W15" i="12"/>
  <c r="N15" i="12" s="1"/>
  <c r="CE15" i="12" s="1"/>
  <c r="AW15" i="12"/>
  <c r="AY15" i="12" s="1"/>
  <c r="BP15" i="12" s="1"/>
  <c r="AW42" i="12"/>
  <c r="AY42" i="12" s="1"/>
  <c r="W42" i="12"/>
  <c r="N42" i="12" s="1"/>
  <c r="BY128" i="12"/>
  <c r="CD128" i="12" s="1"/>
  <c r="AX128" i="12"/>
  <c r="AZ128" i="12" s="1"/>
  <c r="CC46" i="12"/>
  <c r="BY138" i="12"/>
  <c r="CD138" i="12" s="1"/>
  <c r="AX138" i="12"/>
  <c r="AZ138" i="12" s="1"/>
  <c r="BO81" i="12"/>
  <c r="BA81" i="12"/>
  <c r="BB54" i="12"/>
  <c r="BO113" i="12"/>
  <c r="BM113" i="12"/>
  <c r="BM98" i="12"/>
  <c r="BA98" i="12"/>
  <c r="BP98" i="12"/>
  <c r="CF98" i="12" s="1"/>
  <c r="BO98" i="12"/>
  <c r="AW79" i="12"/>
  <c r="AY79" i="12" s="1"/>
  <c r="W79" i="12"/>
  <c r="N79" i="12" s="1"/>
  <c r="S55" i="12"/>
  <c r="N55" i="12" s="1"/>
  <c r="S63" i="12"/>
  <c r="N63" i="12" s="1"/>
  <c r="S59" i="12"/>
  <c r="N59" i="12" s="1"/>
  <c r="S51" i="12"/>
  <c r="AP118" i="12"/>
  <c r="AP117" i="12"/>
  <c r="AP140" i="12"/>
  <c r="D64" i="81" s="1"/>
  <c r="Y85" i="12"/>
  <c r="N85" i="12" s="1"/>
  <c r="AW85" i="12"/>
  <c r="AY85" i="12" s="1"/>
  <c r="BP85" i="12" s="1"/>
  <c r="BO25" i="12"/>
  <c r="BA25" i="12"/>
  <c r="BY118" i="12"/>
  <c r="CD118" i="12" s="1"/>
  <c r="CE118" i="12" s="1"/>
  <c r="AX118" i="12"/>
  <c r="AZ118" i="12" s="1"/>
  <c r="W90" i="12"/>
  <c r="N90" i="12" s="1"/>
  <c r="AW90" i="12"/>
  <c r="AY90" i="12" s="1"/>
  <c r="BB50" i="12"/>
  <c r="G92" i="12"/>
  <c r="G62" i="12"/>
  <c r="G54" i="12"/>
  <c r="BM96" i="12"/>
  <c r="BO96" i="12"/>
  <c r="BP38" i="12"/>
  <c r="W43" i="12"/>
  <c r="AW43" i="12"/>
  <c r="AY43" i="12" s="1"/>
  <c r="N51" i="12"/>
  <c r="W133" i="12"/>
  <c r="N133" i="12" s="1"/>
  <c r="AW133" i="12"/>
  <c r="AY133" i="12" s="1"/>
  <c r="BA133" i="12" s="1"/>
  <c r="W127" i="12"/>
  <c r="AW127" i="12"/>
  <c r="AY127" i="12" s="1"/>
  <c r="CC35" i="12"/>
  <c r="BY104" i="12"/>
  <c r="CD104" i="12" s="1"/>
  <c r="AX104" i="12"/>
  <c r="AZ104" i="12" s="1"/>
  <c r="BO36" i="12"/>
  <c r="BB91" i="12"/>
  <c r="BM133" i="12"/>
  <c r="BO133" i="12"/>
  <c r="BO138" i="12"/>
  <c r="BM138" i="12"/>
  <c r="W84" i="12"/>
  <c r="N84" i="12" s="1"/>
  <c r="AW84" i="12"/>
  <c r="AY84" i="12" s="1"/>
  <c r="Y136" i="12"/>
  <c r="N136" i="12" s="1"/>
  <c r="AW136" i="12"/>
  <c r="AY136" i="12" s="1"/>
  <c r="BP136" i="12" s="1"/>
  <c r="Y74" i="12"/>
  <c r="N74" i="12" s="1"/>
  <c r="AW74" i="12"/>
  <c r="AY74" i="12" s="1"/>
  <c r="BP74" i="12" s="1"/>
  <c r="BO38" i="12"/>
  <c r="BA38" i="12"/>
  <c r="BY117" i="12"/>
  <c r="CD117" i="12" s="1"/>
  <c r="CE117" i="12" s="1"/>
  <c r="AX117" i="12"/>
  <c r="AZ117" i="12" s="1"/>
  <c r="W91" i="12"/>
  <c r="N91" i="12" s="1"/>
  <c r="AW91" i="12"/>
  <c r="AY91" i="12" s="1"/>
  <c r="G63" i="12"/>
  <c r="G98" i="12"/>
  <c r="G74" i="12"/>
  <c r="G68" i="12"/>
  <c r="BO68" i="12"/>
  <c r="BA68" i="12"/>
  <c r="N69" i="12"/>
  <c r="AW104" i="12"/>
  <c r="AY104" i="12" s="1"/>
  <c r="BP104" i="12" s="1"/>
  <c r="W104" i="12"/>
  <c r="N104" i="12" s="1"/>
  <c r="AW120" i="12"/>
  <c r="AY120" i="12" s="1"/>
  <c r="BP120" i="12" s="1"/>
  <c r="W120" i="12"/>
  <c r="N120" i="12" s="1"/>
  <c r="CC127" i="12"/>
  <c r="BY106" i="12"/>
  <c r="CD106" i="12" s="1"/>
  <c r="CE106" i="12" s="1"/>
  <c r="AX106" i="12"/>
  <c r="AZ106" i="12" s="1"/>
  <c r="R89" i="12"/>
  <c r="R95" i="12"/>
  <c r="BY84" i="12"/>
  <c r="CD84" i="12" s="1"/>
  <c r="CE84" i="12" s="1"/>
  <c r="AX84" i="12"/>
  <c r="AZ84" i="12" s="1"/>
  <c r="BB84" i="12" s="1"/>
  <c r="BO85" i="12"/>
  <c r="AX30" i="12"/>
  <c r="AZ30" i="12" s="1"/>
  <c r="BB30" i="12" s="1"/>
  <c r="BM104" i="12"/>
  <c r="BO104" i="12"/>
  <c r="Y124" i="12"/>
  <c r="N124" i="12" s="1"/>
  <c r="AW124" i="12"/>
  <c r="AY124" i="12" s="1"/>
  <c r="BP124" i="12" s="1"/>
  <c r="BY140" i="12"/>
  <c r="CD140" i="12" s="1"/>
  <c r="AX140" i="12"/>
  <c r="AZ140" i="12" s="1"/>
  <c r="AW96" i="12"/>
  <c r="AY96" i="12" s="1"/>
  <c r="BA96" i="12" s="1"/>
  <c r="W96" i="12"/>
  <c r="N96" i="12" s="1"/>
  <c r="G91" i="12"/>
  <c r="G36" i="12"/>
  <c r="G85" i="12"/>
  <c r="G95" i="12"/>
  <c r="BM62" i="12"/>
  <c r="BO62" i="12"/>
  <c r="AW112" i="12"/>
  <c r="AY112" i="12" s="1"/>
  <c r="BA112" i="12" s="1"/>
  <c r="W112" i="12"/>
  <c r="N112" i="12" s="1"/>
  <c r="AW121" i="12"/>
  <c r="AY121" i="12" s="1"/>
  <c r="W121" i="12"/>
  <c r="N121" i="12" s="1"/>
  <c r="BY42" i="12"/>
  <c r="CD42" i="12" s="1"/>
  <c r="CE42" i="12" s="1"/>
  <c r="AX42" i="12"/>
  <c r="AZ42" i="12" s="1"/>
  <c r="BO16" i="12"/>
  <c r="BB98" i="12"/>
  <c r="BO106" i="12"/>
  <c r="BA106" i="12"/>
  <c r="BP106" i="12"/>
  <c r="BM106" i="12"/>
  <c r="Y81" i="12"/>
  <c r="AW81" i="12"/>
  <c r="AY81" i="12" s="1"/>
  <c r="BP81" i="12" s="1"/>
  <c r="W69" i="12"/>
  <c r="AW69" i="12"/>
  <c r="AY69" i="12" s="1"/>
  <c r="BP69" i="12" s="1"/>
  <c r="W92" i="12"/>
  <c r="N92" i="12" s="1"/>
  <c r="AW92" i="12"/>
  <c r="AY92" i="12" s="1"/>
  <c r="BB92" i="12" s="1"/>
  <c r="AX110" i="12"/>
  <c r="AZ110" i="12" s="1"/>
  <c r="BB110" i="12" s="1"/>
  <c r="CB110" i="12"/>
  <c r="CC110" i="12" s="1"/>
  <c r="G97" i="12"/>
  <c r="G58" i="12"/>
  <c r="G23" i="12"/>
  <c r="BM110" i="12"/>
  <c r="BO110" i="12"/>
  <c r="BA110" i="12"/>
  <c r="BP110" i="12"/>
  <c r="BM67" i="12"/>
  <c r="BO67" i="12"/>
  <c r="N81" i="12"/>
  <c r="N73" i="12"/>
  <c r="BP18" i="12"/>
  <c r="BY112" i="12"/>
  <c r="CD112" i="12" s="1"/>
  <c r="CE112" i="12" s="1"/>
  <c r="AX112" i="12"/>
  <c r="AZ112" i="12" s="1"/>
  <c r="BB32" i="12"/>
  <c r="BM105" i="12"/>
  <c r="BO105" i="12"/>
  <c r="BP105" i="12"/>
  <c r="Y16" i="12"/>
  <c r="N16" i="12" s="1"/>
  <c r="J18" i="12" s="1"/>
  <c r="AW16" i="12"/>
  <c r="AY16" i="12" s="1"/>
  <c r="BP16" i="12" s="1"/>
  <c r="W140" i="12"/>
  <c r="N140" i="12" s="1"/>
  <c r="AW140" i="12"/>
  <c r="AY140" i="12" s="1"/>
  <c r="BP140" i="12" s="1"/>
  <c r="W62" i="12"/>
  <c r="N62" i="12" s="1"/>
  <c r="AW62" i="12"/>
  <c r="AY62" i="12" s="1"/>
  <c r="BP62" i="12" s="1"/>
  <c r="CF62" i="12" s="1"/>
  <c r="G15" i="12"/>
  <c r="G69" i="12"/>
  <c r="G16" i="12"/>
  <c r="BM109" i="12"/>
  <c r="BO109" i="12"/>
  <c r="BO91" i="12"/>
  <c r="BA91" i="12"/>
  <c r="BP91" i="12"/>
  <c r="BM91" i="12"/>
  <c r="AW128" i="12"/>
  <c r="AY128" i="12" s="1"/>
  <c r="BP128" i="12" s="1"/>
  <c r="W128" i="12"/>
  <c r="N128" i="12" s="1"/>
  <c r="AW101" i="12"/>
  <c r="AY101" i="12" s="1"/>
  <c r="W101" i="12"/>
  <c r="N101" i="12" s="1"/>
  <c r="BY120" i="12"/>
  <c r="CD120" i="12" s="1"/>
  <c r="CE120" i="12" s="1"/>
  <c r="AX120" i="12"/>
  <c r="AZ120" i="12" s="1"/>
  <c r="BB120" i="12" s="1"/>
  <c r="CE29" i="12"/>
  <c r="BY124" i="12"/>
  <c r="CD124" i="12" s="1"/>
  <c r="CE124" i="12" s="1"/>
  <c r="AX124" i="12"/>
  <c r="AZ124" i="12" s="1"/>
  <c r="AX36" i="12"/>
  <c r="AZ36" i="12" s="1"/>
  <c r="W118" i="12"/>
  <c r="N118" i="12" s="1"/>
  <c r="AW118" i="12"/>
  <c r="AY118" i="12" s="1"/>
  <c r="W67" i="12"/>
  <c r="N67" i="12" s="1"/>
  <c r="AW67" i="12"/>
  <c r="AY67" i="12" s="1"/>
  <c r="BP67" i="12" s="1"/>
  <c r="BO73" i="12"/>
  <c r="BM73" i="12"/>
  <c r="BA73" i="12"/>
  <c r="G81" i="12"/>
  <c r="G73" i="12"/>
  <c r="G38" i="12"/>
  <c r="BO108" i="12"/>
  <c r="BM108" i="12"/>
  <c r="AW29" i="12"/>
  <c r="AY29" i="12" s="1"/>
  <c r="W29" i="12"/>
  <c r="N29" i="12" s="1"/>
  <c r="BY46" i="12"/>
  <c r="CD46" i="12" s="1"/>
  <c r="AX46" i="12"/>
  <c r="AZ46" i="12" s="1"/>
  <c r="BY136" i="12"/>
  <c r="CD136" i="12" s="1"/>
  <c r="CE136" i="12" s="1"/>
  <c r="AX136" i="12"/>
  <c r="AZ136" i="12" s="1"/>
  <c r="BB136" i="12" s="1"/>
  <c r="R127" i="12"/>
  <c r="R101" i="12"/>
  <c r="R102" i="12"/>
  <c r="BB68" i="12"/>
  <c r="W117" i="12"/>
  <c r="N117" i="12" s="1"/>
  <c r="AW117" i="12"/>
  <c r="AY117" i="12" s="1"/>
  <c r="BP117" i="12" s="1"/>
  <c r="W97" i="12"/>
  <c r="N97" i="12" s="1"/>
  <c r="AW97" i="12"/>
  <c r="AY97" i="12" s="1"/>
  <c r="BP97" i="12" s="1"/>
  <c r="CF97" i="12" s="1"/>
  <c r="BO74" i="12"/>
  <c r="BM74" i="12"/>
  <c r="BA74" i="12"/>
  <c r="G89" i="12"/>
  <c r="G51" i="12"/>
  <c r="BO69" i="12"/>
  <c r="W105" i="12"/>
  <c r="N105" i="12" s="1"/>
  <c r="AW105" i="12"/>
  <c r="AY105" i="12" s="1"/>
  <c r="W114" i="12"/>
  <c r="N114" i="12" s="1"/>
  <c r="AW114" i="12"/>
  <c r="AY114" i="12" s="1"/>
  <c r="BB114" i="12" s="1"/>
  <c r="W138" i="12"/>
  <c r="N138" i="12" s="1"/>
  <c r="AW138" i="12"/>
  <c r="AY138" i="12" s="1"/>
  <c r="AW113" i="12"/>
  <c r="AY113" i="12" s="1"/>
  <c r="BB113" i="12" s="1"/>
  <c r="W113" i="12"/>
  <c r="N113" i="12" s="1"/>
  <c r="AW108" i="12"/>
  <c r="AY108" i="12" s="1"/>
  <c r="BP108" i="12" s="1"/>
  <c r="W108" i="12"/>
  <c r="N108" i="12" s="1"/>
  <c r="AX102" i="12"/>
  <c r="AZ102" i="12" s="1"/>
  <c r="BY102" i="12"/>
  <c r="CD102" i="12" s="1"/>
  <c r="BY101" i="12"/>
  <c r="CD101" i="12" s="1"/>
  <c r="CE101" i="12" s="1"/>
  <c r="AX101" i="12"/>
  <c r="AZ101" i="12" s="1"/>
  <c r="AX105" i="12"/>
  <c r="AZ105" i="12" s="1"/>
  <c r="BY105" i="12"/>
  <c r="CD105" i="12" s="1"/>
  <c r="CE105" i="12" s="1"/>
  <c r="BY127" i="12"/>
  <c r="CD127" i="12" s="1"/>
  <c r="AX127" i="12"/>
  <c r="AZ127" i="12" s="1"/>
  <c r="BB127" i="12" s="1"/>
  <c r="AX81" i="12"/>
  <c r="AZ81" i="12" s="1"/>
  <c r="BB81" i="12" s="1"/>
  <c r="D124" i="81"/>
  <c r="D121" i="81"/>
  <c r="A1138" i="12"/>
  <c r="B138" i="29"/>
  <c r="B125" i="29"/>
  <c r="B31" i="29"/>
  <c r="B27" i="77"/>
  <c r="B146" i="81"/>
  <c r="A1159" i="12"/>
  <c r="B171" i="81"/>
  <c r="B167" i="81"/>
  <c r="B92" i="81"/>
  <c r="B35" i="75"/>
  <c r="B89" i="29"/>
  <c r="D89" i="29"/>
  <c r="B19" i="75"/>
  <c r="B94" i="29"/>
  <c r="B58" i="81"/>
  <c r="B17" i="75"/>
  <c r="B24" i="75"/>
  <c r="B74" i="81"/>
  <c r="B156" i="81"/>
  <c r="B23" i="75"/>
  <c r="B137" i="29"/>
  <c r="B128" i="77"/>
  <c r="E15" i="17"/>
  <c r="B15" i="17"/>
  <c r="B34" i="29"/>
  <c r="B30" i="77"/>
  <c r="B149" i="81"/>
  <c r="A1158" i="12"/>
  <c r="B42" i="77"/>
  <c r="B99" i="81"/>
  <c r="B45" i="77"/>
  <c r="B95" i="29"/>
  <c r="B40" i="81"/>
  <c r="B32" i="75"/>
  <c r="B81" i="77"/>
  <c r="B64" i="81"/>
  <c r="B134" i="29"/>
  <c r="B29" i="29"/>
  <c r="B21" i="77"/>
  <c r="B169" i="81"/>
  <c r="B92" i="29"/>
  <c r="D48" i="81"/>
  <c r="B14" i="75"/>
  <c r="A1133" i="12"/>
  <c r="B130" i="29"/>
  <c r="B24" i="29"/>
  <c r="B44" i="77"/>
  <c r="A1152" i="12"/>
  <c r="B101" i="81"/>
  <c r="B93" i="81"/>
  <c r="B79" i="77"/>
  <c r="D79" i="77"/>
  <c r="B55" i="81"/>
  <c r="D55" i="81"/>
  <c r="Q984" i="1"/>
  <c r="Q987" i="1"/>
  <c r="Q990" i="1"/>
  <c r="Q978" i="1"/>
  <c r="Q981" i="1"/>
  <c r="B25" i="29"/>
  <c r="B98" i="81"/>
  <c r="B62" i="29"/>
  <c r="B133" i="77"/>
  <c r="B121" i="77"/>
  <c r="B154" i="81"/>
  <c r="B150" i="81"/>
  <c r="B52" i="29"/>
  <c r="A1155" i="12"/>
  <c r="A1151" i="12"/>
  <c r="B21" i="17"/>
  <c r="B42" i="81"/>
  <c r="D91" i="77"/>
  <c r="B91" i="77"/>
  <c r="B33" i="75"/>
  <c r="B89" i="77"/>
  <c r="B31" i="75"/>
  <c r="B38" i="75"/>
  <c r="B27" i="17"/>
  <c r="B12" i="17"/>
  <c r="B37" i="75"/>
  <c r="B133" i="29"/>
  <c r="B84" i="81"/>
  <c r="B157" i="81"/>
  <c r="B153" i="81"/>
  <c r="B22" i="29"/>
  <c r="B46" i="77"/>
  <c r="B170" i="81"/>
  <c r="B37" i="81"/>
  <c r="B39" i="17"/>
  <c r="B173" i="81"/>
  <c r="B90" i="77"/>
  <c r="B59" i="81"/>
  <c r="D59" i="81"/>
  <c r="B93" i="29"/>
  <c r="B38" i="81"/>
  <c r="B16" i="75"/>
  <c r="B129" i="77"/>
  <c r="B152" i="81"/>
  <c r="B21" i="29"/>
  <c r="A1153" i="12"/>
  <c r="B80" i="77"/>
  <c r="D80" i="77"/>
  <c r="D56" i="81"/>
  <c r="B56" i="81"/>
  <c r="B28" i="75"/>
  <c r="B125" i="77"/>
  <c r="B37" i="17"/>
  <c r="B32" i="29"/>
  <c r="B28" i="29"/>
  <c r="B24" i="77"/>
  <c r="B49" i="29"/>
  <c r="B45" i="29"/>
  <c r="B22" i="17"/>
  <c r="B18" i="17"/>
  <c r="D86" i="77"/>
  <c r="B86" i="77"/>
  <c r="B62" i="81"/>
  <c r="B25" i="77"/>
  <c r="B53" i="29"/>
  <c r="B176" i="81"/>
  <c r="A1146" i="12"/>
  <c r="B131" i="29"/>
  <c r="B120" i="77"/>
  <c r="E38" i="17"/>
  <c r="B38" i="17"/>
  <c r="B23" i="29"/>
  <c r="B47" i="77"/>
  <c r="B48" i="29"/>
  <c r="B44" i="29"/>
  <c r="B25" i="17"/>
  <c r="B96" i="81"/>
  <c r="B43" i="81"/>
  <c r="B20" i="75"/>
  <c r="B96" i="29"/>
  <c r="B41" i="81"/>
  <c r="D60" i="81"/>
  <c r="B60" i="81"/>
  <c r="B87" i="29"/>
  <c r="B39" i="81"/>
  <c r="B73" i="81"/>
  <c r="B14" i="17"/>
  <c r="B22" i="75"/>
  <c r="B102" i="81"/>
  <c r="B72" i="81"/>
  <c r="B78" i="81"/>
  <c r="B119" i="77"/>
  <c r="B75" i="81"/>
  <c r="B26" i="29"/>
  <c r="B22" i="77"/>
  <c r="B51" i="29"/>
  <c r="A1154" i="12"/>
  <c r="B20" i="17"/>
  <c r="B15" i="75"/>
  <c r="AF373" i="1"/>
  <c r="C373" i="1"/>
  <c r="F88" i="12" s="1"/>
  <c r="CF88" i="12" s="1"/>
  <c r="B83" i="81"/>
  <c r="A1157" i="12"/>
  <c r="B88" i="29"/>
  <c r="D88" i="29"/>
  <c r="B66" i="81"/>
  <c r="D88" i="77"/>
  <c r="B88" i="77"/>
  <c r="B57" i="81"/>
  <c r="B30" i="75"/>
  <c r="B129" i="29"/>
  <c r="B123" i="29"/>
  <c r="B144" i="81"/>
  <c r="B46" i="29"/>
  <c r="B19" i="17"/>
  <c r="B85" i="29"/>
  <c r="D85" i="29"/>
  <c r="B36" i="81"/>
  <c r="B139" i="29"/>
  <c r="B130" i="77"/>
  <c r="B82" i="81"/>
  <c r="D82" i="81"/>
  <c r="B155" i="81"/>
  <c r="B28" i="77"/>
  <c r="B147" i="81"/>
  <c r="B172" i="81"/>
  <c r="B40" i="77"/>
  <c r="B97" i="81"/>
  <c r="B84" i="29"/>
  <c r="D84" i="29"/>
  <c r="B35" i="81"/>
  <c r="B13" i="75"/>
  <c r="B148" i="81"/>
  <c r="B48" i="77"/>
  <c r="B187" i="81"/>
  <c r="D187" i="81"/>
  <c r="A1142" i="12"/>
  <c r="B126" i="77"/>
  <c r="B126" i="29"/>
  <c r="B81" i="81"/>
  <c r="D81" i="81"/>
  <c r="B27" i="29"/>
  <c r="B23" i="77"/>
  <c r="B175" i="81"/>
  <c r="B43" i="77"/>
  <c r="B39" i="77"/>
  <c r="B100" i="81"/>
  <c r="B17" i="17"/>
  <c r="B21" i="75"/>
  <c r="B34" i="75"/>
  <c r="B84" i="77"/>
  <c r="D84" i="77"/>
  <c r="D67" i="81"/>
  <c r="B67" i="81"/>
  <c r="B82" i="77"/>
  <c r="B65" i="81"/>
  <c r="D65" i="81"/>
  <c r="B13" i="17"/>
  <c r="D79" i="81"/>
  <c r="B79" i="81"/>
  <c r="D80" i="81"/>
  <c r="B80" i="81"/>
  <c r="B36" i="75"/>
  <c r="B33" i="29"/>
  <c r="B132" i="77"/>
  <c r="B124" i="29"/>
  <c r="B30" i="29"/>
  <c r="B26" i="77"/>
  <c r="B145" i="81"/>
  <c r="B174" i="81"/>
  <c r="B47" i="29"/>
  <c r="B24" i="17"/>
  <c r="B95" i="81"/>
  <c r="B29" i="75"/>
  <c r="B50" i="29"/>
  <c r="B83" i="77"/>
  <c r="D83" i="77"/>
  <c r="D51" i="81"/>
  <c r="B18" i="75"/>
  <c r="B86" i="29"/>
  <c r="B124" i="77"/>
  <c r="B118" i="77"/>
  <c r="B29" i="77"/>
  <c r="B41" i="77"/>
  <c r="B94" i="81"/>
  <c r="D87" i="77"/>
  <c r="B87" i="77"/>
  <c r="D63" i="81"/>
  <c r="B63" i="81"/>
  <c r="A1139" i="12"/>
  <c r="B134" i="77"/>
  <c r="B135" i="29"/>
  <c r="B151" i="81"/>
  <c r="A1156" i="12"/>
  <c r="B168" i="81"/>
  <c r="B26" i="17"/>
  <c r="D91" i="29"/>
  <c r="B91" i="29"/>
  <c r="B27" i="75"/>
  <c r="C484" i="1"/>
  <c r="C472" i="1"/>
  <c r="C470" i="1"/>
  <c r="C462" i="1"/>
  <c r="C460" i="1"/>
  <c r="C471" i="1"/>
  <c r="C485" i="1"/>
  <c r="C463" i="1"/>
  <c r="C473" i="1"/>
  <c r="C461" i="1"/>
  <c r="B23" i="17"/>
  <c r="B57" i="77"/>
  <c r="A1160" i="12"/>
  <c r="BB109" i="12" l="1"/>
  <c r="BB46" i="12"/>
  <c r="BB124" i="12"/>
  <c r="BB97" i="12"/>
  <c r="BA123" i="12"/>
  <c r="BA114" i="12"/>
  <c r="BA36" i="12"/>
  <c r="BB128" i="12"/>
  <c r="BB55" i="12"/>
  <c r="BB74" i="12"/>
  <c r="BA79" i="12"/>
  <c r="BA84" i="12"/>
  <c r="CE121" i="12"/>
  <c r="CF54" i="12"/>
  <c r="CE46" i="12"/>
  <c r="CE95" i="12"/>
  <c r="BA62" i="12"/>
  <c r="BA23" i="12"/>
  <c r="BB108" i="12"/>
  <c r="O95" i="12"/>
  <c r="BA136" i="12"/>
  <c r="BP112" i="12"/>
  <c r="BB23" i="12"/>
  <c r="BA108" i="12"/>
  <c r="BA109" i="12"/>
  <c r="CF58" i="12"/>
  <c r="BP114" i="12"/>
  <c r="BB101" i="12"/>
  <c r="BP101" i="12"/>
  <c r="BA69" i="12"/>
  <c r="BB36" i="12"/>
  <c r="BA85" i="12"/>
  <c r="BB117" i="12"/>
  <c r="BB58" i="12"/>
  <c r="BP63" i="12"/>
  <c r="CF63" i="12" s="1"/>
  <c r="CE80" i="12"/>
  <c r="BP138" i="12"/>
  <c r="BA138" i="12"/>
  <c r="BX140" i="12"/>
  <c r="O140" i="12"/>
  <c r="BP133" i="12"/>
  <c r="BB133" i="12"/>
  <c r="BP90" i="12"/>
  <c r="CF90" i="12" s="1"/>
  <c r="BB90" i="12"/>
  <c r="BA90" i="12"/>
  <c r="BX109" i="12"/>
  <c r="O109" i="12"/>
  <c r="BW18" i="12"/>
  <c r="O18" i="12"/>
  <c r="CC18" i="12"/>
  <c r="CE18" i="12" s="1"/>
  <c r="BK18" i="12"/>
  <c r="BN18" i="12"/>
  <c r="BQ18" i="12"/>
  <c r="BX18" i="12"/>
  <c r="BM18" i="12"/>
  <c r="BX133" i="12"/>
  <c r="O133" i="12"/>
  <c r="CE133" i="12"/>
  <c r="BX123" i="12"/>
  <c r="O123" i="12"/>
  <c r="O91" i="12"/>
  <c r="BX91" i="12"/>
  <c r="CE91" i="12"/>
  <c r="O63" i="12"/>
  <c r="CE63" i="12"/>
  <c r="BX63" i="12"/>
  <c r="BM25" i="12"/>
  <c r="BW25" i="12"/>
  <c r="O25" i="12"/>
  <c r="CC25" i="12"/>
  <c r="CE25" i="12" s="1"/>
  <c r="BK25" i="12"/>
  <c r="BN25" i="12"/>
  <c r="BQ25" i="12"/>
  <c r="BX25" i="12"/>
  <c r="BM32" i="12"/>
  <c r="BX32" i="12"/>
  <c r="BK32" i="12"/>
  <c r="BN32" i="12"/>
  <c r="BW32" i="12"/>
  <c r="O32" i="12"/>
  <c r="CC32" i="12"/>
  <c r="CE32" i="12" s="1"/>
  <c r="BQ32" i="12"/>
  <c r="CF124" i="12"/>
  <c r="BX104" i="12"/>
  <c r="O104" i="12"/>
  <c r="O124" i="12"/>
  <c r="BX124" i="12"/>
  <c r="BP42" i="12"/>
  <c r="BA42" i="12"/>
  <c r="BM38" i="12"/>
  <c r="BQ38" i="12"/>
  <c r="BK38" i="12"/>
  <c r="CC38" i="12"/>
  <c r="CE38" i="12" s="1"/>
  <c r="BX38" i="12"/>
  <c r="BW38" i="12"/>
  <c r="O38" i="12"/>
  <c r="BN38" i="12"/>
  <c r="O110" i="12"/>
  <c r="BX110" i="12"/>
  <c r="BA16" i="12"/>
  <c r="CF136" i="12"/>
  <c r="CE109" i="12"/>
  <c r="BP113" i="12"/>
  <c r="BA113" i="12"/>
  <c r="D32" i="18"/>
  <c r="D62" i="81"/>
  <c r="D66" i="81"/>
  <c r="D27" i="18"/>
  <c r="D94" i="29"/>
  <c r="D84" i="81"/>
  <c r="D122" i="81"/>
  <c r="D95" i="29"/>
  <c r="E39" i="17"/>
  <c r="D78" i="81"/>
  <c r="D128" i="81"/>
  <c r="D92" i="29"/>
  <c r="D30" i="18"/>
  <c r="D93" i="29"/>
  <c r="D116" i="77"/>
  <c r="D36" i="18"/>
  <c r="D89" i="77"/>
  <c r="D38" i="18"/>
  <c r="D126" i="81"/>
  <c r="D90" i="77"/>
  <c r="E37" i="17"/>
  <c r="D96" i="29"/>
  <c r="D83" i="81"/>
  <c r="D125" i="81"/>
  <c r="D123" i="81"/>
  <c r="D132" i="81"/>
  <c r="D34" i="18"/>
  <c r="L81" i="12"/>
  <c r="BX79" i="12"/>
  <c r="O79" i="12"/>
  <c r="CE79" i="12"/>
  <c r="BX131" i="12"/>
  <c r="O131" i="12"/>
  <c r="O54" i="12"/>
  <c r="CE54" i="12"/>
  <c r="BX54" i="12"/>
  <c r="BO29" i="12"/>
  <c r="BM29" i="12"/>
  <c r="BP29" i="12"/>
  <c r="BB29" i="12"/>
  <c r="BP59" i="12"/>
  <c r="CF59" i="12" s="1"/>
  <c r="BM59" i="12"/>
  <c r="BO59" i="12"/>
  <c r="BB59" i="12"/>
  <c r="B21" i="12"/>
  <c r="BD61" i="12"/>
  <c r="BS61" i="12" s="1"/>
  <c r="B78" i="12"/>
  <c r="B53" i="12"/>
  <c r="F34" i="12"/>
  <c r="CF34" i="12" s="1"/>
  <c r="BR57" i="12"/>
  <c r="AL34" i="12"/>
  <c r="BE88" i="12"/>
  <c r="BT88" i="12" s="1"/>
  <c r="CF123" i="12"/>
  <c r="BO51" i="12"/>
  <c r="BM51" i="12"/>
  <c r="BA51" i="12"/>
  <c r="BB51" i="12"/>
  <c r="BR61" i="12"/>
  <c r="BR66" i="12"/>
  <c r="AK83" i="12"/>
  <c r="F66" i="12"/>
  <c r="CF66" i="12" s="1"/>
  <c r="BR14" i="12"/>
  <c r="AK66" i="12"/>
  <c r="AK49" i="12"/>
  <c r="F94" i="12"/>
  <c r="CF94" i="12" s="1"/>
  <c r="BX138" i="12"/>
  <c r="O138" i="12"/>
  <c r="BX59" i="12"/>
  <c r="O59" i="12"/>
  <c r="CE59" i="12"/>
  <c r="BB42" i="12"/>
  <c r="O51" i="12"/>
  <c r="CE51" i="12"/>
  <c r="BX51" i="12"/>
  <c r="BX90" i="12"/>
  <c r="O90" i="12"/>
  <c r="CE90" i="12"/>
  <c r="CE123" i="12"/>
  <c r="BX132" i="12"/>
  <c r="O132" i="12"/>
  <c r="CE132" i="12"/>
  <c r="BO63" i="12"/>
  <c r="BA63" i="12"/>
  <c r="BM63" i="12"/>
  <c r="BD21" i="12"/>
  <c r="BS21" i="12" s="1"/>
  <c r="AK72" i="12"/>
  <c r="AL94" i="12"/>
  <c r="BE66" i="12"/>
  <c r="BT66" i="12" s="1"/>
  <c r="AL21" i="12"/>
  <c r="BR72" i="12"/>
  <c r="F57" i="12"/>
  <c r="CF57" i="12" s="1"/>
  <c r="BD94" i="12"/>
  <c r="BS94" i="12" s="1"/>
  <c r="BP109" i="12"/>
  <c r="O73" i="12"/>
  <c r="BX73" i="12"/>
  <c r="CE73" i="12"/>
  <c r="CE110" i="12"/>
  <c r="BO95" i="12"/>
  <c r="BP95" i="12"/>
  <c r="CF95" i="12" s="1"/>
  <c r="BM95" i="12"/>
  <c r="BA95" i="12"/>
  <c r="BB95" i="12"/>
  <c r="BP43" i="12"/>
  <c r="BB43" i="12"/>
  <c r="BB35" i="12"/>
  <c r="BB79" i="12"/>
  <c r="L36" i="12"/>
  <c r="BX35" i="12"/>
  <c r="O35" i="12"/>
  <c r="BM55" i="12"/>
  <c r="BO55" i="12"/>
  <c r="BA55" i="12"/>
  <c r="BR28" i="12"/>
  <c r="BR78" i="12"/>
  <c r="B28" i="12"/>
  <c r="F78" i="12"/>
  <c r="CF78" i="12" s="1"/>
  <c r="F53" i="12"/>
  <c r="CF53" i="12" s="1"/>
  <c r="AK78" i="12"/>
  <c r="AL66" i="12"/>
  <c r="BR49" i="12"/>
  <c r="O114" i="12"/>
  <c r="BX114" i="12"/>
  <c r="CE114" i="12"/>
  <c r="BA59" i="12"/>
  <c r="BX101" i="12"/>
  <c r="O101" i="12"/>
  <c r="O121" i="12"/>
  <c r="BX121" i="12"/>
  <c r="BA89" i="12"/>
  <c r="BO89" i="12"/>
  <c r="BP89" i="12"/>
  <c r="CF89" i="12" s="1"/>
  <c r="BM89" i="12"/>
  <c r="N43" i="12"/>
  <c r="BB138" i="12"/>
  <c r="L16" i="12"/>
  <c r="BX15" i="12"/>
  <c r="O15" i="12"/>
  <c r="CF73" i="12"/>
  <c r="BA132" i="12"/>
  <c r="L23" i="12"/>
  <c r="O22" i="12"/>
  <c r="BX22" i="12"/>
  <c r="BO80" i="12"/>
  <c r="BM80" i="12"/>
  <c r="BP80" i="12"/>
  <c r="BA80" i="12"/>
  <c r="B61" i="12"/>
  <c r="AL88" i="12"/>
  <c r="BD28" i="12"/>
  <c r="BS28" i="12" s="1"/>
  <c r="BE78" i="12"/>
  <c r="BT78" i="12" s="1"/>
  <c r="BE53" i="12"/>
  <c r="BT53" i="12" s="1"/>
  <c r="BR83" i="12"/>
  <c r="B72" i="12"/>
  <c r="AL53" i="12"/>
  <c r="BB105" i="12"/>
  <c r="L30" i="12"/>
  <c r="O29" i="12"/>
  <c r="BX29" i="12"/>
  <c r="BA105" i="12"/>
  <c r="CF74" i="12"/>
  <c r="CE138" i="12"/>
  <c r="BB85" i="12"/>
  <c r="BX89" i="12"/>
  <c r="CE89" i="12"/>
  <c r="O89" i="12"/>
  <c r="BB80" i="12"/>
  <c r="CE108" i="12"/>
  <c r="BB16" i="12"/>
  <c r="BO140" i="12"/>
  <c r="BM140" i="12"/>
  <c r="BA140" i="12"/>
  <c r="BB140" i="12"/>
  <c r="BO84" i="12"/>
  <c r="BM84" i="12"/>
  <c r="BP84" i="12"/>
  <c r="AK88" i="12"/>
  <c r="AK94" i="12"/>
  <c r="BD34" i="12"/>
  <c r="BS34" i="12" s="1"/>
  <c r="F49" i="12"/>
  <c r="CF49" i="12" s="1"/>
  <c r="B57" i="12"/>
  <c r="B88" i="12"/>
  <c r="AL78" i="12"/>
  <c r="BE57" i="12"/>
  <c r="BT57" i="12" s="1"/>
  <c r="O105" i="12"/>
  <c r="BX105" i="12"/>
  <c r="BA29" i="12"/>
  <c r="CF67" i="12"/>
  <c r="BP55" i="12"/>
  <c r="CF55" i="12" s="1"/>
  <c r="BA67" i="12"/>
  <c r="BX92" i="12"/>
  <c r="O92" i="12"/>
  <c r="CE92" i="12"/>
  <c r="O55" i="12"/>
  <c r="CE55" i="12"/>
  <c r="BX55" i="12"/>
  <c r="O96" i="12"/>
  <c r="BX96" i="12"/>
  <c r="CE96" i="12"/>
  <c r="BA104" i="12"/>
  <c r="L85" i="12"/>
  <c r="BX84" i="12"/>
  <c r="O84" i="12"/>
  <c r="BP96" i="12"/>
  <c r="CF96" i="12" s="1"/>
  <c r="O46" i="12"/>
  <c r="BX46" i="12"/>
  <c r="CF50" i="12"/>
  <c r="BX106" i="12"/>
  <c r="O106" i="12"/>
  <c r="BM118" i="12"/>
  <c r="BO118" i="12"/>
  <c r="BP118" i="12"/>
  <c r="BA118" i="12"/>
  <c r="BB118" i="12"/>
  <c r="BM79" i="12"/>
  <c r="BO79" i="12"/>
  <c r="BP79" i="12"/>
  <c r="AL49" i="12"/>
  <c r="B34" i="12"/>
  <c r="B49" i="12"/>
  <c r="BE49" i="12"/>
  <c r="BT49" i="12" s="1"/>
  <c r="AL61" i="12"/>
  <c r="B94" i="12"/>
  <c r="B83" i="12"/>
  <c r="F72" i="12"/>
  <c r="CF72" i="12" s="1"/>
  <c r="BX67" i="12"/>
  <c r="L68" i="12"/>
  <c r="O67" i="12"/>
  <c r="CE67" i="12"/>
  <c r="BX128" i="12"/>
  <c r="O128" i="12"/>
  <c r="BP51" i="12"/>
  <c r="CF51" i="12" s="1"/>
  <c r="BB104" i="12"/>
  <c r="O45" i="12"/>
  <c r="BX45" i="12"/>
  <c r="BX50" i="12"/>
  <c r="O50" i="12"/>
  <c r="CE50" i="12"/>
  <c r="BB89" i="12"/>
  <c r="BX74" i="12"/>
  <c r="O74" i="12"/>
  <c r="CE74" i="12"/>
  <c r="CE131" i="12"/>
  <c r="BO117" i="12"/>
  <c r="BM117" i="12"/>
  <c r="BA117" i="12"/>
  <c r="AK14" i="12"/>
  <c r="AL57" i="12"/>
  <c r="BR53" i="12"/>
  <c r="BD53" i="12"/>
  <c r="BS53" i="12" s="1"/>
  <c r="AK21" i="12"/>
  <c r="B14" i="12"/>
  <c r="BD88" i="12"/>
  <c r="BS88" i="12" s="1"/>
  <c r="BE72" i="12"/>
  <c r="BT72" i="12" s="1"/>
  <c r="BX97" i="12"/>
  <c r="O97" i="12"/>
  <c r="CE97" i="12"/>
  <c r="BB69" i="12"/>
  <c r="BB63" i="12"/>
  <c r="O112" i="12"/>
  <c r="BX112" i="12"/>
  <c r="BX136" i="12"/>
  <c r="O136" i="12"/>
  <c r="CE104" i="12"/>
  <c r="BX58" i="12"/>
  <c r="O58" i="12"/>
  <c r="CE58" i="12"/>
  <c r="BA43" i="12"/>
  <c r="BA102" i="12"/>
  <c r="BO45" i="12"/>
  <c r="BM45" i="12"/>
  <c r="BA45" i="12"/>
  <c r="BA46" i="12"/>
  <c r="F21" i="12"/>
  <c r="CF21" i="12" s="1"/>
  <c r="F61" i="12"/>
  <c r="CF61" i="12" s="1"/>
  <c r="BD66" i="12"/>
  <c r="BS66" i="12" s="1"/>
  <c r="AK61" i="12"/>
  <c r="BE34" i="12"/>
  <c r="BT34" i="12" s="1"/>
  <c r="BD14" i="12"/>
  <c r="BS14" i="12" s="1"/>
  <c r="BD57" i="12"/>
  <c r="BS57" i="12" s="1"/>
  <c r="F83" i="12"/>
  <c r="CF83" i="12" s="1"/>
  <c r="O108" i="12"/>
  <c r="BX108" i="12"/>
  <c r="BO102" i="12"/>
  <c r="BM102" i="12"/>
  <c r="BP102" i="12"/>
  <c r="BB102" i="12"/>
  <c r="O118" i="12"/>
  <c r="BX118" i="12"/>
  <c r="CE140" i="12"/>
  <c r="O120" i="12"/>
  <c r="BX120" i="12"/>
  <c r="CE35" i="12"/>
  <c r="CE128" i="12"/>
  <c r="BX80" i="12"/>
  <c r="O80" i="12"/>
  <c r="BN69" i="12"/>
  <c r="BW69" i="12"/>
  <c r="CF69" i="12"/>
  <c r="O69" i="12"/>
  <c r="BX69" i="12"/>
  <c r="BQ69" i="12"/>
  <c r="BL69" i="12"/>
  <c r="CD69" i="12"/>
  <c r="CE69" i="12" s="1"/>
  <c r="BB15" i="12"/>
  <c r="BX102" i="12"/>
  <c r="O102" i="12"/>
  <c r="BX98" i="12"/>
  <c r="O98" i="12"/>
  <c r="CE98" i="12"/>
  <c r="BA120" i="12"/>
  <c r="BO120" i="12"/>
  <c r="BM120" i="12"/>
  <c r="BM35" i="12"/>
  <c r="BO35" i="12"/>
  <c r="BP35" i="12"/>
  <c r="BA35" i="12"/>
  <c r="AL28" i="12"/>
  <c r="BE21" i="12"/>
  <c r="BT21" i="12" s="1"/>
  <c r="BE61" i="12"/>
  <c r="BT61" i="12" s="1"/>
  <c r="BD78" i="12"/>
  <c r="BS78" i="12" s="1"/>
  <c r="BR88" i="12"/>
  <c r="F28" i="12"/>
  <c r="CF28" i="12" s="1"/>
  <c r="BE14" i="12"/>
  <c r="BT14" i="12" s="1"/>
  <c r="BD72" i="12"/>
  <c r="BS72" i="12" s="1"/>
  <c r="BE83" i="12"/>
  <c r="BT83" i="12" s="1"/>
  <c r="BM69" i="12"/>
  <c r="BO101" i="12"/>
  <c r="BM101" i="12"/>
  <c r="BA101" i="12"/>
  <c r="O62" i="12"/>
  <c r="CE62" i="12"/>
  <c r="BX62" i="12"/>
  <c r="BB112" i="12"/>
  <c r="BB67" i="12"/>
  <c r="BA127" i="12"/>
  <c r="BP92" i="12"/>
  <c r="CF92" i="12" s="1"/>
  <c r="BA58" i="12"/>
  <c r="BA142" i="12"/>
  <c r="BO142" i="12"/>
  <c r="BM142" i="12"/>
  <c r="BO15" i="12"/>
  <c r="BM15" i="12"/>
  <c r="BA15" i="12"/>
  <c r="BA128" i="12"/>
  <c r="AK53" i="12"/>
  <c r="BR34" i="12"/>
  <c r="B66" i="12"/>
  <c r="AL83" i="12"/>
  <c r="BR94" i="12"/>
  <c r="F14" i="12"/>
  <c r="CF14" i="12" s="1"/>
  <c r="BR21" i="12"/>
  <c r="BD83" i="12"/>
  <c r="BS83" i="12" s="1"/>
  <c r="BE94" i="12"/>
  <c r="BT94" i="12" s="1"/>
  <c r="BB132" i="12"/>
  <c r="BX113" i="12"/>
  <c r="O113" i="12"/>
  <c r="CE113" i="12"/>
  <c r="O117" i="12"/>
  <c r="BX117" i="12"/>
  <c r="BO127" i="12"/>
  <c r="BM127" i="12"/>
  <c r="BP127" i="12"/>
  <c r="CF91" i="12"/>
  <c r="N127" i="12"/>
  <c r="D131" i="81"/>
  <c r="D129" i="81"/>
  <c r="D31" i="18"/>
  <c r="D29" i="18"/>
  <c r="D37" i="18"/>
  <c r="D35" i="18"/>
  <c r="D28" i="18"/>
  <c r="D121" i="29"/>
  <c r="BB96" i="12"/>
  <c r="O42" i="12"/>
  <c r="BX42" i="12"/>
  <c r="BA92" i="12"/>
  <c r="CE22" i="12"/>
  <c r="BX142" i="12"/>
  <c r="O142" i="12"/>
  <c r="BO121" i="12"/>
  <c r="BM121" i="12"/>
  <c r="BP121" i="12"/>
  <c r="BA121" i="12"/>
  <c r="BB121" i="12"/>
  <c r="BA22" i="12"/>
  <c r="BO22" i="12"/>
  <c r="BM22" i="12"/>
  <c r="BP22" i="12"/>
  <c r="D130" i="81"/>
  <c r="AL14" i="12"/>
  <c r="AK57" i="12"/>
  <c r="AL72" i="12"/>
  <c r="BD49" i="12"/>
  <c r="BS49" i="12" s="1"/>
  <c r="BE28" i="12"/>
  <c r="BT28" i="12" s="1"/>
  <c r="AK34" i="12"/>
  <c r="AK28" i="12"/>
  <c r="BE1133" i="12"/>
  <c r="F1122" i="12"/>
  <c r="CF1122" i="12" s="1"/>
  <c r="AK1170" i="12"/>
  <c r="F1105" i="12"/>
  <c r="CF1105" i="12" s="1"/>
  <c r="F1113" i="12"/>
  <c r="CF1113" i="12" s="1"/>
  <c r="F1123" i="12"/>
  <c r="CF1123" i="12" s="1"/>
  <c r="BB1134" i="12"/>
  <c r="F1120" i="12"/>
  <c r="CF1120" i="12" s="1"/>
  <c r="BD1134" i="12"/>
  <c r="BS1134" i="12" s="1"/>
  <c r="F1106" i="12"/>
  <c r="CF1106" i="12" s="1"/>
  <c r="F1114" i="12"/>
  <c r="CF1114" i="12" s="1"/>
  <c r="F1129" i="12"/>
  <c r="CF1129" i="12" s="1"/>
  <c r="BE1170" i="12"/>
  <c r="BT1170" i="12" s="1"/>
  <c r="R1133" i="12"/>
  <c r="AB1133" i="12"/>
  <c r="AK1133" i="12"/>
  <c r="Z1133" i="12"/>
  <c r="D206" i="81"/>
  <c r="D95" i="77"/>
  <c r="D100" i="29"/>
  <c r="P1133" i="12"/>
  <c r="F1126" i="12"/>
  <c r="CF1126" i="12" s="1"/>
  <c r="F1107" i="12"/>
  <c r="CF1107" i="12" s="1"/>
  <c r="F1115" i="12"/>
  <c r="CF1115" i="12" s="1"/>
  <c r="F1127" i="12"/>
  <c r="CF1127" i="12" s="1"/>
  <c r="F1170" i="12"/>
  <c r="CF1170" i="12" s="1"/>
  <c r="F1124" i="12"/>
  <c r="CF1124" i="12" s="1"/>
  <c r="BD1170" i="12"/>
  <c r="BS1170" i="12" s="1"/>
  <c r="F1108" i="12"/>
  <c r="CF1108" i="12" s="1"/>
  <c r="F1116" i="12"/>
  <c r="CF1116" i="12" s="1"/>
  <c r="BB1132" i="12"/>
  <c r="AA1133" i="12"/>
  <c r="BR1133" i="12"/>
  <c r="AJ1133" i="12"/>
  <c r="F1133" i="12"/>
  <c r="CF1133" i="12" s="1"/>
  <c r="BD1133" i="12"/>
  <c r="AH1133" i="12"/>
  <c r="F1130" i="12"/>
  <c r="CF1130" i="12" s="1"/>
  <c r="F1109" i="12"/>
  <c r="CF1109" i="12" s="1"/>
  <c r="F1117" i="12"/>
  <c r="CF1117" i="12" s="1"/>
  <c r="F1131" i="12"/>
  <c r="CF1131" i="12" s="1"/>
  <c r="AL1170" i="12"/>
  <c r="F1128" i="12"/>
  <c r="CF1128" i="12" s="1"/>
  <c r="F1110" i="12"/>
  <c r="CF1110" i="12" s="1"/>
  <c r="F1121" i="12"/>
  <c r="CF1121" i="12" s="1"/>
  <c r="BE1134" i="12"/>
  <c r="BT1134" i="12" s="1"/>
  <c r="AI1133" i="12"/>
  <c r="D1133" i="12"/>
  <c r="AO1133" i="12"/>
  <c r="Q1152" i="12" s="1"/>
  <c r="U1133" i="12"/>
  <c r="X1133" i="12" s="1"/>
  <c r="Y1133" i="12" s="1"/>
  <c r="AL1133" i="12"/>
  <c r="F1118" i="12"/>
  <c r="CF1118" i="12" s="1"/>
  <c r="D1170" i="12"/>
  <c r="F1103" i="12"/>
  <c r="CF1103" i="12" s="1"/>
  <c r="F1111" i="12"/>
  <c r="CF1111" i="12" s="1"/>
  <c r="F1119" i="12"/>
  <c r="CF1119" i="12" s="1"/>
  <c r="F1134" i="12"/>
  <c r="CF1134" i="12" s="1"/>
  <c r="F1132" i="12"/>
  <c r="CF1132" i="12" s="1"/>
  <c r="F1104" i="12"/>
  <c r="CF1104" i="12" s="1"/>
  <c r="F1112" i="12"/>
  <c r="CF1112" i="12" s="1"/>
  <c r="F1125" i="12"/>
  <c r="CF1125" i="12" s="1"/>
  <c r="B1170" i="12"/>
  <c r="B1133" i="12"/>
  <c r="AN1133" i="12"/>
  <c r="Q1142" i="12" s="1"/>
  <c r="T1133" i="12"/>
  <c r="V1133" i="12" s="1"/>
  <c r="AS1133" i="12"/>
  <c r="AC1133" i="12"/>
  <c r="AE14" i="12" l="1"/>
  <c r="BZ14" i="12" s="1"/>
  <c r="BB14" i="12"/>
  <c r="AG14" i="12"/>
  <c r="CB14" i="12" s="1"/>
  <c r="AF14" i="12"/>
  <c r="CA14" i="12" s="1"/>
  <c r="AD14" i="12"/>
  <c r="BY14" i="12" s="1"/>
  <c r="CD14" i="12" s="1"/>
  <c r="BL30" i="12"/>
  <c r="CD30" i="12"/>
  <c r="CE30" i="12" s="1"/>
  <c r="BW30" i="12"/>
  <c r="BQ30" i="12"/>
  <c r="BN30" i="12"/>
  <c r="O30" i="12"/>
  <c r="BX30" i="12"/>
  <c r="CF30" i="12"/>
  <c r="BM30" i="12"/>
  <c r="BM85" i="12"/>
  <c r="BX85" i="12"/>
  <c r="BL85" i="12"/>
  <c r="O85" i="12"/>
  <c r="BW85" i="12"/>
  <c r="CD85" i="12"/>
  <c r="CE85" i="12" s="1"/>
  <c r="BN85" i="12"/>
  <c r="BQ85" i="12"/>
  <c r="CF85" i="12"/>
  <c r="BM23" i="12"/>
  <c r="BN23" i="12"/>
  <c r="CF23" i="12"/>
  <c r="CD23" i="12"/>
  <c r="CE23" i="12" s="1"/>
  <c r="BQ23" i="12"/>
  <c r="BX23" i="12"/>
  <c r="BL23" i="12"/>
  <c r="O23" i="12"/>
  <c r="BW23" i="12"/>
  <c r="BB83" i="12"/>
  <c r="AD83" i="12"/>
  <c r="BY83" i="12" s="1"/>
  <c r="AE83" i="12"/>
  <c r="BZ83" i="12" s="1"/>
  <c r="AF83" i="12"/>
  <c r="CA83" i="12" s="1"/>
  <c r="AG83" i="12"/>
  <c r="CB83" i="12" s="1"/>
  <c r="BB66" i="12"/>
  <c r="AG66" i="12"/>
  <c r="CB66" i="12" s="1"/>
  <c r="AD66" i="12"/>
  <c r="BY66" i="12" s="1"/>
  <c r="CD66" i="12" s="1"/>
  <c r="AE66" i="12"/>
  <c r="BZ66" i="12" s="1"/>
  <c r="AF66" i="12"/>
  <c r="CA66" i="12" s="1"/>
  <c r="BQ68" i="12"/>
  <c r="BW68" i="12"/>
  <c r="BX68" i="12"/>
  <c r="BN68" i="12"/>
  <c r="BL68" i="12"/>
  <c r="D49" i="81" s="1"/>
  <c r="CD68" i="12"/>
  <c r="CE68" i="12" s="1"/>
  <c r="CF68" i="12"/>
  <c r="O68" i="12"/>
  <c r="BM68" i="12"/>
  <c r="BB94" i="12"/>
  <c r="AF94" i="12"/>
  <c r="CA94" i="12" s="1"/>
  <c r="AE94" i="12"/>
  <c r="BZ94" i="12" s="1"/>
  <c r="AG94" i="12"/>
  <c r="CB94" i="12" s="1"/>
  <c r="AD94" i="12"/>
  <c r="BY94" i="12" s="1"/>
  <c r="BB88" i="12"/>
  <c r="AD88" i="12"/>
  <c r="BY88" i="12" s="1"/>
  <c r="CD88" i="12" s="1"/>
  <c r="AG88" i="12"/>
  <c r="CB88" i="12" s="1"/>
  <c r="AE88" i="12"/>
  <c r="BZ88" i="12" s="1"/>
  <c r="AF88" i="12"/>
  <c r="CA88" i="12" s="1"/>
  <c r="CC88" i="12" s="1"/>
  <c r="BB72" i="12"/>
  <c r="AG72" i="12"/>
  <c r="CB72" i="12" s="1"/>
  <c r="AD72" i="12"/>
  <c r="BY72" i="12" s="1"/>
  <c r="AE72" i="12"/>
  <c r="BZ72" i="12" s="1"/>
  <c r="AF72" i="12"/>
  <c r="CA72" i="12" s="1"/>
  <c r="CC72" i="12" s="1"/>
  <c r="AX72" i="12"/>
  <c r="AZ72" i="12" s="1"/>
  <c r="AG57" i="12"/>
  <c r="CB57" i="12" s="1"/>
  <c r="AF57" i="12"/>
  <c r="CA57" i="12" s="1"/>
  <c r="CC57" i="12" s="1"/>
  <c r="AE57" i="12"/>
  <c r="BZ57" i="12" s="1"/>
  <c r="BB57" i="12"/>
  <c r="AD57" i="12"/>
  <c r="BY57" i="12" s="1"/>
  <c r="AF53" i="12"/>
  <c r="CA53" i="12" s="1"/>
  <c r="BB53" i="12"/>
  <c r="AG53" i="12"/>
  <c r="CB53" i="12" s="1"/>
  <c r="AE53" i="12"/>
  <c r="BZ53" i="12" s="1"/>
  <c r="AD53" i="12"/>
  <c r="BY53" i="12" s="1"/>
  <c r="AE78" i="12"/>
  <c r="BZ78" i="12" s="1"/>
  <c r="AD78" i="12"/>
  <c r="BY78" i="12" s="1"/>
  <c r="AF78" i="12"/>
  <c r="CA78" i="12" s="1"/>
  <c r="BB78" i="12"/>
  <c r="AG78" i="12"/>
  <c r="CB78" i="12" s="1"/>
  <c r="BX127" i="12"/>
  <c r="O127" i="12"/>
  <c r="BB49" i="12"/>
  <c r="AG49" i="12"/>
  <c r="CB49" i="12" s="1"/>
  <c r="AD49" i="12"/>
  <c r="BY49" i="12" s="1"/>
  <c r="AE49" i="12"/>
  <c r="BZ49" i="12" s="1"/>
  <c r="AF49" i="12"/>
  <c r="CA49" i="12" s="1"/>
  <c r="BM16" i="12"/>
  <c r="BL16" i="12"/>
  <c r="CD16" i="12"/>
  <c r="CE16" i="12" s="1"/>
  <c r="BW16" i="12"/>
  <c r="BX16" i="12"/>
  <c r="CF16" i="12"/>
  <c r="BQ16" i="12"/>
  <c r="BN16" i="12"/>
  <c r="O16" i="12"/>
  <c r="AE34" i="12"/>
  <c r="BZ34" i="12" s="1"/>
  <c r="AG34" i="12"/>
  <c r="CB34" i="12" s="1"/>
  <c r="AF34" i="12"/>
  <c r="CA34" i="12" s="1"/>
  <c r="AD34" i="12"/>
  <c r="BY34" i="12" s="1"/>
  <c r="CD34" i="12" s="1"/>
  <c r="BB34" i="12"/>
  <c r="AD21" i="12"/>
  <c r="BY21" i="12" s="1"/>
  <c r="BB21" i="12"/>
  <c r="AE21" i="12"/>
  <c r="BZ21" i="12" s="1"/>
  <c r="AG21" i="12"/>
  <c r="CB21" i="12" s="1"/>
  <c r="AF21" i="12"/>
  <c r="CA21" i="12" s="1"/>
  <c r="BX43" i="12"/>
  <c r="O43" i="12"/>
  <c r="CE43" i="12"/>
  <c r="AG28" i="12"/>
  <c r="CB28" i="12" s="1"/>
  <c r="AD28" i="12"/>
  <c r="BY28" i="12" s="1"/>
  <c r="AF28" i="12"/>
  <c r="CA28" i="12" s="1"/>
  <c r="CC28" i="12" s="1"/>
  <c r="AE28" i="12"/>
  <c r="BZ28" i="12" s="1"/>
  <c r="BB28" i="12"/>
  <c r="BM36" i="12"/>
  <c r="CF36" i="12"/>
  <c r="BW36" i="12"/>
  <c r="CD36" i="12"/>
  <c r="CE36" i="12" s="1"/>
  <c r="BQ36" i="12"/>
  <c r="BX36" i="12"/>
  <c r="BL36" i="12"/>
  <c r="BN36" i="12"/>
  <c r="O36" i="12"/>
  <c r="CE127" i="12"/>
  <c r="AG61" i="12"/>
  <c r="CB61" i="12" s="1"/>
  <c r="AE61" i="12"/>
  <c r="BZ61" i="12" s="1"/>
  <c r="AF61" i="12"/>
  <c r="CA61" i="12" s="1"/>
  <c r="BB61" i="12"/>
  <c r="AD61" i="12"/>
  <c r="BY61" i="12" s="1"/>
  <c r="CF81" i="12"/>
  <c r="BX81" i="12"/>
  <c r="BL81" i="12"/>
  <c r="BQ81" i="12"/>
  <c r="BW81" i="12"/>
  <c r="BN81" i="12"/>
  <c r="CD81" i="12"/>
  <c r="CE81" i="12" s="1"/>
  <c r="O81" i="12"/>
  <c r="BM81" i="12"/>
  <c r="Q1133" i="12"/>
  <c r="BS1133" i="12" s="1"/>
  <c r="AU1133" i="12"/>
  <c r="AT1133" i="12"/>
  <c r="D111" i="81"/>
  <c r="D13" i="18"/>
  <c r="D113" i="29"/>
  <c r="D15" i="18"/>
  <c r="D111" i="29"/>
  <c r="D108" i="81"/>
  <c r="D107" i="81"/>
  <c r="D112" i="29"/>
  <c r="D107" i="29"/>
  <c r="D109" i="29"/>
  <c r="D109" i="81"/>
  <c r="D108" i="77"/>
  <c r="D104" i="77"/>
  <c r="D106" i="77"/>
  <c r="D107" i="77"/>
  <c r="D110" i="81"/>
  <c r="D102" i="77"/>
  <c r="D14" i="18"/>
  <c r="D16" i="18"/>
  <c r="D17" i="18"/>
  <c r="D138" i="29"/>
  <c r="D125" i="77"/>
  <c r="D134" i="29"/>
  <c r="D130" i="29"/>
  <c r="D124" i="29"/>
  <c r="D133" i="77"/>
  <c r="D129" i="77"/>
  <c r="D119" i="77"/>
  <c r="AW1133" i="12"/>
  <c r="AY1133" i="12" s="1"/>
  <c r="W1133" i="12"/>
  <c r="AG1170" i="12"/>
  <c r="AF1170" i="12"/>
  <c r="BB1170" i="12"/>
  <c r="AE1170" i="12"/>
  <c r="AD1170" i="12"/>
  <c r="D113" i="81"/>
  <c r="D19" i="18"/>
  <c r="D114" i="81"/>
  <c r="D20" i="18"/>
  <c r="D115" i="81"/>
  <c r="D21" i="18"/>
  <c r="D116" i="81"/>
  <c r="D22" i="18"/>
  <c r="D133" i="29"/>
  <c r="D137" i="29"/>
  <c r="D128" i="77"/>
  <c r="D131" i="29"/>
  <c r="D126" i="77"/>
  <c r="D132" i="77"/>
  <c r="D87" i="29"/>
  <c r="D82" i="77"/>
  <c r="D58" i="81"/>
  <c r="BM1133" i="12"/>
  <c r="BP1133" i="12"/>
  <c r="BO1133" i="12"/>
  <c r="BA1133" i="12"/>
  <c r="BJ1133" i="12"/>
  <c r="Q1140" i="12"/>
  <c r="G1140" i="12" s="1"/>
  <c r="Q1148" i="12"/>
  <c r="G1148" i="12" s="1"/>
  <c r="Q1137" i="12"/>
  <c r="G1137" i="12" s="1"/>
  <c r="Q1145" i="12"/>
  <c r="G1145" i="12" s="1"/>
  <c r="D36" i="29"/>
  <c r="Q1136" i="12"/>
  <c r="G1136" i="12" s="1"/>
  <c r="Q1135" i="12"/>
  <c r="G1135" i="12" s="1"/>
  <c r="Q1143" i="12"/>
  <c r="G1143" i="12" s="1"/>
  <c r="Q1144" i="12"/>
  <c r="G1144" i="12" s="1"/>
  <c r="Q1141" i="12"/>
  <c r="G1141" i="12" s="1"/>
  <c r="Q1147" i="12"/>
  <c r="G1147" i="12" s="1"/>
  <c r="D159" i="81"/>
  <c r="D31" i="29"/>
  <c r="D34" i="29"/>
  <c r="D149" i="81"/>
  <c r="D24" i="29"/>
  <c r="D154" i="81"/>
  <c r="D157" i="81"/>
  <c r="D22" i="29"/>
  <c r="D24" i="77"/>
  <c r="D144" i="81"/>
  <c r="G1142" i="12"/>
  <c r="D26" i="77"/>
  <c r="D156" i="81"/>
  <c r="D25" i="29"/>
  <c r="D32" i="29"/>
  <c r="D25" i="77"/>
  <c r="D23" i="29"/>
  <c r="D155" i="81"/>
  <c r="D147" i="81"/>
  <c r="D27" i="29"/>
  <c r="D30" i="29"/>
  <c r="D145" i="81"/>
  <c r="D151" i="81"/>
  <c r="D27" i="77"/>
  <c r="D21" i="77"/>
  <c r="D150" i="81"/>
  <c r="D153" i="81"/>
  <c r="D152" i="81"/>
  <c r="D22" i="77"/>
  <c r="D28" i="77"/>
  <c r="D148" i="81"/>
  <c r="D23" i="77"/>
  <c r="D29" i="77"/>
  <c r="Q1139" i="12"/>
  <c r="G1139" i="12" s="1"/>
  <c r="Q1138" i="12"/>
  <c r="G1138" i="12" s="1"/>
  <c r="D146" i="81"/>
  <c r="D30" i="77"/>
  <c r="D29" i="29"/>
  <c r="D21" i="29"/>
  <c r="D28" i="29"/>
  <c r="Q1146" i="12"/>
  <c r="G1146" i="12" s="1"/>
  <c r="D26" i="29"/>
  <c r="D33" i="29"/>
  <c r="BI1133" i="12"/>
  <c r="D55" i="29"/>
  <c r="D50" i="77"/>
  <c r="D42" i="77"/>
  <c r="D45" i="77"/>
  <c r="D52" i="29"/>
  <c r="Q1151" i="12"/>
  <c r="G1151" i="12" s="1"/>
  <c r="D48" i="29"/>
  <c r="D51" i="29"/>
  <c r="D40" i="77"/>
  <c r="D175" i="81"/>
  <c r="D39" i="77"/>
  <c r="D174" i="81"/>
  <c r="D50" i="29"/>
  <c r="D168" i="81"/>
  <c r="D167" i="81"/>
  <c r="D169" i="81"/>
  <c r="D44" i="77"/>
  <c r="G1152" i="12"/>
  <c r="D173" i="81"/>
  <c r="D45" i="29"/>
  <c r="D53" i="29"/>
  <c r="D46" i="29"/>
  <c r="D47" i="29"/>
  <c r="Q1159" i="12"/>
  <c r="G1159" i="12" s="1"/>
  <c r="Q1158" i="12"/>
  <c r="G1158" i="12" s="1"/>
  <c r="D62" i="29"/>
  <c r="D170" i="81"/>
  <c r="Q1153" i="12"/>
  <c r="G1153" i="12" s="1"/>
  <c r="D47" i="77"/>
  <c r="D44" i="29"/>
  <c r="Q1154" i="12"/>
  <c r="G1154" i="12" s="1"/>
  <c r="Q1157" i="12"/>
  <c r="G1157" i="12" s="1"/>
  <c r="D172" i="81"/>
  <c r="D48" i="77"/>
  <c r="D43" i="77"/>
  <c r="D41" i="77"/>
  <c r="Q1160" i="12"/>
  <c r="G1160" i="12" s="1"/>
  <c r="D171" i="81"/>
  <c r="Q1155" i="12"/>
  <c r="G1155" i="12" s="1"/>
  <c r="D46" i="77"/>
  <c r="D49" i="29"/>
  <c r="D176" i="81"/>
  <c r="Q1156" i="12"/>
  <c r="G1156" i="12" s="1"/>
  <c r="D57" i="77"/>
  <c r="D202" i="81"/>
  <c r="D141" i="81"/>
  <c r="D40" i="18"/>
  <c r="D198" i="81"/>
  <c r="D200" i="81"/>
  <c r="D18" i="29"/>
  <c r="D204" i="81"/>
  <c r="D140" i="81"/>
  <c r="D17" i="77"/>
  <c r="D201" i="81"/>
  <c r="D199" i="81"/>
  <c r="D18" i="77"/>
  <c r="D17" i="29"/>
  <c r="D121" i="77"/>
  <c r="D122" i="77" s="1"/>
  <c r="D130" i="77"/>
  <c r="D126" i="29"/>
  <c r="D127" i="29" s="1"/>
  <c r="E17" i="17"/>
  <c r="D124" i="77"/>
  <c r="D134" i="77"/>
  <c r="D139" i="29"/>
  <c r="D129" i="29"/>
  <c r="D135" i="29"/>
  <c r="AD1133" i="12"/>
  <c r="AG1133" i="12"/>
  <c r="BB1133" i="12"/>
  <c r="AF1133" i="12"/>
  <c r="AE1133" i="12"/>
  <c r="D29" i="75"/>
  <c r="D17" i="75"/>
  <c r="D33" i="75"/>
  <c r="D37" i="75"/>
  <c r="D16" i="75"/>
  <c r="D18" i="75"/>
  <c r="D35" i="75"/>
  <c r="D19" i="75"/>
  <c r="D32" i="75"/>
  <c r="D14" i="75"/>
  <c r="D31" i="75"/>
  <c r="D38" i="75"/>
  <c r="D28" i="75"/>
  <c r="D47" i="81"/>
  <c r="D24" i="75"/>
  <c r="D23" i="75"/>
  <c r="D22" i="75"/>
  <c r="D30" i="75"/>
  <c r="D21" i="75"/>
  <c r="D36" i="75"/>
  <c r="BT1133" i="12"/>
  <c r="AX94" i="12" l="1"/>
  <c r="AZ94" i="12" s="1"/>
  <c r="CD78" i="12"/>
  <c r="CD83" i="12"/>
  <c r="CD53" i="12"/>
  <c r="AX66" i="12"/>
  <c r="AZ66" i="12" s="1"/>
  <c r="CC66" i="12"/>
  <c r="CE66" i="12" s="1"/>
  <c r="AX21" i="12"/>
  <c r="AZ21" i="12" s="1"/>
  <c r="AX83" i="12"/>
  <c r="AZ83" i="12" s="1"/>
  <c r="AX28" i="12"/>
  <c r="AZ28" i="12" s="1"/>
  <c r="CD21" i="12"/>
  <c r="CD49" i="12"/>
  <c r="CC34" i="12"/>
  <c r="CE34" i="12" s="1"/>
  <c r="AX53" i="12"/>
  <c r="AZ53" i="12" s="1"/>
  <c r="AX78" i="12"/>
  <c r="AZ78" i="12" s="1"/>
  <c r="CD72" i="12"/>
  <c r="CE72" i="12" s="1"/>
  <c r="CD94" i="12"/>
  <c r="CD28" i="12"/>
  <c r="CE28" i="12" s="1"/>
  <c r="CC94" i="12"/>
  <c r="CC83" i="12"/>
  <c r="CE83" i="12" s="1"/>
  <c r="CC21" i="12"/>
  <c r="AX14" i="12"/>
  <c r="AZ14" i="12" s="1"/>
  <c r="AX61" i="12"/>
  <c r="AZ61" i="12" s="1"/>
  <c r="CC78" i="12"/>
  <c r="CE78" i="12" s="1"/>
  <c r="CC53" i="12"/>
  <c r="CE53" i="12" s="1"/>
  <c r="AX88" i="12"/>
  <c r="AZ88" i="12" s="1"/>
  <c r="D57" i="81"/>
  <c r="D81" i="77"/>
  <c r="D86" i="29"/>
  <c r="CD61" i="12"/>
  <c r="AX57" i="12"/>
  <c r="AZ57" i="12" s="1"/>
  <c r="CE88" i="12"/>
  <c r="CD57" i="12"/>
  <c r="CE57" i="12" s="1"/>
  <c r="CC14" i="12"/>
  <c r="CE14" i="12" s="1"/>
  <c r="CC61" i="12"/>
  <c r="CE61" i="12" s="1"/>
  <c r="AX49" i="12"/>
  <c r="AZ49" i="12" s="1"/>
  <c r="AX34" i="12"/>
  <c r="AZ34" i="12" s="1"/>
  <c r="CC49" i="12"/>
  <c r="BH1133" i="12"/>
  <c r="BG1133" i="12"/>
  <c r="BV1133" i="12" s="1"/>
  <c r="BW1133" i="12"/>
  <c r="BQ1133" i="12"/>
  <c r="BN1133" i="12"/>
  <c r="BL1133" i="12"/>
  <c r="BF1133" i="12"/>
  <c r="BU1133" i="12" s="1"/>
  <c r="BK1133" i="12"/>
  <c r="BX1133" i="12"/>
  <c r="AX1170" i="12"/>
  <c r="AZ1170" i="12" s="1"/>
  <c r="D139" i="81"/>
  <c r="G1133" i="12"/>
  <c r="D16" i="29"/>
  <c r="AX1133" i="12"/>
  <c r="AZ1133" i="12" s="1"/>
  <c r="D52" i="77"/>
  <c r="D51" i="77"/>
  <c r="D56" i="29"/>
  <c r="D57" i="29"/>
  <c r="F4" i="75"/>
  <c r="D93" i="81"/>
  <c r="D98" i="81"/>
  <c r="E12" i="17"/>
  <c r="E22" i="17"/>
  <c r="D39" i="81"/>
  <c r="D102" i="81"/>
  <c r="E20" i="17"/>
  <c r="D40" i="81"/>
  <c r="E25" i="17"/>
  <c r="D43" i="81"/>
  <c r="E14" i="17"/>
  <c r="E13" i="17"/>
  <c r="D95" i="81"/>
  <c r="D94" i="81"/>
  <c r="D74" i="81"/>
  <c r="D99" i="81"/>
  <c r="D101" i="81"/>
  <c r="D38" i="81"/>
  <c r="E18" i="17"/>
  <c r="D96" i="81"/>
  <c r="D72" i="81"/>
  <c r="D75" i="81"/>
  <c r="E19" i="17"/>
  <c r="D97" i="81"/>
  <c r="D100" i="81"/>
  <c r="E24" i="17"/>
  <c r="D92" i="81"/>
  <c r="E21" i="17"/>
  <c r="E27" i="17"/>
  <c r="D41" i="81"/>
  <c r="D73" i="81"/>
  <c r="D36" i="81"/>
  <c r="E26" i="17"/>
  <c r="E23" i="17"/>
  <c r="D16" i="77"/>
  <c r="CE21" i="12" l="1"/>
  <c r="CE49" i="12"/>
  <c r="CE94" i="12"/>
  <c r="F4" i="29"/>
  <c r="F228" i="81"/>
  <c r="F4" i="81"/>
  <c r="F156" i="29"/>
  <c r="F4" i="18"/>
  <c r="F68" i="61"/>
  <c r="D13" i="29"/>
  <c r="D136" i="81"/>
  <c r="D13" i="77"/>
  <c r="D137" i="81"/>
  <c r="D14" i="77"/>
  <c r="D14" i="29"/>
  <c r="D27" i="75"/>
  <c r="D34" i="75"/>
  <c r="D13" i="75"/>
  <c r="D123" i="29"/>
  <c r="D15" i="75" l="1"/>
  <c r="D125" i="29"/>
  <c r="D120" i="77"/>
  <c r="D118" i="77"/>
  <c r="D37" i="81"/>
  <c r="D42" i="81"/>
  <c r="D20" i="7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Drafter - Reza</author>
    <author>risky</author>
    <author>reza</author>
    <author>Hasan</author>
  </authors>
  <commentList>
    <comment ref="D23" authorId="0" shapeId="0" xr:uid="{00000000-0006-0000-0000-000001000000}">
      <text>
        <r>
          <rPr>
            <b/>
            <sz val="9"/>
            <color indexed="81"/>
            <rFont val="Tahoma"/>
            <family val="2"/>
          </rPr>
          <t>Drafter - Reza:</t>
        </r>
        <r>
          <rPr>
            <sz val="9"/>
            <color indexed="81"/>
            <rFont val="Tahoma"/>
            <family val="2"/>
          </rPr>
          <t xml:space="preserve">
</t>
        </r>
      </text>
    </comment>
    <comment ref="D110" authorId="1" shapeId="0" xr:uid="{00000000-0006-0000-0000-000002000000}">
      <text>
        <r>
          <rPr>
            <sz val="9"/>
            <rFont val="Times New Roman"/>
            <family val="1"/>
          </rPr>
          <t>risky:
Ply 18+18
sanding jadi 35 mm</t>
        </r>
      </text>
    </comment>
    <comment ref="D111" authorId="1" shapeId="0" xr:uid="{00000000-0006-0000-0000-000003000000}">
      <text>
        <r>
          <rPr>
            <sz val="9"/>
            <rFont val="Times New Roman"/>
            <family val="1"/>
          </rPr>
          <t>risky:
Ply 18+18
sanding jadi 35.7 mm</t>
        </r>
      </text>
    </comment>
    <comment ref="D112" authorId="1" shapeId="0" xr:uid="{00000000-0006-0000-0000-000004000000}">
      <text>
        <r>
          <rPr>
            <sz val="9"/>
            <rFont val="Times New Roman"/>
            <family val="1"/>
          </rPr>
          <t>risky:
Ply 12+15+12
sanding jadi 36.4 mm</t>
        </r>
      </text>
    </comment>
    <comment ref="D291" authorId="2" shapeId="0" xr:uid="{00000000-0006-0000-0000-000005000000}">
      <text>
        <r>
          <rPr>
            <sz val="9"/>
            <rFont val="Times New Roman"/>
            <family val="1"/>
          </rPr>
          <t>reza:
info guruh 24/9/2018,,penulisan yg benar M 002</t>
        </r>
      </text>
    </comment>
    <comment ref="C631" authorId="3" shapeId="0" xr:uid="{00000000-0006-0000-0000-000006000000}">
      <text>
        <r>
          <rPr>
            <sz val="9"/>
            <rFont val="Times New Roman"/>
            <family val="1"/>
          </rPr>
          <t>Hasan:
21/6/14</t>
        </r>
      </text>
    </comment>
    <comment ref="C657" authorId="3" shapeId="0" xr:uid="{00000000-0006-0000-0000-000007000000}">
      <text>
        <r>
          <rPr>
            <sz val="9"/>
            <rFont val="Times New Roman"/>
            <family val="1"/>
          </rPr>
          <t>Hasan:
1/9/14</t>
        </r>
      </text>
    </comment>
    <comment ref="C658" authorId="3" shapeId="0" xr:uid="{00000000-0006-0000-0000-000008000000}">
      <text>
        <r>
          <rPr>
            <sz val="9"/>
            <rFont val="Times New Roman"/>
            <family val="1"/>
          </rPr>
          <t>Hasan:
1/9/14</t>
        </r>
      </text>
    </comment>
    <comment ref="C659" authorId="3" shapeId="0" xr:uid="{00000000-0006-0000-0000-000009000000}">
      <text>
        <r>
          <rPr>
            <sz val="9"/>
            <rFont val="Times New Roman"/>
            <family val="1"/>
          </rPr>
          <t>Hasan:
1/9/14</t>
        </r>
      </text>
    </comment>
    <comment ref="C661" authorId="3" shapeId="0" xr:uid="{00000000-0006-0000-0000-00000A000000}">
      <text>
        <r>
          <rPr>
            <sz val="9"/>
            <rFont val="Times New Roman"/>
            <family val="1"/>
          </rPr>
          <t xml:space="preserve">Hasan:
1/9/14
</t>
        </r>
      </text>
    </comment>
    <comment ref="C662" authorId="3" shapeId="0" xr:uid="{00000000-0006-0000-0000-00000B000000}">
      <text>
        <r>
          <rPr>
            <sz val="9"/>
            <rFont val="Times New Roman"/>
            <family val="1"/>
          </rPr>
          <t>Hasan:
1/9/14</t>
        </r>
      </text>
    </comment>
    <comment ref="C663" authorId="3" shapeId="0" xr:uid="{00000000-0006-0000-0000-00000C000000}">
      <text>
        <r>
          <rPr>
            <sz val="9"/>
            <rFont val="Times New Roman"/>
            <family val="1"/>
          </rPr>
          <t>Hasan:
1/9/14</t>
        </r>
      </text>
    </comment>
    <comment ref="C665" authorId="3" shapeId="0" xr:uid="{00000000-0006-0000-0000-00000D000000}">
      <text>
        <r>
          <rPr>
            <sz val="9"/>
            <rFont val="Times New Roman"/>
            <family val="1"/>
          </rPr>
          <t>Hasan:
1/9/14</t>
        </r>
      </text>
    </comment>
    <comment ref="C666" authorId="3" shapeId="0" xr:uid="{00000000-0006-0000-0000-00000E000000}">
      <text>
        <r>
          <rPr>
            <sz val="9"/>
            <rFont val="Times New Roman"/>
            <family val="1"/>
          </rPr>
          <t>Hasan:
1/9/14</t>
        </r>
      </text>
    </comment>
    <comment ref="C667" authorId="3" shapeId="0" xr:uid="{00000000-0006-0000-0000-00000F000000}">
      <text>
        <r>
          <rPr>
            <sz val="9"/>
            <rFont val="Times New Roman"/>
            <family val="1"/>
          </rPr>
          <t>Hasan:
1/9/14</t>
        </r>
      </text>
    </comment>
    <comment ref="D1434" authorId="0" shapeId="0" xr:uid="{00000000-0006-0000-0000-000010000000}">
      <text>
        <r>
          <rPr>
            <b/>
            <sz val="9"/>
            <color indexed="81"/>
            <rFont val="Tahoma"/>
            <family val="2"/>
          </rPr>
          <t>Drafter - Reza:</t>
        </r>
        <r>
          <rPr>
            <sz val="9"/>
            <color indexed="81"/>
            <rFont val="Tahoma"/>
            <family val="2"/>
          </rPr>
          <t xml:space="preserve">
bahan opsional untuk sisi tidak terlihat pada pemakaian bahan kabinet HPL,,opsi pengganti mengikuti memo PPIC (bisa diganti darkbrown) dsb</t>
        </r>
      </text>
    </comment>
    <comment ref="D1435" authorId="0" shapeId="0" xr:uid="{00000000-0006-0000-0000-000011000000}">
      <text>
        <r>
          <rPr>
            <b/>
            <sz val="9"/>
            <color indexed="81"/>
            <rFont val="Tahoma"/>
            <family val="2"/>
          </rPr>
          <t>Drafter - Reza:</t>
        </r>
        <r>
          <rPr>
            <sz val="9"/>
            <color indexed="81"/>
            <rFont val="Tahoma"/>
            <family val="2"/>
          </rPr>
          <t xml:space="preserve">
bahan opsional untuk sisi tidak terlihat pada pemakaian bahan kabinet Paper,,opsi pengganti mengikuti memo PPIC (bisa diganti dg tipe sejenis)</t>
        </r>
      </text>
    </comment>
    <comment ref="D1442" authorId="0" shapeId="0" xr:uid="{00000000-0006-0000-0000-000012000000}">
      <text>
        <r>
          <rPr>
            <b/>
            <sz val="9"/>
            <color indexed="81"/>
            <rFont val="Tahoma"/>
            <family val="2"/>
          </rPr>
          <t>Drafter - Reza:</t>
        </r>
        <r>
          <rPr>
            <sz val="9"/>
            <color indexed="81"/>
            <rFont val="Tahoma"/>
            <family val="2"/>
          </rPr>
          <t xml:space="preserve">
bahan opsional untuk sisi tidak terlihat pada pemakaian bahan kabinet HPL,,opsi pengganti mengikuti memo PPIC (bisa diganti darkbrown) dsb</t>
        </r>
      </text>
    </comment>
    <comment ref="D2654" authorId="2" shapeId="0" xr:uid="{00000000-0006-0000-0000-000013000000}">
      <text>
        <r>
          <rPr>
            <sz val="9"/>
            <rFont val="Arial"/>
            <family val="2"/>
          </rPr>
          <t>reza:
Stock lama</t>
        </r>
      </text>
    </comment>
    <comment ref="D2661" authorId="2" shapeId="0" xr:uid="{00000000-0006-0000-0000-000014000000}">
      <text>
        <r>
          <rPr>
            <sz val="9"/>
            <rFont val="Arial"/>
            <family val="2"/>
          </rPr>
          <t>reza:
Stock lama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Drafter - Reza</author>
  </authors>
  <commentList>
    <comment ref="D29" authorId="0" shapeId="0" xr:uid="{00000000-0006-0000-0100-000001000000}">
      <text>
        <r>
          <rPr>
            <b/>
            <sz val="9"/>
            <color indexed="81"/>
            <rFont val="Tahoma"/>
            <family val="2"/>
          </rPr>
          <t>Drafter - Reza:</t>
        </r>
        <r>
          <rPr>
            <sz val="9"/>
            <color indexed="81"/>
            <rFont val="Tahoma"/>
            <family val="2"/>
          </rPr>
          <t xml:space="preserve">
12 untuk bahan ply
15 untuk bahan paper</t>
        </r>
      </text>
    </comment>
    <comment ref="D30" authorId="0" shapeId="0" xr:uid="{00000000-0006-0000-0100-000002000000}">
      <text>
        <r>
          <rPr>
            <b/>
            <sz val="9"/>
            <color indexed="81"/>
            <rFont val="Tahoma"/>
            <family val="2"/>
          </rPr>
          <t>Drafter - Reza:</t>
        </r>
        <r>
          <rPr>
            <sz val="9"/>
            <color indexed="81"/>
            <rFont val="Tahoma"/>
            <family val="2"/>
          </rPr>
          <t xml:space="preserve">
6 untuk pantry dan vanity
9 untuk non pantry/vanity</t>
        </r>
      </text>
    </comment>
    <comment ref="A35" authorId="0" shapeId="0" xr:uid="{00000000-0006-0000-0100-000003000000}">
      <text>
        <r>
          <rPr>
            <b/>
            <sz val="9"/>
            <color indexed="81"/>
            <rFont val="Tahoma"/>
            <family val="2"/>
          </rPr>
          <t>Drafter - Reza:</t>
        </r>
        <r>
          <rPr>
            <sz val="9"/>
            <color indexed="81"/>
            <rFont val="Tahoma"/>
            <family val="2"/>
          </rPr>
          <t xml:space="preserve">
kode 11 untuk balik pintu=kabinet dalam ; kode99 untuk balik pintu=hpl luar (lihat desainnya)
</t>
        </r>
      </text>
    </comment>
    <comment ref="A36" authorId="0" shapeId="0" xr:uid="{00000000-0006-0000-0100-000004000000}">
      <text>
        <r>
          <rPr>
            <b/>
            <sz val="9"/>
            <color indexed="81"/>
            <rFont val="Tahoma"/>
            <family val="2"/>
          </rPr>
          <t>Drafter - Reza:</t>
        </r>
        <r>
          <rPr>
            <sz val="9"/>
            <color indexed="81"/>
            <rFont val="Tahoma"/>
            <family val="2"/>
          </rPr>
          <t xml:space="preserve">
kode 0 untuk pantry
kode 9 untuk wrd
</t>
        </r>
      </text>
    </comment>
    <comment ref="A37" authorId="0" shapeId="0" xr:uid="{00000000-0006-0000-0100-000005000000}">
      <text>
        <r>
          <rPr>
            <b/>
            <sz val="9"/>
            <color indexed="81"/>
            <rFont val="Tahoma"/>
            <family val="2"/>
          </rPr>
          <t>Drafter - Reza:</t>
        </r>
        <r>
          <rPr>
            <sz val="9"/>
            <color indexed="81"/>
            <rFont val="Tahoma"/>
            <family val="2"/>
          </rPr>
          <t xml:space="preserve">
0 jika depan panel mlp pakai hpl
7 jika depan panel mlp pakai hpl duco (desain yg pintu+panelnya full duco)</t>
        </r>
      </text>
    </comment>
    <comment ref="D39" authorId="0" shapeId="0" xr:uid="{00000000-0006-0000-0100-000006000000}">
      <text>
        <r>
          <rPr>
            <b/>
            <sz val="9"/>
            <color indexed="81"/>
            <rFont val="Tahoma"/>
            <family val="2"/>
          </rPr>
          <t>Drafter - Reza:</t>
        </r>
        <r>
          <rPr>
            <sz val="9"/>
            <color indexed="81"/>
            <rFont val="Tahoma"/>
            <family val="2"/>
          </rPr>
          <t xml:space="preserve">
melanor untuk pantry
edg kabinet untuk wardrobe</t>
        </r>
      </text>
    </comment>
    <comment ref="D40" authorId="0" shapeId="0" xr:uid="{00000000-0006-0000-0100-000007000000}">
      <text>
        <r>
          <rPr>
            <b/>
            <sz val="9"/>
            <color indexed="81"/>
            <rFont val="Tahoma"/>
            <family val="2"/>
          </rPr>
          <t>Drafter - Reza:</t>
        </r>
        <r>
          <rPr>
            <sz val="9"/>
            <color indexed="81"/>
            <rFont val="Tahoma"/>
            <family val="2"/>
          </rPr>
          <t xml:space="preserve">
1) [aica] untuk standart pantry
2) [aica] untuk standart wardrobe bahan HPL
3 mel.DG untuk standart wardrobe bahan paper
3 bahan AL01 pakai 2mk</t>
        </r>
      </text>
    </comment>
    <comment ref="B117" authorId="0" shapeId="0" xr:uid="{00000000-0006-0000-0100-000008000000}">
      <text>
        <r>
          <rPr>
            <b/>
            <sz val="9"/>
            <color indexed="81"/>
            <rFont val="Tahoma"/>
            <family val="2"/>
          </rPr>
          <t>Drafter - Reza:</t>
        </r>
        <r>
          <rPr>
            <sz val="9"/>
            <color indexed="81"/>
            <rFont val="Tahoma"/>
            <family val="2"/>
          </rPr>
          <t xml:space="preserve">
set as default</t>
        </r>
      </text>
    </comment>
    <comment ref="B121" authorId="0" shapeId="0" xr:uid="{00000000-0006-0000-0100-000009000000}">
      <text>
        <r>
          <rPr>
            <b/>
            <sz val="9"/>
            <color indexed="81"/>
            <rFont val="Tahoma"/>
            <family val="2"/>
          </rPr>
          <t>Drafter - Reza:</t>
        </r>
        <r>
          <rPr>
            <sz val="9"/>
            <color indexed="81"/>
            <rFont val="Tahoma"/>
            <family val="2"/>
          </rPr>
          <t xml:space="preserve">
set as default</t>
        </r>
      </text>
    </comment>
    <comment ref="D139" authorId="0" shapeId="0" xr:uid="{00000000-0006-0000-0100-00000A000000}">
      <text>
        <r>
          <rPr>
            <b/>
            <sz val="9"/>
            <color indexed="81"/>
            <rFont val="Tahoma"/>
            <family val="2"/>
          </rPr>
          <t>Drafter - Reza:</t>
        </r>
        <r>
          <rPr>
            <sz val="9"/>
            <color indexed="81"/>
            <rFont val="Tahoma"/>
            <family val="2"/>
          </rPr>
          <t xml:space="preserve">
FIX</t>
        </r>
      </text>
    </comment>
    <comment ref="D143" authorId="0" shapeId="0" xr:uid="{00000000-0006-0000-0100-00000B000000}">
      <text>
        <r>
          <rPr>
            <b/>
            <sz val="9"/>
            <color indexed="81"/>
            <rFont val="Tahoma"/>
            <family val="2"/>
          </rPr>
          <t>Drafter - Reza:</t>
        </r>
        <r>
          <rPr>
            <sz val="9"/>
            <color indexed="81"/>
            <rFont val="Tahoma"/>
            <family val="2"/>
          </rPr>
          <t xml:space="preserve">
FIX</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Drafter - Reza</author>
  </authors>
  <commentList>
    <comment ref="W26" authorId="0" shapeId="0" xr:uid="{00000000-0006-0000-0200-000001000000}">
      <text>
        <r>
          <rPr>
            <b/>
            <sz val="9"/>
            <color indexed="81"/>
            <rFont val="Tahoma"/>
            <family val="2"/>
          </rPr>
          <t>Drafter - Reza:</t>
        </r>
        <r>
          <rPr>
            <sz val="9"/>
            <color indexed="81"/>
            <rFont val="Tahoma"/>
            <family val="2"/>
          </rPr>
          <t xml:space="preserve">
absolute</t>
        </r>
      </text>
    </comment>
    <comment ref="W31" authorId="0" shapeId="0" xr:uid="{00000000-0006-0000-0200-000002000000}">
      <text>
        <r>
          <rPr>
            <b/>
            <sz val="9"/>
            <color indexed="81"/>
            <rFont val="Tahoma"/>
            <family val="2"/>
          </rPr>
          <t>Drafter - Reza:</t>
        </r>
        <r>
          <rPr>
            <sz val="9"/>
            <color indexed="81"/>
            <rFont val="Tahoma"/>
            <family val="2"/>
          </rPr>
          <t xml:space="preserve">
absolute</t>
        </r>
      </text>
    </comment>
    <comment ref="W41" authorId="0" shapeId="0" xr:uid="{00000000-0006-0000-0200-000003000000}">
      <text>
        <r>
          <rPr>
            <b/>
            <sz val="9"/>
            <color indexed="81"/>
            <rFont val="Tahoma"/>
            <family val="2"/>
          </rPr>
          <t>Drafter - Reza:</t>
        </r>
        <r>
          <rPr>
            <sz val="9"/>
            <color indexed="81"/>
            <rFont val="Tahoma"/>
            <family val="2"/>
          </rPr>
          <t xml:space="preserve">
absolute</t>
        </r>
      </text>
    </comment>
    <comment ref="W46" authorId="0" shapeId="0" xr:uid="{00000000-0006-0000-0200-000004000000}">
      <text>
        <r>
          <rPr>
            <b/>
            <sz val="9"/>
            <color indexed="81"/>
            <rFont val="Tahoma"/>
            <family val="2"/>
          </rPr>
          <t>Drafter - Reza:</t>
        </r>
        <r>
          <rPr>
            <sz val="9"/>
            <color indexed="81"/>
            <rFont val="Tahoma"/>
            <family val="2"/>
          </rPr>
          <t xml:space="preserve">
absolute</t>
        </r>
      </text>
    </comment>
    <comment ref="W79" authorId="0" shapeId="0" xr:uid="{00000000-0006-0000-0200-000005000000}">
      <text>
        <r>
          <rPr>
            <b/>
            <sz val="9"/>
            <color indexed="81"/>
            <rFont val="Tahoma"/>
            <family val="2"/>
          </rPr>
          <t>Drafter - Reza:</t>
        </r>
        <r>
          <rPr>
            <sz val="9"/>
            <color indexed="81"/>
            <rFont val="Tahoma"/>
            <family val="2"/>
          </rPr>
          <t xml:space="preserve">
absolute</t>
        </r>
      </text>
    </comment>
    <comment ref="W92" authorId="0" shapeId="0" xr:uid="{00000000-0006-0000-0200-000006000000}">
      <text>
        <r>
          <rPr>
            <b/>
            <sz val="9"/>
            <color indexed="81"/>
            <rFont val="Tahoma"/>
            <family val="2"/>
          </rPr>
          <t>Drafter - Reza:</t>
        </r>
        <r>
          <rPr>
            <sz val="9"/>
            <color indexed="81"/>
            <rFont val="Tahoma"/>
            <family val="2"/>
          </rPr>
          <t xml:space="preserve">
absolute</t>
        </r>
      </text>
    </comment>
    <comment ref="I227" authorId="0" shapeId="0" xr:uid="{00000000-0006-0000-0200-000007000000}">
      <text>
        <r>
          <rPr>
            <b/>
            <sz val="9"/>
            <color indexed="81"/>
            <rFont val="Tahoma"/>
            <family val="2"/>
          </rPr>
          <t>Drafter - Reza:</t>
        </r>
        <r>
          <rPr>
            <sz val="9"/>
            <color indexed="81"/>
            <rFont val="Tahoma"/>
            <family val="2"/>
          </rPr>
          <t xml:space="preserve">
bahan plywood absolut ; kecuali yg bahan dasar UPVC</t>
        </r>
      </text>
    </comment>
    <comment ref="I233" authorId="0" shapeId="0" xr:uid="{00000000-0006-0000-0200-000008000000}">
      <text>
        <r>
          <rPr>
            <b/>
            <sz val="9"/>
            <color indexed="81"/>
            <rFont val="Tahoma"/>
            <family val="2"/>
          </rPr>
          <t>Drafter - Reza:</t>
        </r>
        <r>
          <rPr>
            <sz val="9"/>
            <color indexed="81"/>
            <rFont val="Tahoma"/>
            <family val="2"/>
          </rPr>
          <t xml:space="preserve">
bahan plywood absolut ; kecuali yg bahan dasar UPVC</t>
        </r>
      </text>
    </comment>
    <comment ref="I261" authorId="0" shapeId="0" xr:uid="{00000000-0006-0000-0200-000009000000}">
      <text>
        <r>
          <rPr>
            <b/>
            <sz val="9"/>
            <color indexed="81"/>
            <rFont val="Tahoma"/>
            <family val="2"/>
          </rPr>
          <t>Drafter - Reza:</t>
        </r>
        <r>
          <rPr>
            <sz val="9"/>
            <color indexed="81"/>
            <rFont val="Tahoma"/>
            <family val="2"/>
          </rPr>
          <t xml:space="preserve">
bahan plywood absolut ; kecuali yg bahan dasar UPVC</t>
        </r>
      </text>
    </comment>
    <comment ref="I262" authorId="0" shapeId="0" xr:uid="{00000000-0006-0000-0200-00000A000000}">
      <text>
        <r>
          <rPr>
            <b/>
            <sz val="9"/>
            <color indexed="81"/>
            <rFont val="Tahoma"/>
            <family val="2"/>
          </rPr>
          <t>Drafter - Reza:</t>
        </r>
        <r>
          <rPr>
            <sz val="9"/>
            <color indexed="81"/>
            <rFont val="Tahoma"/>
            <family val="2"/>
          </rPr>
          <t xml:space="preserve">
bahan plywood absolut ; kecuali yg bahan dasar UPVC</t>
        </r>
      </text>
    </comment>
    <comment ref="I263" authorId="0" shapeId="0" xr:uid="{00000000-0006-0000-0200-00000B000000}">
      <text>
        <r>
          <rPr>
            <b/>
            <sz val="9"/>
            <color indexed="81"/>
            <rFont val="Tahoma"/>
            <family val="2"/>
          </rPr>
          <t>Drafter - Reza:</t>
        </r>
        <r>
          <rPr>
            <sz val="9"/>
            <color indexed="81"/>
            <rFont val="Tahoma"/>
            <family val="2"/>
          </rPr>
          <t xml:space="preserve">
bahan plywood absolut ; kecuali yg bahan dasar UPVC</t>
        </r>
      </text>
    </comment>
    <comment ref="I264" authorId="0" shapeId="0" xr:uid="{00000000-0006-0000-0200-00000C000000}">
      <text>
        <r>
          <rPr>
            <b/>
            <sz val="9"/>
            <color indexed="81"/>
            <rFont val="Tahoma"/>
            <family val="2"/>
          </rPr>
          <t>Drafter - Reza:</t>
        </r>
        <r>
          <rPr>
            <sz val="9"/>
            <color indexed="81"/>
            <rFont val="Tahoma"/>
            <family val="2"/>
          </rPr>
          <t xml:space="preserve">
bahan plywood absolut ; kecuali yg bahan dasar UPVC</t>
        </r>
      </text>
    </comment>
    <comment ref="I266" authorId="0" shapeId="0" xr:uid="{00000000-0006-0000-0200-00000D000000}">
      <text>
        <r>
          <rPr>
            <b/>
            <sz val="9"/>
            <color indexed="81"/>
            <rFont val="Tahoma"/>
            <family val="2"/>
          </rPr>
          <t>Drafter - Reza:</t>
        </r>
        <r>
          <rPr>
            <sz val="9"/>
            <color indexed="81"/>
            <rFont val="Tahoma"/>
            <family val="2"/>
          </rPr>
          <t xml:space="preserve">
bahan plywood absolut ; kecuali yg bahan dasar UPVC</t>
        </r>
      </text>
    </comment>
    <comment ref="I267" authorId="0" shapeId="0" xr:uid="{00000000-0006-0000-0200-00000E000000}">
      <text>
        <r>
          <rPr>
            <b/>
            <sz val="9"/>
            <color indexed="81"/>
            <rFont val="Tahoma"/>
            <family val="2"/>
          </rPr>
          <t>Drafter - Reza:</t>
        </r>
        <r>
          <rPr>
            <sz val="9"/>
            <color indexed="81"/>
            <rFont val="Tahoma"/>
            <family val="2"/>
          </rPr>
          <t xml:space="preserve">
bahan plywood absolut ; kecuali yg bahan dasar UPVC</t>
        </r>
      </text>
    </comment>
    <comment ref="I268" authorId="0" shapeId="0" xr:uid="{00000000-0006-0000-0200-00000F000000}">
      <text>
        <r>
          <rPr>
            <b/>
            <sz val="9"/>
            <color indexed="81"/>
            <rFont val="Tahoma"/>
            <family val="2"/>
          </rPr>
          <t>Drafter - Reza:</t>
        </r>
        <r>
          <rPr>
            <sz val="9"/>
            <color indexed="81"/>
            <rFont val="Tahoma"/>
            <family val="2"/>
          </rPr>
          <t xml:space="preserve">
bahan plywood absolut ; kecuali yg bahan dasar UPVC</t>
        </r>
      </text>
    </comment>
    <comment ref="I269" authorId="0" shapeId="0" xr:uid="{00000000-0006-0000-0200-000010000000}">
      <text>
        <r>
          <rPr>
            <b/>
            <sz val="9"/>
            <color indexed="81"/>
            <rFont val="Tahoma"/>
            <family val="2"/>
          </rPr>
          <t>Drafter - Reza:</t>
        </r>
        <r>
          <rPr>
            <sz val="9"/>
            <color indexed="81"/>
            <rFont val="Tahoma"/>
            <family val="2"/>
          </rPr>
          <t xml:space="preserve">
bahan plywood absolut ; kecuali yg bahan dasar UPVC</t>
        </r>
      </text>
    </comment>
    <comment ref="I275" authorId="0" shapeId="0" xr:uid="{00000000-0006-0000-0200-000011000000}">
      <text>
        <r>
          <rPr>
            <b/>
            <sz val="9"/>
            <color indexed="81"/>
            <rFont val="Tahoma"/>
            <family val="2"/>
          </rPr>
          <t>Drafter - Reza:</t>
        </r>
        <r>
          <rPr>
            <sz val="9"/>
            <color indexed="81"/>
            <rFont val="Tahoma"/>
            <family val="2"/>
          </rPr>
          <t xml:space="preserve">
bahan plywood absolut ; kecuali yg bahan dasar UPVC</t>
        </r>
      </text>
    </comment>
    <comment ref="I276" authorId="0" shapeId="0" xr:uid="{00000000-0006-0000-0200-000012000000}">
      <text>
        <r>
          <rPr>
            <b/>
            <sz val="9"/>
            <color indexed="81"/>
            <rFont val="Tahoma"/>
            <family val="2"/>
          </rPr>
          <t>Drafter - Reza:</t>
        </r>
        <r>
          <rPr>
            <sz val="9"/>
            <color indexed="81"/>
            <rFont val="Tahoma"/>
            <family val="2"/>
          </rPr>
          <t xml:space="preserve">
bahan plywood absolut ; kecuali yg bahan dasar UPVC</t>
        </r>
      </text>
    </comment>
    <comment ref="I278" authorId="0" shapeId="0" xr:uid="{00000000-0006-0000-0200-000013000000}">
      <text>
        <r>
          <rPr>
            <b/>
            <sz val="9"/>
            <color indexed="81"/>
            <rFont val="Tahoma"/>
            <family val="2"/>
          </rPr>
          <t>Drafter - Reza:</t>
        </r>
        <r>
          <rPr>
            <sz val="9"/>
            <color indexed="81"/>
            <rFont val="Tahoma"/>
            <family val="2"/>
          </rPr>
          <t xml:space="preserve">
bahan plywood absolut ; kecuali yg bahan dasar UPVC</t>
        </r>
      </text>
    </comment>
    <comment ref="I279" authorId="0" shapeId="0" xr:uid="{00000000-0006-0000-0200-000014000000}">
      <text>
        <r>
          <rPr>
            <b/>
            <sz val="9"/>
            <color indexed="81"/>
            <rFont val="Tahoma"/>
            <family val="2"/>
          </rPr>
          <t>Drafter - Reza:</t>
        </r>
        <r>
          <rPr>
            <sz val="9"/>
            <color indexed="81"/>
            <rFont val="Tahoma"/>
            <family val="2"/>
          </rPr>
          <t xml:space="preserve">
bahan plywood absolut ; kecuali yg bahan dasar UPVC</t>
        </r>
      </text>
    </comment>
    <comment ref="I281" authorId="0" shapeId="0" xr:uid="{00000000-0006-0000-0200-000015000000}">
      <text>
        <r>
          <rPr>
            <b/>
            <sz val="9"/>
            <color indexed="81"/>
            <rFont val="Tahoma"/>
            <family val="2"/>
          </rPr>
          <t>Drafter - Reza:</t>
        </r>
        <r>
          <rPr>
            <sz val="9"/>
            <color indexed="81"/>
            <rFont val="Tahoma"/>
            <family val="2"/>
          </rPr>
          <t xml:space="preserve">
bahan plywood absolut ; kecuali yg bahan dasar UPVC</t>
        </r>
      </text>
    </comment>
    <comment ref="I282" authorId="0" shapeId="0" xr:uid="{00000000-0006-0000-0200-000016000000}">
      <text>
        <r>
          <rPr>
            <b/>
            <sz val="9"/>
            <color indexed="81"/>
            <rFont val="Tahoma"/>
            <family val="2"/>
          </rPr>
          <t>Drafter - Reza:</t>
        </r>
        <r>
          <rPr>
            <sz val="9"/>
            <color indexed="81"/>
            <rFont val="Tahoma"/>
            <family val="2"/>
          </rPr>
          <t xml:space="preserve">
bahan plywood absolut ; kecuali yg bahan dasar UPVC</t>
        </r>
      </text>
    </comment>
    <comment ref="I283" authorId="0" shapeId="0" xr:uid="{00000000-0006-0000-0200-000017000000}">
      <text>
        <r>
          <rPr>
            <b/>
            <sz val="9"/>
            <color indexed="81"/>
            <rFont val="Tahoma"/>
            <family val="2"/>
          </rPr>
          <t>Drafter - Reza:</t>
        </r>
        <r>
          <rPr>
            <sz val="9"/>
            <color indexed="81"/>
            <rFont val="Tahoma"/>
            <family val="2"/>
          </rPr>
          <t xml:space="preserve">
bahan plywood absolut ; kecuali yg bahan dasar UPVC</t>
        </r>
      </text>
    </comment>
    <comment ref="I284" authorId="0" shapeId="0" xr:uid="{00000000-0006-0000-0200-000018000000}">
      <text>
        <r>
          <rPr>
            <b/>
            <sz val="9"/>
            <color indexed="81"/>
            <rFont val="Tahoma"/>
            <family val="2"/>
          </rPr>
          <t>Drafter - Reza:</t>
        </r>
        <r>
          <rPr>
            <sz val="9"/>
            <color indexed="81"/>
            <rFont val="Tahoma"/>
            <family val="2"/>
          </rPr>
          <t xml:space="preserve">
bahan plywood absolut ; kecuali yg bahan dasar UPVC</t>
        </r>
      </text>
    </comment>
    <comment ref="I285" authorId="0" shapeId="0" xr:uid="{00000000-0006-0000-0200-000019000000}">
      <text>
        <r>
          <rPr>
            <b/>
            <sz val="9"/>
            <color indexed="81"/>
            <rFont val="Tahoma"/>
            <family val="2"/>
          </rPr>
          <t>Drafter - Reza:</t>
        </r>
        <r>
          <rPr>
            <sz val="9"/>
            <color indexed="81"/>
            <rFont val="Tahoma"/>
            <family val="2"/>
          </rPr>
          <t xml:space="preserve">
bahan plywood absolut ; kecuali yg bahan dasar UPVC</t>
        </r>
      </text>
    </comment>
    <comment ref="I286" authorId="0" shapeId="0" xr:uid="{00000000-0006-0000-0200-00001A000000}">
      <text>
        <r>
          <rPr>
            <b/>
            <sz val="9"/>
            <color indexed="81"/>
            <rFont val="Tahoma"/>
            <family val="2"/>
          </rPr>
          <t>Drafter - Reza:</t>
        </r>
        <r>
          <rPr>
            <sz val="9"/>
            <color indexed="81"/>
            <rFont val="Tahoma"/>
            <family val="2"/>
          </rPr>
          <t xml:space="preserve">
bahan plywood absolut ; kecuali yg bahan dasar UPVC</t>
        </r>
      </text>
    </comment>
    <comment ref="I287" authorId="0" shapeId="0" xr:uid="{00000000-0006-0000-0200-00001B000000}">
      <text>
        <r>
          <rPr>
            <b/>
            <sz val="9"/>
            <color indexed="81"/>
            <rFont val="Tahoma"/>
            <family val="2"/>
          </rPr>
          <t>Drafter - Reza:</t>
        </r>
        <r>
          <rPr>
            <sz val="9"/>
            <color indexed="81"/>
            <rFont val="Tahoma"/>
            <family val="2"/>
          </rPr>
          <t xml:space="preserve">
bahan plywood absolut ; kecuali yg bahan dasar UPVC</t>
        </r>
      </text>
    </comment>
    <comment ref="I288" authorId="0" shapeId="0" xr:uid="{00000000-0006-0000-0200-00001C000000}">
      <text>
        <r>
          <rPr>
            <b/>
            <sz val="9"/>
            <color indexed="81"/>
            <rFont val="Tahoma"/>
            <family val="2"/>
          </rPr>
          <t>Drafter - Reza:</t>
        </r>
        <r>
          <rPr>
            <sz val="9"/>
            <color indexed="81"/>
            <rFont val="Tahoma"/>
            <family val="2"/>
          </rPr>
          <t xml:space="preserve">
bahan plywood absolut ; kecuali yg bahan dasar UPVC</t>
        </r>
      </text>
    </comment>
    <comment ref="I289" authorId="0" shapeId="0" xr:uid="{00000000-0006-0000-0200-00001D000000}">
      <text>
        <r>
          <rPr>
            <b/>
            <sz val="9"/>
            <color indexed="81"/>
            <rFont val="Tahoma"/>
            <family val="2"/>
          </rPr>
          <t>Drafter - Reza:</t>
        </r>
        <r>
          <rPr>
            <sz val="9"/>
            <color indexed="81"/>
            <rFont val="Tahoma"/>
            <family val="2"/>
          </rPr>
          <t xml:space="preserve">
bahan plywood absolut ; kecuali yg bahan dasar UPVC</t>
        </r>
      </text>
    </comment>
    <comment ref="I302" authorId="0" shapeId="0" xr:uid="{00000000-0006-0000-0200-00001E000000}">
      <text>
        <r>
          <rPr>
            <b/>
            <sz val="9"/>
            <color indexed="81"/>
            <rFont val="Tahoma"/>
            <family val="2"/>
          </rPr>
          <t>Drafter - Reza:</t>
        </r>
        <r>
          <rPr>
            <sz val="9"/>
            <color indexed="81"/>
            <rFont val="Tahoma"/>
            <family val="2"/>
          </rPr>
          <t xml:space="preserve">
bahan plywood absolut ; kecuali yg bahan dasar UPVC</t>
        </r>
      </text>
    </comment>
    <comment ref="I303" authorId="0" shapeId="0" xr:uid="{00000000-0006-0000-0200-00001F000000}">
      <text>
        <r>
          <rPr>
            <b/>
            <sz val="9"/>
            <color indexed="81"/>
            <rFont val="Tahoma"/>
            <family val="2"/>
          </rPr>
          <t>Drafter - Reza:</t>
        </r>
        <r>
          <rPr>
            <sz val="9"/>
            <color indexed="81"/>
            <rFont val="Tahoma"/>
            <family val="2"/>
          </rPr>
          <t xml:space="preserve">
bahan plywood absolut ; kecuali yg bahan dasar UPVC</t>
        </r>
      </text>
    </comment>
    <comment ref="I304" authorId="0" shapeId="0" xr:uid="{00000000-0006-0000-0200-000020000000}">
      <text>
        <r>
          <rPr>
            <b/>
            <sz val="9"/>
            <color indexed="81"/>
            <rFont val="Tahoma"/>
            <family val="2"/>
          </rPr>
          <t>Drafter - Reza:</t>
        </r>
        <r>
          <rPr>
            <sz val="9"/>
            <color indexed="81"/>
            <rFont val="Tahoma"/>
            <family val="2"/>
          </rPr>
          <t xml:space="preserve">
bahan plywood absolut ; kecuali yg bahan dasar UPVC</t>
        </r>
      </text>
    </comment>
    <comment ref="I305" authorId="0" shapeId="0" xr:uid="{00000000-0006-0000-0200-000021000000}">
      <text>
        <r>
          <rPr>
            <b/>
            <sz val="9"/>
            <color indexed="81"/>
            <rFont val="Tahoma"/>
            <family val="2"/>
          </rPr>
          <t>Drafter - Reza:</t>
        </r>
        <r>
          <rPr>
            <sz val="9"/>
            <color indexed="81"/>
            <rFont val="Tahoma"/>
            <family val="2"/>
          </rPr>
          <t xml:space="preserve">
bahan plywood absolut ; kecuali yg bahan dasar UPVC</t>
        </r>
      </text>
    </comment>
    <comment ref="I306" authorId="0" shapeId="0" xr:uid="{00000000-0006-0000-0200-000022000000}">
      <text>
        <r>
          <rPr>
            <b/>
            <sz val="9"/>
            <color indexed="81"/>
            <rFont val="Tahoma"/>
            <family val="2"/>
          </rPr>
          <t>Drafter - Reza:</t>
        </r>
        <r>
          <rPr>
            <sz val="9"/>
            <color indexed="81"/>
            <rFont val="Tahoma"/>
            <family val="2"/>
          </rPr>
          <t xml:space="preserve">
bahan plywood absolut ; kecuali yg bahan dasar UPVC</t>
        </r>
      </text>
    </comment>
    <comment ref="I308" authorId="0" shapeId="0" xr:uid="{00000000-0006-0000-0200-000023000000}">
      <text>
        <r>
          <rPr>
            <b/>
            <sz val="9"/>
            <color indexed="81"/>
            <rFont val="Tahoma"/>
            <family val="2"/>
          </rPr>
          <t>Drafter - Reza:</t>
        </r>
        <r>
          <rPr>
            <sz val="9"/>
            <color indexed="81"/>
            <rFont val="Tahoma"/>
            <family val="2"/>
          </rPr>
          <t xml:space="preserve">
bahan plywood absolut ; kecuali yg bahan dasar UPVC</t>
        </r>
      </text>
    </comment>
    <comment ref="I309" authorId="0" shapeId="0" xr:uid="{00000000-0006-0000-0200-000024000000}">
      <text>
        <r>
          <rPr>
            <b/>
            <sz val="9"/>
            <color indexed="81"/>
            <rFont val="Tahoma"/>
            <family val="2"/>
          </rPr>
          <t>Drafter - Reza:</t>
        </r>
        <r>
          <rPr>
            <sz val="9"/>
            <color indexed="81"/>
            <rFont val="Tahoma"/>
            <family val="2"/>
          </rPr>
          <t xml:space="preserve">
bahan plywood absolut ; kecuali yg bahan dasar UPVC</t>
        </r>
      </text>
    </comment>
    <comment ref="I310" authorId="0" shapeId="0" xr:uid="{00000000-0006-0000-0200-000025000000}">
      <text>
        <r>
          <rPr>
            <b/>
            <sz val="9"/>
            <color indexed="81"/>
            <rFont val="Tahoma"/>
            <family val="2"/>
          </rPr>
          <t>Drafter - Reza:</t>
        </r>
        <r>
          <rPr>
            <sz val="9"/>
            <color indexed="81"/>
            <rFont val="Tahoma"/>
            <family val="2"/>
          </rPr>
          <t xml:space="preserve">
bahan plywood absolut ; kecuali yg bahan dasar UPVC</t>
        </r>
      </text>
    </comment>
    <comment ref="I313" authorId="0" shapeId="0" xr:uid="{00000000-0006-0000-0200-000026000000}">
      <text>
        <r>
          <rPr>
            <b/>
            <sz val="9"/>
            <color indexed="81"/>
            <rFont val="Tahoma"/>
            <family val="2"/>
          </rPr>
          <t>Drafter - Reza:</t>
        </r>
        <r>
          <rPr>
            <sz val="9"/>
            <color indexed="81"/>
            <rFont val="Tahoma"/>
            <family val="2"/>
          </rPr>
          <t xml:space="preserve">
bahan plywood absolut ; kecuali yg bahan dasar UPVC</t>
        </r>
      </text>
    </comment>
    <comment ref="I316" authorId="0" shapeId="0" xr:uid="{00000000-0006-0000-0200-000027000000}">
      <text>
        <r>
          <rPr>
            <b/>
            <sz val="9"/>
            <color indexed="81"/>
            <rFont val="Tahoma"/>
            <family val="2"/>
          </rPr>
          <t>Drafter - Reza:</t>
        </r>
        <r>
          <rPr>
            <sz val="9"/>
            <color indexed="81"/>
            <rFont val="Tahoma"/>
            <family val="2"/>
          </rPr>
          <t xml:space="preserve">
bahan plywood absolut ; kecuali yg bahan dasar UPVC</t>
        </r>
      </text>
    </comment>
    <comment ref="I325" authorId="0" shapeId="0" xr:uid="{00000000-0006-0000-0200-000028000000}">
      <text>
        <r>
          <rPr>
            <b/>
            <sz val="9"/>
            <color indexed="81"/>
            <rFont val="Tahoma"/>
            <family val="2"/>
          </rPr>
          <t>Drafter - Reza:</t>
        </r>
        <r>
          <rPr>
            <sz val="9"/>
            <color indexed="81"/>
            <rFont val="Tahoma"/>
            <family val="2"/>
          </rPr>
          <t xml:space="preserve">
bahan plywood absolut ; kecuali yg bahan dasar UPVC</t>
        </r>
      </text>
    </comment>
    <comment ref="I336" authorId="0" shapeId="0" xr:uid="{00000000-0006-0000-0200-000029000000}">
      <text>
        <r>
          <rPr>
            <b/>
            <sz val="9"/>
            <color indexed="81"/>
            <rFont val="Tahoma"/>
            <family val="2"/>
          </rPr>
          <t>Drafter - Reza:</t>
        </r>
        <r>
          <rPr>
            <sz val="9"/>
            <color indexed="81"/>
            <rFont val="Tahoma"/>
            <family val="2"/>
          </rPr>
          <t xml:space="preserve">
bahan plywood absolut ; kecuali yg bahan dasar UPVC</t>
        </r>
      </text>
    </comment>
    <comment ref="I337" authorId="0" shapeId="0" xr:uid="{00000000-0006-0000-0200-00002A000000}">
      <text>
        <r>
          <rPr>
            <b/>
            <sz val="9"/>
            <color indexed="81"/>
            <rFont val="Tahoma"/>
            <family val="2"/>
          </rPr>
          <t>Drafter - Reza:</t>
        </r>
        <r>
          <rPr>
            <sz val="9"/>
            <color indexed="81"/>
            <rFont val="Tahoma"/>
            <family val="2"/>
          </rPr>
          <t xml:space="preserve">
bahan plywood absolut ; kecuali yg bahan dasar UPVC</t>
        </r>
      </text>
    </comment>
    <comment ref="I338" authorId="0" shapeId="0" xr:uid="{00000000-0006-0000-0200-00002B000000}">
      <text>
        <r>
          <rPr>
            <b/>
            <sz val="9"/>
            <color indexed="81"/>
            <rFont val="Tahoma"/>
            <family val="2"/>
          </rPr>
          <t>Drafter - Reza:</t>
        </r>
        <r>
          <rPr>
            <sz val="9"/>
            <color indexed="81"/>
            <rFont val="Tahoma"/>
            <family val="2"/>
          </rPr>
          <t xml:space="preserve">
bahan plywood absolut ; kecuali yg bahan dasar UPVC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Rakit - Adit </author>
  </authors>
  <commentList>
    <comment ref="A1" authorId="0" shapeId="0" xr:uid="{00000000-0006-0000-0400-000001000000}">
      <text>
        <r>
          <rPr>
            <b/>
            <sz val="9"/>
            <rFont val="Tahoma"/>
            <family val="2"/>
          </rPr>
          <t>CEK KETINGGIAN BARIS UNTUK MENGHINDARI KETERANGAN² YANG TIDAK TERILHAT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xml:space="preserve"> Rakit - Adit </author>
  </authors>
  <commentList>
    <comment ref="A1" authorId="0" shapeId="0" xr:uid="{00000000-0006-0000-0500-000001000000}">
      <text>
        <r>
          <rPr>
            <b/>
            <sz val="9"/>
            <rFont val="Tahoma"/>
            <family val="2"/>
          </rPr>
          <t>CEK KETINGGIAN BARIS UNTUK MENGHINDARI KETERANGAN² YANG TIDAK TERILHAT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xml:space="preserve"> Rakit - Adit </author>
  </authors>
  <commentList>
    <comment ref="A1" authorId="0" shapeId="0" xr:uid="{00000000-0006-0000-0600-000001000000}">
      <text>
        <r>
          <rPr>
            <b/>
            <sz val="9"/>
            <rFont val="Tahoma"/>
            <family val="2"/>
          </rPr>
          <t>CEK KETINGGIAN BARIS UNTUK MENGHINDARI KETERANGAN² YANG TIDAK TERILHAT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xml:space="preserve"> Rakit - Adit </author>
  </authors>
  <commentList>
    <comment ref="A1" authorId="0" shapeId="0" xr:uid="{00000000-0006-0000-0700-000001000000}">
      <text>
        <r>
          <rPr>
            <b/>
            <sz val="9"/>
            <rFont val="Tahoma"/>
            <family val="2"/>
          </rPr>
          <t>CEK KETINGGIAN BARIS UNTUK MENGHINDARI KETERANGAN² YANG TIDAK TERILHAT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xml:space="preserve"> Rakit - Adit </author>
  </authors>
  <commentList>
    <comment ref="A1" authorId="0" shapeId="0" xr:uid="{00000000-0006-0000-0800-000001000000}">
      <text>
        <r>
          <rPr>
            <b/>
            <sz val="9"/>
            <rFont val="Tahoma"/>
            <family val="2"/>
          </rPr>
          <t>CEK KETINGGIAN KOLOM UNTUK MENHINDARI KETERANGAN² YG TIDAk TERLIHAT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xml:space="preserve"> Rakit - Adit </author>
  </authors>
  <commentList>
    <comment ref="A1" authorId="0" shapeId="0" xr:uid="{00000000-0006-0000-0900-000001000000}">
      <text>
        <r>
          <rPr>
            <b/>
            <sz val="9"/>
            <rFont val="Tahoma"/>
            <family val="2"/>
          </rPr>
          <t>CEK KETINGGIAN KOLOM UNTUK MENHINDARI KETERANGAN² YG TIDAk TERLIHAT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xml:space="preserve"> Rakit - Adit </author>
  </authors>
  <commentList>
    <comment ref="A2" authorId="0" shapeId="0" xr:uid="{00000000-0006-0000-1100-000001000000}">
      <text>
        <r>
          <rPr>
            <b/>
            <sz val="9"/>
            <rFont val="Tahoma"/>
            <family val="2"/>
          </rPr>
          <t>CEK &amp; UNHIDE SEMUA BARIS UNTUK MENGHINDARI ITEM TERHITUNG,,YG TIDAK TERCETAK SAAT DIPRINT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xml:space="preserve"> Rakit - Adit </author>
  </authors>
  <commentList>
    <comment ref="A2" authorId="0" shapeId="0" xr:uid="{00000000-0006-0000-1300-000001000000}">
      <text>
        <r>
          <rPr>
            <b/>
            <sz val="9"/>
            <rFont val="Tahoma"/>
            <family val="2"/>
          </rPr>
          <t>CEK &amp; UNHIDE SEMUA BARIS UNTUK MENGHINDARI ITEM TERHITUNG,,YG TIDAK TERCETAK SAAT DIPRINT</t>
        </r>
      </text>
    </comment>
    <comment ref="A3" authorId="0" shapeId="0" xr:uid="{00000000-0006-0000-1300-000002000000}">
      <text>
        <r>
          <rPr>
            <b/>
            <sz val="9"/>
            <rFont val="Tahoma"/>
            <family val="2"/>
          </rPr>
          <t>CEK &amp; UNHIDE SEMUA BARIS UNTUK MENGHINDARI ITEM TERHITUNG,,YG TIDAK TERCETAK SAAT DIPRINT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xml:space="preserve"> Rakit - Adit </author>
  </authors>
  <commentList>
    <comment ref="A1" authorId="0" shapeId="0" xr:uid="{00000000-0006-0000-1400-000001000000}">
      <text>
        <r>
          <rPr>
            <b/>
            <sz val="9"/>
            <rFont val="Tahoma"/>
            <family val="2"/>
          </rPr>
          <t>CEK KETINGGIAN BARIS UNTUK MENGHINDARI KETERANGAN² YANG TIDAK TERILHAT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xml:space="preserve"> Rakit - Adit </author>
  </authors>
  <commentList>
    <comment ref="A1" authorId="0" shapeId="0" xr:uid="{00000000-0006-0000-1500-000001000000}">
      <text>
        <r>
          <rPr>
            <b/>
            <sz val="9"/>
            <rFont val="Tahoma"/>
            <family val="2"/>
          </rPr>
          <t>CEK KETINGGIAN BARIS UNTUK MENGHINDARI KETERANGAN² YANG TIDAK TERILHAT</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xml:space="preserve"> Rakit - Adit </author>
    <author>Drafter - Reza</author>
  </authors>
  <commentList>
    <comment ref="A2" authorId="0" shapeId="0" xr:uid="{00000000-0006-0000-1600-000001000000}">
      <text>
        <r>
          <rPr>
            <b/>
            <sz val="9"/>
            <rFont val="Tahoma"/>
            <family val="2"/>
          </rPr>
          <t>CEK &amp; UNHIDE SEMUA BARIS UNTUK MENGHINDARI ITEM TERHITUNG,,YG TIDAK TERCETAK SAAT DIPRINT</t>
        </r>
      </text>
    </comment>
    <comment ref="C38" authorId="1" shapeId="0" xr:uid="{00000000-0006-0000-1600-000002000000}">
      <text>
        <r>
          <rPr>
            <b/>
            <sz val="9"/>
            <color indexed="81"/>
            <rFont val="Tahoma"/>
            <family val="2"/>
          </rPr>
          <t>Drafter - Reza:</t>
        </r>
        <r>
          <rPr>
            <sz val="9"/>
            <color indexed="81"/>
            <rFont val="Tahoma"/>
            <family val="2"/>
          </rPr>
          <t xml:space="preserve">
khusus mled 02/08 jangan dirubah posisi</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xml:space="preserve"> Rakit - Adit </author>
  </authors>
  <commentList>
    <comment ref="A2" authorId="0" shapeId="0" xr:uid="{00000000-0006-0000-1700-000001000000}">
      <text>
        <r>
          <rPr>
            <b/>
            <sz val="9"/>
            <rFont val="Tahoma"/>
            <family val="2"/>
          </rPr>
          <t>CEK &amp; UNHIDE SEMUA BARIS UNTUK MENGHINDARI ITEM TERHITUNG,,YG TIDAK TERCETAK SAAT DIPRINT</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xml:space="preserve"> Rakit - Adit </author>
  </authors>
  <commentList>
    <comment ref="A1" authorId="0" shapeId="0" xr:uid="{00000000-0006-0000-1800-000001000000}">
      <text>
        <r>
          <rPr>
            <b/>
            <sz val="9"/>
            <rFont val="Tahoma"/>
            <family val="2"/>
          </rPr>
          <t>CEK KETINGGIAN BARIS UNTUK MENGHINDARI KETERANGAN² YANG TIDAK TERILHAT</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xml:space="preserve"> Rakit - Adit </author>
  </authors>
  <commentList>
    <comment ref="A2" authorId="0" shapeId="0" xr:uid="{00000000-0006-0000-1900-000001000000}">
      <text>
        <r>
          <rPr>
            <b/>
            <sz val="9"/>
            <rFont val="Tahoma"/>
            <family val="2"/>
          </rPr>
          <t>CEK &amp; UNHIDE SEMUA BARIS UNTUK MENGHINDARI ITEM TERHITUNG,,YG TIDAK TERCETAK SAAT DIPRINT</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xml:space="preserve"> Rakit - Adit </author>
  </authors>
  <commentList>
    <comment ref="A1" authorId="0" shapeId="0" xr:uid="{00000000-0006-0000-1A00-000001000000}">
      <text>
        <r>
          <rPr>
            <b/>
            <sz val="9"/>
            <rFont val="Tahoma"/>
            <family val="2"/>
          </rPr>
          <t>CEK KETINGGIAN BARIS UNTUK MENGHINDARI KETERANGAN² YANG TIDAK TERILHAT</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xml:space="preserve"> Rakit - Adit </author>
  </authors>
  <commentList>
    <comment ref="A1" authorId="0" shapeId="0" xr:uid="{00000000-0006-0000-1B00-000001000000}">
      <text>
        <r>
          <rPr>
            <b/>
            <sz val="9"/>
            <rFont val="Tahoma"/>
            <family val="2"/>
          </rPr>
          <t>CEK KETINGGIAN BARIS UNTUK MENGHINDARI KETERANGAN² YANG TIDAK TERILHAT</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xml:space="preserve"> Rakit - Adit </author>
  </authors>
  <commentList>
    <comment ref="A2" authorId="0" shapeId="0" xr:uid="{00000000-0006-0000-1D00-000001000000}">
      <text>
        <r>
          <rPr>
            <b/>
            <sz val="9"/>
            <rFont val="Tahoma"/>
            <family val="2"/>
          </rPr>
          <t>CEK &amp; UNHIDE SEMUA BARIS UNTUK MENGHINDARI ITEM TERHITUNG,,YG TIDAK TERCETAK SAAT DIPRINT</t>
        </r>
      </text>
    </comment>
  </commentList>
</comments>
</file>

<file path=xl/sharedStrings.xml><?xml version="1.0" encoding="utf-8"?>
<sst xmlns="http://schemas.openxmlformats.org/spreadsheetml/2006/main" count="15582" uniqueCount="4928">
  <si>
    <t>Bahan</t>
  </si>
  <si>
    <t>ID</t>
  </si>
  <si>
    <t>Anti Rayap</t>
  </si>
  <si>
    <t>Keterangan</t>
  </si>
  <si>
    <t>Ply Polos</t>
  </si>
  <si>
    <t>Ply LANTREX 3 mm polos untuk pintu</t>
  </si>
  <si>
    <t>Ply LANTREX 6 mm polos untuk pintu</t>
  </si>
  <si>
    <t>Ply LANTREX 6 mm polos untuk box</t>
  </si>
  <si>
    <t>Ply LANTREX 6 mm polos untuk kelengkapan</t>
  </si>
  <si>
    <t>Ply LANTREX 9 mm polos untuk pintu</t>
  </si>
  <si>
    <t>Ply LANTREX 9 mm polos untuk box</t>
  </si>
  <si>
    <t>Ply LANTREX 9 mm polos untuk kelengkapan</t>
  </si>
  <si>
    <t>Ply LANTREX 12 mm polos untuk pintu</t>
  </si>
  <si>
    <t>Ply LANTREX 12 mm polos untuk kelengkapan</t>
  </si>
  <si>
    <t>Ply LANTREX 13 mm polos untuk pintu</t>
  </si>
  <si>
    <t>Ply LANTREX 14.5 mm polos untuk pintu</t>
  </si>
  <si>
    <t>Ply LANTREX 14.5 mm polos untuk box</t>
  </si>
  <si>
    <t>Ply LANTREX 17 mm polos untuk pintu</t>
  </si>
  <si>
    <t>Ply LANTREX 17 mm polos untuk kelengkapan</t>
  </si>
  <si>
    <t>Ply LANTREX 18 mm polos untuk pintu</t>
  </si>
  <si>
    <t>Ply LANTREX 18 mm polos untuk box</t>
  </si>
  <si>
    <t>Ply LANTREX 18 mm polos untuk kelengkapan</t>
  </si>
  <si>
    <t>Ply LANTREX 24 mm polos untuk box</t>
  </si>
  <si>
    <t>Ply LANTREX 38 mm OVL (HPL+ HPL)</t>
  </si>
  <si>
    <t>Ply LANTREX 38 mm OVL (TM+TM)</t>
  </si>
  <si>
    <t>Ply LANTREX 38 MM OVL (TM+ HPL)</t>
  </si>
  <si>
    <t>Ply Polos u Duco</t>
  </si>
  <si>
    <t>Ply 24 mm LANTREX untuk Duco</t>
  </si>
  <si>
    <t>Ply 18 mm LANTREX untuk Duco</t>
  </si>
  <si>
    <t>Ply 15 mm LANTREX untuk Duco</t>
  </si>
  <si>
    <t>Ply 13 mm LANTREX untuk Duco</t>
  </si>
  <si>
    <t>Ply 12 mm LANTREX untuk Duco</t>
  </si>
  <si>
    <t>Ply 9 mm LANTREX untuk Duco</t>
  </si>
  <si>
    <t>Ply 5.5 mm LANTREX untuk Duco</t>
  </si>
  <si>
    <t>Ply 3 mm LANTREX untuk Duco</t>
  </si>
  <si>
    <t>HPL u Duco</t>
  </si>
  <si>
    <t>HPL untuk duco 4X10</t>
  </si>
  <si>
    <t>HPL untuk duco 4X8</t>
  </si>
  <si>
    <t>Ply LANTREX 18 mm MARINE</t>
  </si>
  <si>
    <t>Ply aica 2mk</t>
  </si>
  <si>
    <t>Ply LANTREX 18 mm HPL Putih 2 mk</t>
  </si>
  <si>
    <t>Ply Aica 1mk</t>
  </si>
  <si>
    <t>Ply LANTREX 9 mm HPL Putih 1 mk</t>
  </si>
  <si>
    <t>Ply LANTREX 18 mm HPL Mocca 1337 A 2 mk</t>
  </si>
  <si>
    <t>Edg Rehau 270 B</t>
  </si>
  <si>
    <t>Ply Mocca+Aica</t>
  </si>
  <si>
    <t>Ply LANTREX 18 mm HPL Mocca 1337 A + HPL Putih</t>
  </si>
  <si>
    <t>Ply Mocca 2mk</t>
  </si>
  <si>
    <t>Ply LANTREX 15 mm HPL Mocca 1337 A 2 mk</t>
  </si>
  <si>
    <t>Ply LANTREX 5,5 mm lokal HPL Mocca 1337 A + HPL Putih</t>
  </si>
  <si>
    <t>Ply Mocca+GS 1</t>
  </si>
  <si>
    <t>Ply LANTREX 6 mm lokal lapis HPL Mocca 1337 A + HPL GS 1</t>
  </si>
  <si>
    <t>HPL</t>
  </si>
  <si>
    <t>HPL mocha 1337 A 4x8</t>
  </si>
  <si>
    <t>Edging</t>
  </si>
  <si>
    <t>Edg Rehau 270 B  uk : 23x1</t>
  </si>
  <si>
    <t>Ply C001 2mk</t>
  </si>
  <si>
    <t>Ply LANTREX 18 mm HPL C 001 LD 2 mk</t>
  </si>
  <si>
    <t>Edg Rehau 558</t>
  </si>
  <si>
    <t>Ply C001 + Aica</t>
  </si>
  <si>
    <t>Ply LANTREX 18 mm HPL C 001 LD + HPL Putih</t>
  </si>
  <si>
    <t>Ply LANTREX 15 mm HPL C 001 LD 2 mk</t>
  </si>
  <si>
    <t>Ply LANTREX 6 mm HPL C 001 LD + HPL Putih</t>
  </si>
  <si>
    <t>Edg Rehau 558  uk : 23x1</t>
  </si>
  <si>
    <t>Edg Rehau 558  uk : 29x1</t>
  </si>
  <si>
    <t>Edg Rehau 558  uk : 55x1.5</t>
  </si>
  <si>
    <t>Ply HB 41130 2mk</t>
  </si>
  <si>
    <t>Ply LANTREX 24 mm  HPL HB 41130 2 mk</t>
  </si>
  <si>
    <t>Edg Decor 1723 B</t>
  </si>
  <si>
    <t>Ply LANTREX 18 mm HPL HB 41130 2 mk</t>
  </si>
  <si>
    <t>Ply HB 41130 + Aica</t>
  </si>
  <si>
    <t>Ply LANTREX 18 mm HPL HB 41130 + HPL Putih</t>
  </si>
  <si>
    <t>Ply LANTREX 15 mm HPL HB 41130 2 mk</t>
  </si>
  <si>
    <t>Ply LANTREX 6 mm lapis HPL HB 41130 + HPL putih</t>
  </si>
  <si>
    <t>Ply LANTREX 9 mm HPL HB 41130 + HPL Putih</t>
  </si>
  <si>
    <t>HPL HB 41130 tebal 0.6 mm</t>
  </si>
  <si>
    <t>Edg Decor 1723 B  uk : 23x1</t>
  </si>
  <si>
    <t>Edg Decor 1723 B  uk : 61x1</t>
  </si>
  <si>
    <t>Ply HB 41130 -11 + Aica</t>
  </si>
  <si>
    <t>Ply LANTREX 18 mm HPL HB 41130-11 + HPL Putih</t>
  </si>
  <si>
    <t>Edging Decor 1740 B</t>
  </si>
  <si>
    <t>Ply HB 41130 -11 2mk</t>
  </si>
  <si>
    <t>Ply LANTREX  18 mm HPL HB 41130-11 2 mk</t>
  </si>
  <si>
    <t>Ply LANTREX 15 mm HPL HB 41130-11 2 mk</t>
  </si>
  <si>
    <t>Ply LANTREX 6 mm HPL HB 41130-11 + HPL Putih</t>
  </si>
  <si>
    <t>Edging Decor 1740 B (23x1)</t>
  </si>
  <si>
    <t>Edging Decor 1740 B (29x1)</t>
  </si>
  <si>
    <t>Edging Decor 1740 B (45x1)</t>
  </si>
  <si>
    <t>Ply 3 mm polos untuk pintu</t>
  </si>
  <si>
    <t>Non Anti Rayap</t>
  </si>
  <si>
    <t>Ply 3 mm polos untuk alas</t>
  </si>
  <si>
    <t>Ply 4 mm polos untuk pintu</t>
  </si>
  <si>
    <t>Ply 6 mm polos untuk pintu</t>
  </si>
  <si>
    <t>Ply 6 mm polos untuk box</t>
  </si>
  <si>
    <t>Ply 6 mm polos untuk kelengkapan</t>
  </si>
  <si>
    <t>Ply Polos Smartply</t>
  </si>
  <si>
    <t>Ply 9 mm Smartply 1 mk</t>
  </si>
  <si>
    <t>Ply 9 mm polos untuk pintu</t>
  </si>
  <si>
    <t>Ply 9 mm polos untuk box</t>
  </si>
  <si>
    <t>Ply 9 mm polos untuk kelengkapan</t>
  </si>
  <si>
    <t>Ply 12 mm polos untuk pintu</t>
  </si>
  <si>
    <t>Ply 12 mm polos untuk kelengkapan</t>
  </si>
  <si>
    <t>Ply 13 mm polos untuk pintu</t>
  </si>
  <si>
    <t>Ply 13 mm polos untuk pintu 4X10</t>
  </si>
  <si>
    <t>Ply 15 mm Smartply 2 mk</t>
  </si>
  <si>
    <t>Ply 14.5 mm polos untuk pintu</t>
  </si>
  <si>
    <t>Ply 14.5 mm polos untuk box</t>
  </si>
  <si>
    <t>Ply 17 mm polos untuk pintu</t>
  </si>
  <si>
    <t>Ply 17 mm polos untuk pintu 4X10</t>
  </si>
  <si>
    <t>Ply 17 mm polos untuk kelengkapan</t>
  </si>
  <si>
    <t>Ply 18 mm Smartply</t>
  </si>
  <si>
    <t>Ply 18 mm polos untuk pintu</t>
  </si>
  <si>
    <t>Ply 18 mm polos untuk pintu 4X10</t>
  </si>
  <si>
    <t>Ply 18 mm polos untuk box</t>
  </si>
  <si>
    <t>Ply 18 mm polos untuk kelengkapan</t>
  </si>
  <si>
    <t>Ply 24 mm polos untuk box</t>
  </si>
  <si>
    <t>Ply 38 mm OVL FA (TM + TM)</t>
  </si>
  <si>
    <t>Ply 38 mm OVL FA (TM + HPL)</t>
  </si>
  <si>
    <t>Ply 38 mm OVL FA (HPL +  HPL)</t>
  </si>
  <si>
    <t>Ply 24 mm untuk Duco</t>
  </si>
  <si>
    <t>Ply 18 mm untuk Duco</t>
  </si>
  <si>
    <t>Ply 18 mm untuk Duco 4X10</t>
  </si>
  <si>
    <t>Ply 15 mm untuk Duco</t>
  </si>
  <si>
    <t>Ply 13 mm untuk Duco</t>
  </si>
  <si>
    <t>Ply 13 mm untuk Duco 4X10</t>
  </si>
  <si>
    <t>Ply 12 mm untuk Duco</t>
  </si>
  <si>
    <t>Ply 9 mm untuk Duco</t>
  </si>
  <si>
    <t>Ply 5.5 mm untuk Duco</t>
  </si>
  <si>
    <t>Ply 3 mm untuk Duco</t>
  </si>
  <si>
    <t>UPVC</t>
  </si>
  <si>
    <t>POLA BOARD GREY NATURAL 5 MM 4X8</t>
  </si>
  <si>
    <t>POLA BOARD GREY NATURAL 8 MM 4X8</t>
  </si>
  <si>
    <t>POLA BOARD GREY NATURAL 10 MM 4X8</t>
  </si>
  <si>
    <t>POLA BOARD GREY NATURAL 12 MM 4X8</t>
  </si>
  <si>
    <t>POLA BOARD GREY NATURAL 15 MM 4X8</t>
  </si>
  <si>
    <t>POLA BOARD GREY NATURAL 18 MM 4X8</t>
  </si>
  <si>
    <t>UPVC u Duco</t>
  </si>
  <si>
    <t>Pola  Board Grey Natural 5 mm 4X8 Untuk DUCO</t>
  </si>
  <si>
    <t>Pola  Board Grey Natural 8 mm 4X8 Untuk DUCO</t>
  </si>
  <si>
    <t>Pola  Board Grey Natural 10 mm 4X8 Untuk DUCO</t>
  </si>
  <si>
    <t>Pola  Board Grey Natural 12 mm 4X8 Untuk DUCO</t>
  </si>
  <si>
    <t>Pola  Board Grey Natural 15 mm 4X8 Untuk DUCO</t>
  </si>
  <si>
    <t>Pola  Board Grey Natural 18 mm 4X8 Untuk DUCO</t>
  </si>
  <si>
    <t>PLYWOOD MARINE 18 MM 4x8</t>
  </si>
  <si>
    <t>Ply SDL 2215 2mk</t>
  </si>
  <si>
    <t>Ply 18 mm OVL DF HPL SDL 2215 2 mk</t>
  </si>
  <si>
    <t>Edg 477 L (pintu urat cokelat) ; PVC Putih 11441  22x1  (pintu putih)</t>
  </si>
  <si>
    <t>Ply 15 mm OVL DF HPL SDL 2215 2 mk</t>
  </si>
  <si>
    <t>Ply 6 mm HPL SDL 2215 2 mk</t>
  </si>
  <si>
    <t>HPL SDL 2215</t>
  </si>
  <si>
    <t>Edg 477 L : 23x1 (bila warna pintu urat kayu cokelat)</t>
  </si>
  <si>
    <t>Edg 477 L : 29x1 (bila warna pintu urat kayu cokelat)</t>
  </si>
  <si>
    <t>Edg PVC Putih 11441  22x1  (bila pintu berwarna putih)</t>
  </si>
  <si>
    <t>Edg PVC Putih 11441  42x2  (bila pintu berwarna putih)</t>
  </si>
  <si>
    <t>Ply 18 mm HPL Putih 2 mk</t>
  </si>
  <si>
    <t>Ply 15 mm HPL Putih 2 mk</t>
  </si>
  <si>
    <t>Ply 9 mm HPL Putih 1 mk</t>
  </si>
  <si>
    <t>Ply 6 mm HPL Putih 2 mk</t>
  </si>
  <si>
    <t>HPL Aica Putih</t>
  </si>
  <si>
    <t>Ply 18 mm HPL Mocca 1337 A 2 mk</t>
  </si>
  <si>
    <t>Ply 18 mm HPL Mocca 1337 A + HPL Putih</t>
  </si>
  <si>
    <t>Ply 15 mm HPL Mocca 1337 A 2 mk</t>
  </si>
  <si>
    <t>Ply 9 mm HPL Mocca 1337 A + HPL Putih</t>
  </si>
  <si>
    <t>Ply 6 mm HPL Mocca 1337 A + HPL Putih</t>
  </si>
  <si>
    <t>Ply 24 mm HPL C 001 LD 2 mk</t>
  </si>
  <si>
    <t>Ply 18 mm HPL C 001 LD 2 mk</t>
  </si>
  <si>
    <t>Ply 18 mm HPL C 001 LD + HPL Putih</t>
  </si>
  <si>
    <t>Ply 15 mm HPL C 001 LD 2 mk</t>
  </si>
  <si>
    <t>Ply 9 mm HPL C 001 LD + HPL Putih</t>
  </si>
  <si>
    <t>Ply 6 mm HPL C 001-LD + HPL Putih</t>
  </si>
  <si>
    <t>HPL C 001-LD</t>
  </si>
  <si>
    <t>Ply 24 mm HPL HB 41130 2 mk</t>
  </si>
  <si>
    <t>Ply 18 mm HPL HB 41130 2 mk</t>
  </si>
  <si>
    <t>Ply 18 mm HPL HB 41130 + HPL Putih</t>
  </si>
  <si>
    <t>Ply 15 mm Lapis HB 41130 2 mk</t>
  </si>
  <si>
    <t>Ply 9 mm HPL HB 41130 + Aica Putih</t>
  </si>
  <si>
    <t>Ply 6 mm Lapis HB 41130 + Aica 1311</t>
  </si>
  <si>
    <t>Ply 24 mm HPL HB 41130-11 2 mk</t>
  </si>
  <si>
    <t>Ply 18 mm HPL HB 41130-11 2 mk</t>
  </si>
  <si>
    <t>Ply 18 mm HPL HB 41130-11 + HPL Putih</t>
  </si>
  <si>
    <t>Ply 15 mm HPL HB 41130-11 2 mk</t>
  </si>
  <si>
    <t>Ply 9 mm HPL HB 41130-11 + HPL Putih</t>
  </si>
  <si>
    <t>Ply 6 mm HB 41130-11 + HPL Putih</t>
  </si>
  <si>
    <t>HPL M 41130 / HB 41130-11  0.6 mm</t>
  </si>
  <si>
    <t>MDF Polos</t>
  </si>
  <si>
    <t>Mdf 3 mm polos untuk pintu</t>
  </si>
  <si>
    <t>Mdf 6 mm polos untuk pintu</t>
  </si>
  <si>
    <t>MDF 9 mm polos untuk pintu</t>
  </si>
  <si>
    <t>Mdf 9 mm polos untuk box</t>
  </si>
  <si>
    <t>Mdf 11 mm polos untuk pintu</t>
  </si>
  <si>
    <t>Mdf 12 mm polos untuk pintu</t>
  </si>
  <si>
    <t>Mdf 15 mm polos untuk pintu</t>
  </si>
  <si>
    <t>Mdf 15 mm polos untuk box</t>
  </si>
  <si>
    <t>Mdf 16 mm polos untuk pintu</t>
  </si>
  <si>
    <t>Mdf 17 mm polos untuk pintu</t>
  </si>
  <si>
    <t>Mdf 18 mm polos untuk pintu</t>
  </si>
  <si>
    <t>Mdf 18 mm polos untuk box</t>
  </si>
  <si>
    <t>Mdf 24 mm polos untuk box</t>
  </si>
  <si>
    <t>Mdf 24 mm polos untuk pintu</t>
  </si>
  <si>
    <t>MDF MFS 203 2mk</t>
  </si>
  <si>
    <t>MDF 24 mm MFS 203 2 mk</t>
  </si>
  <si>
    <t>Edging Rehau 558+Oak 305 3sisi</t>
  </si>
  <si>
    <t>MDF 18 mm MFS 203 2 mk</t>
  </si>
  <si>
    <t>MDF MFS 203 1mk</t>
  </si>
  <si>
    <t>MDF 18 mm MFS 203 1 mk</t>
  </si>
  <si>
    <t>MDF 15 mm MFS 203 2 mk</t>
  </si>
  <si>
    <t>MDF 9 mm MFS 203 1 mk</t>
  </si>
  <si>
    <t>MDF 9 mm MFS 203 2 mk</t>
  </si>
  <si>
    <t>Paper</t>
  </si>
  <si>
    <t>Mel paper MFS 203</t>
  </si>
  <si>
    <t>Edging Rehau 558 (23x1)</t>
  </si>
  <si>
    <t>Edging Rehau 558 (29x1)</t>
  </si>
  <si>
    <t>Edging Rehau 558 (55x1.5)</t>
  </si>
  <si>
    <t>Edging Oak 305 uk : 22X0.4  (utk edg 3 sisi)</t>
  </si>
  <si>
    <t>MDF MWW 003 2mk</t>
  </si>
  <si>
    <t>MDF 24 mm MWW 003 2 mk</t>
  </si>
  <si>
    <t>Edging Decor 2023 B+Oak 305 3sisi</t>
  </si>
  <si>
    <t>MDF 18 mm MWW 003 2 mk</t>
  </si>
  <si>
    <t>MDF MWW 003 1mk</t>
  </si>
  <si>
    <t>MDF 18 mm MWW 003 1 mk</t>
  </si>
  <si>
    <t>MDF 15 mm MWW 003 2 mk</t>
  </si>
  <si>
    <t>MDF 9 mm MWW 003 1 mk</t>
  </si>
  <si>
    <t>MDF 9 mm MWW 003 2 mk</t>
  </si>
  <si>
    <t>Mel Paper MWW 003</t>
  </si>
  <si>
    <t>Edging Decor 2023 B (23x1)</t>
  </si>
  <si>
    <t>Edging Decor 2023 B (29x1)</t>
  </si>
  <si>
    <t>Edging Decor 2023 B (61x1)</t>
  </si>
  <si>
    <t>MDF MWW 004 2mk</t>
  </si>
  <si>
    <t>MDF 24 mm MWW 004 2 mk</t>
  </si>
  <si>
    <t>Edging Decor 2024 B+Oak 305 3sisi</t>
  </si>
  <si>
    <t>MDF 18 mm MWW 004 2 mk</t>
  </si>
  <si>
    <t>MDF MWW 004 1mk</t>
  </si>
  <si>
    <t>MDF 18 mm MWW 004 1 mk</t>
  </si>
  <si>
    <t>MDF 15 mm MWW 004 2 mk</t>
  </si>
  <si>
    <t>MDF 9 mm MWW 004 1 mk</t>
  </si>
  <si>
    <t>MDF 9 mm MWW 004 2 mk</t>
  </si>
  <si>
    <t>Melamin paper MWW 004</t>
  </si>
  <si>
    <t>Edging Decor 2024 B (23x1)</t>
  </si>
  <si>
    <t>Edging Decor 2024 B (29x1)</t>
  </si>
  <si>
    <t>Edging Decor 2024 B (61x1)</t>
  </si>
  <si>
    <t>MDF MM 01 2mk</t>
  </si>
  <si>
    <t>MDF 24 mm MM 01 2 mk</t>
  </si>
  <si>
    <t>Edging Decor 1684 B+Oak 305 3sisi</t>
  </si>
  <si>
    <t>MDF 18 mm MM 01 2 mk</t>
  </si>
  <si>
    <t>MDF MM 01 1mk</t>
  </si>
  <si>
    <t>MDF 18 mm MM 01 1 mk</t>
  </si>
  <si>
    <t>MDF 15 mm MM 01 2 mk</t>
  </si>
  <si>
    <t>MDF 9 mm MM 01 1 mk</t>
  </si>
  <si>
    <t>MDF 9 mm MM 01 2 mk</t>
  </si>
  <si>
    <t>Melamin Paper MM 01</t>
  </si>
  <si>
    <t>Edging Decor 1684 B (23x1)</t>
  </si>
  <si>
    <t>Edging Decor 1684 B (29x1)</t>
  </si>
  <si>
    <t>Edging Decor 1684 B (45x1)</t>
  </si>
  <si>
    <t>MDF AL 01 2mk</t>
  </si>
  <si>
    <t>MDF 24 mm + AL 01 2 mk</t>
  </si>
  <si>
    <t>Edging Decor 1763 B+Oak 305 3sisi</t>
  </si>
  <si>
    <t>MDF 18 mm + AL 01 2 mk</t>
  </si>
  <si>
    <t>MDF AL 01 1mk</t>
  </si>
  <si>
    <t>MDF 18 mm + AL 01 1 mk</t>
  </si>
  <si>
    <t>MDF 15 mm + AL 01 2 mk</t>
  </si>
  <si>
    <t>MDF 9 mm + AL 01 1 mk</t>
  </si>
  <si>
    <t>MDF 9 mm + AL 01 2 mk</t>
  </si>
  <si>
    <t>Melamin Paper AL 01</t>
  </si>
  <si>
    <t>Edging Decor 1763 B (23x1)</t>
  </si>
  <si>
    <t>Edging Decor 1763 B (61x1)</t>
  </si>
  <si>
    <t>MDF HB 40153 2mk</t>
  </si>
  <si>
    <t>MDF SIAM 24MM+HB 40153 2MK</t>
  </si>
  <si>
    <t>Edg BD 0708 1103 + Oak 305 3sisi</t>
  </si>
  <si>
    <t>MDF SIAM 18MM+HB 40153 2MK</t>
  </si>
  <si>
    <t>MDF HB 40153 1mk</t>
  </si>
  <si>
    <t>MDF SIAM 18MM+HB 40153 1MK</t>
  </si>
  <si>
    <t>MDF SIAM 15MM+HB 40153 2MK</t>
  </si>
  <si>
    <t>MDF SIAM 9MM+HB 40153 1MK</t>
  </si>
  <si>
    <t>MDF SIAM 9MM+HB 40153 2MK</t>
  </si>
  <si>
    <t>Melamin Paper HB 40153</t>
  </si>
  <si>
    <t>Edg BD 0708 1103  uk : 23x1</t>
  </si>
  <si>
    <t>MDF MM 002 2mk</t>
  </si>
  <si>
    <t>MDF 24 mm Mel Paper MM 002 2 mk</t>
  </si>
  <si>
    <t>Edging Decor 1740 B + Oak 305 3sisi</t>
  </si>
  <si>
    <t>MDF 18 mm Mel Paper MM 002 2 mk</t>
  </si>
  <si>
    <t>MDF MM 002 1mk</t>
  </si>
  <si>
    <t>MDF 18 mm Mel Paper MM 002 1 mk</t>
  </si>
  <si>
    <t>MDF 17 mm Mel Paper MM 002 2 mk</t>
  </si>
  <si>
    <t>MDF 15 mm Mel Paper MM 002 2 mk</t>
  </si>
  <si>
    <t>MDF 9 mm Mel Paper MM 002 1 mk</t>
  </si>
  <si>
    <t>MDF 9 mm Mel Paper MM 002 2 mk</t>
  </si>
  <si>
    <t>Melamin Paper M 002</t>
  </si>
  <si>
    <t>MDF HPL HB 41130 2mk</t>
  </si>
  <si>
    <t>MDF 24 mm HPL HB 41130 2 mk</t>
  </si>
  <si>
    <t>Edging Decor 1723 B + Oak 305 3sisi</t>
  </si>
  <si>
    <t>MDF 18 mm HPL HB 41130 2 mk</t>
  </si>
  <si>
    <t>MDF HPL HB 41130 1mk + Aica</t>
  </si>
  <si>
    <t>MDF 18 mm HPL HB 41130 + HPL Putih</t>
  </si>
  <si>
    <t>MDF 15 mm HPL HB 41130 2 mk</t>
  </si>
  <si>
    <t>MDF 9 MM HPL HB 41130 + HPL Putih</t>
  </si>
  <si>
    <t xml:space="preserve">HPL HB 41130 </t>
  </si>
  <si>
    <t>Edging Decor 1723 B (23x1)</t>
  </si>
  <si>
    <t>Edging Decor 1723 B (61x1)</t>
  </si>
  <si>
    <t>MDF HPL SDL 2215 2mk</t>
  </si>
  <si>
    <t>Mdf 18 mm HPL SDL 2215 2 mk</t>
  </si>
  <si>
    <t>EDG Melanor 11441  22X0,45  (utk edg 3 sisi)</t>
  </si>
  <si>
    <t>Mdf 15 mm HPL SDL 2215 2 mk</t>
  </si>
  <si>
    <t>Mdf 9 mm HPL SDL 2215 2 mk</t>
  </si>
  <si>
    <t>MDF polos Hijau</t>
  </si>
  <si>
    <t>MDF 3mm Polos Hijau</t>
  </si>
  <si>
    <t>MDF 5.5mm Polos Hijau</t>
  </si>
  <si>
    <t>MDF 9mm Polos Hijau</t>
  </si>
  <si>
    <t>MDF 12mm Polos Hijau</t>
  </si>
  <si>
    <t>MDF 15mm Polos Hijau</t>
  </si>
  <si>
    <t>MDF 18mm Polos Hijau</t>
  </si>
  <si>
    <t>Ply Polos 2mk MDF Hijau</t>
  </si>
  <si>
    <t>Ply 18mm polos 2mk MDF Hijau</t>
  </si>
  <si>
    <t>Ply 9mm polos 2mk MDF Hijau</t>
  </si>
  <si>
    <t>Ply Polos 1mk MDF Hijau</t>
  </si>
  <si>
    <t>Ply 18mm polos 1mk MDF Hijau</t>
  </si>
  <si>
    <t>Ply 15mm polos 1mk MDF Hijau</t>
  </si>
  <si>
    <t>Ply 12mm polos 1mk MDF Hijau</t>
  </si>
  <si>
    <t>Ply 9mm polos 1mk MDF Hijau</t>
  </si>
  <si>
    <t>Ply 6mm polos 1mk MDF Hijau</t>
  </si>
  <si>
    <t>Ply LANTREX 18mm polos 2mk MDF Hijau</t>
  </si>
  <si>
    <t>Ply LANTREX 9mm polos 2mk MDF Hijau</t>
  </si>
  <si>
    <t>Ply LANTREX 18mm polos 1mk MDF Hijau</t>
  </si>
  <si>
    <t>Ply LANTREX 15mm polos 1mk MDF Hijau</t>
  </si>
  <si>
    <t>Ply LANTREX 12mm polos 1mk MDF Hijau</t>
  </si>
  <si>
    <t>Ply LANTREX 9mm polos 1mk MDF Hijau</t>
  </si>
  <si>
    <t>Ply LANTREX 6mm polos 1mk MDF Hijau</t>
  </si>
  <si>
    <t>KEBUTUHAN MATERIAL</t>
  </si>
  <si>
    <t>NO</t>
  </si>
  <si>
    <t>KATEGORI</t>
  </si>
  <si>
    <t>ID BARANG</t>
  </si>
  <si>
    <t>NAMA BARANG</t>
  </si>
  <si>
    <t>JML</t>
  </si>
  <si>
    <t>SATUAN</t>
  </si>
  <si>
    <t>KETERANGAN</t>
  </si>
  <si>
    <t>minifix</t>
  </si>
  <si>
    <t>205526</t>
  </si>
  <si>
    <t>MINIFIX HETTICH</t>
  </si>
  <si>
    <t>SET</t>
  </si>
  <si>
    <t>dowel</t>
  </si>
  <si>
    <t>205554</t>
  </si>
  <si>
    <t>DOWEL KAYU 4X8</t>
  </si>
  <si>
    <t>BH</t>
  </si>
  <si>
    <t>rel tandem blum</t>
  </si>
  <si>
    <t>307057</t>
  </si>
  <si>
    <t>REL TANDEM BLUM SINGLE EXT INTG P.450</t>
  </si>
  <si>
    <t>PSG</t>
  </si>
  <si>
    <t>307055</t>
  </si>
  <si>
    <t>REL TANDEM BLUM FULL EXT INTG P.450</t>
  </si>
  <si>
    <t>307052</t>
  </si>
  <si>
    <t>REL TANDEM BLUM FULL EXT NON INTG P.450</t>
  </si>
  <si>
    <t>307049</t>
  </si>
  <si>
    <t>REL TANDEM BLUM SINGLE EXT NON INTG P.450</t>
  </si>
  <si>
    <t>307061</t>
  </si>
  <si>
    <t>REL TANDEM BLUM FULL EXT INTG P.400</t>
  </si>
  <si>
    <t>307053</t>
  </si>
  <si>
    <t>REL TANDEM BLUM SINGLE EXT INTG P.400</t>
  </si>
  <si>
    <t>307065</t>
  </si>
  <si>
    <t>REL TANDEM BLUM FULL EXT NON INTG P.400</t>
  </si>
  <si>
    <t>307048</t>
  </si>
  <si>
    <t>REL TANDEM BLUM SINGLE EXT NON INTG P.400</t>
  </si>
  <si>
    <t>307080</t>
  </si>
  <si>
    <t>REL TANDEM BLUM FULL EXT INTG P.350</t>
  </si>
  <si>
    <t>307078</t>
  </si>
  <si>
    <t>REL TANDEM BLUM SINGLE EXT INTG P.350</t>
  </si>
  <si>
    <t>307043</t>
  </si>
  <si>
    <t>REL TANDEM BLUM SINGLE EXT NON INTG P.350</t>
  </si>
  <si>
    <t>307064</t>
  </si>
  <si>
    <t>REL TANDEM BLUM FULL EXT NON INTG P.350</t>
  </si>
  <si>
    <t>307491</t>
  </si>
  <si>
    <t>REL TANDEM TIP ON SINGLE EXT NON INT P.350</t>
  </si>
  <si>
    <t>307547</t>
  </si>
  <si>
    <t>REL TANDEM TIP ON FULL EXT NON INT P.350</t>
  </si>
  <si>
    <t>307051</t>
  </si>
  <si>
    <t>REL TANDEM BLUM SINGLE EXT INTG P.500</t>
  </si>
  <si>
    <t>307056</t>
  </si>
  <si>
    <t>REL TANDEM BLUM FULL EXT INTG P.500</t>
  </si>
  <si>
    <t>307054</t>
  </si>
  <si>
    <t>REL TANDEM BLUM SINGLE EXT NON INTG P.500</t>
  </si>
  <si>
    <t>307050</t>
  </si>
  <si>
    <t>REL TANDEM BLUM FULL EXT NON INTG P.500</t>
  </si>
  <si>
    <t>307490</t>
  </si>
  <si>
    <t>REL TANDEM TIP ON SINGLE EXT NON INT P.500</t>
  </si>
  <si>
    <t>307544</t>
  </si>
  <si>
    <t>REL TANDEM TIP ON FULL EXT NON INT P.500</t>
  </si>
  <si>
    <t>307069</t>
  </si>
  <si>
    <t>REL TANDEM BLUM SINGLE EXT NON INTG P.300</t>
  </si>
  <si>
    <t>307215</t>
  </si>
  <si>
    <t>REL TANDEM BLUM FULL EXT NON INTEG P.300</t>
  </si>
  <si>
    <t xml:space="preserve"> Pup ap P. Handoyo 15/2/2013</t>
  </si>
  <si>
    <t>307042</t>
  </si>
  <si>
    <t>REL TANDEM BLUM SINGLE EXT NON INTG P.270</t>
  </si>
  <si>
    <t>REL TANDEM TIP ON SINGLE EXT NON INT P.400</t>
  </si>
  <si>
    <t xml:space="preserve">PERUBAHAN / PENGGANTIAN NAMA BARANG </t>
  </si>
  <si>
    <t>Rel tandem SXN / DXN sesuai panjang yg diinginkan</t>
  </si>
  <si>
    <t xml:space="preserve">T 55 000R TIP ON Pinion / Synchronisation </t>
  </si>
  <si>
    <t xml:space="preserve">Rel tandem Tip ON </t>
  </si>
  <si>
    <t xml:space="preserve">T 55 . 1151 TIP ON for tandem single </t>
  </si>
  <si>
    <t>Permintaan ke Gudang menjadi</t>
  </si>
  <si>
    <t xml:space="preserve">T 55 . 7151 TIP ON for tandem double </t>
  </si>
  <si>
    <t>a.</t>
  </si>
  <si>
    <t>Rel Elco</t>
  </si>
  <si>
    <t>REL LACI ELCO P 45 CM</t>
  </si>
  <si>
    <t>b.</t>
  </si>
  <si>
    <t>T 55 000R TIP ON Pinion / Synchronisation ID 307823</t>
  </si>
  <si>
    <t>Rel Metabox</t>
  </si>
  <si>
    <t>307041</t>
  </si>
  <si>
    <t>REL LACI METABOXP.400</t>
  </si>
  <si>
    <t>d.</t>
  </si>
  <si>
    <t>T 55 . 7151 TIP ON for tandem double ID 307486</t>
  </si>
  <si>
    <t>307040</t>
  </si>
  <si>
    <t>REL LACI METABOXP.350</t>
  </si>
  <si>
    <t>307210</t>
  </si>
  <si>
    <t>REL LACI ELCO P 30 CM</t>
  </si>
  <si>
    <t>3 Engsel clip on 75 M 1550 B / clip top 75 T ( 107 ) DIG3ANTI menjadi engsel blum 71 M 2550 ID 307119</t>
  </si>
  <si>
    <t>Tandembox</t>
  </si>
  <si>
    <t>307499</t>
  </si>
  <si>
    <t>TANDEM BOX BLUM HITAM IN-S1</t>
  </si>
  <si>
    <t>307500</t>
  </si>
  <si>
    <t>TANDEM BOX BLUM HITAM IN-S3</t>
  </si>
  <si>
    <t>4 Engsel 9843 T 42 C0 DIGANTI dengan Sensys Hinge 86451 ID 307435</t>
  </si>
  <si>
    <t>307501</t>
  </si>
  <si>
    <t>307468</t>
  </si>
  <si>
    <t>TANDEMBOX BLUM PUTIH IN-S1</t>
  </si>
  <si>
    <t>307470</t>
  </si>
  <si>
    <t>TANDEMBOX BLUM PUTIH IN-S3</t>
  </si>
  <si>
    <t>307472</t>
  </si>
  <si>
    <t>307133</t>
  </si>
  <si>
    <t>LACI B2S4 INTEG. BM</t>
  </si>
  <si>
    <t>307137</t>
  </si>
  <si>
    <t>B1I5 GREY+BM</t>
  </si>
  <si>
    <t>307143</t>
  </si>
  <si>
    <t>B1I6 GREY + BM</t>
  </si>
  <si>
    <t>307132</t>
  </si>
  <si>
    <t>B1S2 GREY INTEG.BM</t>
  </si>
  <si>
    <t>307467</t>
  </si>
  <si>
    <t>B2S1 INTG</t>
  </si>
  <si>
    <t>307480</t>
  </si>
  <si>
    <t>B2S2 INTEGRATED</t>
  </si>
  <si>
    <t>tandembox</t>
  </si>
  <si>
    <t>307113</t>
  </si>
  <si>
    <t>LACI B114 BM</t>
  </si>
  <si>
    <t>307135</t>
  </si>
  <si>
    <t>LACI B1I3 GREY BM</t>
  </si>
  <si>
    <t>307141</t>
  </si>
  <si>
    <t>LACI B1S1 45 CM GREY BM</t>
  </si>
  <si>
    <t>307124</t>
  </si>
  <si>
    <t>LACI B1S1 INTE BLUMO</t>
  </si>
  <si>
    <t>307130</t>
  </si>
  <si>
    <t>LACI B1S4 INTEGRATED</t>
  </si>
  <si>
    <t>307138</t>
  </si>
  <si>
    <t>LACI B2I6 GREY+BM</t>
  </si>
  <si>
    <t>PABRIK:GUDANG-MIA</t>
  </si>
  <si>
    <t>(03/10(Mon)PM02:44)</t>
  </si>
  <si>
    <t>LACI F INTEGRATED 450</t>
  </si>
  <si>
    <t>---------------------------</t>
  </si>
  <si>
    <t xml:space="preserve">LACI IT 1 </t>
  </si>
  <si>
    <t>Rel untuk Spice organiser ser 046469 :</t>
  </si>
  <si>
    <t xml:space="preserve">LACI IT 3 </t>
  </si>
  <si>
    <t>novapro</t>
  </si>
  <si>
    <t>LACI NOVA  PRO DELUXE</t>
  </si>
  <si>
    <t>id 307572 :IT 1 LACI ATAS</t>
  </si>
  <si>
    <t>LACI NOVA PRO CRISTAL DELUXE</t>
  </si>
  <si>
    <t>legrabox</t>
  </si>
  <si>
    <t xml:space="preserve"> LEGRA S 1 SWM</t>
  </si>
  <si>
    <t xml:space="preserve"> LEGRA S 4 SWM</t>
  </si>
  <si>
    <t>LEGRA S1 ORION GREY (OG</t>
  </si>
  <si>
    <t>LEGRABOX S4 XL</t>
  </si>
  <si>
    <t>LEGRABOX S4 OG (ORION GREY)</t>
  </si>
  <si>
    <t>LEGRABOX I6 ORION GREY</t>
  </si>
  <si>
    <t>Quadro</t>
  </si>
  <si>
    <t>QUADRO V6 SFD FL 250 L/R</t>
  </si>
  <si>
    <t xml:space="preserve"> Rel Hettich</t>
  </si>
  <si>
    <t xml:space="preserve">QUADRO V6 SFD FL 300 L/R    </t>
  </si>
  <si>
    <t xml:space="preserve">QUADRO V6 SFD SL 300 L/R   </t>
  </si>
  <si>
    <t>QUADRO V6 SFD SL 350 L/R</t>
  </si>
  <si>
    <t>QUADRO V6 SFD FL 350 L/R</t>
  </si>
  <si>
    <t>QUADRO V6 SFD SL 400 L/R</t>
  </si>
  <si>
    <t>QUADRO V6 SFD FL 400 L/R</t>
  </si>
  <si>
    <t>QUADRO V6 SFD SL 450 L/R</t>
  </si>
  <si>
    <t>QUADRO V6 SFD FL 450 L/R</t>
  </si>
  <si>
    <t>QUADRO V6 SFD SL 500 L/R</t>
  </si>
  <si>
    <t>QUADRO V6 SFD FL 500 L/R</t>
  </si>
  <si>
    <t>QUADRO V6 SFP FL 250 EB 20 TIP ON HETTICH L/R</t>
  </si>
  <si>
    <t>QUADRO 20 SFP SL 300 EB 20 TIP ON HETTICH L/R</t>
  </si>
  <si>
    <t>QUADRO 20 SFP SL 350 EB 20 TIP ON HETTICH L/R</t>
  </si>
  <si>
    <t>QUADRO 20 SFP SL 400 EB 20 TIP ON HETTICH L/R</t>
  </si>
  <si>
    <t>QUADRO 20 SFP SL 450 EB 20 TIP ON HETTICH L/R</t>
  </si>
  <si>
    <t>QUADRO V6 SFP FL 500 EB 20 TIP ON HETTICH L/R</t>
  </si>
  <si>
    <t>QUADRO V6 SFP FL 300 EB 20 TIP ON HETTICH L/R</t>
  </si>
  <si>
    <t>QUADRO V6 SFP FL 350 EB 20 TIP ON HETTICH L/R</t>
  </si>
  <si>
    <t>QUADRO V6 SFP FL 400 EB 20 TIP ON HETTICH L/R</t>
  </si>
  <si>
    <t>engsel</t>
  </si>
  <si>
    <t>307001</t>
  </si>
  <si>
    <t>ENGSEL 9843 T42 CO</t>
  </si>
  <si>
    <t>Engsel pintu wing line 77 / wing line 230 bagian pinggir</t>
  </si>
  <si>
    <t>307435</t>
  </si>
  <si>
    <t>ENGSEL SENSYS HINGE 86451</t>
  </si>
  <si>
    <t>Pengganti engsel ecomat 110</t>
  </si>
  <si>
    <t>307229</t>
  </si>
  <si>
    <t>ENGSEL CLIP TOP 45,79 T 5550</t>
  </si>
  <si>
    <r>
      <t>Engsel untuk pintu WIC 45</t>
    </r>
    <r>
      <rPr>
        <sz val="10"/>
        <rFont val="Calibri"/>
        <family val="2"/>
      </rPr>
      <t>⁰</t>
    </r>
  </si>
  <si>
    <t>ENGSEL CLIP TOP BLUM 75T (107)</t>
  </si>
  <si>
    <t>Pengganti engsel Soft Clossing</t>
  </si>
  <si>
    <t>307110</t>
  </si>
  <si>
    <t>ENGSEL CLIP ON 75M 1550B</t>
  </si>
  <si>
    <t>Engsel Softclossing</t>
  </si>
  <si>
    <t>ENGSEL BLUM71 M 2550</t>
  </si>
  <si>
    <t>Pengganti engsel Soft Clossing pup ap P. Han 15/2/2013.</t>
  </si>
  <si>
    <t>307111</t>
  </si>
  <si>
    <t>BLUMOTION FOR CLIP ON</t>
  </si>
  <si>
    <t>Softclosing</t>
  </si>
  <si>
    <t>Engsel Clip Top Integrated Blumotion+Mounting Plate  CR 0 71B 3550</t>
  </si>
  <si>
    <t>ID 317136 Engsel Clip Top Integrated Blumotion+Mounting Plate  CR 0 71B 3550</t>
  </si>
  <si>
    <t>Engsel terbaru, Pup ap Pa Handoyo, 17/11/2014</t>
  </si>
  <si>
    <t>ENGSEL TERBARU PENGGANTI ENGSEL SOFT CLOSING TERSEBUT SDH TERMASUK BLUMOTION YG MENYATU DENGAN ENGSELNYA</t>
  </si>
  <si>
    <t>ENGSEL CLIP TOP  107 DEG INTEGRATED 75 B 1550 + 173 L 6100</t>
  </si>
  <si>
    <t>Bisa  untuk Pintu M FRM &amp; Kaca S 4 tembus</t>
  </si>
  <si>
    <t>Pengganti engsel ID 317136. Pupap Pa Handoyo 22/6/2015</t>
  </si>
  <si>
    <t>ENGSEL 79M9550 BLIND CORNER</t>
  </si>
  <si>
    <t>ENGSEL 79T9550 BLIND CORNER</t>
  </si>
  <si>
    <t>307089</t>
  </si>
  <si>
    <t>ENGSEL 170</t>
  </si>
  <si>
    <t>Engsel sudut blum bagian pinggir</t>
  </si>
  <si>
    <t xml:space="preserve">ENGSEL 155 DRAJAT  71 B 7550   </t>
  </si>
  <si>
    <t>307088</t>
  </si>
  <si>
    <t>ENGSEL BIFOLD</t>
  </si>
  <si>
    <t>Engsel sudut blum bagian tengah</t>
  </si>
  <si>
    <t>307237</t>
  </si>
  <si>
    <t>ENGSEL SALICE PUSH.TIP ON FOR DOOR</t>
  </si>
  <si>
    <t>Engsel salice push</t>
  </si>
  <si>
    <t>307238</t>
  </si>
  <si>
    <t>SALICE PUSH.TIP ON FOR ADAPTER</t>
  </si>
  <si>
    <t>salice push</t>
  </si>
  <si>
    <t>307633</t>
  </si>
  <si>
    <t>ENGSEL INTERMAT TOP 9956 T52/52H B12</t>
  </si>
  <si>
    <t>Pengganti Engsel intermat lurus 9956 T42</t>
  </si>
  <si>
    <t>DAMPER FOR INTERMAT 9956 W 65</t>
  </si>
  <si>
    <t>Memo 20/5/2013</t>
  </si>
  <si>
    <t>ENGSEL  S 8657i B12 TH52</t>
  </si>
  <si>
    <t>aventos</t>
  </si>
  <si>
    <t>307546</t>
  </si>
  <si>
    <t>AVENTOS HL 20 L 230</t>
  </si>
  <si>
    <t>307393</t>
  </si>
  <si>
    <t>AVENTOS HL 250</t>
  </si>
  <si>
    <t>307552</t>
  </si>
  <si>
    <t>AVENTOS HL 270</t>
  </si>
  <si>
    <t>307444</t>
  </si>
  <si>
    <t>AVENTOS HL 290</t>
  </si>
  <si>
    <t xml:space="preserve">AVENTOS HL 20L 2700.N5 (20L 3800. 05)  </t>
  </si>
  <si>
    <t>2</t>
  </si>
  <si>
    <t xml:space="preserve"> ORDER KHUSUS</t>
  </si>
  <si>
    <t>Tinggi Kabinet 450</t>
  </si>
  <si>
    <t>307175</t>
  </si>
  <si>
    <t>AVENTOS HS</t>
  </si>
  <si>
    <t>top line</t>
  </si>
  <si>
    <t>307313</t>
  </si>
  <si>
    <t>TOP LINE 22 3 PINTU MODIFIKASI</t>
  </si>
  <si>
    <t>Top Line 22 3 Pintu Termasuk rel atas bawah + softclossing</t>
  </si>
  <si>
    <t>307353</t>
  </si>
  <si>
    <t>ENGSEL PIVOT U/ PINTU KACA (2 Pintu)</t>
  </si>
  <si>
    <t>307551</t>
  </si>
  <si>
    <t>ENGSEL PIVOT U/ PINTU KACA (1Pintu)</t>
  </si>
  <si>
    <t>307255</t>
  </si>
  <si>
    <t>TOP LINE 22 ,2 PINTU U / M FRM 05 TA 36</t>
  </si>
  <si>
    <t xml:space="preserve"> Lebar Pintu , Kab + 35</t>
  </si>
  <si>
    <t>TOP LINE 22 ,2 PINTU</t>
  </si>
  <si>
    <t>Top Line 22 2 Pintu Termasuk rel atas bawah + softclossing</t>
  </si>
  <si>
    <t>wingline</t>
  </si>
  <si>
    <t>307248</t>
  </si>
  <si>
    <t>WING LINE 26.2 PINTU</t>
  </si>
  <si>
    <t>307098</t>
  </si>
  <si>
    <t>WING LINE 77,2 PNT</t>
  </si>
  <si>
    <t>Engsel wing line 77</t>
  </si>
  <si>
    <t>RUNNER PROFLE 072918</t>
  </si>
  <si>
    <t>BTG</t>
  </si>
  <si>
    <t>rel atas wing line 77</t>
  </si>
  <si>
    <t>GUIDE PROFILE 072919</t>
  </si>
  <si>
    <t>Rel bawah wing line 77</t>
  </si>
  <si>
    <t>307095</t>
  </si>
  <si>
    <t>WING LINE 230SET,4PINTU</t>
  </si>
  <si>
    <t>engsel wing line 230</t>
  </si>
  <si>
    <t xml:space="preserve">RUNNER PROFILE 079013, </t>
  </si>
  <si>
    <t>MTR</t>
  </si>
  <si>
    <t>Rel Wing line 230</t>
  </si>
  <si>
    <t>plinth</t>
  </si>
  <si>
    <t>205090</t>
  </si>
  <si>
    <t>PLINT ALM 85830/M-PLT-02 T.150 P.3M</t>
  </si>
  <si>
    <t>Plin Alumunium 150 tanpa sambungan</t>
  </si>
  <si>
    <t>307410</t>
  </si>
  <si>
    <t>COVER PLINT 75103 T.150</t>
  </si>
  <si>
    <t>sambungan sudut luar 150</t>
  </si>
  <si>
    <t>307409</t>
  </si>
  <si>
    <t>COVER PLINT 75102 T.150</t>
  </si>
  <si>
    <t>sambungan sudut dalam 150</t>
  </si>
  <si>
    <t>307244</t>
  </si>
  <si>
    <t>KARET PLINT ALM DENGAN SAYAP (BENING)</t>
  </si>
  <si>
    <t>Karet plin dg sayap</t>
  </si>
  <si>
    <t>307245</t>
  </si>
  <si>
    <t>KARET PLINT ALM TANPA SAYAP (BENING)</t>
  </si>
  <si>
    <t>karet plin tanpa sayap</t>
  </si>
  <si>
    <t>205035</t>
  </si>
  <si>
    <t>PLINT ALUM 75101 P.3000 T.100 / M-PLT-01</t>
  </si>
  <si>
    <t>Plin Alumunium 100</t>
  </si>
  <si>
    <t>307274</t>
  </si>
  <si>
    <t>COVER PLINT 75103 T.100</t>
  </si>
  <si>
    <t>sambungan sudut luar 100</t>
  </si>
  <si>
    <t>307275</t>
  </si>
  <si>
    <t>COVER PLINT 75102 T.100</t>
  </si>
  <si>
    <t>sambungan sudut dalam 100</t>
  </si>
  <si>
    <t>sdsc</t>
  </si>
  <si>
    <t>307279</t>
  </si>
  <si>
    <t>SDS- C 100/WHT LAMP FLAP STAY</t>
  </si>
  <si>
    <t>braket</t>
  </si>
  <si>
    <t>306821</t>
  </si>
  <si>
    <t>FIT HANGING SYSTEM FOR BASE CABINET 807 02 Z1 IN</t>
  </si>
  <si>
    <t xml:space="preserve">Bracket Untuk nakas / Kabinet Laci </t>
  </si>
  <si>
    <t>Slideline</t>
  </si>
  <si>
    <t>307371</t>
  </si>
  <si>
    <t>SLIDE LINE 56-2 PINTU</t>
  </si>
  <si>
    <t>Sudah termasuk rel</t>
  </si>
  <si>
    <t>307373</t>
  </si>
  <si>
    <t>REL SLIDE LINE 56 P.3 MTR</t>
  </si>
  <si>
    <t>Rel Slide Line 56 ( ID Berbeda dg slide line 56 )</t>
  </si>
  <si>
    <t xml:space="preserve">SLIDE LINE 55 untuk 1 pintu (2 roda + 2 kelengkapan) </t>
  </si>
  <si>
    <t xml:space="preserve">REL SLIDE LINE 55 UK.4 MTR </t>
  </si>
  <si>
    <t xml:space="preserve">REL SLIDE LINE 55 UK.3 MTR </t>
  </si>
  <si>
    <t>bed fitting</t>
  </si>
  <si>
    <t>306747</t>
  </si>
  <si>
    <t>BED FITTING (CENTRAL TIE BAR)TYPE 273.03.510</t>
  </si>
  <si>
    <t>Fitting Ranjang</t>
  </si>
  <si>
    <t>306748</t>
  </si>
  <si>
    <t>BED FITTING 100 TYPE 271.03.510</t>
  </si>
  <si>
    <t>306750</t>
  </si>
  <si>
    <t>BED FITTING 130 TYPE 271.03.530</t>
  </si>
  <si>
    <t>306543</t>
  </si>
  <si>
    <t>BESI SIKU L KECIL GV</t>
  </si>
  <si>
    <t>Siku Untuk laci tie bok / pull out shelf</t>
  </si>
  <si>
    <t>siku</t>
  </si>
  <si>
    <t>SIKU BR 012</t>
  </si>
  <si>
    <t xml:space="preserve"> Pengganti siku kecil GV</t>
  </si>
  <si>
    <t>INFO :</t>
  </si>
  <si>
    <t>Mohon bon disesuaikan Untuk pengebonan Bed Fitting, 1 set (1 ranjang)  terdiri dari :</t>
  </si>
  <si>
    <t>pasang trim/kaca</t>
  </si>
  <si>
    <t>205567</t>
  </si>
  <si>
    <t>LAKBAN PLASTIK</t>
  </si>
  <si>
    <t>ROL</t>
  </si>
  <si>
    <t>306747 : Bed Fitting  (Central Tie Bar) Type 273.03.510 = 6 Psg</t>
  </si>
  <si>
    <t>205568</t>
  </si>
  <si>
    <t>LAKBAN KERTAS</t>
  </si>
  <si>
    <t xml:space="preserve">                6 Pasang terdiri dari : 3 palang/tiang tengah (3 kiri, 3 kanan) </t>
  </si>
  <si>
    <t>SILICONE MAX BOND</t>
  </si>
  <si>
    <t>TUB</t>
  </si>
  <si>
    <t>205593</t>
  </si>
  <si>
    <t>SILICON CLEAR</t>
  </si>
  <si>
    <t>306750 : Bed Fitting 130 Type 271.03.530                            = 1 set</t>
  </si>
  <si>
    <t>plat</t>
  </si>
  <si>
    <t>205713</t>
  </si>
  <si>
    <t>PLAT JOIN 50X50X0.5</t>
  </si>
  <si>
    <t xml:space="preserve">                1 set terdiri dari : 4 Bracket (2 kiri, 2 kanan) </t>
  </si>
  <si>
    <t>205783</t>
  </si>
  <si>
    <t>SILICONE SIKAFLEX 221 PUTIH</t>
  </si>
  <si>
    <t xml:space="preserve">  pennganti sementara</t>
  </si>
  <si>
    <t>SIKAFLEX 11 FC WHITE ID 205873</t>
  </si>
  <si>
    <t>205819</t>
  </si>
  <si>
    <t>SILICONE SIKASIL AP</t>
  </si>
  <si>
    <t>TUBE</t>
  </si>
  <si>
    <t>206603</t>
  </si>
  <si>
    <t xml:space="preserve"> u / Pasang Kaca tanpa Trim</t>
  </si>
  <si>
    <t>kunci</t>
  </si>
  <si>
    <t>307005</t>
  </si>
  <si>
    <t>KUNCI CTR SMP HAFELE</t>
  </si>
  <si>
    <t>307011</t>
  </si>
  <si>
    <t>KUNCI CTRL DPN P 60</t>
  </si>
  <si>
    <t>m grill</t>
  </si>
  <si>
    <t>205696</t>
  </si>
  <si>
    <t>M-GRL 01 / GRILL ALM 240X51MM</t>
  </si>
  <si>
    <t>pocket door</t>
  </si>
  <si>
    <t>POCKET DOOR 45 CM</t>
  </si>
  <si>
    <t>POCKET DOOR 50 CM</t>
  </si>
  <si>
    <t>307252</t>
  </si>
  <si>
    <t>POCKET DOOR 55 CM</t>
  </si>
  <si>
    <t>(fisik panjang)</t>
  </si>
  <si>
    <t>LAMP SDS-C 100 W-TV SHORT ARM LID STAY</t>
  </si>
  <si>
    <t>(fisik pendek)</t>
  </si>
  <si>
    <t>tambur door</t>
  </si>
  <si>
    <t>307147</t>
  </si>
  <si>
    <t>TAMBUR DOOR</t>
  </si>
  <si>
    <t>roller shutter</t>
  </si>
  <si>
    <t>ROLLER SHULTTER RAUVALET VETRO LI</t>
  </si>
  <si>
    <t>damper door</t>
  </si>
  <si>
    <t>DAMPER DOOR D18-278</t>
  </si>
  <si>
    <t>307020</t>
  </si>
  <si>
    <t>TANGAN WAYANG</t>
  </si>
  <si>
    <t>LAMP NSDX-35L-2S LEFT FLAP STAYS</t>
  </si>
  <si>
    <t xml:space="preserve">u / sebelah kiri </t>
  </si>
  <si>
    <t>LAMP NSDX-35L-2S RIGHT FLAP STAYS</t>
  </si>
  <si>
    <t>u / sebelah kanan</t>
  </si>
  <si>
    <t>LAMP SLS ELAN HL- LEFT FLAP STAYS</t>
  </si>
  <si>
    <t>LAMP SLS ELAN HR- RIGHT FLAP STAYS</t>
  </si>
  <si>
    <t>Lamp NSDX-10L Left flap stays</t>
  </si>
  <si>
    <t xml:space="preserve">     Barang baru dari SHANGHAI TONG LEE HARDWARE</t>
  </si>
  <si>
    <t>Lamp NSDX-10L Right flap stays</t>
  </si>
  <si>
    <t>LAMP MEDIUM DUTY FLAP STAY ML</t>
  </si>
  <si>
    <t>LAMP MEDIUM DUTY FLAP STAY MR</t>
  </si>
  <si>
    <t>307473</t>
  </si>
  <si>
    <t>TIP ON FOR DOOR 955A 1002</t>
  </si>
  <si>
    <t>307560</t>
  </si>
  <si>
    <t>SYSTEM SLIDING KNOCKERS DECO 80 U/ 1 PINTU</t>
  </si>
  <si>
    <t>anodize</t>
  </si>
  <si>
    <t xml:space="preserve">ALM MF 75270 P. 3 MTR </t>
  </si>
  <si>
    <t xml:space="preserve">  Trim S 2 ,Lbr 22</t>
  </si>
  <si>
    <t>205093</t>
  </si>
  <si>
    <t>ALM MF 75181 P.3 MTR</t>
  </si>
  <si>
    <t xml:space="preserve">  Trim S 2</t>
  </si>
  <si>
    <t>205037</t>
  </si>
  <si>
    <t>ALM 75112  P.3Mtr/M-LIST-01</t>
  </si>
  <si>
    <t>480547</t>
  </si>
  <si>
    <t>HANDLE 75110 MH-03 P 3 M</t>
  </si>
  <si>
    <t xml:space="preserve">   M- PRF 01</t>
  </si>
  <si>
    <t>205695</t>
  </si>
  <si>
    <t>ALM 75111 M-LED 02 P 3MTR</t>
  </si>
  <si>
    <t>acrylic</t>
  </si>
  <si>
    <t>Achrilix susu , 2000 x 12 x 2</t>
  </si>
  <si>
    <t>ACRYLIC SUSU 2 MM 12X1220</t>
  </si>
  <si>
    <t>Pengganti Axhrilix ID 114569</t>
  </si>
  <si>
    <t>Pup ap Pa Handoyo 22/6/2015</t>
  </si>
  <si>
    <t>ALUMUNIUM 75181 P.3000 MM (COKLAT)</t>
  </si>
  <si>
    <t>ALM MF 75112 / M LIST 0-1 P.3 MTR COKLAT</t>
  </si>
  <si>
    <t>ALUMUNIUM MF 75110 P.3 MTR COKLAT</t>
  </si>
  <si>
    <t>ALM MF 75111/ M LED - 02  P.3 MTR COKLAT</t>
  </si>
  <si>
    <t>ALUMUNIUM 75181 P.3000 MM (HITAM)</t>
  </si>
  <si>
    <t>ALUMUNIUM MF 75112 / M LIST 01 P.3 MTR BLACK</t>
  </si>
  <si>
    <t>ALUMUNIUM MF 75110 P.3 MTR BLACK</t>
  </si>
  <si>
    <t>ALM MF 75111 M LED 02  P.3 MTR BLACK</t>
  </si>
  <si>
    <t>ALUMUNIUM 75181 P.3000 MM (MOCHA)</t>
  </si>
  <si>
    <t>ALM MF 75112 / M LIST 0-1 P.3 MTR MOCHA</t>
  </si>
  <si>
    <t>ALUMUNIUM MF 75110 P.3 MTR MOCHA</t>
  </si>
  <si>
    <t>ALM MF 75111 / M LED 02 P.3 MTR MOCHA</t>
  </si>
  <si>
    <t>raised head</t>
  </si>
  <si>
    <t>306760</t>
  </si>
  <si>
    <t>RAISED HEAD 16X42MM NO.273-55-004</t>
  </si>
  <si>
    <t xml:space="preserve"> Braket Back Panel</t>
  </si>
  <si>
    <t>KEYHOLE FITTING 42MM</t>
  </si>
  <si>
    <t>205001</t>
  </si>
  <si>
    <t>ALM.MFK 6599 P2800</t>
  </si>
  <si>
    <t xml:space="preserve"> List kaca alumunium</t>
  </si>
  <si>
    <t>205002</t>
  </si>
  <si>
    <t>ALM.MFB 6600 P2800</t>
  </si>
  <si>
    <t xml:space="preserve"> bBraket Kabinet Laci</t>
  </si>
  <si>
    <t>306905</t>
  </si>
  <si>
    <t>HANGING SYSTEM CAMAR 814</t>
  </si>
  <si>
    <t>205072</t>
  </si>
  <si>
    <t>ALUMUNIUM 2351 P.3000 MM ( ST-36 )</t>
  </si>
  <si>
    <t>205270</t>
  </si>
  <si>
    <t>ALUMUNIUM 2351 P.3000 MM ( ST-36 ) HITAM</t>
  </si>
  <si>
    <t>205271</t>
  </si>
  <si>
    <t>ALUMUNIUM 2351 P.3000 MM ( ST-36 ) COKLAT</t>
  </si>
  <si>
    <t>205272</t>
  </si>
  <si>
    <t>ALUMUNIUM 2351 P.3000 MM ( ST-36 ) MOCHA</t>
  </si>
  <si>
    <t xml:space="preserve"> GLOSS</t>
  </si>
  <si>
    <t>ALUMUNIUM 75181 P.3000 MM (CHAMPANE)</t>
  </si>
  <si>
    <t>205015</t>
  </si>
  <si>
    <t>ALM. MF  75104 P.3M</t>
  </si>
  <si>
    <t>306616</t>
  </si>
  <si>
    <t>PLAT PERFORLATED 1200X42</t>
  </si>
  <si>
    <t>UNT</t>
  </si>
  <si>
    <t xml:space="preserve"> Bahan M GRIL</t>
  </si>
  <si>
    <t>ALUMUNIUM 75249   P. 3 MTR</t>
  </si>
  <si>
    <t>ALUMUNIUM 75250   P. 3 MTR</t>
  </si>
  <si>
    <t xml:space="preserve">BAHAN HANDLE MHT </t>
  </si>
  <si>
    <t>ALUMUNIUM 75251   P. 3 MTR</t>
  </si>
  <si>
    <t>205664</t>
  </si>
  <si>
    <t>SCREW JF 4X6</t>
  </si>
  <si>
    <t xml:space="preserve"> U / 1Handle  = 2 BH</t>
  </si>
  <si>
    <t>ALM 75249 (DN : 13130512) MF PJ 3 MTR BLACK</t>
  </si>
  <si>
    <t>ALM 75250 (DN : 13130511) MF PJ 3 MTR BLACK</t>
  </si>
  <si>
    <t>ALM 75251 (DN : 13130513) MF PJ 3 MTR BLACK</t>
  </si>
  <si>
    <t>ALM 75249 (DN : 13130512) MF PJ 3 MTR COKLAT</t>
  </si>
  <si>
    <t>ALM 75250 (DN : 13130511) MF PJ 3 MTR COKLAT</t>
  </si>
  <si>
    <t>ALM 75251 (DN : 13130513) MF PJ 3 MTR COKLAT</t>
  </si>
  <si>
    <t>ALM 75249 (DN : 13130512) MF PJ 3 MTR MOCHA</t>
  </si>
  <si>
    <t>ALM 75250 (DN : 13130511) MF PJ 3 MTR MOCHA</t>
  </si>
  <si>
    <t>ALM 75251 (DN : 13130513) MF PJ 3 MTR MOCHA</t>
  </si>
  <si>
    <t xml:space="preserve">KAKI ADJUSTER MEJA TINGGI  2 CM </t>
  </si>
  <si>
    <t>LIBRA H 6</t>
  </si>
  <si>
    <t>LIBRA CH</t>
  </si>
  <si>
    <t>MULTI CLIPS PL. BLACK 46080</t>
  </si>
  <si>
    <t xml:space="preserve"> U / PASANG PANEL KACA S4 RANGKA</t>
  </si>
  <si>
    <t>205781</t>
  </si>
  <si>
    <t>PLAT JOIN 5X10X5</t>
  </si>
  <si>
    <t xml:space="preserve"> U / JOIN PINTU</t>
  </si>
  <si>
    <t>Pencil Tray Hitam</t>
  </si>
  <si>
    <t>siku fr</t>
  </si>
  <si>
    <t>profil</t>
  </si>
  <si>
    <t>PROFIL MLP-01 UK 2440X20X18</t>
  </si>
  <si>
    <t>PROFIL MLP-01 UK 2440X16X17</t>
  </si>
  <si>
    <t>PROFIL MLP-02 UK 2440X15X15</t>
  </si>
  <si>
    <t>PROFIL MLP-02 UK 2440X20X17</t>
  </si>
  <si>
    <t>PROFIL MLP-02 UK 2000X20X18</t>
  </si>
  <si>
    <t>PROFIL MLP-02 UK 2440X16X17</t>
  </si>
  <si>
    <t>mht</t>
  </si>
  <si>
    <t xml:space="preserve">Handle MHT - 030 </t>
  </si>
  <si>
    <t xml:space="preserve">Handle MHT - 030 HITAM </t>
  </si>
  <si>
    <t xml:space="preserve">Handle MHT - 030 COKLAT </t>
  </si>
  <si>
    <t xml:space="preserve">Handle MHT - 030 MOCHA </t>
  </si>
  <si>
    <t>MH 01A</t>
  </si>
  <si>
    <t>Alm. 4584 ( MH-01A ) MENTAH P3</t>
  </si>
  <si>
    <t>MH-01A Silver ( Alm. 4584 ) P3</t>
  </si>
  <si>
    <t>MH-01A Black ( Alm. 4584 ) P3</t>
  </si>
  <si>
    <t>MH-01A Brown ( Alm. 4584 ) P3</t>
  </si>
  <si>
    <t>MH-01A Champagne ( Alm. 4584 ) P3</t>
  </si>
  <si>
    <t>MH 01B</t>
  </si>
  <si>
    <t>Alm. 4585 ( MH-01B ) MENTAH P3</t>
  </si>
  <si>
    <t>MH-01B Silver ( Alm. 4585 ) P3</t>
  </si>
  <si>
    <t>MH-01B Black ( Alm. 4585 ) P3</t>
  </si>
  <si>
    <t>MH-01B Brown ( Alm. 4585 ) P3</t>
  </si>
  <si>
    <t>MH-01B Champagne ( Alm. 4585 ) P3</t>
  </si>
  <si>
    <t>MH 02</t>
  </si>
  <si>
    <t>Alm. 86706 ( MH-02 ) MENTAH P6</t>
  </si>
  <si>
    <t>MH-02 Silver ( Alm. 86706 ) P3</t>
  </si>
  <si>
    <t>MH-02 Black ( Alm. 86706 ) P3</t>
  </si>
  <si>
    <t>MH-02 Brown ( Alm. 86706 ) P3</t>
  </si>
  <si>
    <t>MH-02 Mocha ( Alm. 86706 ) P3</t>
  </si>
  <si>
    <t>MH-02 Champagne ( Alm. 86706 ) P3</t>
  </si>
  <si>
    <t>MH-02 Black Doff ( Alm. 86706 ) P3</t>
  </si>
  <si>
    <t>MH-02 Brown Doff ( Alm. 86706 ) P3</t>
  </si>
  <si>
    <t>MH-02 Mocha Doff ( Alm. 86706 ) P3</t>
  </si>
  <si>
    <t>MH-02 Champagne Doff ( Alm. 86706 ) P3</t>
  </si>
  <si>
    <t>MH 03A</t>
  </si>
  <si>
    <t>Alm. 75116 ( MH-03A ) CA1 P6</t>
  </si>
  <si>
    <t>Alm. 75116 ( MH-03A ) MENTAH P6</t>
  </si>
  <si>
    <t>MH-03A Silver Doff ( Alm. 75116 ) P3</t>
  </si>
  <si>
    <t>MH-03A Black Doff ( Alm. 75116 ) P3</t>
  </si>
  <si>
    <t>MH-03A Brown Doff ( Alm. 75116 ) P3</t>
  </si>
  <si>
    <t>MH-03A Mocha Doff ( Alm. 75116 ) P3</t>
  </si>
  <si>
    <t>MH-03A Champagne Doff ( Alm. 75116 ) P3</t>
  </si>
  <si>
    <t>MH-03A Silver Gloss ( Alm. 75116 ) P3</t>
  </si>
  <si>
    <t>MH-03A Black Gloss ( Alm. 75116 ) P3</t>
  </si>
  <si>
    <t>MH-03A Brown Gloss ( Alm. 75116 ) P3</t>
  </si>
  <si>
    <t>MH-03A Mocha Gloss ( Alm. 75116 ) P3</t>
  </si>
  <si>
    <t>MH-03A Champagne Gloss ( Alm. 75116 ) P3</t>
  </si>
  <si>
    <t>MH 03B</t>
  </si>
  <si>
    <t>Alm. 75117 ( MH-03B ) CA1 P6</t>
  </si>
  <si>
    <t>MH-03B Silver Doff ( Alm. 75117 ) P3</t>
  </si>
  <si>
    <t>MH-03B Black Doff ( Alm. 75117 ) P3</t>
  </si>
  <si>
    <t>MH-03B Brown Doff ( Alm. 75117 ) P3</t>
  </si>
  <si>
    <t>MH-03B Mocha Doff ( Alm. 75117 ) P3</t>
  </si>
  <si>
    <t>MH-03B Champagne Doff ( Alm. 75117 ) P3</t>
  </si>
  <si>
    <t>MH-03B Silver Gloss ( Alm. 75117 ) P3</t>
  </si>
  <si>
    <t>MH-03B Black Gloss ( Alm. 75117 ) P3</t>
  </si>
  <si>
    <t>MH-03B Brown Gloss ( Alm. 75117 ) P3</t>
  </si>
  <si>
    <t>MH-03B Mocha Gloss ( Alm. 75117 ) P3</t>
  </si>
  <si>
    <t>MH-03B Champagne Gloss ( Alm. 75117 ) P3</t>
  </si>
  <si>
    <t>MH 04</t>
  </si>
  <si>
    <t>Alm. 86705 ( MH-04 &amp; MH-05 ) MENTAH P6</t>
  </si>
  <si>
    <t>MH-04 Silver ( Alm. 86705 ) P3</t>
  </si>
  <si>
    <t>MH-04 Black ( Alm. 86705 ) P3</t>
  </si>
  <si>
    <t>MH-04 Brown ( Alm. 86705 ) P3</t>
  </si>
  <si>
    <t>MH 05</t>
  </si>
  <si>
    <t>MH-05 Silver ( Alm. 86705 ) P3</t>
  </si>
  <si>
    <t>MH-05 Black ( Alm. 86705 ) P3</t>
  </si>
  <si>
    <t>MH-05 Brown ( Alm. 86705 ) P3</t>
  </si>
  <si>
    <t>MH 06</t>
  </si>
  <si>
    <t>Alm. 75248 ( MH-06 ) MENTAH P6</t>
  </si>
  <si>
    <t>MH-06 Silver Gloss ( Alm. 75248 ) P3</t>
  </si>
  <si>
    <t>MH-06 Black Gloss ( Alm. 75248 ) P3</t>
  </si>
  <si>
    <t>MH-06 Brown Gloss ( Alm. 75248 ) P3</t>
  </si>
  <si>
    <t>MH-06 Mocha Gloss ( Alm. 75248 ) P3</t>
  </si>
  <si>
    <t>MH-06 Champagne Gloss ( Alm. 75248 ) P3</t>
  </si>
  <si>
    <t>MH 07</t>
  </si>
  <si>
    <t>Alm. 75272 ( MH-07 ) MENTAH P6</t>
  </si>
  <si>
    <t>MH-07 Silver ( Alm. 75272 ) P3</t>
  </si>
  <si>
    <t>MH-07 Black ( Alm. 75272 ) P3</t>
  </si>
  <si>
    <t>MH-07 Brown ( Alm. 75272 ) P3</t>
  </si>
  <si>
    <t>MH-07 Mocha ( Alm. 75272 ) P3</t>
  </si>
  <si>
    <t>MH 08</t>
  </si>
  <si>
    <t>Alm. 75289 ( MH-08 ) MENTAH P6</t>
  </si>
  <si>
    <t>MH-08 Silver Gloss ( Alm. 75289 ) P3</t>
  </si>
  <si>
    <t>MH-08 Black Gloss ( Alm. 75289 ) P3</t>
  </si>
  <si>
    <t>MH-08 Brown Gloss ( Alm. 75289 ) P3</t>
  </si>
  <si>
    <t>MH-08 Mocha Gloss ( Alm. 75289 ) P3</t>
  </si>
  <si>
    <t>MH-08 Black Doff ( Alm. 75289 ) P3</t>
  </si>
  <si>
    <t>MH-08 Brown Doff ( Alm. 75289 ) P3</t>
  </si>
  <si>
    <t>MHT</t>
  </si>
  <si>
    <t>Alm. 75250 ( MHT Belakang ) MENTAH P6</t>
  </si>
  <si>
    <t>MHT Belakang Silver Gloss ( Alm. 75250 ) P3</t>
  </si>
  <si>
    <t>MHT Belakang Black Gloss ( Alm. 75250 ) P3</t>
  </si>
  <si>
    <t>MHT Belakang Brown Gloss ( Alm. 75250 ) P3</t>
  </si>
  <si>
    <t>MHT Belakang Mocha Gloss ( Alm. 75250 ) P3</t>
  </si>
  <si>
    <t>MHT Belakang Brown Doff ( Alm. 75250 ) P3</t>
  </si>
  <si>
    <t>Alm. 75249 ( MHT Samping ) MENTAH P6</t>
  </si>
  <si>
    <t>MHT Samping Silver Gloss ( Alm. 75249 ) P3</t>
  </si>
  <si>
    <t>MHT Samping Black Gloss ( Alm. 75249 ) P3</t>
  </si>
  <si>
    <t>MHT Samping Brown Gloss ( Alm. 75249 ) P3</t>
  </si>
  <si>
    <t>MHT Samping Mocha Gloss ( Alm. 75249 ) P3</t>
  </si>
  <si>
    <t>MHT Samping Brown Doff ( Alm. 75249 ) P3</t>
  </si>
  <si>
    <t>Alm. 75251 ( MHT Body ) MENTAH P6</t>
  </si>
  <si>
    <t>MHT Body Silver Gloss ( Alm. 75251 ) P3</t>
  </si>
  <si>
    <t>MHT Body Black Gloss ( Alm. 75251 ) P3</t>
  </si>
  <si>
    <t>MHT Body Brown Gloss ( Alm. 75251 ) P3</t>
  </si>
  <si>
    <t>MHT Body Mocha Gloss ( Alm. 75251 ) P3</t>
  </si>
  <si>
    <t>MHT Body Brown Doff ( Alm. 75251 ) P3</t>
  </si>
  <si>
    <t>M Frm 02</t>
  </si>
  <si>
    <t>Alm. 75227 ( M-FRM-02 ) MENTAH P6</t>
  </si>
  <si>
    <t>Alm. 75227 ( M-FRM-02 ) CA1 P6</t>
  </si>
  <si>
    <t>M-FRM-02 Black Gloss ( Alm. 75227 ) P3</t>
  </si>
  <si>
    <t>M-FRM-02 Brown Gloss ( Alm. 75227 ) P3</t>
  </si>
  <si>
    <t>M-FRM-02 Mocha Gloss ( Alm. 75227 ) P3</t>
  </si>
  <si>
    <t>M-FRM-02 Champagne Gloss ( Alm. 75227 ) P3</t>
  </si>
  <si>
    <t>M-FRM-02 Black Doff ( Alm. 75227 ) P3</t>
  </si>
  <si>
    <t>M-FRM-02 Brown Doff ( Alm. 75227 ) P3</t>
  </si>
  <si>
    <t>M-FRM-02 Mocha Doff ( Alm. 75227 ) P3</t>
  </si>
  <si>
    <t>M Frm 04</t>
  </si>
  <si>
    <t>Alm. 75228 ( M-FRM-04 ) MENTAH P6</t>
  </si>
  <si>
    <t>Alm. 75228 ( M-FRM-04 ) CA1 P6</t>
  </si>
  <si>
    <t>M-FRM-04 Black Gloss ( Alm. 75228 ) P3</t>
  </si>
  <si>
    <t>M-FRM-04 Brown Gloss ( Alm. 75228 ) P3</t>
  </si>
  <si>
    <t>M-FRM-04 Mocha Gloss ( Alm. 75228 ) P3</t>
  </si>
  <si>
    <t>M-FRM-04 Black Doff ( Alm. 75228 ) P3</t>
  </si>
  <si>
    <t>M-FRM-04 Brown Doff ( Alm. 75228 ) P3</t>
  </si>
  <si>
    <t>M-FRM-04 Mocha Doff ( Alm. 75228 ) P3</t>
  </si>
  <si>
    <t>M Frm 03</t>
  </si>
  <si>
    <t>Alm. 75229 ( M-FRM-03 ) MENTAH P6</t>
  </si>
  <si>
    <t>Alm. 75229 ( M-FRM-03 ) CA1 P6</t>
  </si>
  <si>
    <t>M-FRM-03 Black Gloss ( Alm. 75229 ) P3</t>
  </si>
  <si>
    <t>M-FRM-03 Brown Gloss ( Alm. 75229 ) P3</t>
  </si>
  <si>
    <t>M-FRM-03 Mocha Gloss ( Alm. 75229 ) P3</t>
  </si>
  <si>
    <t>M-FRM-03 Champagne Gloss ( Alm. 75229 ) P3</t>
  </si>
  <si>
    <t>M-FRM-03 Black Doff ( Alm. 75229 ) P3</t>
  </si>
  <si>
    <t>M-FRM-03 Brown Doff ( Alm. 75229 ) P3</t>
  </si>
  <si>
    <t>M-FRM-03 Mocha Doff ( Alm. 75229 ) P3</t>
  </si>
  <si>
    <t>M-FRM-03 Champagne Doff ( Alm. 75229 ) P3</t>
  </si>
  <si>
    <t>M Frm 05</t>
  </si>
  <si>
    <t>Alm. 75283 ( M-FRM-05 ) MENTAH P6</t>
  </si>
  <si>
    <t>Alm. 75283 ( M-FRM-05 ) CA1 P6</t>
  </si>
  <si>
    <t>M-FRM-05 Handle Black Gloss ( Alm. 75283 ) P3</t>
  </si>
  <si>
    <t>M-FRM-05 Handle Brown Gloss ( Alm. 75283 ) P3</t>
  </si>
  <si>
    <t>M-FRM-05 Handle Mocha Gloss ( Alm. 75283 ) P3</t>
  </si>
  <si>
    <t>M-FRM-05 Handle Black Doff ( Alm. 75283 ) P3</t>
  </si>
  <si>
    <t>M-FRM-05 Handle Brown Doff ( Alm. 75283 ) P3</t>
  </si>
  <si>
    <t>M-FRM-05 Handle Mocha Doff( Alm. 75283 ) P3</t>
  </si>
  <si>
    <t>Alm. 75284 ( M-FRM-05 ) MENTAH P6</t>
  </si>
  <si>
    <t>Alm. 75284 ( M-FRM-05 ) CA1 P6</t>
  </si>
  <si>
    <t>M-FRM-05 Black Gloss ( Alm. 75284 ) P3</t>
  </si>
  <si>
    <t>M-FRM-05 Brown Gloss ( Alm. 75284 ) P3</t>
  </si>
  <si>
    <t>M-FRM-05 Mocha Gloss ( Alm. 75284 ) P3</t>
  </si>
  <si>
    <t>M-FRM-05 Black Doff ( Alm. 75284 ) P3</t>
  </si>
  <si>
    <t>M-FRM-05 Brown Doff ( Alm. 75284 ) P3</t>
  </si>
  <si>
    <t>M-FRM-05 Mocha Doff ( Alm. 75284 ) P3</t>
  </si>
  <si>
    <t>M Frm</t>
  </si>
  <si>
    <t>Alm. 75226 ( M-FRM Body ) MENTAH P6</t>
  </si>
  <si>
    <t>Alm. 75226 ( M-FRM Body ) CA1 P2.8</t>
  </si>
  <si>
    <t>Alm. 75226 ( M-FRM Body ) CA1 P3</t>
  </si>
  <si>
    <t>Alm. 75226 ( M-FRM Body ) CA1 P6</t>
  </si>
  <si>
    <t>M-FRM Body Black ( Alm. 75226 ) P2.8</t>
  </si>
  <si>
    <t>M-FRM Body Brown ( Alm. 75226 ) P2.8</t>
  </si>
  <si>
    <t>M-FRM Body Mocha ( Alm. 75226 ) P2.8</t>
  </si>
  <si>
    <t>M-FRM Body Champagne ( Alm. 75226 ) P2.8</t>
  </si>
  <si>
    <t>M-FRM Body Champagne ( Alm. 75226 ) P3</t>
  </si>
  <si>
    <t>M-FRM Body Black ( Alm. 75226 ) P3</t>
  </si>
  <si>
    <t>M-FRM Body Brown ( Alm. 75226 ) P3</t>
  </si>
  <si>
    <t>M-FRM Body Mocha ( Alm. 75226 ) P3</t>
  </si>
  <si>
    <t>M-FRM Body Black Doff ( Alm. 75226 ) P3</t>
  </si>
  <si>
    <t>M-FRM Body Brown Doff ( Alm. 75226 ) P3</t>
  </si>
  <si>
    <t>M-FRM Body Mocha Doff ( Alm. 75226 ) P3</t>
  </si>
  <si>
    <t>M-FRM Body Champagne Doff ( Alm. 75226 ) P3</t>
  </si>
  <si>
    <t>M Frm tutup blk</t>
  </si>
  <si>
    <t>Alm. 75225 ( M-FRM Tutup Belakang ) MENTAH P3</t>
  </si>
  <si>
    <t>Alm. 75225 ( M-FRM Tutup Belakang ) CA1 P3</t>
  </si>
  <si>
    <t>Alm. 75225 ( M-FRM Tutup Belakang ) CA1 P6</t>
  </si>
  <si>
    <t>M-FRM Tutup Belakang Black ( Alm. 75225 ) P3</t>
  </si>
  <si>
    <t>M-FRM Tutup Belakang Brown ( Alm. 75225 ) P3</t>
  </si>
  <si>
    <t>M-FRM Tutup Belakang Mocha ( Alm. 75225 ) P3</t>
  </si>
  <si>
    <t>M-FRM Tutup Belakang Champagne ( Alm. 75225 ) P3</t>
  </si>
  <si>
    <t>M-FRM Tutup Belakang Black Doff ( Alm. 75225 ) P3</t>
  </si>
  <si>
    <t>M-FRM Tutup Belakang Brown Doff ( Alm. 75225 ) P3</t>
  </si>
  <si>
    <t>M-FRM Tutup Belakang Mocha Doff ( Alm. 75225 ) P3</t>
  </si>
  <si>
    <t>M-FRM Tutup Belakang Champagne Doff ( Alm. 75225 ) P3</t>
  </si>
  <si>
    <t>M prf 01</t>
  </si>
  <si>
    <t>Alm. 75110 ( M-PRF-01 ) MENTAH P6</t>
  </si>
  <si>
    <t>M-PRF-01 Silver ( Alm. 75110 ) P3</t>
  </si>
  <si>
    <t>M-PRF-01 Black ( Alm. 75110 ) P3</t>
  </si>
  <si>
    <t>M-PRF-01 Brown ( Alm. 75110 ) P3</t>
  </si>
  <si>
    <t>M-PRF-01 Mocha ( Alm. 75110 ) P3</t>
  </si>
  <si>
    <t>M-PRF-01 Champagne ( Alm. 75110 ) P3</t>
  </si>
  <si>
    <t>M-PRF-01 Black Doff ( Alm. 75110 ) P3</t>
  </si>
  <si>
    <t>M-PRF-01 Brown Doff ( Alm. 75110 ) P3</t>
  </si>
  <si>
    <t>M-PRF-01 Mocha Doff ( Alm. 75110 ) P3</t>
  </si>
  <si>
    <t>M-PRF-01 Champagne Doff ( Alm. 75110 ) P3</t>
  </si>
  <si>
    <t>M SHF01/02</t>
  </si>
  <si>
    <t>Alm. 75109 ( M-SHF-01/02 ) MENTAH P6</t>
  </si>
  <si>
    <t>M-SHF-01/02 Silver Gloss ( Alm. 75109 ) P3</t>
  </si>
  <si>
    <t>M-SHF-01/02 Black Gloss ( Alm. 75109 ) P3</t>
  </si>
  <si>
    <t>M-SHF-01/02 Brown Gloss ( Alm. 75109 ) P3</t>
  </si>
  <si>
    <t>M-SHF-01/02 Champagne Gloss  ( Alm. 75109 ) P3</t>
  </si>
  <si>
    <t>M-SHF-01/02 Black Doff  ( Alm. 75109 ) P3</t>
  </si>
  <si>
    <t>M-SHF-01/02 Brown Doff  ( Alm. 75109 ) P3</t>
  </si>
  <si>
    <t>M-SHF-01/02 Mocha Doff  ( Alm. 75109 ) P3</t>
  </si>
  <si>
    <t>M-SHF-01/02 Champagne Doff  ( Alm. 75109 ) P3</t>
  </si>
  <si>
    <t>M-SHF-01/02 Brown Doff ( Alm. 75109 ) P3</t>
  </si>
  <si>
    <t>M List 01</t>
  </si>
  <si>
    <t>Alm. 75112 ( M-LIST-01 ) MENTAH P6</t>
  </si>
  <si>
    <t>M-LIST-01 Silver ( Alm. 75112 ) P3</t>
  </si>
  <si>
    <t>M-LIST-01 Black ( Alm. 75112 ) P3</t>
  </si>
  <si>
    <t>M-LIST-01 Brown ( Alm. 75112 ) P3</t>
  </si>
  <si>
    <t>M-LIST-01 Mocha ( Alm. 75112 ) P3</t>
  </si>
  <si>
    <t>M-LIST-01 Champagne ( Alm. 75112 ) P3</t>
  </si>
  <si>
    <t>M-LIST-01 Black Doff ( Alm. 75112 ) P3</t>
  </si>
  <si>
    <t>M-LIST-01 Brown Doff ( Alm. 75112 ) P3</t>
  </si>
  <si>
    <t>M-LIST-01 Mocha Doff ( Alm. 75112 ) P3</t>
  </si>
  <si>
    <t>M LED 01</t>
  </si>
  <si>
    <t>Alm. 75104 ( M-LED-01 ) MENTAH P6</t>
  </si>
  <si>
    <t>M-LED-01 Silver ( Alm. 75104 ) P3</t>
  </si>
  <si>
    <t>M-LED-01 Black ( Alm. 75104 ) P3</t>
  </si>
  <si>
    <t>M-LED-01 Brown ( Alm. 75104 ) P3</t>
  </si>
  <si>
    <t>M-LED-01 Mocha ( Alm. 75104 ) P3</t>
  </si>
  <si>
    <t>M-LED-01 Champagne ( Alm. 75104 ) P3</t>
  </si>
  <si>
    <t>M-LED-01 Champagne Doff ( Alm. 75104 ) P3</t>
  </si>
  <si>
    <t>M-LED-01 Black Doff ( Alm. 75104 ) P3</t>
  </si>
  <si>
    <t>M-LED-01 Brown Doff ( Alm. 75104 ) P3</t>
  </si>
  <si>
    <t>M LED 02</t>
  </si>
  <si>
    <t>Alm. 75111 ( M-LED-02 ) MENTAH P6</t>
  </si>
  <si>
    <t>M-LED-02 Silver ( Alm. 75111 ) P3</t>
  </si>
  <si>
    <t>M-LED-02 Black ( Alm. 75111 ) P3</t>
  </si>
  <si>
    <t>M-LED-02 Brown ( Alm. 75111 ) P3</t>
  </si>
  <si>
    <t>M-LED-02 Mocha ( Alm. 75111 ) P3</t>
  </si>
  <si>
    <t>M-LED-02 Champagne ( Alm. 75111 ) P3</t>
  </si>
  <si>
    <t>M-LED-02 Black Doff ( Alm. 75111 ) P3</t>
  </si>
  <si>
    <t>M-LED-02 Brown Doff ( Alm. 75111 ) P3</t>
  </si>
  <si>
    <t>M-LED-02 Mocha Doff ( Alm. 75111 ) P3</t>
  </si>
  <si>
    <t>M-LED-02 Champagne Doff ( Alm. 75111 ) P3</t>
  </si>
  <si>
    <t>M PLT 01</t>
  </si>
  <si>
    <t>Alm. 75256 ( M-PLT-01 ) MENTAH P6</t>
  </si>
  <si>
    <t>M-PLT-01 Silver Gloss ( Alm. 75256 ) P3</t>
  </si>
  <si>
    <t>M-PLT-01 Black Gloss ( Alm. 75256 ) P3</t>
  </si>
  <si>
    <t>M-PLT-01 Brown Gloss ( Alm. 75256 ) P3</t>
  </si>
  <si>
    <t>M-PLT-01 Mocha Gloss ( Alm. 75256 ) P3</t>
  </si>
  <si>
    <t>M-PLT-01 Champagne Gloss ( Alm. 75256 ) P3</t>
  </si>
  <si>
    <t>M-PLT-01 Black Doff ( Alm. 75256 ) P3</t>
  </si>
  <si>
    <t>M-PLT-01 Brown Doff ( Alm. 75256 ) P3</t>
  </si>
  <si>
    <t>M-PLT-01 Champagne Doff ( Alm. 75256 ) P3</t>
  </si>
  <si>
    <t>M PLT 02</t>
  </si>
  <si>
    <t>Alm. 85830 ( M-PLT-02 ) MENTAH P6</t>
  </si>
  <si>
    <t>M-PLT-02 Silver Gloss ( Alm. 85830 ) P3</t>
  </si>
  <si>
    <t>M-PLT-02 Black Gloss ( Alm. 85830 ) P3</t>
  </si>
  <si>
    <t>M-PLT-02 Brown Gloss ( Alm. 85830 ) P3</t>
  </si>
  <si>
    <t>M-PLT-02 Mocha Gloss ( Alm. 85830 ) P3</t>
  </si>
  <si>
    <t>M-PLT-02 Black Doff ( Alm. 85830 ) P3</t>
  </si>
  <si>
    <t>M-PLT-02 Brown Doff ( Alm. 85830 ) P3</t>
  </si>
  <si>
    <t>M-PLT-02 Mocha Doff ( Alm. 85830 ) P3</t>
  </si>
  <si>
    <t>LS 01</t>
  </si>
  <si>
    <t>Alm. 86599 ( LS-01 ) MENTAH P6</t>
  </si>
  <si>
    <t>LS-01 Silver Gloss ( Alum 86599 ) P3</t>
  </si>
  <si>
    <t>LS-01 Black Gloss ( Alm. 86599 ) P3</t>
  </si>
  <si>
    <t>LS-01 Brown Gloss ( Alm. 86599 ) P3</t>
  </si>
  <si>
    <t>LS-01 Mocha Gloss ( Alm. 86599 ) P3</t>
  </si>
  <si>
    <t>LS-01 Champagne Gloss ( Alm. 86599 ) P3</t>
  </si>
  <si>
    <t>LS-01 Black Doff ( Alm. 86599 ) P3</t>
  </si>
  <si>
    <t>LS-01 Brown Doff ( Alm. 86599 ) P3</t>
  </si>
  <si>
    <t>LS-01 Champagne Doff ( Alm. 86599 ) P3</t>
  </si>
  <si>
    <t>LS 02</t>
  </si>
  <si>
    <t>Alm. 10321 ( LS-02 ) MENTAH P6</t>
  </si>
  <si>
    <t>LS-02 Silver Gloss ( Alm. 10321 ) P3</t>
  </si>
  <si>
    <t>LS-02 Black Gloss ( Alm. 10321 ) P3</t>
  </si>
  <si>
    <t>LS-02 Brown Gloss ( Alm. 10321 ) P3</t>
  </si>
  <si>
    <t>LS-02 Mocha Gloss ( Alm. 10321 ) P3</t>
  </si>
  <si>
    <t>LS-02 Black Doff ( Alm. 10321 ) P3</t>
  </si>
  <si>
    <t>LS-02 Brown Doff ( Alm. 10321 ) P3</t>
  </si>
  <si>
    <t>LS-02 Champagne Doff ( Alm. 10321 ) P3</t>
  </si>
  <si>
    <t>M HGR 01</t>
  </si>
  <si>
    <t>Alm. 75108 ( M-HGR-01 ) MENTAH P6</t>
  </si>
  <si>
    <t>M-HGR-01 Silver Gloss ( Alm. 75108 ) P3</t>
  </si>
  <si>
    <t>M-HGR-01 Black Gloss ( Alm. 75108 ) P3</t>
  </si>
  <si>
    <t>M-HGR-01 Brown Gloss ( Alm. 75108 ) P3</t>
  </si>
  <si>
    <t>M-HGR-01 Champagne Gloss ( Alm. 75108 ) P3</t>
  </si>
  <si>
    <t>M-HGR-01 Brown Doff ( Alm. 75108 ) P3</t>
  </si>
  <si>
    <t>Cover plinth luar</t>
  </si>
  <si>
    <t>Alm. 75103 ( Cover Plint Luar ) MENTAH P6</t>
  </si>
  <si>
    <t>Alm. 75103 S44646 ( Cover Plint Luar ) MENTAH P6</t>
  </si>
  <si>
    <t>Cover Plint Luar Silver ( Alm. 75103 ) P3</t>
  </si>
  <si>
    <t>Cover Plint Luar Black ( Alm. 75103 ) P3</t>
  </si>
  <si>
    <t>Cover Plint Luar Brown ( Alm. 75103 ) P3</t>
  </si>
  <si>
    <t>Cover Plint Luar Mocha ( Alm. 75103 ) P3</t>
  </si>
  <si>
    <t>Cover Plint Luar 75103 T.100 SILVER</t>
  </si>
  <si>
    <t>Cover Plint Luar 75103 T.100 BLACK</t>
  </si>
  <si>
    <t>Cover Plint Luar 75103 T.100 BROWN</t>
  </si>
  <si>
    <t>Cover Plint Luar 75103 T.100 MOCHA</t>
  </si>
  <si>
    <t>Cover Plint Luar 75103 T.150 SILVER</t>
  </si>
  <si>
    <t>Cover Plint Luar 75103 T.150 BLACK</t>
  </si>
  <si>
    <t>Cover Plint Luar 75103 T.150 BROWN</t>
  </si>
  <si>
    <t>Cover Plint Luar 75103 T.150 MOCHA</t>
  </si>
  <si>
    <t>Cover Plint Luar 75103 T.150 CHAMPAGNE</t>
  </si>
  <si>
    <t>Cover Plinth dalam</t>
  </si>
  <si>
    <t>Alm. 75102 ( Cover Plint Dalam ) MENTAH P6</t>
  </si>
  <si>
    <t>Cover Plint Dalam Silver ( Alm. 75102 ) P3</t>
  </si>
  <si>
    <t>Cover Plint Dalam Black ( Alm. 75102 ) P3</t>
  </si>
  <si>
    <t>Cover Plint Dalam Brown ( Alm. 75102 ) P3</t>
  </si>
  <si>
    <t>Cover Plint Dalam Mocha ( Alm. 75102 ) P3</t>
  </si>
  <si>
    <t>Cover Plint Dalam T.100 Silver ( Alm. 75102 ) P3</t>
  </si>
  <si>
    <t>Cover Plint Dalam T.100 Black ( Alm. 75102 ) P3</t>
  </si>
  <si>
    <t>Cover Plint Dalam T.100 Brown ( Alm. 75102 ) P3</t>
  </si>
  <si>
    <t>Cover Plint Dalam T.100 Mocha ( Alm. 75102 ) P3</t>
  </si>
  <si>
    <t>Cover Plint Dalam T.100 Champagne ( Alm. 75102 ) P3</t>
  </si>
  <si>
    <t>Cover Plint Dalam T.150 Silver ( Alm. 75102 ) P3</t>
  </si>
  <si>
    <t>Cover Plint Dalam T.150 Black ( Alm. 75102 ) P3</t>
  </si>
  <si>
    <t>Cover Plint Dalam T.150 Brown ( Alm. 75102 ) P3</t>
  </si>
  <si>
    <t>Cover Plint Dalam T.150 Mocha ( Alm. 75102 ) P3</t>
  </si>
  <si>
    <t>Trim 21</t>
  </si>
  <si>
    <t>Alm. 75181 ( Trim 21 S2/S4 ) MENTAH P3</t>
  </si>
  <si>
    <t>Trim 21 S2/S4 Silver Gloss ( Alm. 75181 ) P3</t>
  </si>
  <si>
    <t>Trim 21 S2/S4 Black Gloss ( Alm. 75181 ) P3</t>
  </si>
  <si>
    <t>Trim 21 S2/S4 Brown Gloss ( Alm. 75181 ) P3</t>
  </si>
  <si>
    <t>Trim 21 S2/S4 Mocha Gloss ( Alm. 75181 ) P3</t>
  </si>
  <si>
    <t>Trim 21 S2/S4 Champagne Gloss ( Alm. 75181 ) P3</t>
  </si>
  <si>
    <t>Trim 21 S2/S4 Black Doff ( Alm. 75181 ) P3</t>
  </si>
  <si>
    <t>Trim 21 S2/S4 Brown Doff ( Alm. 75181 ) P3</t>
  </si>
  <si>
    <t>Trim 21 S2/S4 Mocha Doff ( Alm. 75181 ) P3</t>
  </si>
  <si>
    <t>Trim 21 S2/S4 Champagne Doff ( Alm. 75181 ) P3</t>
  </si>
  <si>
    <t>Trim 22</t>
  </si>
  <si>
    <t>Alm. 75270 ( Trim 22 S2/S4 ) MENTAH P3</t>
  </si>
  <si>
    <t>Trim 22 S2/S4 Silver Gloss ( Alm. 75270 ) P3</t>
  </si>
  <si>
    <t>Trim 22 S2/S4 Black Gloss ( Alm. 75270 ) P3</t>
  </si>
  <si>
    <t>Trim 22 S2/S4 Brown Gloss ( Alm. 75270 ) P3</t>
  </si>
  <si>
    <t>Trim 22 S2/S4 Mocha Gloss ( Alm. 75270 ) P3</t>
  </si>
  <si>
    <t>Trim 22 S2/S4 Champagne Gloss ( Alm. 75270 ) P3</t>
  </si>
  <si>
    <t>Trim 22 S2/S4 Black Doff ( Alm. 75270 ) P3</t>
  </si>
  <si>
    <t>Trim 22 S2/S4 Brown Doff ( Alm. 75270 ) P3</t>
  </si>
  <si>
    <t>Trim 22 S2/S4 Mocha Doff ( Alm. 75270 ) P3</t>
  </si>
  <si>
    <t>Trim 22 S2/S4 Champagne Doff ( Alm. 75270 ) P3</t>
  </si>
  <si>
    <t>Trim 38</t>
  </si>
  <si>
    <t>Alm. 2351 ( ST-36 ) MENTAH P6</t>
  </si>
  <si>
    <t>ST-36 Silver Gloss ( Alm. 2351 ) P3 P3</t>
  </si>
  <si>
    <t>ST-36 Black Gloss ( Alm. 2351 ) P3 P3</t>
  </si>
  <si>
    <t>ST-36 Brown Gloss ( Alm. 2351 ) P3 P3</t>
  </si>
  <si>
    <t>ST-36 Mocha Gloss ( Alm. 2351 ) P3 P3</t>
  </si>
  <si>
    <t>ST-36 Champagne Gloss ( Alm. 2351 ) P3 P3</t>
  </si>
  <si>
    <t>ST-36 Black Doff ( Alm. 2351 ) P3 P3</t>
  </si>
  <si>
    <t>ST-36 Brown Doff ( Alm. 2351 ) P3 P3</t>
  </si>
  <si>
    <t>ST-36 Mocha Doff ( Alm. 2351 ) P3 P3</t>
  </si>
  <si>
    <t>ALUM SUPEREX 75132 P 6M CAI P6</t>
  </si>
  <si>
    <t>TUTUP COVER PROFILE 75132 ACRY ABU-ABU</t>
  </si>
  <si>
    <t>Lis Kaca</t>
  </si>
  <si>
    <t>Alm. 6600 ( List Kaca Besar ) MENTAH P2.8</t>
  </si>
  <si>
    <t>Alm. 6599 ( List Kaca Kecil ) MENTAH P2.8</t>
  </si>
  <si>
    <t>List Kaca Silver Gloss ( Alm. 6600/6599 ) P2.8</t>
  </si>
  <si>
    <t>List Kaca Black Gloss ( Alm. 6600/6599 ) P2.8</t>
  </si>
  <si>
    <t>List Kaca Brown Gloss ( Alm. 6600/6599 ) P2.8</t>
  </si>
  <si>
    <t>List Kaca Mocha Gloss ( Alm. 6600/6599 ) P2.8</t>
  </si>
  <si>
    <t>List Kaca Champagne Gloss ( Alm. 6600/6599 ) P2.8</t>
  </si>
  <si>
    <t>List Kaca Black Doff ( Alm. 6600/6599 ) P2.8</t>
  </si>
  <si>
    <t>List Kaca Brown Doff ( Alm. 6600/6599 ) P2.8</t>
  </si>
  <si>
    <t>tatakan ambalan</t>
  </si>
  <si>
    <t>Alm. 12001 ( Tatakan Ambalan ) MENTAH P6</t>
  </si>
  <si>
    <t>Alm. 12001 10x10 ( Tatakan Ambalan ) MENTAH P6</t>
  </si>
  <si>
    <t>Tatakan Ambalan Silver ( Alm. 12001 )</t>
  </si>
  <si>
    <t>mulion dalam</t>
  </si>
  <si>
    <t>Mullion Dalam Black Gloss (Alm. 41316 ) P3</t>
  </si>
  <si>
    <t>Mullion Dalam Brown Gloss ( Alm. 41316 ) P3</t>
  </si>
  <si>
    <t>Mullion Dalam Mocha Gloss ( Alm. 41316 ) P3</t>
  </si>
  <si>
    <t>Mullion Dalam Champagne Gloss ( Alm. 41316 ) P3</t>
  </si>
  <si>
    <t>Mullion Dalam Black Doff ( Alm. 41316 ) P3</t>
  </si>
  <si>
    <t>Mullion Dalam Brown Doff ( Alm. 41316 ) P3</t>
  </si>
  <si>
    <t>Mullion Dalam Mocha Doff ( Alm. 41316 ) P3</t>
  </si>
  <si>
    <t>Mullion Dalam Champagne Doff ( Alm. 41316 ) P3</t>
  </si>
  <si>
    <t>Alm. 41316 ( Mullion Dalam ) MENTAH P6</t>
  </si>
  <si>
    <t>Alm. 41316 ( Mullion Dalam ) CA1 P6</t>
  </si>
  <si>
    <t>mulion luar</t>
  </si>
  <si>
    <t>Alm. 75114 ( Mulion Luar ) MENTAH P6</t>
  </si>
  <si>
    <t>Alm. 75114 ( Mulion Luar ) CA1 P6</t>
  </si>
  <si>
    <t>Mullion Luar Silver Gloss ( Alm. 75114 ) P3</t>
  </si>
  <si>
    <t>Mullion Luar Black Gloss ( Alm. 75114 ) P3</t>
  </si>
  <si>
    <t>Mullion Luar Brown Gloss ( Alm. 75114 ) P3</t>
  </si>
  <si>
    <t>Mullion Luar Mocha Gloss ( Alm. 75114 ) P3</t>
  </si>
  <si>
    <t>Mullion Luar Black Doff ( Alm. 75114 ) P3</t>
  </si>
  <si>
    <t>Mullion Luar Brown Doff ( Alm. 75114 ) P3</t>
  </si>
  <si>
    <t>Mullion Luar Mocha Doff ( Alm. 75114 ) P3</t>
  </si>
  <si>
    <t>Mullion Luar Champagne Doff ( Alm. 75114 ) P3</t>
  </si>
  <si>
    <t>penyambung pintu</t>
  </si>
  <si>
    <t>Alm. 9759 ( Penyambung Pintu ) MENTAH P6</t>
  </si>
  <si>
    <t>Penyambung Pintu Silver ( Alm. 9759 ) P3</t>
  </si>
  <si>
    <t>alu SBY</t>
  </si>
  <si>
    <t>Alm. 75271 ( Frame SBY ) MENTAH P3</t>
  </si>
  <si>
    <t>Frame SBY Silver ( Alm. 75271 ) P3 P3</t>
  </si>
  <si>
    <t>Frame SBY Black ( Alm. 75271 ) P3 P3</t>
  </si>
  <si>
    <t>Frame SBY Brown ( Alm. 75271 ) P3 P3</t>
  </si>
  <si>
    <t>ALM MF 75271 PJ 3 MTR MOCHA P3</t>
  </si>
  <si>
    <t>ALM MF 75271 PJ 3 MTR CHAMPAGNE P3</t>
  </si>
  <si>
    <t>Alm. 75071 ( List Kaca SBY ) MENTAH P3</t>
  </si>
  <si>
    <t>Alm. 75072 ( List Kaca SBY ) MENTAH P3</t>
  </si>
  <si>
    <t>List Kaca Rata Luar SBY Silver ( Alm. 75071/75072 ) P3</t>
  </si>
  <si>
    <t>List Kaca Rata Luar SBY Black ( Alm. 75071/75072 ) P3</t>
  </si>
  <si>
    <t>List Kaca Rata Luar SBY Brown ( Alm. 75071/75072 ) P3</t>
  </si>
  <si>
    <t>List Kaca Rata Luar SBY Champagne ( Alm. 75071/75072 ) P3</t>
  </si>
  <si>
    <t>MH 09A</t>
  </si>
  <si>
    <t>Alm. 75301 ( MH-09 A ) MENTAH P6</t>
  </si>
  <si>
    <t>MH-09 A Silver Gloss ( Alm. 75301 ) P3</t>
  </si>
  <si>
    <t>MH-09 A Black Gloss ( Alm. 75301 ) P3</t>
  </si>
  <si>
    <t>MH-09 A Brown Gloss ( Alm. 75301 ) P3</t>
  </si>
  <si>
    <t>MH-09 A Mocha Gloss ( Alm. 75301 ) P3</t>
  </si>
  <si>
    <t>MH-09 A Champagne Gloss ( Alm. 75301 ) P3</t>
  </si>
  <si>
    <t>MH-09 A Silver Doff ( Alm. 75301 ) P3</t>
  </si>
  <si>
    <t>MH-09 A Black Doff ( Alm. 75301 ) P3</t>
  </si>
  <si>
    <t>MH-09 A Brown Doff ( Alm. 75301 ) P3</t>
  </si>
  <si>
    <t>MH-09 A Mocha Doff ( Alm. 75301 ) P3</t>
  </si>
  <si>
    <t>MH-09 A Champagne Doff ( Alm. 75301 ) P3</t>
  </si>
  <si>
    <t>MH 09AL</t>
  </si>
  <si>
    <t>Alm. 75302 R  (MH-09 AL ) MENTAH P6</t>
  </si>
  <si>
    <t>MH-09 AL Silver Gloss ( Alm. MF 75302 R ) P3</t>
  </si>
  <si>
    <t>MH-09 AL Black Gloss ( Alm. MF 75302 R ) P3</t>
  </si>
  <si>
    <t>MH-09 AL Brown Gloss ( Alm. MF 75302 R ) P3</t>
  </si>
  <si>
    <t>MH-09 AL Mocha Gloss ( Alm. MF 75302 R ) P3</t>
  </si>
  <si>
    <t>MH-09 AL Champagne Gloss ( Alm. MF 75302 R ) P3</t>
  </si>
  <si>
    <t>MH-09 AL Black Doff ( Alm. MF 75302 R ) P3</t>
  </si>
  <si>
    <t>MH-09 AL Brown Doff ( Alm. MF 75302 R ) P3</t>
  </si>
  <si>
    <t>MH-09 AL Mocha Doff ( Alm. MF 75302 R ) P3</t>
  </si>
  <si>
    <t>MH-09 AL Champagne Doff ( Alm. MF 75302 R ) P3</t>
  </si>
  <si>
    <t>MH 09B</t>
  </si>
  <si>
    <t>Alm. 75303 R ( MH-09 B ) MENTAH P6</t>
  </si>
  <si>
    <t>MH-09 B Silver Gloss ( Alm. MF 75303 R ) P3</t>
  </si>
  <si>
    <t>MH-09 B Black Gloss ( Alm. MF 75303 R ) P3</t>
  </si>
  <si>
    <t>MH-09 B Brown Gloss ( Alm. MF 75303 R ) P3</t>
  </si>
  <si>
    <t>MH-09 B Mocha Gloss ( Alm. MF 75303 R ) P3</t>
  </si>
  <si>
    <t>MH-09 B Champagne Gloss ( Alm. MF 75303 R ) P3</t>
  </si>
  <si>
    <t>MH-09 B Silver Doff ( Alm. MF 75303 R ) P3</t>
  </si>
  <si>
    <t>MH-09 B Black Doff ( Alm. MF 75303 R ) P3</t>
  </si>
  <si>
    <t>MH-09 B Brown Doff ( Alm. MF 75303 R ) P3</t>
  </si>
  <si>
    <t>MH-09 B Champagne Doff ( Alm. MF 75303 R ) P3</t>
  </si>
  <si>
    <t>M Frm 06</t>
  </si>
  <si>
    <t>Alm. 75288 ( M-FRM-06 ) CA1 P6</t>
  </si>
  <si>
    <t>M-FRM-06 Black Gloss ( Alm. 75288 ) P3</t>
  </si>
  <si>
    <t>M-FRM-06 Brown Gloss ( Alm. 75288 ) P3</t>
  </si>
  <si>
    <t>M-FRM-06 Mocha Gloss ( Alm. 75288 ) P3</t>
  </si>
  <si>
    <t>M Frm 07</t>
  </si>
  <si>
    <t>Alm. 75354 ( Mulion M-FRM-07 ) CA1 P6</t>
  </si>
  <si>
    <t>Blm Ada</t>
  </si>
  <si>
    <t>Mulion M-FRM-07 Silver Gloss ( Alm. 75354 ) P3</t>
  </si>
  <si>
    <t>Mulion M-FRM-07 Black Gloss ( Alm. 75354 ) P3</t>
  </si>
  <si>
    <t>Mulion M-FRM-07 Brown Gloss ( Alm. 75354 ) P3</t>
  </si>
  <si>
    <t>Mulion M-FRM-07 Mocha Gloss ( Alm. 75354 ) P3</t>
  </si>
  <si>
    <t>Mulion M-FRM-07 Champagne Gloss ( Alm. 75354 ) P3</t>
  </si>
  <si>
    <t>Mulion M-FRM-07 Silver Doff ( Alm. 75354 ) P3</t>
  </si>
  <si>
    <t>Mulion M-FRM-07 Black Doff ( Alm. 75354 ) P3</t>
  </si>
  <si>
    <t>Mulion M-FRM-07 Brown Doff ( Alm. 75354 ) P3</t>
  </si>
  <si>
    <t>Mulion M-FRM-07 Mocha Doff ( Alm. 75354 ) P3</t>
  </si>
  <si>
    <t>Mulion M-FRM-07 Champagne Doff ( Alm. 75354 ) P3</t>
  </si>
  <si>
    <t>Scilm import</t>
  </si>
  <si>
    <t>MULION - RAW ALUM REINFORCE CROSS BAW P.4100</t>
  </si>
  <si>
    <t>Alm. 75355 ( M-FRM-07 ) CA1 P6</t>
  </si>
  <si>
    <t>M-FRM-07 Silver Gloss ( Alm. 75355 ) P3</t>
  </si>
  <si>
    <t>M-FRM-07 Black Gloss ( Alm. 75355 ) P3</t>
  </si>
  <si>
    <t>M-FRM-07 Brown Gloss ( Alm. 75355 ) P3</t>
  </si>
  <si>
    <t>M-FRM-07 Mocha Gloss ( Alm. 75355 ) P3</t>
  </si>
  <si>
    <t>M-FRM-07 Champagne Gloss ( Alm. 75355 ) P3</t>
  </si>
  <si>
    <t>M-FRM-07 Silver Doff ( Alm. 75355 ) P3</t>
  </si>
  <si>
    <t>M-FRM-07 Black Doff ( Alm. 75355 ) P3</t>
  </si>
  <si>
    <t>M-FRM-07 Brown Doff ( Alm. 75355 ) P3</t>
  </si>
  <si>
    <t>M-FRM-07 Mocha Doff ( Alm. 75355 ) P3</t>
  </si>
  <si>
    <t>M-FRM-07 Champagne Doff ( Alm. 75355 ) P3</t>
  </si>
  <si>
    <t>FRAME - ANODYZED ALUM BAR W / PROTECTION P.4100</t>
  </si>
  <si>
    <t>trim miring</t>
  </si>
  <si>
    <t>Alm. 75316 ( Trim Miring ) MENTAH P6</t>
  </si>
  <si>
    <t>mirip MH 08</t>
  </si>
  <si>
    <t>ALUMUNIUM GP 32 P. 3000</t>
  </si>
  <si>
    <t>M HGR 02</t>
  </si>
  <si>
    <t>Alm. 75311 ( M-HGR-02 ) MENTAH P6</t>
  </si>
  <si>
    <t>M-HGR-02 Silver Gloss ( Alm. 75311 ) P3</t>
  </si>
  <si>
    <t>M-HGR-02 Black Gloss ( Alm. 75311 ) P3</t>
  </si>
  <si>
    <t>M-HGR-02 Brown Gloss ( Alm. 75311 ) P3</t>
  </si>
  <si>
    <t>M-HGR-02 Mocha Gloss ( Alm. 75311 ) P3</t>
  </si>
  <si>
    <t>M-HGR-02 Brown Doff ( Alm. 75311 ) P3</t>
  </si>
  <si>
    <t>Alm. 75312 ( Bracket M-HGR-02 ) MENTAH P6</t>
  </si>
  <si>
    <t>Bracket M-HGR-02 Silver Gloss ( Alm. 75312 ) P3</t>
  </si>
  <si>
    <t>Bracket M-HGR-02 Black Gloss ( Alm. 75312 ) P3</t>
  </si>
  <si>
    <t>Bracket M-HGR-02 Brown Gloss ( Alm. 75312 ) P3</t>
  </si>
  <si>
    <t>Bracket M-HGR-02 Mocha Gloss ( Alm. 75312 ) P3</t>
  </si>
  <si>
    <t>MLP_01</t>
  </si>
  <si>
    <t>PROFIL MLP 01 MDF HIJAU UK 2350X16X17(Coak 6 mm)</t>
  </si>
  <si>
    <t>PROFIL MLP 01 MDF HIJAU UK 2350X16X17(coakan 3 mm)</t>
  </si>
  <si>
    <t>PROFIL MLP 01 MDF HIJAU UK 2350X16X17 modif</t>
  </si>
  <si>
    <t>PROFIL SUNGKAI MLP 01 P. 1000</t>
  </si>
  <si>
    <t>PROFIL MLP 01 MDF HIJAU UK 2350X16X17 (tidak coak)</t>
  </si>
  <si>
    <t>PROFIL SUNGKAI MLP 01P. 2500</t>
  </si>
  <si>
    <t>PROFIL KAMPER  MLP 01 P. 4000</t>
  </si>
  <si>
    <t>MLT_01</t>
  </si>
  <si>
    <t>PROFIL MLT 01 MDF hijau 24X128X2350</t>
  </si>
  <si>
    <t>PROFIL MLT 01 MDF + PLY 2440X128X24</t>
  </si>
  <si>
    <t>PROFIL MLT 01 KAYU SUNGKAI  3000X127X24</t>
  </si>
  <si>
    <t>MLT_04</t>
  </si>
  <si>
    <t>PROFIL MLT 04 MDF HIJAU UK 2440X78X24</t>
  </si>
  <si>
    <t>PROFIL MLT 04 SUNGKAI 4000X78X24</t>
  </si>
  <si>
    <t>MLT_05</t>
  </si>
  <si>
    <t>PROFIL MLT 05 UK 2440X70X24</t>
  </si>
  <si>
    <t>PROFIL MLT 05 SUNGKAI 4000X70X24</t>
  </si>
  <si>
    <t>PROFIL MLT 05 SUNGKAI 3000X70X24</t>
  </si>
  <si>
    <t>CL_02</t>
  </si>
  <si>
    <t>PINTU PROFIL  CL 02 MDF HIJAU 2440X70X23 coak duco</t>
  </si>
  <si>
    <t>PROFIL PINTU CL 02 KAMPER 432X70X23</t>
  </si>
  <si>
    <t>PROFIL KAMPER CL 02  460X70X23</t>
  </si>
  <si>
    <t>PROFIL KAMPER  CL 02  2350X110X23</t>
  </si>
  <si>
    <t>PINTU PROFIL  CL 02 MDF HIJAU 2440X70X23 coak Kaca</t>
  </si>
  <si>
    <t>MLP_02</t>
  </si>
  <si>
    <t>PROFIL MLP 02 MDF HIJAU UK 2350X16X17( Tidak coak)</t>
  </si>
  <si>
    <t>PROFIL MLP 02 MDF HIJAU UK 2440X16X17(Coak 3 mm)</t>
  </si>
  <si>
    <t>PROFIL SUNGKAI MLP 02 P. 3000</t>
  </si>
  <si>
    <t>PROFIL SUNGKAI MLP 02 P. 1000</t>
  </si>
  <si>
    <t>PROFIL SUNGKAI MLP 02 P. 400</t>
  </si>
  <si>
    <t>PROFIL SUNGKAI MLP 02 P. 2500</t>
  </si>
  <si>
    <t>PROFIL KAMPER  MLP 02 P. 2350</t>
  </si>
  <si>
    <t>PROFIL KAMPER  MLP 02 P. 4000</t>
  </si>
  <si>
    <t>PROFIL KAMPER  MLP 02 P. 1500</t>
  </si>
  <si>
    <t>PIRAMID</t>
  </si>
  <si>
    <t>PROFIL KOTAK PIRAMID 8X8</t>
  </si>
  <si>
    <t>PROFIL KOTAK PIRAMID 4X4</t>
  </si>
  <si>
    <t>PROFIL KOTAK PIRAMID 10X10</t>
  </si>
  <si>
    <t>PROFIL KOTAK PIRAMID SUNGKAI 4X4</t>
  </si>
  <si>
    <t>PROFIL KOTAK PIRAMID SUNGKAI 10X10</t>
  </si>
  <si>
    <t>PROFIL KOTAK PIRAMID SUNGKAI 6X6</t>
  </si>
  <si>
    <t>PROFIL KOTAK PIRAMID SUNGKAI 8X8</t>
  </si>
  <si>
    <t>PROFIL  PIRAMID KOTAK KAMPER 63X63</t>
  </si>
  <si>
    <t>PROFIL  PIRAMID KOTAK KAMPER 103X103</t>
  </si>
  <si>
    <t>PROFIL  PIRAMID KOTAK SUNGKAI 63X63</t>
  </si>
  <si>
    <t>PROFIL  PIRAMID KOTAK SUNGKAI 103X103</t>
  </si>
  <si>
    <t>MLP_04</t>
  </si>
  <si>
    <t>PROFIL MLP 04 MDF HIJAU UK 2350X14X14</t>
  </si>
  <si>
    <t>PROFIL MLP 04 UK 2440x14x14 (Coak 9 mm)</t>
  </si>
  <si>
    <t>PROFIL SUNGKAI MLP 04 P. 500</t>
  </si>
  <si>
    <t>PROFIL SUNGKAI MLP 04 P. 2000</t>
  </si>
  <si>
    <t>PROFIL SUNGKAI MLP 04 P. 1000</t>
  </si>
  <si>
    <t>PROFIL SUNGKAI MLP 04 P. 2500</t>
  </si>
  <si>
    <t>PROFIL KAMPER  MLP 04 P. 2350</t>
  </si>
  <si>
    <t>PROFIL SUNGKAI MLP 04 P. 3000</t>
  </si>
  <si>
    <t>MLP_06</t>
  </si>
  <si>
    <t>PROFIL MLP 06 MDF HIJAU P. 2440</t>
  </si>
  <si>
    <t>PROFIL KAMPER  MLP 06 P. 4000</t>
  </si>
  <si>
    <t>Ornamen_Bunga</t>
  </si>
  <si>
    <t>PROFIL ORNAMEN MOTIF BUNGA 40X40(MOK-09)</t>
  </si>
  <si>
    <t>PROFIL ORNAMEN MOTIF BUNGA 63X63(MOK-10)</t>
  </si>
  <si>
    <t>PROFIL ORNAMEN MOTIF BUNGA 80X80(MOK-11)</t>
  </si>
  <si>
    <t>PT_08</t>
  </si>
  <si>
    <t>PROFIL MPT 08 MDF HIJAU UK 2440x80x8</t>
  </si>
  <si>
    <t>PROFIL SUNGKAI  PT-08 P.3000</t>
  </si>
  <si>
    <t>PT_04</t>
  </si>
  <si>
    <t>PROFIL SUNGKAI  PT-04 P.2500</t>
  </si>
  <si>
    <t>PROFIL SUNGKAI  PT-04 P.1200</t>
  </si>
  <si>
    <t>PROFIL  PT-04 MDF HIJAU P.2440</t>
  </si>
  <si>
    <t>PB_25</t>
  </si>
  <si>
    <t>PROFIL BULAT MDF HIJAU (PB25) P.2440</t>
  </si>
  <si>
    <t>PB_A</t>
  </si>
  <si>
    <t>PROFIL BULAT MDF HIJAU (PB A) P.2440</t>
  </si>
  <si>
    <t>PB_15</t>
  </si>
  <si>
    <t>PROFIL BULAT MDF HIJAU (PB15) P.2440</t>
  </si>
  <si>
    <t>PROFIL BULAT SUNGKAI (PB15) P.3000</t>
  </si>
  <si>
    <t>AR_20</t>
  </si>
  <si>
    <t>PROFIL KAMPER SAMARINDA AR 20 E UK 3000X10X15</t>
  </si>
  <si>
    <t>LIPING SUNGKAY AR 20 (1X1) Pj 2 Mtr</t>
  </si>
  <si>
    <t>KAYU KAMPER SAMARINDA AR 20 (1X1 CM) UK.2000</t>
  </si>
  <si>
    <t>KAYU KAMPER AR 20 C (15X15)</t>
  </si>
  <si>
    <t>KAYU SUNGKAI AR 20 C (15X15)</t>
  </si>
  <si>
    <t>MR_03</t>
  </si>
  <si>
    <t>PROFIL R5 MDF hijau 10X26X2350 (MR 03)</t>
  </si>
  <si>
    <t>PROFIL MDF RS (MR 03) 2350X10X26</t>
  </si>
  <si>
    <t>PROFIL KAMPER R 5 UK. 4000X26X10 (MR 03)</t>
  </si>
  <si>
    <t>LIPING SUNGKAY 10X26 (MR 03)</t>
  </si>
  <si>
    <t>MR_02</t>
  </si>
  <si>
    <t>PROFIL R5 MDF hijau 10X15X2350 (MR 02) T.47</t>
  </si>
  <si>
    <t>PROFIL R5 MDF hijau 10X15X2350 (MR 02)</t>
  </si>
  <si>
    <t>PROFIL SUNGKAY  R 5  1800X15X10 (MR 02)</t>
  </si>
  <si>
    <t>PROFIL KAMPER R 5 UK. 4000X15X10 (MR 02)</t>
  </si>
  <si>
    <t>MR_01</t>
  </si>
  <si>
    <t>PROFIL SUNGKAY  R 5 UK. 3000X9X10 (MR 01)</t>
  </si>
  <si>
    <t>PROFIL SUNGKAY  R 5 UK. 4000X9X10 (MR 01)</t>
  </si>
  <si>
    <t>MPP_02</t>
  </si>
  <si>
    <t>PROFIL PLINT MPP-02</t>
  </si>
  <si>
    <t>PROFIL PLINT MPP-02 T.150  MDF HIJAU</t>
  </si>
  <si>
    <t>MPP_01</t>
  </si>
  <si>
    <t>PROFIL PLINT MPP-01 T.100  MDF HIJAU</t>
  </si>
  <si>
    <t>PROFIL PLINT MPP-01/02 KAMPER  P.4000</t>
  </si>
  <si>
    <t>PROFIL PLINT MPP-01/02 KAMPER  P.2440</t>
  </si>
  <si>
    <t>PROFIL PLINT MPP-01SUNGKAY P.3000</t>
  </si>
  <si>
    <t>MPP_04</t>
  </si>
  <si>
    <t>PROFIL PLINT MPP-04 T.150 MDF HIJAU</t>
  </si>
  <si>
    <t>PROFIL PLINT MPP-04 T.150 (EP) MDF HIJAU</t>
  </si>
  <si>
    <t>MPP_03</t>
  </si>
  <si>
    <t>PROFIL PLINT MPP-03 T.100 MDF HIJAU</t>
  </si>
  <si>
    <t>PROFIL PLINT MPP-03 T.100 (EP) MDF HIJAU</t>
  </si>
  <si>
    <t>PROFIL PLINT MPP-03 T.200  MDF HIJAU</t>
  </si>
  <si>
    <t>PROFIL PLINT MPP-03 2440X100X42</t>
  </si>
  <si>
    <t>Profil_Top</t>
  </si>
  <si>
    <t>PROFIL TOP TABLE MDF HIJAU  2440X40X40</t>
  </si>
  <si>
    <t>PROFIL TOP TABLE SUNGKAY 4000X40X40</t>
  </si>
  <si>
    <t>HB_41130</t>
  </si>
  <si>
    <t>ECO_014</t>
  </si>
  <si>
    <t>M_41130</t>
  </si>
  <si>
    <t>AS_14126_CS98</t>
  </si>
  <si>
    <t>AS_14146_KM</t>
  </si>
  <si>
    <t>AS_14072_Cs62(V)</t>
  </si>
  <si>
    <t>AS_13019_Cn74</t>
  </si>
  <si>
    <t>M_71002_Cs90(V)</t>
  </si>
  <si>
    <t>M_71018_Cs99(V)</t>
  </si>
  <si>
    <t>AS_14122_Cs62(V)</t>
  </si>
  <si>
    <t>H_5414_TM</t>
  </si>
  <si>
    <t>MBA_2016_Cs98(V)</t>
  </si>
  <si>
    <t>M_71002_TM(V)</t>
  </si>
  <si>
    <t>M_71022_Cn74(V)</t>
  </si>
  <si>
    <t>AS_14039_CG</t>
  </si>
  <si>
    <t>AS_13023_Cn74</t>
  </si>
  <si>
    <t>SHG_1187</t>
  </si>
  <si>
    <t>DXO_4310X</t>
  </si>
  <si>
    <t>AS_13019_KM</t>
  </si>
  <si>
    <t xml:space="preserve"> -</t>
  </si>
  <si>
    <t>WY_5279_E(V)</t>
  </si>
  <si>
    <t>M_71009_TM(V)</t>
  </si>
  <si>
    <t>MB_3093_DJ67(V)</t>
  </si>
  <si>
    <t>AS_14029_CS98(V)</t>
  </si>
  <si>
    <t>AS_13000_KM</t>
  </si>
  <si>
    <t>TH_7204_AA</t>
  </si>
  <si>
    <t>TH_7202_AA</t>
  </si>
  <si>
    <t>M_20153_003_Cs62(H)</t>
  </si>
  <si>
    <t>ART_1009_XM</t>
  </si>
  <si>
    <t>ART_1010_XM</t>
  </si>
  <si>
    <t>Edg</t>
  </si>
  <si>
    <t>Edg_Décor_1740_B</t>
  </si>
  <si>
    <t>Edg_Décor_1723_B</t>
  </si>
  <si>
    <t>Edg_Decor_1723_B_(55x1)</t>
  </si>
  <si>
    <t>edg_Rehau_558</t>
  </si>
  <si>
    <t>edg_Rehau_558_(29x1)</t>
  </si>
  <si>
    <t>edg_Rehau_558_(55x1.5)</t>
  </si>
  <si>
    <t>Edg_HPL_(touch_up)</t>
  </si>
  <si>
    <t>Edg_Taco_W373</t>
  </si>
  <si>
    <t>Edg_EAS_1150_DO</t>
  </si>
  <si>
    <t>Edg_EAW_4231_XO</t>
  </si>
  <si>
    <t>Edg_EAW_4231_XO(44x1)</t>
  </si>
  <si>
    <t>Edg_EAW_1259_D1</t>
  </si>
  <si>
    <t xml:space="preserve">Edg_EAW_5214_D1 </t>
  </si>
  <si>
    <t xml:space="preserve">Edg_EAW_5217_D2 </t>
  </si>
  <si>
    <t>Edg_ EAW_5259_R1</t>
  </si>
  <si>
    <t>Edg_EAW_5258_R1</t>
  </si>
  <si>
    <t>Edg_EAP_5338_R0</t>
  </si>
  <si>
    <t>Edg_EAP_5339_R0</t>
  </si>
  <si>
    <t>Edg_EAP_5339_R0_(44x1)</t>
  </si>
  <si>
    <t>Edg_EAP_5337_R0</t>
  </si>
  <si>
    <t>Edg_ TACO_362H</t>
  </si>
  <si>
    <t>Edg_ TACO_362H_(42x1)</t>
  </si>
  <si>
    <t>Edg_Decor_2024_B</t>
  </si>
  <si>
    <t>Edg_Decor_2024_B_(55x1)</t>
  </si>
  <si>
    <t>Edg_EAP_5323</t>
  </si>
  <si>
    <t>Edg_TACO_002_Gloss</t>
  </si>
  <si>
    <t>Edg_151481</t>
  </si>
  <si>
    <t>Edg_ TACO_359H</t>
  </si>
  <si>
    <t>Edg_EAP_1333_JO</t>
  </si>
  <si>
    <t>Edg_1694B</t>
  </si>
  <si>
    <t>Edg_TACO_S_022</t>
  </si>
  <si>
    <t>Edg_110352</t>
  </si>
  <si>
    <t>Edg_EAS_1109_DO</t>
  </si>
  <si>
    <t>Edg_ EAW_1281_D1</t>
  </si>
  <si>
    <t>Edg_EAS_1187_Z5</t>
  </si>
  <si>
    <t>Edg_EAS_1113_DO</t>
  </si>
  <si>
    <t>Edg_HPL</t>
  </si>
  <si>
    <t>Edg_76490_(45X1.3)</t>
  </si>
  <si>
    <t>Edg_EAP_4310_F1</t>
  </si>
  <si>
    <t>Edg_EAS_1150_Z5</t>
  </si>
  <si>
    <t>Edg_EAW_5279_E1</t>
  </si>
  <si>
    <t>Edg_1712_B</t>
  </si>
  <si>
    <t>Edg_EAW_1245_RO</t>
  </si>
  <si>
    <t>Edg_EAW_1245_RO(44X1)</t>
  </si>
  <si>
    <t>Edg_Decor_2023_B</t>
  </si>
  <si>
    <t>Edg_Decor_2023_B(55x1)</t>
  </si>
  <si>
    <t>Edg_EAW_4254_XO</t>
  </si>
  <si>
    <t>Edg_DSS_00880_SM</t>
  </si>
  <si>
    <t>Edg_EAP_5308_KO</t>
  </si>
  <si>
    <t>kab</t>
  </si>
  <si>
    <t>Ref</t>
  </si>
  <si>
    <t>prt</t>
  </si>
  <si>
    <t>proses_khusus</t>
  </si>
  <si>
    <t>rel_wrd</t>
  </si>
  <si>
    <t>rel_pantry</t>
  </si>
  <si>
    <t>mprf_01</t>
  </si>
  <si>
    <t>mled_02</t>
  </si>
  <si>
    <t>trim_21</t>
  </si>
  <si>
    <t>trim_22</t>
  </si>
  <si>
    <t>trim_38</t>
  </si>
  <si>
    <t>m_frm</t>
  </si>
  <si>
    <t>m_frm_02</t>
  </si>
  <si>
    <t>m_frm_03</t>
  </si>
  <si>
    <t>m_frm_04</t>
  </si>
  <si>
    <t>m_frm_05</t>
  </si>
  <si>
    <t>m_frm_06</t>
  </si>
  <si>
    <t>m_frm_07</t>
  </si>
  <si>
    <t>m_frm_ttp_blk</t>
  </si>
  <si>
    <t>mulion_luar</t>
  </si>
  <si>
    <t>mulion_dalam</t>
  </si>
  <si>
    <t>lis_kaca</t>
  </si>
  <si>
    <t>Mshf_0102</t>
  </si>
  <si>
    <t>LS_01</t>
  </si>
  <si>
    <t>LS_02</t>
  </si>
  <si>
    <t>M_PLT_01</t>
  </si>
  <si>
    <t>M_PLT_02</t>
  </si>
  <si>
    <t>Cov_plinth_luar</t>
  </si>
  <si>
    <t>Cov_plinth_dalam</t>
  </si>
  <si>
    <t>Profil_top</t>
  </si>
  <si>
    <t>Val.</t>
  </si>
  <si>
    <t>note</t>
  </si>
  <si>
    <t>No Rekap</t>
  </si>
  <si>
    <t>:</t>
  </si>
  <si>
    <t>Estimator</t>
  </si>
  <si>
    <t>Form Order</t>
  </si>
  <si>
    <t>√</t>
  </si>
  <si>
    <t>No.Kontrak</t>
  </si>
  <si>
    <t>NIP</t>
  </si>
  <si>
    <t>ADA PENDINGAN</t>
  </si>
  <si>
    <t>Nama Produk</t>
  </si>
  <si>
    <t>TIDAK ADA PEND.</t>
  </si>
  <si>
    <t>Nama Proyek</t>
  </si>
  <si>
    <t>Spesifikasi Produk</t>
  </si>
  <si>
    <t>Bahan Kabinet 1</t>
  </si>
  <si>
    <t>Ply</t>
  </si>
  <si>
    <t>Bahan Kabinet 2</t>
  </si>
  <si>
    <t>bahan2</t>
  </si>
  <si>
    <t>Bahan Kabinet 3</t>
  </si>
  <si>
    <t>bahan3</t>
  </si>
  <si>
    <t>Bahan Kabinet 4</t>
  </si>
  <si>
    <t>bahan4</t>
  </si>
  <si>
    <t>Bahan Kabinet 5</t>
  </si>
  <si>
    <t>Bahan Kabinet 6</t>
  </si>
  <si>
    <t>bahan6</t>
  </si>
  <si>
    <t>kabinet1</t>
  </si>
  <si>
    <t>edgingkab1</t>
  </si>
  <si>
    <t>Aica</t>
  </si>
  <si>
    <t>kabinet2</t>
  </si>
  <si>
    <t>edgingkab2</t>
  </si>
  <si>
    <t>lapisan1</t>
  </si>
  <si>
    <t>edging1</t>
  </si>
  <si>
    <t>lapisan2</t>
  </si>
  <si>
    <t>lapisan3</t>
  </si>
  <si>
    <t>edging3</t>
  </si>
  <si>
    <t>lapisan4</t>
  </si>
  <si>
    <t>edging4</t>
  </si>
  <si>
    <t>lapisan5</t>
  </si>
  <si>
    <t>edging5</t>
  </si>
  <si>
    <t>lapisan6</t>
  </si>
  <si>
    <t>edging6</t>
  </si>
  <si>
    <t>lapisan7</t>
  </si>
  <si>
    <t>edging7</t>
  </si>
  <si>
    <t>Spesifikasi komp.Anodize</t>
  </si>
  <si>
    <t>edging7 (trimpanel)</t>
  </si>
  <si>
    <t>edging8 (trimkaca)</t>
  </si>
  <si>
    <t>edging9</t>
  </si>
  <si>
    <t>mled02</t>
  </si>
  <si>
    <t>mprf1</t>
  </si>
  <si>
    <t>mlis1</t>
  </si>
  <si>
    <t>liskaca</t>
  </si>
  <si>
    <t>hand1</t>
  </si>
  <si>
    <t>hand2</t>
  </si>
  <si>
    <t>-</t>
  </si>
  <si>
    <t>hand3</t>
  </si>
  <si>
    <t>hand4</t>
  </si>
  <si>
    <t>hand5</t>
  </si>
  <si>
    <t>Spesifikasi frame Alu</t>
  </si>
  <si>
    <t>fr0</t>
  </si>
  <si>
    <t>fr1</t>
  </si>
  <si>
    <t>fr2</t>
  </si>
  <si>
    <t>fr3</t>
  </si>
  <si>
    <t>fr4</t>
  </si>
  <si>
    <t>fr5</t>
  </si>
  <si>
    <t>fr6</t>
  </si>
  <si>
    <t>fr7</t>
  </si>
  <si>
    <t>fr8</t>
  </si>
  <si>
    <t>fr9</t>
  </si>
  <si>
    <t>Spesifikasi Engsel</t>
  </si>
  <si>
    <t>engsel1</t>
  </si>
  <si>
    <t>engsel2</t>
  </si>
  <si>
    <t>engsel3</t>
  </si>
  <si>
    <t>engsel4</t>
  </si>
  <si>
    <t>engsel5</t>
  </si>
  <si>
    <t>engsel6</t>
  </si>
  <si>
    <t>Spesifikasi Rel laci</t>
  </si>
  <si>
    <t>rel1</t>
  </si>
  <si>
    <t>rel2</t>
  </si>
  <si>
    <t>rel3</t>
  </si>
  <si>
    <t>rel4</t>
  </si>
  <si>
    <t>Spesifikasi Door Mechanism</t>
  </si>
  <si>
    <t>dormec1</t>
  </si>
  <si>
    <t>dormec2</t>
  </si>
  <si>
    <t>dormec3</t>
  </si>
  <si>
    <t>dormec4</t>
  </si>
  <si>
    <t>Spesifikasi Kaca</t>
  </si>
  <si>
    <t>kaca1</t>
  </si>
  <si>
    <t>kaca2</t>
  </si>
  <si>
    <t>kaca4</t>
  </si>
  <si>
    <t>kaca5</t>
  </si>
  <si>
    <t>kaca6</t>
  </si>
  <si>
    <t>Spesifikasi Profil</t>
  </si>
  <si>
    <t>prof_pintu_1</t>
  </si>
  <si>
    <t>prof_pintu_2</t>
  </si>
  <si>
    <t>prof_pintu_3</t>
  </si>
  <si>
    <t>prof_panel_1</t>
  </si>
  <si>
    <t>prof_panel_2</t>
  </si>
  <si>
    <t>prof_panel_3</t>
  </si>
  <si>
    <t>prof_cor_1</t>
  </si>
  <si>
    <t>prof_cor_2</t>
  </si>
  <si>
    <t>prof_cor_3</t>
  </si>
  <si>
    <t>prof_pl_1</t>
  </si>
  <si>
    <t>prof_pl_2</t>
  </si>
  <si>
    <t>prof_pl_3</t>
  </si>
  <si>
    <t>Referensi Modul</t>
  </si>
  <si>
    <t>Ambalan Hidup</t>
  </si>
  <si>
    <t>Cover Panel / Pelmet</t>
  </si>
  <si>
    <t>End Panel</t>
  </si>
  <si>
    <t>Back Panel</t>
  </si>
  <si>
    <t>Tatakan kaca</t>
  </si>
  <si>
    <t>Tatakan granit/marmer</t>
  </si>
  <si>
    <t>Tatakan S/s</t>
  </si>
  <si>
    <t>Tatakan formatop</t>
  </si>
  <si>
    <t>Ambalan</t>
  </si>
  <si>
    <t>Plinth</t>
  </si>
  <si>
    <t>Tutup Kabinet Bawah</t>
  </si>
  <si>
    <t>Ganjelan top table</t>
  </si>
  <si>
    <t>Dummies</t>
  </si>
  <si>
    <r>
      <t xml:space="preserve">Uppertop Rangka </t>
    </r>
    <r>
      <rPr>
        <i/>
        <sz val="12"/>
        <color indexed="53"/>
        <rFont val="Times New Roman"/>
        <family val="1"/>
      </rPr>
      <t>(rakit tukang)</t>
    </r>
  </si>
  <si>
    <r>
      <t xml:space="preserve">Plinth Rangka  </t>
    </r>
    <r>
      <rPr>
        <i/>
        <sz val="12"/>
        <color indexed="53"/>
        <rFont val="Times New Roman"/>
        <family val="1"/>
      </rPr>
      <t>(rakit tukang)</t>
    </r>
  </si>
  <si>
    <r>
      <t xml:space="preserve">End Panel Rangka </t>
    </r>
    <r>
      <rPr>
        <i/>
        <sz val="12"/>
        <color indexed="53"/>
        <rFont val="Times New Roman"/>
        <family val="1"/>
      </rPr>
      <t>(rakit tukang)</t>
    </r>
  </si>
  <si>
    <r>
      <t xml:space="preserve">Dummies Rangka </t>
    </r>
    <r>
      <rPr>
        <i/>
        <sz val="12"/>
        <color indexed="53"/>
        <rFont val="Times New Roman"/>
        <family val="1"/>
      </rPr>
      <t xml:space="preserve"> (rakit tukang)</t>
    </r>
  </si>
  <si>
    <r>
      <t xml:space="preserve">Back Panel Kaca </t>
    </r>
    <r>
      <rPr>
        <i/>
        <sz val="12"/>
        <color indexed="53"/>
        <rFont val="Times New Roman"/>
        <family val="1"/>
      </rPr>
      <t>(rakit tukang)</t>
    </r>
  </si>
  <si>
    <r>
      <t xml:space="preserve">Tutup laci Kaca </t>
    </r>
    <r>
      <rPr>
        <i/>
        <sz val="12"/>
        <color indexed="53"/>
        <rFont val="Times New Roman"/>
        <family val="1"/>
      </rPr>
      <t>(rakit tukang)</t>
    </r>
  </si>
  <si>
    <r>
      <t xml:space="preserve">Pintu Kaca </t>
    </r>
    <r>
      <rPr>
        <i/>
        <sz val="12"/>
        <color indexed="53"/>
        <rFont val="Times New Roman"/>
        <family val="1"/>
      </rPr>
      <t>(ukuran tunggu info)</t>
    </r>
  </si>
  <si>
    <r>
      <t xml:space="preserve">Back Panel Kaca Rangka </t>
    </r>
    <r>
      <rPr>
        <i/>
        <sz val="12"/>
        <color indexed="53"/>
        <rFont val="Times New Roman"/>
        <family val="1"/>
      </rPr>
      <t>(rakit tukang)</t>
    </r>
  </si>
  <si>
    <r>
      <t xml:space="preserve">Panel Partisi </t>
    </r>
    <r>
      <rPr>
        <i/>
        <sz val="12"/>
        <color indexed="53"/>
        <rFont val="Times New Roman"/>
        <family val="1"/>
      </rPr>
      <t>(rakit tukang)</t>
    </r>
  </si>
  <si>
    <r>
      <t xml:space="preserve">Kotak Laci </t>
    </r>
    <r>
      <rPr>
        <i/>
        <sz val="12"/>
        <color indexed="53"/>
        <rFont val="Times New Roman"/>
        <family val="1"/>
      </rPr>
      <t>(rakit tukang)</t>
    </r>
  </si>
  <si>
    <r>
      <t xml:space="preserve">Cover Cerobong Hood </t>
    </r>
    <r>
      <rPr>
        <i/>
        <sz val="12"/>
        <color indexed="53"/>
        <rFont val="Times New Roman"/>
        <family val="1"/>
      </rPr>
      <t>(rakit tukang)</t>
    </r>
  </si>
  <si>
    <r>
      <t xml:space="preserve">Meja Tatakan  </t>
    </r>
    <r>
      <rPr>
        <i/>
        <sz val="12"/>
        <color indexed="53"/>
        <rFont val="Times New Roman"/>
        <family val="1"/>
      </rPr>
      <t>(rakit tukang)</t>
    </r>
  </si>
  <si>
    <t>Pintu Frame</t>
  </si>
  <si>
    <t>REL LACI HETTICK / TANDEM BOX</t>
  </si>
  <si>
    <t>TATAKAN BAWAH</t>
  </si>
  <si>
    <t>DALAM KABINET - 72   PANJANG REL 480 ( EDG 1 SISI PANJANG )</t>
  </si>
  <si>
    <t>PALANG BELAKANG KECIL</t>
  </si>
  <si>
    <t>DALAM KABINET - 84   TINGGI 65    PASANG DI ATAS TATAKAN BAWAH ( EDG 1 SISI PANJANG )</t>
  </si>
  <si>
    <t>PALANG BELAKANG TINGGI</t>
  </si>
  <si>
    <t>DALAM KABINET - 84   TINGGI 144    PASANG DI ATAS TATAKAN BAWAH ( EDG 1 SISI PANJANG )</t>
  </si>
  <si>
    <t xml:space="preserve">REL LACI HETTICK </t>
  </si>
  <si>
    <t>KOTAK LACI</t>
  </si>
  <si>
    <t>DALAM KABINET - 40   PANJANG KOTAK LACI SAMA PANJANG REL</t>
  </si>
  <si>
    <t>RELL BOLL JOINT</t>
  </si>
  <si>
    <t xml:space="preserve">DALAM KABINET - 28 - 30   PANJANG KOTAK LACI SAMA PJG REL . </t>
  </si>
  <si>
    <t>KOTAK LACI  DEPAN / BLKNG DI ALUR  SAMA SEPERTI TINGGI  SAMPING</t>
  </si>
  <si>
    <t>UKURAN PINTU WIC / SAMPING 608</t>
  </si>
  <si>
    <t>a</t>
  </si>
  <si>
    <t>b</t>
  </si>
  <si>
    <t>c</t>
  </si>
  <si>
    <t>WIC KHUSUS       ATAS BAWAH 1210 2 PINTU . LEBAR PINTU 426</t>
  </si>
  <si>
    <t>WIC KHUSUS       ATAS BAWAH 1516 3 PINTU . LEBAR PINTU 426</t>
  </si>
  <si>
    <t>WIC KHUSUS       ATAS BAWAH 1542 3 PINTU . LEBAR PINTU 438</t>
  </si>
  <si>
    <t xml:space="preserve">WIC KHUSUS       ATAS BAWAH 1852 4 PINTU . LEBAR PINTU </t>
  </si>
  <si>
    <t>WIC KHUSUS       ATAS BAWAH 1006 1 PINTU . LEBAR PINTU 565</t>
  </si>
  <si>
    <t>WIC KHUSUS       ATAS BAWAH 1032 1 PINTU . LEBAR PINTU 600</t>
  </si>
  <si>
    <t>WIC KHUSUS       ATAS BAWAH 1182 2 PINTU . LEBAR PINTU 405</t>
  </si>
  <si>
    <t>WIC KHUSUS       ATAS BAWAH 1332 3 PINTU . LEBAR PINTU 340</t>
  </si>
  <si>
    <t>WIC KHUSUS       ATAS BAWAH 982 1 PINTU . LEBAR PINTU 530</t>
  </si>
  <si>
    <t>WIC KHUSUS       ATAS BAWAH 1082 2 PINTU . LEBAR PINTU 335</t>
  </si>
  <si>
    <t xml:space="preserve"> </t>
  </si>
  <si>
    <t>REL LACI Nova Pro Deluxe / Nova Pro Crystal Deluxe</t>
  </si>
  <si>
    <t>DALAM KABINET - 58  PANJANG TATAKAN 481 ( TDK DI EDG )</t>
  </si>
  <si>
    <t>PALANG BELAKANG KECIL ( Nova Pro Deluxe )</t>
  </si>
  <si>
    <t>DALAM KABINET - 58  TINGGI 87   PASANG DI BELAKANG TATAKAN BAWAH ( EDG 2 SISI PANJANG )</t>
  </si>
  <si>
    <t>PALANG BELAKANG TINGGI ( Nova Pro Crystal Deluxe )</t>
  </si>
  <si>
    <t>DALAM KABINET - 58   TINGGI 189    PASANG DI BELAKANG TATAKAN BAWAH ( EDG 2 SISI PANJANG )</t>
  </si>
  <si>
    <t>Laci B1SI, Tinggi Rel &amp; Tatakan = 110</t>
  </si>
  <si>
    <t>Laci B1S4, Tinggi Rel &amp; Tatakan = 220</t>
  </si>
  <si>
    <t>KLOS HANGER LIFT 70 = 150 X 280</t>
  </si>
  <si>
    <t>Written by PABRIK:PPIC-FAHRUDIN(06/05(Tue)AM09:38). Forward</t>
  </si>
  <si>
    <t>KLOS HANGER LIFT 50 = 130 X 280</t>
  </si>
  <si>
    <t>&gt;210358 EDGING SILVER 8850 23X1  U / PLIN GAS Silver</t>
  </si>
  <si>
    <t>KLOS / PANEL KUNCI SENTRAL DEPAN = 60</t>
  </si>
  <si>
    <t>&gt;120392 HPL SILVER ALUM BRUSH M1 8020 NPF 4X8</t>
  </si>
  <si>
    <t>HANDLE MH 08 = - 24</t>
  </si>
  <si>
    <t>HANDLE MH 01A = - 12</t>
  </si>
  <si>
    <t>HANDLE MH 01B = - 32</t>
  </si>
  <si>
    <t>TUTUP REL BLUM = 55</t>
  </si>
  <si>
    <t>TUTUP REL HETTICH = 80</t>
  </si>
  <si>
    <t>M LED 08 = PASANG ALM M LED 02 , BEDA LAMPU</t>
  </si>
  <si>
    <t>M LED 09 = TANPA  ALM M UKURAN LAMPU 15 X 15</t>
  </si>
  <si>
    <t>BRAKET CAMAR, Ukuran Panjang laci / Rel , dari Kosonga kabinet - 80</t>
  </si>
  <si>
    <t>PANJANG PINTU SCLIM MINIMAL 140 . Acc Pak Wono Breping pagi 15/8/2017</t>
  </si>
  <si>
    <t>POCKET DOOR PRODUK MOBILE , KLOS ENGSEL PJG SAMA PJG REL  LEBAR 85 TEBEL 12 MM</t>
  </si>
  <si>
    <t>Written by PABRIK:PPIC - RIZKI (UGROHO. Forward</t>
  </si>
  <si>
    <t>&gt;Written by PABRIK:RAKIT_ALI(05/24(Rabu)AM10:27). Forward</t>
  </si>
  <si>
    <t>&gt;Pak Rizky mau nanya Pro Yuyun KTA Laki 3. Kon 027.</t>
  </si>
  <si>
    <t>&gt;Pintu Kaca Euro Grey FRAM  dalam S4 .</t>
  </si>
  <si>
    <t>&gt;Lapis H 5414 TM 2 muka apa tidak ya ?..</t>
  </si>
  <si>
    <t>&gt;===============================</t>
  </si>
  <si>
    <t>&gt;untuk bagian luar (yg ketemu kaca) = pakai Hj 5414 CN 74</t>
  </si>
  <si>
    <t>&gt;utk bagian dalam tetep pakai H 5414 TM</t>
  </si>
  <si>
    <t>&gt;terima kasih</t>
  </si>
  <si>
    <t>Written by PABRIK:RAKIT -Mr- Zul(01/06(Sun)AM06:16). Forward</t>
  </si>
  <si>
    <t>&gt;LACI BLUM</t>
  </si>
  <si>
    <t>&gt;1</t>
  </si>
  <si>
    <t>Laci A  = B1S4</t>
  </si>
  <si>
    <t>Written by PABRIK:PPIC_GURUH(04/04(Wed)PM01:32). Forward</t>
  </si>
  <si>
    <t>&gt;2</t>
  </si>
  <si>
    <t>Laci B  = B1S1</t>
  </si>
  <si>
    <t>&gt;&gt;(ReplyTo PABRIK:RAKIT_ALI 04/04(Wed)PM01:28)</t>
  </si>
  <si>
    <t>&gt;3</t>
  </si>
  <si>
    <t>Laci C  = B1S1</t>
  </si>
  <si>
    <t>&gt;klo untuk plint buat gas..</t>
  </si>
  <si>
    <t>&gt;4</t>
  </si>
  <si>
    <t>Laci D  = B1S4</t>
  </si>
  <si>
    <t>&gt;biasa'y pake ini pak</t>
  </si>
  <si>
    <t>&gt;5</t>
  </si>
  <si>
    <t>Laci E  = B1S4</t>
  </si>
  <si>
    <t>&gt;307246</t>
  </si>
  <si>
    <t>MAGNETIC CATCH PUTIH</t>
  </si>
  <si>
    <t>&gt;6</t>
  </si>
  <si>
    <t>Laci F   = B1S1</t>
  </si>
  <si>
    <t>&gt;7</t>
  </si>
  <si>
    <t>Laci J   = B1S4</t>
  </si>
  <si>
    <t>&gt;8</t>
  </si>
  <si>
    <t>Laci M  = B1S1</t>
  </si>
  <si>
    <t>&gt;9</t>
  </si>
  <si>
    <t>Laci N   = B1S4</t>
  </si>
  <si>
    <t>&gt;10</t>
  </si>
  <si>
    <t>Laci X   = B1S1</t>
  </si>
  <si>
    <t>&gt;11</t>
  </si>
  <si>
    <t>Laci Y   = B1S4</t>
  </si>
  <si>
    <t>PABRIK:RAKIT-Mugi*n*</t>
  </si>
  <si>
    <t>(08/24(Wed)AM08:38)</t>
  </si>
  <si>
    <t>HASIL KESEPAKATAN RAPAT KOORDINASI DRAFTER SHOWROOM, TEKNIK, RAKIT  . 23/8/2016</t>
  </si>
  <si>
    <t>1.Tinggi tutup laci utk kab dgn handle MH03/09 minimal 150 &amp; utk selain MH03/09 minimal 130</t>
  </si>
  <si>
    <t>2. Penghitungan tinggi samping kotak laci , tinggi tutup laci - 70</t>
  </si>
  <si>
    <t>3. Panel sibu diluar maupun didalam kabinet dibuat S4</t>
  </si>
  <si>
    <t>4. Back panel rangka dgn M led 02 &amp; led 04 dibuat masuk 40</t>
  </si>
  <si>
    <t>5.Back panel rangka minimal tebal dibuat 70</t>
  </si>
  <si>
    <t>6. 2 Kab TC dgn handle Mh 03 vertikal kab dibuat lebar tetap &amp; lebar pintu ditambahkan 20.celah antar kabinet diberi dummies 70</t>
  </si>
  <si>
    <t>7. Kab bawah dg handle MH 03/09 nat 6mm dihilangkan ( utk proy baru dari showroom ) adapun utk gbr yg sdh dirakit nat 6mm ditambahkan dikabinet</t>
  </si>
  <si>
    <t>8. Utk meja formatop L dg tebal 48 , sisi yg menggunakan rangka hollow bagian top saja , sedangkan utk kaki full plywood</t>
  </si>
  <si>
    <t>9. Accesories M Pbu tdk ada penggantian rel &amp; tdk ada penambahan tatakan krn rel bawaan sdh bagus kwalitasnya</t>
  </si>
  <si>
    <t>10. Dinding atas kab wardrobe folding wingline 77 dg pintu M frame/allumunium dibuat tebal 36 , hal ini utk mengantisipasi sering tertinggalnya rekapan ganjelan rel</t>
  </si>
  <si>
    <t>mungkin teman yg lainnya bisa menambahkan !</t>
  </si>
  <si>
    <t>Written by PABRIK:RAKIT- MUGI(01/24(Thu)AM01:18). Forward</t>
  </si>
  <si>
    <t>&gt;SEKILAS INFO</t>
  </si>
  <si>
    <t>&gt;barusan mendapat info dari pak harsono , bahwa utk panel playwood 14.5mm utk kaca tidak bevel itu tidak berlaku bagi pintu yg menggunakan handle MH 01 A/B , MH 08 &amp; M PRF.</t>
  </si>
  <si>
    <t>&gt;utk yg menggunakan handle tsb rekapan masih spt awal dg tebal 13mm.</t>
  </si>
  <si>
    <t>&gt;terimakasih</t>
  </si>
  <si>
    <t>\</t>
  </si>
  <si>
    <t>Code</t>
  </si>
  <si>
    <t>Name</t>
  </si>
  <si>
    <t>Val</t>
  </si>
  <si>
    <t>KS</t>
  </si>
  <si>
    <t>Ket.</t>
  </si>
  <si>
    <t>jml sub</t>
  </si>
  <si>
    <t>Bhn</t>
  </si>
  <si>
    <t>T</t>
  </si>
  <si>
    <t>tipe siku</t>
  </si>
  <si>
    <t>tipe screw</t>
  </si>
  <si>
    <t>V</t>
  </si>
  <si>
    <t>V2</t>
  </si>
  <si>
    <t>H</t>
  </si>
  <si>
    <t>profil 3</t>
  </si>
  <si>
    <t>L</t>
  </si>
  <si>
    <t>D</t>
  </si>
  <si>
    <t>P1</t>
  </si>
  <si>
    <t>P2</t>
  </si>
  <si>
    <t>L1</t>
  </si>
  <si>
    <t>L2</t>
  </si>
  <si>
    <t>Rel</t>
  </si>
  <si>
    <t>Engsel</t>
  </si>
  <si>
    <t>Anodize/</t>
  </si>
  <si>
    <t>jumlah anodize @</t>
  </si>
  <si>
    <t>P</t>
  </si>
  <si>
    <t>Prt</t>
  </si>
  <si>
    <t>Parts</t>
  </si>
  <si>
    <t>Dinding Samping</t>
  </si>
  <si>
    <t>Dinding Samping I</t>
  </si>
  <si>
    <t>Dinding Samping║</t>
  </si>
  <si>
    <t>Dinding Samping OS</t>
  </si>
  <si>
    <t>Dinding Samping OS I</t>
  </si>
  <si>
    <t>Samping WIC</t>
  </si>
  <si>
    <t>Dinding Atas Bawah</t>
  </si>
  <si>
    <t>Dinding Atas Bawah ≈</t>
  </si>
  <si>
    <t>Dinding Atas Bawah ∟</t>
  </si>
  <si>
    <t>Dinding Atas Bawah I</t>
  </si>
  <si>
    <t>Dinding Atas Bawah OS</t>
  </si>
  <si>
    <t>Dinding Atas WIC</t>
  </si>
  <si>
    <t>Palangan</t>
  </si>
  <si>
    <t>Palangan tengah</t>
  </si>
  <si>
    <t>Dinding Belakang</t>
  </si>
  <si>
    <t>Dinding Belakang OS</t>
  </si>
  <si>
    <t>Dobelan Dinding Belakang</t>
  </si>
  <si>
    <t>Ambalan hidup</t>
  </si>
  <si>
    <t>…</t>
  </si>
  <si>
    <t>Ambalan hidupº</t>
  </si>
  <si>
    <t>Ambalan hidup OS</t>
  </si>
  <si>
    <t>Ambalan mati</t>
  </si>
  <si>
    <t>Ambalan mati OS</t>
  </si>
  <si>
    <t>Ambalan mati WIC</t>
  </si>
  <si>
    <t>Sekat</t>
  </si>
  <si>
    <t>Sekat Dummies</t>
  </si>
  <si>
    <t>Sekat WIC</t>
  </si>
  <si>
    <t>Panel Mati</t>
  </si>
  <si>
    <t>Tiang sudut</t>
  </si>
  <si>
    <t>Panel Cermin WIC</t>
  </si>
  <si>
    <t>Samping laci</t>
  </si>
  <si>
    <t>Depan belakang laci</t>
  </si>
  <si>
    <t>Palang blk tandembox</t>
  </si>
  <si>
    <t>Palang blk legrabox</t>
  </si>
  <si>
    <t>Dasar laci</t>
  </si>
  <si>
    <t>Dasar laci Pull Out</t>
  </si>
  <si>
    <t>Dasar laci tandembox</t>
  </si>
  <si>
    <t>Dasar laci legrabox</t>
  </si>
  <si>
    <t>Sekat Tiebox</t>
  </si>
  <si>
    <t>Sekat Rak Botol</t>
  </si>
  <si>
    <t>Sekat MCT</t>
  </si>
  <si>
    <t>Pintu</t>
  </si>
  <si>
    <t>Pintu ▬</t>
  </si>
  <si>
    <t>Pintu ▌</t>
  </si>
  <si>
    <t>Pintu S4</t>
  </si>
  <si>
    <t>Pintu S2</t>
  </si>
  <si>
    <t>Pintu Kaca S2</t>
  </si>
  <si>
    <t>Pintu Kaca S4</t>
  </si>
  <si>
    <t>Pintu MLP Panel</t>
  </si>
  <si>
    <t>Pintu MLP Kaca</t>
  </si>
  <si>
    <t>Pintu MLP Cermin</t>
  </si>
  <si>
    <t>Pintu MLP khusus</t>
  </si>
  <si>
    <t>Pintu folding</t>
  </si>
  <si>
    <t>Pintu sliding</t>
  </si>
  <si>
    <t>Pintu Mati</t>
  </si>
  <si>
    <t>Dobelan Pintu Ram</t>
  </si>
  <si>
    <t>Tutup laci</t>
  </si>
  <si>
    <t>Tutup laci ▬</t>
  </si>
  <si>
    <t>Tutup laci S2</t>
  </si>
  <si>
    <t>Tutup laci Kaca S2</t>
  </si>
  <si>
    <t>Tutup laci Kaca S4</t>
  </si>
  <si>
    <t>Tutup laci MLP</t>
  </si>
  <si>
    <t>Tutup laci dalam</t>
  </si>
  <si>
    <t>End Panel MLP</t>
  </si>
  <si>
    <t>End Panel Rangka</t>
  </si>
  <si>
    <t>Back Panel S2</t>
  </si>
  <si>
    <t>Back Panel Kaca S2</t>
  </si>
  <si>
    <t>Back Panel Kaca S4</t>
  </si>
  <si>
    <t>Back Panel MLP</t>
  </si>
  <si>
    <t>Back Panel Rangka</t>
  </si>
  <si>
    <t>Back Panel Rangka S2</t>
  </si>
  <si>
    <t>Back Panel Rangka Kaca S2</t>
  </si>
  <si>
    <t>Back Panel Rangka Kaca S4</t>
  </si>
  <si>
    <t>Rangka back panel</t>
  </si>
  <si>
    <t>Rangka Cornice</t>
  </si>
  <si>
    <t>Braket miring</t>
  </si>
  <si>
    <t>Cover Cerobong Hood</t>
  </si>
  <si>
    <t>Nad tali air</t>
  </si>
  <si>
    <t>Klos Engsel / Gawangan</t>
  </si>
  <si>
    <t>Handel Kayu Rangka C</t>
  </si>
  <si>
    <t>Panel Tengah MLP</t>
  </si>
  <si>
    <t>HPL Lembaran</t>
  </si>
  <si>
    <t>Veneer manual</t>
  </si>
  <si>
    <t>Panel dlm M-Frm-07</t>
  </si>
  <si>
    <t>Tutup blk M-Frm-07</t>
  </si>
  <si>
    <t>Kaca</t>
  </si>
  <si>
    <t>Plat</t>
  </si>
  <si>
    <t>Undersink</t>
  </si>
  <si>
    <t>Rangka Hollow</t>
  </si>
  <si>
    <t>tpm</t>
  </si>
  <si>
    <t>Type Material</t>
  </si>
  <si>
    <t>ikut link spek (bahan 1)</t>
  </si>
  <si>
    <t>ikut link spek/optional jika ada kombinasi (bahan 2)</t>
  </si>
  <si>
    <t>thm</t>
  </si>
  <si>
    <t>Thickness Material</t>
  </si>
  <si>
    <t>tf</t>
  </si>
  <si>
    <t>Type Finished</t>
  </si>
  <si>
    <t>ikut link spek(lapis 1)</t>
  </si>
  <si>
    <t>ikut link spek(kabinet 1)</t>
  </si>
  <si>
    <t>Polos</t>
  </si>
  <si>
    <t>standart menu</t>
  </si>
  <si>
    <t>ikut link spek(lapis 2)</t>
  </si>
  <si>
    <t>ikut link spek(lapis 3)</t>
  </si>
  <si>
    <t>ikut link spek(kabinet 2)</t>
  </si>
  <si>
    <t>ikut link spek(lapis 4)</t>
  </si>
  <si>
    <t>ikut link spek(lapis 5)</t>
  </si>
  <si>
    <t>df</t>
  </si>
  <si>
    <t>Direct Finished</t>
  </si>
  <si>
    <t>(V)</t>
  </si>
  <si>
    <t>(H)</t>
  </si>
  <si>
    <t xml:space="preserve"> +Hpl ...</t>
  </si>
  <si>
    <t>(lihat detail serat)</t>
  </si>
  <si>
    <t>sf</t>
  </si>
  <si>
    <t>Sides Finished</t>
  </si>
  <si>
    <t>1muka</t>
  </si>
  <si>
    <t>2muka</t>
  </si>
  <si>
    <t>(lihat gbr)</t>
  </si>
  <si>
    <t>1muka+Aica</t>
  </si>
  <si>
    <t>cte</t>
  </si>
  <si>
    <t>te</t>
  </si>
  <si>
    <t>Type Edge</t>
  </si>
  <si>
    <r>
      <t>diisi tipe edg.kabinet 1/</t>
    </r>
    <r>
      <rPr>
        <b/>
        <i/>
        <sz val="12"/>
        <color indexed="53"/>
        <rFont val="Times New Roman"/>
        <family val="1"/>
      </rPr>
      <t>ikut link spek(edg.kab.1)</t>
    </r>
  </si>
  <si>
    <t>Melanor</t>
  </si>
  <si>
    <t>sisi yg pakai handel integrated kasi keterangan edgnya "polos"</t>
  </si>
  <si>
    <r>
      <t>diisi tipe edg.lapis 1/</t>
    </r>
    <r>
      <rPr>
        <b/>
        <i/>
        <sz val="12"/>
        <color indexed="53"/>
        <rFont val="Times New Roman"/>
        <family val="1"/>
      </rPr>
      <t>ikut link spek(edg.pintu/panel.1)</t>
    </r>
  </si>
  <si>
    <t>u/ S4 kaca</t>
  </si>
  <si>
    <t>trim varian 1</t>
  </si>
  <si>
    <t>u/ S4 38</t>
  </si>
  <si>
    <t>trim varian 2</t>
  </si>
  <si>
    <t>u/ S4 panel</t>
  </si>
  <si>
    <t>trim varian 3</t>
  </si>
  <si>
    <t>trim varian 4</t>
  </si>
  <si>
    <r>
      <t>diisi tipe edg.lapis 2/</t>
    </r>
    <r>
      <rPr>
        <b/>
        <i/>
        <sz val="12"/>
        <color indexed="53"/>
        <rFont val="Times New Roman"/>
        <family val="1"/>
      </rPr>
      <t>ikut link spek(edg.pintu/panel.2)</t>
    </r>
  </si>
  <si>
    <r>
      <t>diisi tipe edg.lapis 3/</t>
    </r>
    <r>
      <rPr>
        <b/>
        <i/>
        <sz val="12"/>
        <color indexed="53"/>
        <rFont val="Times New Roman"/>
        <family val="1"/>
      </rPr>
      <t>ikut link spek(edg.pintu/panel.3)</t>
    </r>
  </si>
  <si>
    <r>
      <t>diisi tipe edg.lapis 4/</t>
    </r>
    <r>
      <rPr>
        <b/>
        <i/>
        <sz val="12"/>
        <color indexed="53"/>
        <rFont val="Times New Roman"/>
        <family val="1"/>
      </rPr>
      <t>ikut link spek(edg.pintu/panel.4)</t>
    </r>
  </si>
  <si>
    <r>
      <t>diisi tipe edg.kabinet 2/</t>
    </r>
    <r>
      <rPr>
        <b/>
        <i/>
        <sz val="12"/>
        <color indexed="53"/>
        <rFont val="Times New Roman"/>
        <family val="1"/>
      </rPr>
      <t>ikut link spek(edg.kab.2)</t>
    </r>
  </si>
  <si>
    <r>
      <t>diisi tipe edg.lapis 5/</t>
    </r>
    <r>
      <rPr>
        <b/>
        <i/>
        <sz val="12"/>
        <color indexed="53"/>
        <rFont val="Times New Roman"/>
        <family val="1"/>
      </rPr>
      <t>ikut link spek(edg.pintu/panel.5)</t>
    </r>
  </si>
  <si>
    <t>se</t>
  </si>
  <si>
    <t>Sides Edge</t>
  </si>
  <si>
    <t>Keliling</t>
  </si>
  <si>
    <t>1sisi_pjg</t>
  </si>
  <si>
    <t>2sisi_pjg</t>
  </si>
  <si>
    <t>1sisi_lbr</t>
  </si>
  <si>
    <t>2sisi_lbr</t>
  </si>
  <si>
    <t>1sisi pjg + melanor 3sisi</t>
  </si>
  <si>
    <t>1sisi pjg + melanor 1sisi</t>
  </si>
  <si>
    <t>Kabinet</t>
  </si>
  <si>
    <t>FC</t>
  </si>
  <si>
    <t>HC</t>
  </si>
  <si>
    <t>TC</t>
  </si>
  <si>
    <t>OS</t>
  </si>
  <si>
    <t>FC OS</t>
  </si>
  <si>
    <t>HC OS</t>
  </si>
  <si>
    <t>TC Mw</t>
  </si>
  <si>
    <t>TC Mw Ov</t>
  </si>
  <si>
    <t>FC Sink</t>
  </si>
  <si>
    <t>FC Gas</t>
  </si>
  <si>
    <t>TC OS</t>
  </si>
  <si>
    <t>KLD</t>
  </si>
  <si>
    <t>HC Kulkas</t>
  </si>
  <si>
    <t>HC Hood</t>
  </si>
  <si>
    <t>TC Cargo</t>
  </si>
  <si>
    <t>TC Mw+Disp</t>
  </si>
  <si>
    <t>Handel Kayu Rangka</t>
  </si>
  <si>
    <t>Hankab</t>
  </si>
  <si>
    <t>Handel Kabinet</t>
  </si>
  <si>
    <t>MH 09BL</t>
  </si>
  <si>
    <t>Haned</t>
  </si>
  <si>
    <t>Handel Edge</t>
  </si>
  <si>
    <t>ikut link spek</t>
  </si>
  <si>
    <t>Hantar</t>
  </si>
  <si>
    <t>Handel tarik</t>
  </si>
  <si>
    <t>MHT ...</t>
  </si>
  <si>
    <t>type handel klasik</t>
  </si>
  <si>
    <t>cfr</t>
  </si>
  <si>
    <t>Fr</t>
  </si>
  <si>
    <t>Frame Alumunium</t>
  </si>
  <si>
    <t>fr type 0</t>
  </si>
  <si>
    <t>fr type 1</t>
  </si>
  <si>
    <t>fr type 2</t>
  </si>
  <si>
    <t>fr type 3</t>
  </si>
  <si>
    <t>fr type 4</t>
  </si>
  <si>
    <t>fr type 5</t>
  </si>
  <si>
    <t>fr type 6</t>
  </si>
  <si>
    <t>fr type 7</t>
  </si>
  <si>
    <t>fr type 8</t>
  </si>
  <si>
    <t>fr type 9</t>
  </si>
  <si>
    <t>fr type 10</t>
  </si>
  <si>
    <t>(Tanpa_Handle)</t>
  </si>
  <si>
    <t>(Handle_1sisi_panjang)</t>
  </si>
  <si>
    <t>(Handle_2sisi_panjang)</t>
  </si>
  <si>
    <t>(Handle_1sisi_lebar)</t>
  </si>
  <si>
    <t>(Handle_2sisi_lebar)</t>
  </si>
  <si>
    <t>Eng</t>
  </si>
  <si>
    <t>Fitting Engsel</t>
  </si>
  <si>
    <t>engsel varian 1</t>
  </si>
  <si>
    <t>engsel varian 2</t>
  </si>
  <si>
    <t>engsel varian 3</t>
  </si>
  <si>
    <t>engsel varian 4</t>
  </si>
  <si>
    <t>engsel varian 5</t>
  </si>
  <si>
    <t>engsel varian 6</t>
  </si>
  <si>
    <t>RELLC</t>
  </si>
  <si>
    <t>FittingRel laci</t>
  </si>
  <si>
    <t>Rel varian 1</t>
  </si>
  <si>
    <t>Rel varian 2</t>
  </si>
  <si>
    <t>Rel varian 3</t>
  </si>
  <si>
    <t>Rel varian 4</t>
  </si>
  <si>
    <t>Anodize</t>
  </si>
  <si>
    <t>Door Mechanism</t>
  </si>
  <si>
    <t>Proses Khusus</t>
  </si>
  <si>
    <t>(alur_M_led)</t>
  </si>
  <si>
    <t>(alur_M_led)+(dowel_saja)</t>
  </si>
  <si>
    <t>(alur_duco)</t>
  </si>
  <si>
    <t>(isian_duco)</t>
  </si>
  <si>
    <t>(Edg_setelah_dirakit)</t>
  </si>
  <si>
    <t>(lihat_detail_gbr)</t>
  </si>
  <si>
    <t>(trim_dlm)</t>
  </si>
  <si>
    <t>(trim_dlm)+(psg_Mlis)</t>
  </si>
  <si>
    <t>(pasang_M_Prf)</t>
  </si>
  <si>
    <t>(pasang_lapangan)</t>
  </si>
  <si>
    <t>(pasang_rakit)</t>
  </si>
  <si>
    <t>(ram_60)</t>
  </si>
  <si>
    <t>(ram_70)</t>
  </si>
  <si>
    <t>(ram_100)</t>
  </si>
  <si>
    <t>(ram_khusus_lihat_detail)</t>
  </si>
  <si>
    <t>(Ø_engsel_khusus)</t>
  </si>
  <si>
    <t>(minifix_blk)</t>
  </si>
  <si>
    <t>(lubang_M_led)</t>
  </si>
  <si>
    <t>(lubang_kunci)</t>
  </si>
  <si>
    <t>(coak_L)</t>
  </si>
  <si>
    <t>(dowel_saja)</t>
  </si>
  <si>
    <t>(S2)</t>
  </si>
  <si>
    <t>(trim_kll/S4)</t>
  </si>
  <si>
    <t>(trim_psg_lapangan)</t>
  </si>
  <si>
    <t>(pasang_M_Prf+Alur_M_led)</t>
  </si>
  <si>
    <t>(pasang_M_Prf+Alur_M_led Blk)</t>
  </si>
  <si>
    <t>(lapis_shibu)</t>
  </si>
  <si>
    <t>(lapis_manual)</t>
  </si>
  <si>
    <t>(lapis_diagonal_lihat_gbr.)</t>
  </si>
  <si>
    <t>(dibuatkan_mal)</t>
  </si>
  <si>
    <t>(dibuatkan_alur_kabel)</t>
  </si>
  <si>
    <t>(u/_pull_out)</t>
  </si>
  <si>
    <t>(posisi_bawah_duco_50mm)</t>
  </si>
  <si>
    <t>Type Profil</t>
  </si>
  <si>
    <t>Profil Pintu 1</t>
  </si>
  <si>
    <t>Profil Pintu 2</t>
  </si>
  <si>
    <t>Profil Pintu 3</t>
  </si>
  <si>
    <t>Profil panel 1</t>
  </si>
  <si>
    <t>Profil panel 2</t>
  </si>
  <si>
    <t>Profil panel 3</t>
  </si>
  <si>
    <t>Profil Cornice 1</t>
  </si>
  <si>
    <t>Profil Cornice 2</t>
  </si>
  <si>
    <t>Profil Cornice 3</t>
  </si>
  <si>
    <t>Profil Plinth 1</t>
  </si>
  <si>
    <t>Profil Plinth 2</t>
  </si>
  <si>
    <t>Profil Plinth 3</t>
  </si>
  <si>
    <t>Ply Kab 2 Sisi/+HPL 1sisi</t>
  </si>
  <si>
    <t>Pengurangan Kabinet Plywood 2 sisi/+HPL 1Sisi</t>
  </si>
  <si>
    <t>PlyH2</t>
  </si>
  <si>
    <t>Ply Kab 2 Sisi HPL</t>
  </si>
  <si>
    <t>Pengurangan Kabinet Plywood 2 sisi HPL</t>
  </si>
  <si>
    <t>MDF</t>
  </si>
  <si>
    <t>MDF Kab 2 Sisi</t>
  </si>
  <si>
    <t>Pengurangan Kabinet MDF Paper 2 sisi</t>
  </si>
  <si>
    <t>MDFH1</t>
  </si>
  <si>
    <t>MDF Kab 2 HPL 1Sisi</t>
  </si>
  <si>
    <t>Pengurangan Kabinet MDF+HPL 1Sisi</t>
  </si>
  <si>
    <t>MDFH2</t>
  </si>
  <si>
    <t>MDF Kab 2 HPL 2Sisi</t>
  </si>
  <si>
    <t>Pengurangan Kabinet MDF HPL 2Sisi</t>
  </si>
  <si>
    <t>Tdm</t>
  </si>
  <si>
    <t>Rel Tandem</t>
  </si>
  <si>
    <t>Pengurangan Laci Tandem Blum u/ ukuran muka blk</t>
  </si>
  <si>
    <t>Qdr</t>
  </si>
  <si>
    <t>Rel Quadro</t>
  </si>
  <si>
    <t>Pengurangan Laci Quadro u/ ukuran muka blk</t>
  </si>
  <si>
    <t>M-PRF-01</t>
  </si>
  <si>
    <t>Pengurangan lebar komponen - M PRF 01</t>
  </si>
  <si>
    <t>Nat</t>
  </si>
  <si>
    <t>nat pintu 1sisi</t>
  </si>
  <si>
    <t>Nat_atas</t>
  </si>
  <si>
    <t>nat antara pintu dengan uppertop maju'</t>
  </si>
  <si>
    <t>Nat_FC</t>
  </si>
  <si>
    <t>nat antara pintu FC dg worktop</t>
  </si>
  <si>
    <t>Lbr_palang_blk_B1S1</t>
  </si>
  <si>
    <t>lebar palang belakang tandembox B1S1</t>
  </si>
  <si>
    <t>Lbr_palang_blk_B1I3</t>
  </si>
  <si>
    <t>lebar palang belakang tandembox B1I3</t>
  </si>
  <si>
    <t>Lbr_palang_blk_B1S2</t>
  </si>
  <si>
    <t>lebar palang belakang tandembox B1S2</t>
  </si>
  <si>
    <t>Lbr_palang_blk_B1I4</t>
  </si>
  <si>
    <t>lebar palang belakang tandembox B1I4</t>
  </si>
  <si>
    <t>Lbr_palang_blk_B1S3</t>
  </si>
  <si>
    <t>lebar palang belakang tandembox B1S3</t>
  </si>
  <si>
    <t>Lbr_palang_blk_B1S4</t>
  </si>
  <si>
    <t>lebar palang belakang tandembox B1S4</t>
  </si>
  <si>
    <t>Lbr_palang_blk_B1I5</t>
  </si>
  <si>
    <t>lebar palang belakang tandembox B1I5</t>
  </si>
  <si>
    <t>Lbr_palang_blk_B1I6</t>
  </si>
  <si>
    <t>lebar palang belakang tandembox B1I6</t>
  </si>
  <si>
    <t>Lbr_dasar_tandembox</t>
  </si>
  <si>
    <t>Lebar/depth dasar laci tandembox</t>
  </si>
  <si>
    <t>tandembox_palang</t>
  </si>
  <si>
    <t>Pengurangan panjang palang tandembox</t>
  </si>
  <si>
    <t>tandembox_dasar</t>
  </si>
  <si>
    <t>Pengurangan panjang dasar tandembox</t>
  </si>
  <si>
    <t>Lbr_palang_blk_INS1</t>
  </si>
  <si>
    <t>lebar palang belakang tandembox INS1</t>
  </si>
  <si>
    <t>Lbr_palang_blk_INS3</t>
  </si>
  <si>
    <t>lebar palang belakang tandembox INS3</t>
  </si>
  <si>
    <t>Lbr_palang_blk_INS5</t>
  </si>
  <si>
    <t>lebar palang belakang tandembox INS5</t>
  </si>
  <si>
    <t>Lbr_palang_blk_legra_S1</t>
  </si>
  <si>
    <t>Lebar palang belakang legrabox S1</t>
  </si>
  <si>
    <t>Lbr_palang_blk_legra_I3</t>
  </si>
  <si>
    <t>Lebar palang belakang legrabox I3</t>
  </si>
  <si>
    <t>Lbr_palang_blk_legra_S4</t>
  </si>
  <si>
    <t>Lebar palang belakang legrabox S4</t>
  </si>
  <si>
    <t>Lbr_palang_blk_legra_I6</t>
  </si>
  <si>
    <t>Lebar palang belakang legrabox I6</t>
  </si>
  <si>
    <t>Lbr_palang_blk_legra_S4XL</t>
  </si>
  <si>
    <t>Lebar palang belakang legrabox S4XL</t>
  </si>
  <si>
    <t>Lbr_dasar_legrabox</t>
  </si>
  <si>
    <t>Lebar/depth dasar laci Legrabox</t>
  </si>
  <si>
    <t>legrabox_palang</t>
  </si>
  <si>
    <t>Pengurangan panjang palang legrabox</t>
  </si>
  <si>
    <t>legrabox_dasar</t>
  </si>
  <si>
    <t>Pengurangan panjang dasar legrabox</t>
  </si>
  <si>
    <t>trim</t>
  </si>
  <si>
    <t>Pengurangan tebal trim</t>
  </si>
  <si>
    <t>T_min_B1S4</t>
  </si>
  <si>
    <t>minimal tinggi ruang B1S4</t>
  </si>
  <si>
    <t>T_min_B1S1</t>
  </si>
  <si>
    <t>minimal tinggi ruang B1S1</t>
  </si>
  <si>
    <t>T_min_B1S2</t>
  </si>
  <si>
    <t>minimal tinggi ruang B1S2</t>
  </si>
  <si>
    <t>T_min_Legra_S1</t>
  </si>
  <si>
    <t>minimal tinggi ruang Legrabox S1</t>
  </si>
  <si>
    <t>T_min_Legra_S4</t>
  </si>
  <si>
    <t>minimal tinggi ruang Legrabox S4</t>
  </si>
  <si>
    <t>T_min_Legra_S4XL</t>
  </si>
  <si>
    <t>minimal tinggi ruang Legrabox S4XL</t>
  </si>
  <si>
    <t>T_MH02</t>
  </si>
  <si>
    <t>tebal handel MH</t>
  </si>
  <si>
    <t>ram1</t>
  </si>
  <si>
    <t>jarak ram standart 1</t>
  </si>
  <si>
    <t>amled9</t>
  </si>
  <si>
    <t>pengurangan tambahan lebar amb.led9</t>
  </si>
  <si>
    <t>fp</t>
  </si>
  <si>
    <t>faktor pembagi jml engsel</t>
  </si>
  <si>
    <t>T_gola</t>
  </si>
  <si>
    <t>tebal handel MH03/09</t>
  </si>
  <si>
    <t>jt</t>
  </si>
  <si>
    <t>jumlah trim S2</t>
  </si>
  <si>
    <t>tol</t>
  </si>
  <si>
    <t>toleransi pengurangan 1mm</t>
  </si>
  <si>
    <t>tol_R</t>
  </si>
  <si>
    <t>toleransi komponen di R</t>
  </si>
  <si>
    <t>Bon Anodize</t>
  </si>
  <si>
    <t>Material</t>
  </si>
  <si>
    <t>Lapisan</t>
  </si>
  <si>
    <t>batangan</t>
  </si>
  <si>
    <t>per ukuran</t>
  </si>
  <si>
    <t>type</t>
  </si>
  <si>
    <t>kode</t>
  </si>
  <si>
    <t>Tpk</t>
  </si>
  <si>
    <t>No</t>
  </si>
  <si>
    <t>Komponen</t>
  </si>
  <si>
    <t>x</t>
  </si>
  <si>
    <t>Ukuran</t>
  </si>
  <si>
    <t>Sub</t>
  </si>
  <si>
    <t>Jml</t>
  </si>
  <si>
    <t>T Bahan</t>
  </si>
  <si>
    <t>Luar</t>
  </si>
  <si>
    <t>Dalam</t>
  </si>
  <si>
    <t>Profil 3</t>
  </si>
  <si>
    <t>Profil 2</t>
  </si>
  <si>
    <t>Profil</t>
  </si>
  <si>
    <t>Screw Jf</t>
  </si>
  <si>
    <t>Door mec</t>
  </si>
  <si>
    <t>Nama barang</t>
  </si>
  <si>
    <t>Panjang</t>
  </si>
  <si>
    <t>Jumlah</t>
  </si>
  <si>
    <t>V lap</t>
  </si>
  <si>
    <t>V edg</t>
  </si>
  <si>
    <t>Deskripsi lapisan</t>
  </si>
  <si>
    <t>Deskripsi edging</t>
  </si>
  <si>
    <t>Deskripsi Komponen</t>
  </si>
  <si>
    <t>Nama Komponen</t>
  </si>
  <si>
    <t>Minifix</t>
  </si>
  <si>
    <t>Dowel</t>
  </si>
  <si>
    <t>Dormec</t>
  </si>
  <si>
    <t>2(P+L)</t>
  </si>
  <si>
    <t>(PxL)</t>
  </si>
  <si>
    <t>Bahan Dasar</t>
  </si>
  <si>
    <t>Deskripsi Bahan</t>
  </si>
  <si>
    <t>M²</t>
  </si>
  <si>
    <t>A</t>
  </si>
  <si>
    <t>B</t>
  </si>
  <si>
    <t>Back Panel Rangka (rakit tukang)</t>
  </si>
  <si>
    <t>F</t>
  </si>
  <si>
    <t>.</t>
  </si>
  <si>
    <t>E</t>
  </si>
  <si>
    <t>REKAPITULASI PEMAKAIAN BAHAN</t>
  </si>
  <si>
    <t>STATUS PROYEK</t>
  </si>
  <si>
    <t>NO KONTRAK</t>
  </si>
  <si>
    <t>DiSusun Oleh,                Diketahui Oleh,                    Dibuat Oleh,                    Dicek oleh,        Diserahkan Kepada</t>
  </si>
  <si>
    <t>PROYEK</t>
  </si>
  <si>
    <t>Dept Rakit                      Kadept Rakit                      Dept. Panel                      Dept. QC               Dept, Rakit</t>
  </si>
  <si>
    <t>TGL.ORDER</t>
  </si>
  <si>
    <t>TGL.SELESAI</t>
  </si>
  <si>
    <t>ESTIMATOR PPIC</t>
  </si>
  <si>
    <t>(   Reza Pahlevi    )         ( Dedy Cahyadi )           (  Mucshon Adie S  )          ( ……….…….)         (  Reza Pahlevi  )</t>
  </si>
  <si>
    <t>BAHAN / MATERIAL</t>
  </si>
  <si>
    <t>Grand Total</t>
  </si>
  <si>
    <t>QC</t>
  </si>
  <si>
    <t>(blank)</t>
  </si>
  <si>
    <t>CHEKLIST PENGIRIMAN BARANG</t>
  </si>
  <si>
    <t>Bekasi,</t>
  </si>
  <si>
    <t xml:space="preserve">                                  </t>
  </si>
  <si>
    <t>KOORDINATOR REKAP</t>
  </si>
  <si>
    <t>MONITORING</t>
  </si>
  <si>
    <t>TUKANG RAKIT</t>
  </si>
  <si>
    <t>COLY</t>
  </si>
  <si>
    <t>ADA / TDK</t>
  </si>
  <si>
    <t>BON PERMINTAAN PEMBELIAN</t>
  </si>
  <si>
    <t>(Purchase Request)</t>
  </si>
  <si>
    <t>NO GD</t>
  </si>
  <si>
    <t xml:space="preserve"> Lembar 1 : Accounting ( putih )   /   Lembar 2 : PPIC ( kuning )   /   Lembar 3 : Gudang ( Hijau )   /    Lembar 4 : Ybs ( merah )</t>
  </si>
  <si>
    <t>BUKTI PENGAMBILAN BARANG</t>
  </si>
  <si>
    <t>JUMLAH KOMPONEN :</t>
  </si>
  <si>
    <t xml:space="preserve">DEPARTEMENT  </t>
  </si>
  <si>
    <t>RAKIT</t>
  </si>
  <si>
    <t xml:space="preserve">NO.                 </t>
  </si>
  <si>
    <t xml:space="preserve">NO.KONTRAK     </t>
  </si>
  <si>
    <t xml:space="preserve">PROYEK               </t>
  </si>
  <si>
    <t>TGL :</t>
  </si>
  <si>
    <t>ESTIMATOR</t>
  </si>
  <si>
    <t xml:space="preserve">untuk </t>
  </si>
  <si>
    <t xml:space="preserve">SEMI CIRCULAR SHAFT T 55.889 W (T 55 000R Tip On Pinion/Syncrh </t>
  </si>
  <si>
    <t>Mtr</t>
  </si>
  <si>
    <t xml:space="preserve"> DIKETAHUI:             DIKETAHUI:                    DISETUJUI:               DI SERAHKAN:                       DIAMBIL:</t>
  </si>
  <si>
    <t xml:space="preserve"> KA.GUDANG         KA.DEPARTEMEN             KA.PPIC                   PET.GUDANG               .............................         </t>
  </si>
  <si>
    <t xml:space="preserve">JUMLAH KOMPONEN : </t>
  </si>
  <si>
    <t>CEK ……………………</t>
  </si>
  <si>
    <t>EDG U/ PINTU FRAME</t>
  </si>
  <si>
    <t>LIS KACA U/ PINTU FRAME</t>
  </si>
  <si>
    <t>EDG U/ TUKANG</t>
  </si>
  <si>
    <t>HPL U/TUKANG</t>
  </si>
  <si>
    <t>No :</t>
  </si>
  <si>
    <t>Nama Barang</t>
  </si>
  <si>
    <t>Total</t>
  </si>
  <si>
    <t>Satuan</t>
  </si>
  <si>
    <t>Anodize batangan (hitung lewat kolom edging)</t>
  </si>
  <si>
    <t>3000mm</t>
  </si>
  <si>
    <t>Btg</t>
  </si>
  <si>
    <t>Anodize batangan (hitung manual)</t>
  </si>
  <si>
    <t>Anodize batangan (hitung lewat kolom anodize V/H)</t>
  </si>
  <si>
    <t>Anodize per ukuran</t>
  </si>
  <si>
    <t>DiSusun Oleh,                    Diketahui Oleh,                    Dibuat Oleh,            Dicek oleh,           Diserahkan Kpd</t>
  </si>
  <si>
    <t>Dept Rakit                            Kadept Rakit                       Dept. Anodize           Dept. QC                Dept, Rakit</t>
  </si>
  <si>
    <t>Pcs</t>
  </si>
  <si>
    <t>FORM ORDER KERJA TAMBAH</t>
  </si>
  <si>
    <t>edging2</t>
  </si>
  <si>
    <t>HARAP DI COPY</t>
  </si>
  <si>
    <t>DALAM MEMBUAT CHEKLIST</t>
  </si>
  <si>
    <t>Komponen Wing line 77</t>
  </si>
  <si>
    <t>Runner Profile 072918  P.</t>
  </si>
  <si>
    <t>Guide Profile 072919  P.</t>
  </si>
  <si>
    <t>Roda Wing line 77 / 1</t>
  </si>
  <si>
    <t>Engsel wing line bagian atas / 1</t>
  </si>
  <si>
    <t>Engsel wing line bagian Bawah / 1</t>
  </si>
  <si>
    <t>Kupu2 Besi / 4</t>
  </si>
  <si>
    <t>Plat kupu2 Plastik / 8</t>
  </si>
  <si>
    <t>Stopper pintu / busa / 2</t>
  </si>
  <si>
    <t>Komponen Top Line 22</t>
  </si>
  <si>
    <t>Top Track P.</t>
  </si>
  <si>
    <t>Lunar Track P.</t>
  </si>
  <si>
    <t xml:space="preserve">Exsternal kit </t>
  </si>
  <si>
    <t>Internal kit</t>
  </si>
  <si>
    <t>Softclossing Top line 22</t>
  </si>
  <si>
    <t xml:space="preserve">Plat alumunium 51x27x5 untuk pintu dalam </t>
  </si>
  <si>
    <t>Baut  4,8x5,5  ( 2 )</t>
  </si>
  <si>
    <t>Komponen Slide line 56</t>
  </si>
  <si>
    <t>Roda Slidline</t>
  </si>
  <si>
    <t>Rel Slide Line</t>
  </si>
  <si>
    <t>Komponen Rel Deco 80</t>
  </si>
  <si>
    <t>Rel Atas</t>
  </si>
  <si>
    <t>Rel Bawah</t>
  </si>
  <si>
    <t>Roda Pintu / Dus</t>
  </si>
  <si>
    <t>ANTI RAYAP/TIDAK</t>
  </si>
  <si>
    <t>√        QC</t>
  </si>
  <si>
    <t>√       Driv.</t>
  </si>
  <si>
    <t>√       SPV</t>
  </si>
  <si>
    <t>Tutup laci S2 ▬</t>
  </si>
  <si>
    <t>Tutup laci Kaca S2 ▬</t>
  </si>
  <si>
    <t>Tutup laci Kaca S4 ▬</t>
  </si>
  <si>
    <t>Pintu S4 ▬</t>
  </si>
  <si>
    <t>Pintu S4 ▌</t>
  </si>
  <si>
    <t>Pintu S2 ▬</t>
  </si>
  <si>
    <t>Pintu S2 ▌</t>
  </si>
  <si>
    <t>Pintu Kaca S2 ▬</t>
  </si>
  <si>
    <t>Pintu Kaca S2 ▌</t>
  </si>
  <si>
    <t>Pintu Kaca S4 ▬</t>
  </si>
  <si>
    <t>Pintu Kaca S4 ▌</t>
  </si>
  <si>
    <t>(M_Shf_03)</t>
  </si>
  <si>
    <t>Ss</t>
  </si>
  <si>
    <r>
      <t>Tatakan Kaca Rangka</t>
    </r>
    <r>
      <rPr>
        <i/>
        <sz val="12"/>
        <color rgb="FFFF0000"/>
        <rFont val="Times New Roman"/>
        <family val="1"/>
      </rPr>
      <t xml:space="preserve"> (rakit tukang)</t>
    </r>
  </si>
  <si>
    <t>Tatakan kaca rangka</t>
  </si>
  <si>
    <t>Back Panel Rangka Kaca</t>
  </si>
  <si>
    <t>Nat_mlis</t>
  </si>
  <si>
    <t>pengurangan kaca dengan sambungan m lis di As</t>
  </si>
  <si>
    <t>Dibuat                          Diperiksa 1                     Diperiksa 2                     Mengetahui                       Diterima</t>
  </si>
  <si>
    <t>(Reza Pahlevi)        (                     )                  (                     )              ( YUSUF SAMARA )                 (                    )</t>
  </si>
  <si>
    <t>Koordinator                        Pet.Qc                             Driver                       Kadept Umum                           Supervisi</t>
  </si>
  <si>
    <r>
      <t xml:space="preserve">Dummies Kaca L </t>
    </r>
    <r>
      <rPr>
        <i/>
        <sz val="12"/>
        <color indexed="53"/>
        <rFont val="Times New Roman"/>
        <family val="1"/>
      </rPr>
      <t xml:space="preserve"> (rakit tukang)</t>
    </r>
  </si>
  <si>
    <t>Edg Duco</t>
  </si>
  <si>
    <t>AS_14144_CG</t>
  </si>
  <si>
    <t>Edg_1268_B</t>
  </si>
  <si>
    <t>Edg_PVC_11441</t>
  </si>
  <si>
    <t>Dummies.</t>
  </si>
  <si>
    <t>Sekat.</t>
  </si>
  <si>
    <t>Ambalan mati.</t>
  </si>
  <si>
    <r>
      <t xml:space="preserve">Ambalan Rangka </t>
    </r>
    <r>
      <rPr>
        <i/>
        <sz val="12"/>
        <color indexed="53"/>
        <rFont val="Times New Roman"/>
        <family val="1"/>
      </rPr>
      <t>(rakit tukang)</t>
    </r>
  </si>
  <si>
    <t>Ambalan Rangka</t>
  </si>
  <si>
    <t>Edg_Taco_W119</t>
  </si>
  <si>
    <t>Edg_Taco_W119_(42X1)</t>
  </si>
  <si>
    <r>
      <t xml:space="preserve">Handel Kayu </t>
    </r>
    <r>
      <rPr>
        <i/>
        <sz val="12"/>
        <color indexed="53"/>
        <rFont val="Times New Roman"/>
        <family val="1"/>
      </rPr>
      <t>(rakit tukang)</t>
    </r>
  </si>
  <si>
    <t>T_hkayu</t>
  </si>
  <si>
    <t>tebal handel kayu MH03/09</t>
  </si>
  <si>
    <t>LACI B1S4 Undersink</t>
  </si>
  <si>
    <t>Sekat samping</t>
  </si>
  <si>
    <t>Panel Top</t>
  </si>
  <si>
    <t>Sekat Samping OS</t>
  </si>
  <si>
    <t>Sekat OS</t>
  </si>
  <si>
    <t>T_MH08</t>
  </si>
  <si>
    <t>tebal handel MH 08</t>
  </si>
  <si>
    <t>Set</t>
  </si>
  <si>
    <t>AS_14063_Cy34</t>
  </si>
  <si>
    <t>Nat_CP</t>
  </si>
  <si>
    <t>nat antara pintu HC dg Cover panel/pelmet</t>
  </si>
  <si>
    <t>Edg_703_W</t>
  </si>
  <si>
    <t>Edg_ DC_91J2</t>
  </si>
  <si>
    <t>Edg_DC_9L17</t>
  </si>
  <si>
    <t>Plinth Pintu</t>
  </si>
  <si>
    <t>Resopal</t>
  </si>
  <si>
    <t>(Edg_Duco)</t>
  </si>
  <si>
    <t>(Duco_1mk+Edg)</t>
  </si>
  <si>
    <t>(Duco_2mk+Edg)</t>
  </si>
  <si>
    <t>Edg_DC_8L01</t>
  </si>
  <si>
    <t>J</t>
  </si>
  <si>
    <t>Edg_EAW_5278_E1</t>
  </si>
  <si>
    <t>LEGRABOX I3 ORION GREY</t>
  </si>
  <si>
    <t>Cover Box Atas</t>
  </si>
  <si>
    <t>Cover Box Bawah</t>
  </si>
  <si>
    <t>Cover Box Samping</t>
  </si>
  <si>
    <t>Tutup laci Legra Inner</t>
  </si>
  <si>
    <t>Alu.</t>
  </si>
  <si>
    <t>tanggal</t>
  </si>
  <si>
    <t>Var</t>
  </si>
  <si>
    <t>Edg_SF_K099</t>
  </si>
  <si>
    <t>Edg_SF_5057</t>
  </si>
  <si>
    <t>Edg_SF_5057_(46X1)</t>
  </si>
  <si>
    <t>GPC_1069</t>
  </si>
  <si>
    <r>
      <t xml:space="preserve">End Panel Kaca </t>
    </r>
    <r>
      <rPr>
        <i/>
        <sz val="12"/>
        <color indexed="53"/>
        <rFont val="Times New Roman"/>
        <family val="1"/>
      </rPr>
      <t>(rakit tukang)</t>
    </r>
  </si>
  <si>
    <t>End Panel Kaca S2</t>
  </si>
  <si>
    <t>Dinding Samping Kaca S2</t>
  </si>
  <si>
    <t>Tutup laci nad duco</t>
  </si>
  <si>
    <t>Pintu nad duco</t>
  </si>
  <si>
    <t>Back Panel nad duco</t>
  </si>
  <si>
    <t>Dobelan</t>
  </si>
  <si>
    <t>M_20153_003_Cs62(V)</t>
  </si>
  <si>
    <t>M_20153_003_TM(V)</t>
  </si>
  <si>
    <t>AS_14038_KM</t>
  </si>
  <si>
    <t>Edg_2502_B</t>
  </si>
  <si>
    <t>Edg_DC_8L53</t>
  </si>
  <si>
    <t>Edg_DC_8L53_(46X1)</t>
  </si>
  <si>
    <t>TH_602_AL</t>
  </si>
  <si>
    <t>Edg_3D_ALUMUNIUM_591_E</t>
  </si>
  <si>
    <t>Panel Partisi (rakit tukang)</t>
  </si>
  <si>
    <t>Kotak Laci (rakit tukang)</t>
  </si>
  <si>
    <t>Edg_153154</t>
  </si>
  <si>
    <t>AS_13025_Cn74</t>
  </si>
  <si>
    <t>Edg Kll standart</t>
  </si>
  <si>
    <t>Edg 2sisi standart</t>
  </si>
  <si>
    <t>(hpl_50mm)</t>
  </si>
  <si>
    <t>(hpl_150mm)</t>
  </si>
  <si>
    <t>(hpl_250mm)</t>
  </si>
  <si>
    <t>(hpl_100mm)</t>
  </si>
  <si>
    <t>Edg_110359</t>
  </si>
  <si>
    <t>AS_13005_CG</t>
  </si>
  <si>
    <r>
      <t xml:space="preserve">Back Panel Kaca Rangka </t>
    </r>
    <r>
      <rPr>
        <i/>
        <sz val="12"/>
        <color indexed="53"/>
        <rFont val="Times New Roman"/>
        <family val="1"/>
      </rPr>
      <t>(rangka tatakan+panel kaca ram)</t>
    </r>
  </si>
  <si>
    <t>lbr</t>
  </si>
  <si>
    <t>TPK</t>
  </si>
  <si>
    <t>Ambalan Kaca</t>
  </si>
  <si>
    <t>fix</t>
  </si>
  <si>
    <t>_Prf1</t>
  </si>
  <si>
    <t>M_Shf_04</t>
  </si>
  <si>
    <t>DXO_5337D</t>
  </si>
  <si>
    <t>Edg_EAW_4251_D1</t>
  </si>
  <si>
    <t>Tutup laci ▌</t>
  </si>
  <si>
    <t>lbr_frm_07</t>
  </si>
  <si>
    <t>lebar m frame 07</t>
  </si>
  <si>
    <t>Tutup laci Frame</t>
  </si>
  <si>
    <t>Palang blk pull out</t>
  </si>
  <si>
    <t>Samping laci pull out</t>
  </si>
  <si>
    <t>REL BALL BEARING PJ 50 CM FULL EXT MOTION</t>
  </si>
  <si>
    <t>besi astal Ø5mm ; 408mm</t>
  </si>
  <si>
    <t>duco brown doff</t>
  </si>
  <si>
    <t>Edg Veneer</t>
  </si>
  <si>
    <t>Panel Partisi Rangka</t>
  </si>
  <si>
    <t>A↓</t>
  </si>
  <si>
    <t>Dobelan tatakan kaca</t>
  </si>
  <si>
    <t>(uk.23x1) u/ Witono</t>
  </si>
  <si>
    <t>(uk.23x1) u/ tukang</t>
  </si>
  <si>
    <t>(alur_M_led_Depan)</t>
  </si>
  <si>
    <t>(alur_M_led_Blk)</t>
  </si>
  <si>
    <t>Guruh</t>
  </si>
  <si>
    <t>Panel Tengah (CNC)</t>
  </si>
  <si>
    <r>
      <t xml:space="preserve">Pintu MLP Panel </t>
    </r>
    <r>
      <rPr>
        <i/>
        <sz val="12"/>
        <color indexed="53"/>
        <rFont val="Times New Roman"/>
        <family val="1"/>
      </rPr>
      <t>(rakit_tukang)</t>
    </r>
  </si>
  <si>
    <r>
      <t xml:space="preserve">Pintu MLP Kaca </t>
    </r>
    <r>
      <rPr>
        <i/>
        <sz val="12"/>
        <color indexed="53"/>
        <rFont val="Times New Roman"/>
        <family val="1"/>
      </rPr>
      <t>(rakit_tukang)</t>
    </r>
  </si>
  <si>
    <r>
      <t xml:space="preserve">Tutup Laci MLP Panel </t>
    </r>
    <r>
      <rPr>
        <i/>
        <sz val="12"/>
        <color indexed="53"/>
        <rFont val="Times New Roman"/>
        <family val="1"/>
      </rPr>
      <t>(rakit_tukang)</t>
    </r>
  </si>
  <si>
    <t>A•</t>
  </si>
  <si>
    <t>btg</t>
  </si>
  <si>
    <t>WY_5294_D(V)</t>
  </si>
  <si>
    <t>Edg_EAW_5294_D1</t>
  </si>
  <si>
    <t>Uppertop</t>
  </si>
  <si>
    <t>Uppertop Rangka</t>
  </si>
  <si>
    <t>Est</t>
  </si>
  <si>
    <t>Fahrudin</t>
  </si>
  <si>
    <t>Suminto</t>
  </si>
  <si>
    <t>Edg_EMS_1124_U0</t>
  </si>
  <si>
    <t>Rel varian 5</t>
  </si>
  <si>
    <t>Rel varian 6</t>
  </si>
  <si>
    <t>Rel varian 7</t>
  </si>
  <si>
    <t>Rel varian 8</t>
  </si>
  <si>
    <t>rel5</t>
  </si>
  <si>
    <t>rel6</t>
  </si>
  <si>
    <t>rel7</t>
  </si>
  <si>
    <t>rel8</t>
  </si>
  <si>
    <t>rel9</t>
  </si>
  <si>
    <t>rel10</t>
  </si>
  <si>
    <t>Rel varian 9</t>
  </si>
  <si>
    <t>Rel varian 10</t>
  </si>
  <si>
    <t>engsel7</t>
  </si>
  <si>
    <t>engsel8</t>
  </si>
  <si>
    <t>engsel9</t>
  </si>
  <si>
    <t>engsel10</t>
  </si>
  <si>
    <r>
      <t xml:space="preserve">Back Panel Nad DUCO </t>
    </r>
    <r>
      <rPr>
        <i/>
        <sz val="12"/>
        <color indexed="53"/>
        <rFont val="Times New Roman"/>
        <family val="1"/>
      </rPr>
      <t>(rakit tukang)</t>
    </r>
  </si>
  <si>
    <r>
      <t xml:space="preserve">End Panel nad DUCO </t>
    </r>
    <r>
      <rPr>
        <i/>
        <sz val="12"/>
        <color indexed="53"/>
        <rFont val="Times New Roman"/>
        <family val="1"/>
      </rPr>
      <t>(rakit tukang)</t>
    </r>
  </si>
  <si>
    <r>
      <t xml:space="preserve">Tutup Laci nad DUCO </t>
    </r>
    <r>
      <rPr>
        <i/>
        <sz val="12"/>
        <color indexed="53"/>
        <rFont val="Times New Roman"/>
        <family val="1"/>
      </rPr>
      <t>(rakit tukang)</t>
    </r>
  </si>
  <si>
    <t>profil 2</t>
  </si>
  <si>
    <t>Pintu SW</t>
  </si>
  <si>
    <t>Ambalan Kaca M-led-12</t>
  </si>
  <si>
    <t>engsel varian 7</t>
  </si>
  <si>
    <t>engsel varian 8</t>
  </si>
  <si>
    <t>engsel varian 9</t>
  </si>
  <si>
    <t>engsel varian 10</t>
  </si>
  <si>
    <t>Depth laci tandem blum 500</t>
  </si>
  <si>
    <t>D_tdm_50</t>
  </si>
  <si>
    <t>D_tdm_45</t>
  </si>
  <si>
    <t>D_tdm_40</t>
  </si>
  <si>
    <t>Depth laci tandem blum 450</t>
  </si>
  <si>
    <t>Depth laci tandem blum 400</t>
  </si>
  <si>
    <t>Depth laci tandem blum 350</t>
  </si>
  <si>
    <t>D_tdm_35</t>
  </si>
  <si>
    <t>Depth laci tandem blum 270</t>
  </si>
  <si>
    <t>D_tdm_27</t>
  </si>
  <si>
    <t>Pintu Formwell</t>
  </si>
  <si>
    <t>D_Qdr_50</t>
  </si>
  <si>
    <t>D_Qdr_45</t>
  </si>
  <si>
    <t>D_Qdr_40</t>
  </si>
  <si>
    <t>D_Qdr_35</t>
  </si>
  <si>
    <t>D_Qdr_25</t>
  </si>
  <si>
    <t>D_Qdr_30</t>
  </si>
  <si>
    <t>Depth laci quadro 500</t>
  </si>
  <si>
    <t>Depth laci quadro 450</t>
  </si>
  <si>
    <t>Depth laci quadro 400</t>
  </si>
  <si>
    <t>Depth laci quadro 350</t>
  </si>
  <si>
    <t>Depth laci quadro 300</t>
  </si>
  <si>
    <t>Depth laci quadro 250</t>
  </si>
  <si>
    <t>HC Mw</t>
  </si>
  <si>
    <t>Box Mati</t>
  </si>
  <si>
    <t>TH</t>
  </si>
  <si>
    <t>FC Ov</t>
  </si>
  <si>
    <t>FC∟►</t>
  </si>
  <si>
    <t>FC∟◄</t>
  </si>
  <si>
    <t>FC∟Sink</t>
  </si>
  <si>
    <t>FC Gas∟►</t>
  </si>
  <si>
    <t>FC Gas∟◄</t>
  </si>
  <si>
    <t>HC∟</t>
  </si>
  <si>
    <t>TC∟</t>
  </si>
  <si>
    <t>TC Disp</t>
  </si>
  <si>
    <t>EP</t>
  </si>
  <si>
    <t>BP</t>
  </si>
  <si>
    <t>W</t>
  </si>
  <si>
    <t>CB</t>
  </si>
  <si>
    <t>Dinding Samping Kaca S4</t>
  </si>
  <si>
    <t>Dummies Luar</t>
  </si>
  <si>
    <t>Edg_1695B</t>
  </si>
  <si>
    <t>Edg_1695B_(45X1)</t>
  </si>
  <si>
    <t>Tutup laci..</t>
  </si>
  <si>
    <t>Dummies dlm</t>
  </si>
  <si>
    <t>Pintu Kc S4©</t>
  </si>
  <si>
    <t>Pintu Kc S4© ▬</t>
  </si>
  <si>
    <t>Pintu Kc S4© ▌</t>
  </si>
  <si>
    <t>Tatakan kaca.</t>
  </si>
  <si>
    <t>TUKANG</t>
  </si>
  <si>
    <t>edg_Rehau_110352</t>
  </si>
  <si>
    <t>(pasang_M_Prf+Alur_M_led lihat gbr)</t>
  </si>
  <si>
    <t>TANDEMBOX BLUM PUTIH IN-S5</t>
  </si>
  <si>
    <t>TANDEM BOX BLUM HITAM IN-S5</t>
  </si>
  <si>
    <t>edg_Rehau_110359</t>
  </si>
  <si>
    <r>
      <t xml:space="preserve">Tutup Laci FG DUCO </t>
    </r>
    <r>
      <rPr>
        <i/>
        <sz val="12"/>
        <color indexed="53"/>
        <rFont val="Times New Roman"/>
        <family val="1"/>
      </rPr>
      <t>(area profil saja)</t>
    </r>
  </si>
  <si>
    <r>
      <t xml:space="preserve">Pintu FG DUCO </t>
    </r>
    <r>
      <rPr>
        <i/>
        <sz val="12"/>
        <color indexed="53"/>
        <rFont val="Times New Roman"/>
        <family val="1"/>
      </rPr>
      <t>(area profil saja)</t>
    </r>
  </si>
  <si>
    <t>Palang tengah/nat handel</t>
  </si>
  <si>
    <t>DXP_1360K</t>
  </si>
  <si>
    <t>DXP_1333K</t>
  </si>
  <si>
    <t>DXO_5339D</t>
  </si>
  <si>
    <t>DXO_5338D</t>
  </si>
  <si>
    <t>DXO_4316G</t>
  </si>
  <si>
    <t>DXN_5323X</t>
  </si>
  <si>
    <t>DXN_5308X</t>
  </si>
  <si>
    <t>Edg_EAP_1360_JO</t>
  </si>
  <si>
    <t>kabinet3</t>
  </si>
  <si>
    <t>edgingkab3</t>
  </si>
  <si>
    <t>paper</t>
  </si>
  <si>
    <t>toleransi pengurangan bahan paper</t>
  </si>
  <si>
    <t>Pintu Frame (tidak dilubang engsel)</t>
  </si>
  <si>
    <t>Veneer_Red_Oak</t>
  </si>
  <si>
    <t>(alur_M_led_Depan) (samb.↓….+....↑)</t>
  </si>
  <si>
    <t>Pintu Kc S4© Bv</t>
  </si>
  <si>
    <t>Tutup laci Kaca S4 Bv</t>
  </si>
  <si>
    <t>Back Panel Kaca S4 Bv</t>
  </si>
  <si>
    <t>Back Panel Rangka Kaca S4 Bv</t>
  </si>
  <si>
    <t>u/ amb.end panel</t>
  </si>
  <si>
    <t>u/ panel S4</t>
  </si>
  <si>
    <t>Edg_by_supplier</t>
  </si>
  <si>
    <t>GW_200M</t>
  </si>
  <si>
    <t>TH_037_G</t>
  </si>
  <si>
    <t>TZ_HG_PUREWHITE_4801</t>
  </si>
  <si>
    <r>
      <t xml:space="preserve">Back Panel Rangka Nad DUCO </t>
    </r>
    <r>
      <rPr>
        <i/>
        <sz val="12"/>
        <color indexed="53"/>
        <rFont val="Times New Roman"/>
        <family val="1"/>
      </rPr>
      <t>(rakit tukang)</t>
    </r>
  </si>
  <si>
    <r>
      <t xml:space="preserve">Back Panel Rangka Tali Air </t>
    </r>
    <r>
      <rPr>
        <i/>
        <sz val="12"/>
        <color indexed="53"/>
        <rFont val="Times New Roman"/>
        <family val="1"/>
      </rPr>
      <t>(rakit tukang)</t>
    </r>
  </si>
  <si>
    <t>(handel_finger_groove_45º_1sisi_pjg)</t>
  </si>
  <si>
    <t>(handel_finger_groove_45º_1sisi_lbr)</t>
  </si>
  <si>
    <t>(handel_finger_groove_45º_2sisi_lbr)</t>
  </si>
  <si>
    <t>Edg_A767_TH05_(55X1)</t>
  </si>
  <si>
    <t>Tutup laci dlm ▬</t>
  </si>
  <si>
    <t>(alur_M_led_21)</t>
  </si>
  <si>
    <t>AS_13008_Cn74</t>
  </si>
  <si>
    <t>Handle MHT - 020 Champaigne Gloss</t>
  </si>
  <si>
    <t>(Veneer_150mm)</t>
  </si>
  <si>
    <r>
      <t xml:space="preserve">Gawangan Pintu Folding </t>
    </r>
    <r>
      <rPr>
        <i/>
        <sz val="12"/>
        <color indexed="53"/>
        <rFont val="Times New Roman"/>
        <family val="1"/>
      </rPr>
      <t>(rakit tukang)</t>
    </r>
  </si>
  <si>
    <t>RDK-52A FOLDING HINGE</t>
  </si>
  <si>
    <t>5</t>
  </si>
  <si>
    <t xml:space="preserve"> BH </t>
  </si>
  <si>
    <t>1080A TRACK IN 2000</t>
  </si>
  <si>
    <t>1</t>
  </si>
  <si>
    <t>TOP ADJUSTABLE ART 869 SLIDE WITH 6 BERINGS</t>
  </si>
  <si>
    <t xml:space="preserve"> SET </t>
  </si>
  <si>
    <t>Pengganti wingline 230</t>
  </si>
  <si>
    <t>Edg_ABS_76911</t>
  </si>
  <si>
    <t>Edg_ABS_76264</t>
  </si>
  <si>
    <t>Edg_Taco_W906</t>
  </si>
  <si>
    <t>DX_1557_PG</t>
  </si>
  <si>
    <t>Edg_EAP_1371_JO</t>
  </si>
  <si>
    <t>Plinth/Uppertop</t>
  </si>
  <si>
    <r>
      <t>Tatakan S/s Rangka</t>
    </r>
    <r>
      <rPr>
        <i/>
        <sz val="12"/>
        <color rgb="FFFF0000"/>
        <rFont val="Times New Roman"/>
        <family val="1"/>
      </rPr>
      <t xml:space="preserve"> (rakit tukang)</t>
    </r>
  </si>
  <si>
    <t>ram2</t>
  </si>
  <si>
    <t>jarak ram standart 2</t>
  </si>
  <si>
    <t>M_16016_003_Cs99(V)</t>
  </si>
  <si>
    <t>DXP_4320G</t>
  </si>
  <si>
    <t>Edg_1684B</t>
  </si>
  <si>
    <t>Edg_EAP_4320_Z6</t>
  </si>
  <si>
    <t>FORM ORDER KERJA REWORK</t>
  </si>
  <si>
    <t>Status Proyek</t>
  </si>
  <si>
    <t>ANTI RAYAP</t>
  </si>
  <si>
    <t>TIDAK ANTIRAYAP</t>
  </si>
  <si>
    <t>Spesifikasi tebal bahan</t>
  </si>
  <si>
    <t>Komponen kabinet</t>
  </si>
  <si>
    <t>Komponen laci</t>
  </si>
  <si>
    <t>Dinding blk / dasar</t>
  </si>
  <si>
    <t>Tatakan worktop</t>
  </si>
  <si>
    <t>Spesifikasi Lapisan / Fin.</t>
  </si>
  <si>
    <t>Lapisan dibalik pintu</t>
  </si>
  <si>
    <t>Lapisan tidak terlihat u/ kab.</t>
  </si>
  <si>
    <t>Referensi jarak/ukuran</t>
  </si>
  <si>
    <t>nat</t>
  </si>
  <si>
    <t>nat antara pintu FC dg worktop (MH03/09)</t>
  </si>
  <si>
    <t>nat_fc</t>
  </si>
  <si>
    <t>jarak ram standart 1 (jika ada)</t>
  </si>
  <si>
    <t>jarak ram standart 2 (jika ada)</t>
  </si>
  <si>
    <t>jarak plinth masuk</t>
  </si>
  <si>
    <t>pl_masuk</t>
  </si>
  <si>
    <t>HS_5002VT</t>
  </si>
  <si>
    <t>Edg_......</t>
  </si>
  <si>
    <r>
      <t xml:space="preserve">Back Panel L Nad DUCO </t>
    </r>
    <r>
      <rPr>
        <i/>
        <sz val="12"/>
        <color indexed="53"/>
        <rFont val="Times New Roman"/>
        <family val="1"/>
      </rPr>
      <t>(rakit tukang)</t>
    </r>
  </si>
  <si>
    <t>AS_14045_Cs98(V)</t>
  </si>
  <si>
    <t>040_SL</t>
  </si>
  <si>
    <t>Edg_270B</t>
  </si>
  <si>
    <r>
      <t xml:space="preserve">End Panel Rangka Profil+DUCO </t>
    </r>
    <r>
      <rPr>
        <i/>
        <sz val="12"/>
        <color indexed="53"/>
        <rFont val="Times New Roman"/>
        <family val="1"/>
      </rPr>
      <t>(rakit tukang)</t>
    </r>
  </si>
  <si>
    <r>
      <t xml:space="preserve">Back Panel MLP </t>
    </r>
    <r>
      <rPr>
        <i/>
        <sz val="12"/>
        <color indexed="53"/>
        <rFont val="Times New Roman"/>
        <family val="1"/>
      </rPr>
      <t>(rakit_tukang)</t>
    </r>
  </si>
  <si>
    <t>Edg_PVC_11441_(61x1)</t>
  </si>
  <si>
    <t>ASW_13002_KN74</t>
  </si>
  <si>
    <r>
      <t xml:space="preserve">Gawangan Pintu Swing </t>
    </r>
    <r>
      <rPr>
        <i/>
        <sz val="12"/>
        <color indexed="53"/>
        <rFont val="Times New Roman"/>
        <family val="1"/>
      </rPr>
      <t>(rakit tukang)</t>
    </r>
  </si>
  <si>
    <t>Edg_EAW_1217_R1</t>
  </si>
  <si>
    <t>Edg_EAW_1217_R1_(44X1)</t>
  </si>
  <si>
    <r>
      <t xml:space="preserve">Back Panel KS-1A Edging </t>
    </r>
    <r>
      <rPr>
        <i/>
        <sz val="12"/>
        <color indexed="53"/>
        <rFont val="Times New Roman"/>
        <family val="1"/>
      </rPr>
      <t>(rakit tukang)</t>
    </r>
  </si>
  <si>
    <r>
      <t xml:space="preserve">Back Panel Rangka KS-1A Edging </t>
    </r>
    <r>
      <rPr>
        <i/>
        <sz val="12"/>
        <color indexed="53"/>
        <rFont val="Times New Roman"/>
        <family val="1"/>
      </rPr>
      <t>(rakit tukang)</t>
    </r>
  </si>
  <si>
    <r>
      <t xml:space="preserve">Pintu Akses KS-1A Edging </t>
    </r>
    <r>
      <rPr>
        <i/>
        <sz val="12"/>
        <color indexed="53"/>
        <rFont val="Times New Roman"/>
        <family val="1"/>
      </rPr>
      <t>(rakit tukang)</t>
    </r>
  </si>
  <si>
    <t>Panel Kisi² (KS-1A.Edg)</t>
  </si>
  <si>
    <t>Komp. OS Manual</t>
  </si>
  <si>
    <t>Back Panel S4</t>
  </si>
  <si>
    <t>Nad tali air•</t>
  </si>
  <si>
    <r>
      <t xml:space="preserve">End Panel KS-1A Edging </t>
    </r>
    <r>
      <rPr>
        <i/>
        <sz val="12"/>
        <color indexed="53"/>
        <rFont val="Times New Roman"/>
        <family val="1"/>
      </rPr>
      <t>(rakit tukang)</t>
    </r>
  </si>
  <si>
    <t>AS_13029_Cn74</t>
  </si>
  <si>
    <r>
      <t xml:space="preserve">Tatakan Granit/Marmer </t>
    </r>
    <r>
      <rPr>
        <i/>
        <sz val="12"/>
        <color indexed="53"/>
        <rFont val="Times New Roman"/>
        <family val="1"/>
      </rPr>
      <t>(rakit tukang)</t>
    </r>
  </si>
  <si>
    <t>Acrylic_TZ HG_WHITE_PEARL_4822</t>
  </si>
  <si>
    <t>….</t>
  </si>
  <si>
    <t>M-LIST-01 Champaigne Doff ( Alm. 75112 ) P3</t>
  </si>
  <si>
    <t>M_20153_004_Cs62(V)</t>
  </si>
  <si>
    <t>M_20153_004_Cs62(H)</t>
  </si>
  <si>
    <t>M_71001_Cs90(V)</t>
  </si>
  <si>
    <t>INTIVO IN S4 WHITE</t>
  </si>
  <si>
    <t>ATS_1135M</t>
  </si>
  <si>
    <t>Edg_EAW_4264_XO</t>
  </si>
  <si>
    <t>Edg_EMS_1135_U0</t>
  </si>
  <si>
    <r>
      <t>Tatakan Kaca Rangka+Panel 38</t>
    </r>
    <r>
      <rPr>
        <i/>
        <sz val="12"/>
        <color rgb="FFFF0000"/>
        <rFont val="Times New Roman"/>
        <family val="1"/>
      </rPr>
      <t xml:space="preserve"> (rakit tukang)</t>
    </r>
  </si>
  <si>
    <r>
      <t xml:space="preserve">Tatakan Quadra </t>
    </r>
    <r>
      <rPr>
        <i/>
        <sz val="12"/>
        <color indexed="53"/>
        <rFont val="Times New Roman"/>
        <family val="1"/>
      </rPr>
      <t>(rakit tukang)</t>
    </r>
  </si>
  <si>
    <t>Ambalan•</t>
  </si>
  <si>
    <r>
      <t xml:space="preserve">Kotak Laci "U" </t>
    </r>
    <r>
      <rPr>
        <i/>
        <sz val="12"/>
        <color indexed="53"/>
        <rFont val="Times New Roman"/>
        <family val="1"/>
      </rPr>
      <t>(rakit tukang)</t>
    </r>
  </si>
  <si>
    <t>•</t>
  </si>
  <si>
    <r>
      <t xml:space="preserve">Back Panel Kisi² </t>
    </r>
    <r>
      <rPr>
        <i/>
        <sz val="12"/>
        <color indexed="53"/>
        <rFont val="Times New Roman"/>
        <family val="1"/>
      </rPr>
      <t>(rakit tukang)</t>
    </r>
  </si>
  <si>
    <t>Panel Kisi²</t>
  </si>
  <si>
    <t>DXP_1364K</t>
  </si>
  <si>
    <t>Edg_EAP_1329_KO</t>
  </si>
  <si>
    <t>Set_up</t>
  </si>
  <si>
    <t>(1sisi_Duco_sebagian)</t>
  </si>
  <si>
    <t>(2sisi_Duco_sebagian)</t>
  </si>
  <si>
    <t>M_71010_Cn74(V)</t>
  </si>
  <si>
    <t>M_71026_Cs21(V)</t>
  </si>
  <si>
    <t>M_71030_Cn74(V)</t>
  </si>
  <si>
    <t>M_20353_100_Cs62(V)</t>
  </si>
  <si>
    <t>M_54056_190_Cs21(H)</t>
  </si>
  <si>
    <r>
      <t xml:space="preserve">End Panel Rangka "R" Nat DUCO </t>
    </r>
    <r>
      <rPr>
        <i/>
        <sz val="12"/>
        <color indexed="53"/>
        <rFont val="Times New Roman"/>
        <family val="1"/>
      </rPr>
      <t>(rakit tukang)</t>
    </r>
  </si>
  <si>
    <t>Kulit Batu Indian Autumn Translucent Uk. 1220X2440</t>
  </si>
  <si>
    <r>
      <t xml:space="preserve">Plinth Rangka "R" DUCO </t>
    </r>
    <r>
      <rPr>
        <i/>
        <sz val="12"/>
        <color indexed="53"/>
        <rFont val="Times New Roman"/>
        <family val="1"/>
      </rPr>
      <t>(rakit tukang)</t>
    </r>
  </si>
  <si>
    <t>Profil MPT-03 / PT-08 MDF Hijau, uk : 80x8x2350</t>
  </si>
  <si>
    <r>
      <t xml:space="preserve">Back Panel MPT DUCO </t>
    </r>
    <r>
      <rPr>
        <i/>
        <sz val="12"/>
        <color indexed="53"/>
        <rFont val="Times New Roman"/>
        <family val="1"/>
      </rPr>
      <t>(rakit tukang)</t>
    </r>
  </si>
  <si>
    <r>
      <t xml:space="preserve">End Panel MPT DUCO </t>
    </r>
    <r>
      <rPr>
        <i/>
        <sz val="12"/>
        <color indexed="53"/>
        <rFont val="Times New Roman"/>
        <family val="1"/>
      </rPr>
      <t>(rakit tukang)</t>
    </r>
  </si>
  <si>
    <t>(pengurangan_trim_di_rakit)</t>
  </si>
  <si>
    <t>End Panel MPT</t>
  </si>
  <si>
    <t>Back Panel MPT</t>
  </si>
  <si>
    <r>
      <t xml:space="preserve">Back Panel MPT DUCO </t>
    </r>
    <r>
      <rPr>
        <i/>
        <sz val="12"/>
        <color indexed="53"/>
        <rFont val="Times New Roman"/>
        <family val="1"/>
      </rPr>
      <t>(dimatikan ke rangka)</t>
    </r>
  </si>
  <si>
    <t>Plinth Rangka</t>
  </si>
  <si>
    <t>DXP_1381XM</t>
  </si>
  <si>
    <t>A↕</t>
  </si>
  <si>
    <t>Pintu dlm</t>
  </si>
  <si>
    <t>Edg_EAW_5216D1</t>
  </si>
  <si>
    <t>PROFIL PLINT MPP-01 T.100  MDF HIJAU UK:2350x100x45</t>
  </si>
  <si>
    <t>Edg_754W</t>
  </si>
  <si>
    <t>G4_1383G_(V)</t>
  </si>
  <si>
    <t>AS_13005_Cn74</t>
  </si>
  <si>
    <t>Edg_DC_005V_(46X1)</t>
  </si>
  <si>
    <t>Edg_DC_005V</t>
  </si>
  <si>
    <r>
      <t xml:space="preserve">Kuff Rangka </t>
    </r>
    <r>
      <rPr>
        <i/>
        <sz val="12"/>
        <color indexed="53"/>
        <rFont val="Times New Roman"/>
        <family val="1"/>
      </rPr>
      <t>(rakit tukang)</t>
    </r>
  </si>
  <si>
    <t>(Duco_White_Gloss)</t>
  </si>
  <si>
    <t>(Duco_White_Doff)</t>
  </si>
  <si>
    <t>(Duco_White_Gloss_50mm)</t>
  </si>
  <si>
    <t>(Duco_White_Doff_50mm)</t>
  </si>
  <si>
    <t>SCM_1166_XM</t>
  </si>
  <si>
    <t>Edg_EAW_4244_H1</t>
  </si>
  <si>
    <t>Edg_EAP_1141_VO</t>
  </si>
  <si>
    <t>M_71028_Cn74_(V)</t>
  </si>
  <si>
    <t>VENEER_WALNUT_☼_(V)</t>
  </si>
  <si>
    <t>AS_14095_Cs98(V)</t>
  </si>
  <si>
    <t>Edg_151481_(45X1)</t>
  </si>
  <si>
    <t>Pintu S2•</t>
  </si>
  <si>
    <t>Edg_EAS_1141_D0</t>
  </si>
  <si>
    <r>
      <t xml:space="preserve">Back Panel Kaca Nad DUCO </t>
    </r>
    <r>
      <rPr>
        <i/>
        <sz val="12"/>
        <color indexed="53"/>
        <rFont val="Times New Roman"/>
        <family val="1"/>
      </rPr>
      <t>(rakit tukang)</t>
    </r>
  </si>
  <si>
    <t>Jarak pintu overlap bawah</t>
  </si>
  <si>
    <t>Ovb</t>
  </si>
  <si>
    <t>Jarak pintu overlap atas</t>
  </si>
  <si>
    <t>Ova</t>
  </si>
  <si>
    <t>Edg_EAP_4322_F1</t>
  </si>
  <si>
    <t>Edg_EAP_4323_F1</t>
  </si>
  <si>
    <t>DXO_4322X</t>
  </si>
  <si>
    <t>DXO_4323X</t>
  </si>
  <si>
    <t>Dinding Samping«</t>
  </si>
  <si>
    <t>Edg_EAW_4255_R1</t>
  </si>
  <si>
    <t>Edg_EAS_1132_DO</t>
  </si>
  <si>
    <t>Back Panel Rangka•</t>
  </si>
  <si>
    <t>B•</t>
  </si>
  <si>
    <t>B1</t>
  </si>
  <si>
    <t>B2</t>
  </si>
  <si>
    <t>Sibu SG Vintage Silver AR +</t>
  </si>
  <si>
    <t>Edg_EAW_1257_RO</t>
  </si>
  <si>
    <t>Tatakan Quadra</t>
  </si>
  <si>
    <r>
      <t xml:space="preserve">Back Panel Sibu </t>
    </r>
    <r>
      <rPr>
        <i/>
        <sz val="12"/>
        <color indexed="53"/>
        <rFont val="Times New Roman"/>
        <family val="1"/>
      </rPr>
      <t>(rakit tukang)</t>
    </r>
  </si>
  <si>
    <t>Tatakan Sibu S4</t>
  </si>
  <si>
    <t>AS_14132_Cs16(V)</t>
  </si>
  <si>
    <t>AS_14007_Cs98(V)</t>
  </si>
  <si>
    <t>AS_14015_Cs98(V)</t>
  </si>
  <si>
    <t>AS_14023_Cs99(V)</t>
  </si>
  <si>
    <t>AS_14028_Cs98(V)</t>
  </si>
  <si>
    <t>AS_14053_CS62(H)</t>
  </si>
  <si>
    <t>AS_14053_CS62(V)</t>
  </si>
  <si>
    <t>AS_14069_Cs98(V)</t>
  </si>
  <si>
    <t>AS_14108_CY33(H)</t>
  </si>
  <si>
    <t>AS_14108_CY33(V)</t>
  </si>
  <si>
    <t>AS_14110 Cs98(V)</t>
  </si>
  <si>
    <t>AS_14117_Cs98(V)</t>
  </si>
  <si>
    <t>AS_14129_Cs16(V)</t>
  </si>
  <si>
    <t>AS_14131_Cs16(H)</t>
  </si>
  <si>
    <t>AS_14131_Cs16(V)</t>
  </si>
  <si>
    <t>AS_14135_Cs98(V)</t>
  </si>
  <si>
    <t>ATS_1124M</t>
  </si>
  <si>
    <t>INA_8101_Cs21(V)</t>
  </si>
  <si>
    <t>WY_1208_D(V)</t>
  </si>
  <si>
    <t>WY_1257_D(V)</t>
  </si>
  <si>
    <t>WY_1259_D(V)</t>
  </si>
  <si>
    <t>WY_4244_X(V)</t>
  </si>
  <si>
    <t>WY_4254_X(V)</t>
  </si>
  <si>
    <t>WY_4255_X(V)</t>
  </si>
  <si>
    <t>WY_4264_X(V)</t>
  </si>
  <si>
    <t>WY_5214_D(V)</t>
  </si>
  <si>
    <t>WY_5216_D(V)</t>
  </si>
  <si>
    <t>WY_5217_D(H)</t>
  </si>
  <si>
    <t>WY_5217_D(V)</t>
  </si>
  <si>
    <t>WY_5232_D(V)</t>
  </si>
  <si>
    <t>WY_5258_D(V)</t>
  </si>
  <si>
    <t>WY_5259_D(V)</t>
  </si>
  <si>
    <t>WYA_1279_E(V)</t>
  </si>
  <si>
    <t>WYA_4251_K(V)</t>
  </si>
  <si>
    <t>WYA_5289_MT(V)</t>
  </si>
  <si>
    <t>WYA_5290_MT(V)</t>
  </si>
  <si>
    <t>AS_14041_KM</t>
  </si>
  <si>
    <r>
      <t>Tatakan Kaca Rangka+Panel HPL</t>
    </r>
    <r>
      <rPr>
        <i/>
        <sz val="12"/>
        <color rgb="FFFF0000"/>
        <rFont val="Times New Roman"/>
        <family val="1"/>
      </rPr>
      <t xml:space="preserve"> (rakit tukang)</t>
    </r>
  </si>
  <si>
    <t>DXO_1343_DC</t>
  </si>
  <si>
    <t>Edg_EAW_4223_XO</t>
  </si>
  <si>
    <t>Edg_EAP_1343_RO</t>
  </si>
  <si>
    <t>M-GRL 01 BLACK GLOSS</t>
  </si>
  <si>
    <t>M-GRL 01 COKLAT GLOSS</t>
  </si>
  <si>
    <t>M-GRL 01 MOCHA GLOSS</t>
  </si>
  <si>
    <t>M-GRL 01 CHAMPAGNE GLOSS</t>
  </si>
  <si>
    <t>M-GRILL 01 COKLAT DOFF</t>
  </si>
  <si>
    <t>M-GRILL 01 HITAM DOFF</t>
  </si>
  <si>
    <t>M-GRILL 01 MOCHA DOFF</t>
  </si>
  <si>
    <t>M-GRILL 01 CHAMPAGNE DOFF</t>
  </si>
  <si>
    <t>Mal Kaca</t>
  </si>
  <si>
    <t>Edg_EAW_1280_D1</t>
  </si>
  <si>
    <t>(pasang_M_Prf+Alur_M_led Depan</t>
  </si>
  <si>
    <t>Panel Kisi² (KS-1A.HPL)</t>
  </si>
  <si>
    <t>Tatakan Sibu</t>
  </si>
  <si>
    <r>
      <t xml:space="preserve">Back Panel KS-1A HPL </t>
    </r>
    <r>
      <rPr>
        <i/>
        <sz val="12"/>
        <color indexed="53"/>
        <rFont val="Times New Roman"/>
        <family val="1"/>
      </rPr>
      <t>(rakit tukang)</t>
    </r>
  </si>
  <si>
    <r>
      <t xml:space="preserve">Back Panel Rangka KS-1A HPL </t>
    </r>
    <r>
      <rPr>
        <i/>
        <sz val="12"/>
        <color indexed="53"/>
        <rFont val="Times New Roman"/>
        <family val="1"/>
      </rPr>
      <t>(rakit tukang)</t>
    </r>
  </si>
  <si>
    <t>Dummies•</t>
  </si>
  <si>
    <r>
      <t xml:space="preserve">End Panel Rangka DUCO </t>
    </r>
    <r>
      <rPr>
        <i/>
        <sz val="12"/>
        <color indexed="53"/>
        <rFont val="Times New Roman"/>
        <family val="1"/>
      </rPr>
      <t>(rakit tukang)</t>
    </r>
  </si>
  <si>
    <r>
      <t xml:space="preserve">Pintu MLP 06 Panel </t>
    </r>
    <r>
      <rPr>
        <i/>
        <sz val="12"/>
        <color indexed="53"/>
        <rFont val="Times New Roman"/>
        <family val="1"/>
      </rPr>
      <t>(rakit_tukang)</t>
    </r>
  </si>
  <si>
    <r>
      <t xml:space="preserve">Pintu MLP 06 Kaca </t>
    </r>
    <r>
      <rPr>
        <i/>
        <sz val="12"/>
        <color indexed="53"/>
        <rFont val="Times New Roman"/>
        <family val="1"/>
      </rPr>
      <t>(rakit_tukang)</t>
    </r>
  </si>
  <si>
    <r>
      <t xml:space="preserve">Tutup Laci MLP 06Panel </t>
    </r>
    <r>
      <rPr>
        <i/>
        <sz val="12"/>
        <color indexed="53"/>
        <rFont val="Times New Roman"/>
        <family val="1"/>
      </rPr>
      <t>(rakit_tukang)</t>
    </r>
  </si>
  <si>
    <r>
      <t xml:space="preserve">Uppertop Rangka MLT-03 DUCO </t>
    </r>
    <r>
      <rPr>
        <i/>
        <sz val="12"/>
        <color indexed="53"/>
        <rFont val="Times New Roman"/>
        <family val="1"/>
      </rPr>
      <t>(rakit tukang)</t>
    </r>
  </si>
  <si>
    <r>
      <t xml:space="preserve">Back Panel MLP 06 Panel </t>
    </r>
    <r>
      <rPr>
        <i/>
        <sz val="12"/>
        <color indexed="53"/>
        <rFont val="Times New Roman"/>
        <family val="1"/>
      </rPr>
      <t>(rakit_tukang)</t>
    </r>
  </si>
  <si>
    <t>U/ Cornice</t>
  </si>
  <si>
    <t>U/ Pintu+panel</t>
  </si>
  <si>
    <t>HJ_5414_Cn74</t>
  </si>
  <si>
    <t>Edg_Taco_W370_(42X1)</t>
  </si>
  <si>
    <t>AS_14071_Cs98(V)</t>
  </si>
  <si>
    <t>pelmet</t>
  </si>
  <si>
    <t>Penambahan tinggi pintu nabok pelmet/cover panel</t>
  </si>
  <si>
    <r>
      <t xml:space="preserve">Pintu MLP Panel+MPP01 </t>
    </r>
    <r>
      <rPr>
        <i/>
        <sz val="12"/>
        <color indexed="53"/>
        <rFont val="Times New Roman"/>
        <family val="1"/>
      </rPr>
      <t>(rakit_tukang)</t>
    </r>
  </si>
  <si>
    <t>Edg_EAS_5128_D0</t>
  </si>
  <si>
    <r>
      <t xml:space="preserve">Pintu HPL+kaca S4 </t>
    </r>
    <r>
      <rPr>
        <i/>
        <sz val="12"/>
        <color rgb="FFFF0000"/>
        <rFont val="Times New Roman"/>
        <family val="1"/>
      </rPr>
      <t>(rakit tukang)</t>
    </r>
  </si>
  <si>
    <r>
      <t xml:space="preserve">Tutup laci HPL+kaca S4 </t>
    </r>
    <r>
      <rPr>
        <i/>
        <sz val="12"/>
        <color indexed="53"/>
        <rFont val="Times New Roman"/>
        <family val="1"/>
      </rPr>
      <t>(rakit tukang)</t>
    </r>
  </si>
  <si>
    <t>Tutup laci S4</t>
  </si>
  <si>
    <t>DXP_5345_XM</t>
  </si>
  <si>
    <t>Edg_EAP_5345_MO</t>
  </si>
  <si>
    <t>Profil CNC R5 (lengkung R25) untuk sudut (70x60x15)</t>
  </si>
  <si>
    <t>AS_14073_CS98(V)</t>
  </si>
  <si>
    <t>Edg_EAW_5253_D1</t>
  </si>
  <si>
    <t>Edg_EAW_5253_D1(44X1)</t>
  </si>
  <si>
    <t>PROFIL PLINT MPP-02 T.150  MDF HIJAU (2440x100x18)</t>
  </si>
  <si>
    <r>
      <t xml:space="preserve">Uppertop Rangka MLT-01 DUCO </t>
    </r>
    <r>
      <rPr>
        <i/>
        <sz val="12"/>
        <color indexed="53"/>
        <rFont val="Times New Roman"/>
        <family val="1"/>
      </rPr>
      <t>(rakit tukang)</t>
    </r>
  </si>
  <si>
    <t>Rangka Cornice•</t>
  </si>
  <si>
    <t>WYA_4250_K(V)</t>
  </si>
  <si>
    <t>Edg_EAW_4250_D1</t>
  </si>
  <si>
    <t>Edg_EAW_4250_D1(44X1)</t>
  </si>
  <si>
    <t>AS_14156_CY31(V)</t>
  </si>
  <si>
    <t>SCM_5101_XM</t>
  </si>
  <si>
    <t>Pintu Kaca S2•</t>
  </si>
  <si>
    <t>Back Panel Kaca S2•</t>
  </si>
  <si>
    <t>Tutup laci S2•</t>
  </si>
  <si>
    <t>Back Panel♦</t>
  </si>
  <si>
    <t>Tatakan kaca ■</t>
  </si>
  <si>
    <t>Pintu Kaca S2• ▬</t>
  </si>
  <si>
    <t>Tutup laci Kaca S2• ▬</t>
  </si>
  <si>
    <t>Pintu Kaca S2•▌</t>
  </si>
  <si>
    <t>Dinding Samping OS║</t>
  </si>
  <si>
    <t>Dummies Luar•</t>
  </si>
  <si>
    <t>PROFIL PASANGAN MLP 04 MDF hijau 2350X16X25  modif</t>
  </si>
  <si>
    <t>WY_5292_D(V)</t>
  </si>
  <si>
    <t>WY_4222_X(V)</t>
  </si>
  <si>
    <r>
      <t xml:space="preserve">Back Panel MLP Cermin </t>
    </r>
    <r>
      <rPr>
        <i/>
        <sz val="12"/>
        <color indexed="53"/>
        <rFont val="Times New Roman"/>
        <family val="1"/>
      </rPr>
      <t>(rakit_tukang)</t>
    </r>
  </si>
  <si>
    <t>HPL Lembaran•</t>
  </si>
  <si>
    <t>Panel Tengah MLP•</t>
  </si>
  <si>
    <t>Ambalan mati OS•</t>
  </si>
  <si>
    <t>ASW_14149_KY32(V)</t>
  </si>
  <si>
    <t>YAS_13005_CP74</t>
  </si>
  <si>
    <t>ASW_14159_KM</t>
  </si>
  <si>
    <r>
      <t xml:space="preserve">Cover Panel Nad DUCO </t>
    </r>
    <r>
      <rPr>
        <i/>
        <sz val="12"/>
        <color indexed="53"/>
        <rFont val="Times New Roman"/>
        <family val="1"/>
      </rPr>
      <t>(rakit tukang)</t>
    </r>
  </si>
  <si>
    <t>Pintu•▬</t>
  </si>
  <si>
    <t>Pintu nad duco▬</t>
  </si>
  <si>
    <t>ENGSEL PROFILE TEBAL PINTU 24 MM 71 B 9550 + 173 L 6100</t>
  </si>
  <si>
    <t>YAS_14015_CP98(V)</t>
  </si>
  <si>
    <t>YAS_13025_CP74</t>
  </si>
  <si>
    <t>Edg_Rehau_153154</t>
  </si>
  <si>
    <t>AS_14093_CY25(V)</t>
  </si>
  <si>
    <t>AS_13000_Cn74</t>
  </si>
  <si>
    <t>DXO_4314X(V)</t>
  </si>
  <si>
    <t>DXP_1369K</t>
  </si>
  <si>
    <t>WYA_5288_MT(V)</t>
  </si>
  <si>
    <t>Back Panel nad duco•</t>
  </si>
  <si>
    <t>Back Panel Rangka■</t>
  </si>
  <si>
    <t>AS_14016_Cs98(V)</t>
  </si>
  <si>
    <t>WY_5239_D(V)</t>
  </si>
  <si>
    <t>Ambalan hidup■</t>
  </si>
  <si>
    <t>Dinding Samping Kaca</t>
  </si>
  <si>
    <t>DXP_1387BS</t>
  </si>
  <si>
    <t>Pintu Kaca S4•▬</t>
  </si>
  <si>
    <t>Pintu Kaca S4• ▌</t>
  </si>
  <si>
    <t>Pintu Kaca S4•</t>
  </si>
  <si>
    <t>AS_14154_CY31(V)</t>
  </si>
  <si>
    <t>Ambalan hidup OS•</t>
  </si>
  <si>
    <t>Dasar laci Pull Out │</t>
  </si>
  <si>
    <r>
      <t xml:space="preserve">Ambalan Lapis Kaca </t>
    </r>
    <r>
      <rPr>
        <i/>
        <sz val="12"/>
        <color indexed="53"/>
        <rFont val="Times New Roman"/>
        <family val="1"/>
      </rPr>
      <t>(rakit tukang)</t>
    </r>
  </si>
  <si>
    <r>
      <t xml:space="preserve">End Panel S4 </t>
    </r>
    <r>
      <rPr>
        <i/>
        <sz val="12"/>
        <color indexed="53"/>
        <rFont val="Times New Roman"/>
        <family val="1"/>
      </rPr>
      <t>(rakit tukang)</t>
    </r>
  </si>
  <si>
    <t>End Panel S4</t>
  </si>
  <si>
    <t>ASW_14104_KM(V)</t>
  </si>
  <si>
    <t>Nad tali air│</t>
  </si>
  <si>
    <t>End Panel ■</t>
  </si>
  <si>
    <t>End Panel ◘</t>
  </si>
  <si>
    <r>
      <t xml:space="preserve">End Panel Rangka "lengkung" </t>
    </r>
    <r>
      <rPr>
        <i/>
        <sz val="12"/>
        <color indexed="53"/>
        <rFont val="Times New Roman"/>
        <family val="1"/>
      </rPr>
      <t>(rakit tukang)</t>
    </r>
  </si>
  <si>
    <t>Sekat ■</t>
  </si>
  <si>
    <t>Dinding Atas Bawah OS│</t>
  </si>
  <si>
    <t>A«</t>
  </si>
  <si>
    <t>Ply+mdf hijau 1mk</t>
  </si>
  <si>
    <t>Ply+mdf hijau 2mk</t>
  </si>
  <si>
    <t>Mdf hijau</t>
  </si>
  <si>
    <t>Dinding Atas Bawah ↓</t>
  </si>
  <si>
    <t>toleransi pengurangan dinding samping</t>
  </si>
  <si>
    <t>ds</t>
  </si>
  <si>
    <r>
      <t xml:space="preserve">Back Panel Rangka </t>
    </r>
    <r>
      <rPr>
        <i/>
        <sz val="12"/>
        <color indexed="53"/>
        <rFont val="Times New Roman"/>
        <family val="1"/>
      </rPr>
      <t>(rakit tukang)</t>
    </r>
  </si>
  <si>
    <r>
      <t xml:space="preserve">Back Panel Rangka DUCO </t>
    </r>
    <r>
      <rPr>
        <i/>
        <sz val="12"/>
        <color indexed="53"/>
        <rFont val="Times New Roman"/>
        <family val="1"/>
      </rPr>
      <t>(rakit tukang)</t>
    </r>
  </si>
  <si>
    <t>Lapisan depan bhn pintu mlp</t>
  </si>
  <si>
    <t>Dinding Atas Bawah ∟↓</t>
  </si>
  <si>
    <r>
      <t xml:space="preserve">Uppertop Rangka MLT-05 DUCO </t>
    </r>
    <r>
      <rPr>
        <i/>
        <sz val="12"/>
        <color indexed="53"/>
        <rFont val="Times New Roman"/>
        <family val="1"/>
      </rPr>
      <t>(rakit tukang)</t>
    </r>
  </si>
  <si>
    <r>
      <t xml:space="preserve">End Panel Rangka+Corbel DUCO </t>
    </r>
    <r>
      <rPr>
        <i/>
        <sz val="12"/>
        <color indexed="53"/>
        <rFont val="Times New Roman"/>
        <family val="1"/>
      </rPr>
      <t>(rakit tukang)</t>
    </r>
  </si>
  <si>
    <r>
      <t xml:space="preserve">Plinth Rangka "MPP" DUCO </t>
    </r>
    <r>
      <rPr>
        <i/>
        <sz val="12"/>
        <color indexed="53"/>
        <rFont val="Times New Roman"/>
        <family val="1"/>
      </rPr>
      <t>(rakit tukang)</t>
    </r>
  </si>
  <si>
    <t>(ram_60)•</t>
  </si>
  <si>
    <t>(ram_70)•</t>
  </si>
  <si>
    <t>(ram_100)•</t>
  </si>
  <si>
    <t>(ram_standar)</t>
  </si>
  <si>
    <t>(ram_standar)•</t>
  </si>
  <si>
    <t>WY_4232_X(V)</t>
  </si>
  <si>
    <t>WY_5243_D(V)</t>
  </si>
  <si>
    <r>
      <t>Tutup laci Kaca S2</t>
    </r>
    <r>
      <rPr>
        <i/>
        <sz val="12"/>
        <color indexed="53"/>
        <rFont val="Times New Roman"/>
        <family val="1"/>
      </rPr>
      <t>(rakit tukang)</t>
    </r>
  </si>
  <si>
    <r>
      <t>Tutup laci Kaca S4</t>
    </r>
    <r>
      <rPr>
        <i/>
        <sz val="12"/>
        <color indexed="53"/>
        <rFont val="Times New Roman"/>
        <family val="1"/>
      </rPr>
      <t>(rakit tukang)</t>
    </r>
  </si>
  <si>
    <r>
      <t>Tutup laci Kaca S4+ram dlm</t>
    </r>
    <r>
      <rPr>
        <i/>
        <sz val="12"/>
        <color indexed="53"/>
        <rFont val="Times New Roman"/>
        <family val="1"/>
      </rPr>
      <t>(rakit tukang)</t>
    </r>
  </si>
  <si>
    <t>Tutup laci Kaca S2(rakit tukang)</t>
  </si>
  <si>
    <t>Tukang :</t>
  </si>
  <si>
    <t>VENEER_CROWN_WALNUT(V)</t>
  </si>
  <si>
    <t>Pintu Kc S4© Bv▌</t>
  </si>
  <si>
    <t>SCM_1134_XM</t>
  </si>
  <si>
    <t>Edg_EAS_1134_DO</t>
  </si>
  <si>
    <t>(pengurangan_handel_di_rakit)</t>
  </si>
  <si>
    <t>WY_5218_D(V)</t>
  </si>
  <si>
    <t>Rangka back panel│</t>
  </si>
  <si>
    <t>Rangka back panel •</t>
  </si>
  <si>
    <t>M_71001_TM(V)</t>
  </si>
  <si>
    <t>mlis_01</t>
  </si>
  <si>
    <r>
      <t xml:space="preserve">Tatakan Formatop </t>
    </r>
    <r>
      <rPr>
        <i/>
        <sz val="12"/>
        <color indexed="53"/>
        <rFont val="Times New Roman"/>
        <family val="1"/>
      </rPr>
      <t>(rakit tukang)</t>
    </r>
  </si>
  <si>
    <t>Tatakan Formatop</t>
  </si>
  <si>
    <t>Ambalan mati■</t>
  </si>
  <si>
    <t>WG_5255_D(V)</t>
  </si>
  <si>
    <t>Panel Kisi² (KS-1A.Edg)•</t>
  </si>
  <si>
    <t>Pintu Kaca (ukuran tunggu info)</t>
  </si>
  <si>
    <t>WY_4217_X(V)</t>
  </si>
  <si>
    <t>WY_4223_X(V)</t>
  </si>
  <si>
    <t>WY_1280_D(V)</t>
  </si>
  <si>
    <t>TC Mw+Disp-║H◄5'+2+│-sw3K29a-pu0h50</t>
  </si>
  <si>
    <t>FC-Ch000-tdm112K29ab-sr0a</t>
  </si>
  <si>
    <r>
      <t xml:space="preserve">Pintu Panel </t>
    </r>
    <r>
      <rPr>
        <i/>
        <sz val="12"/>
        <color rgb="FFFF0000"/>
        <rFont val="Times New Roman"/>
        <family val="1"/>
      </rPr>
      <t>(rakit tukang)</t>
    </r>
  </si>
  <si>
    <r>
      <t xml:space="preserve">Pintu Panel S2 </t>
    </r>
    <r>
      <rPr>
        <i/>
        <sz val="12"/>
        <color rgb="FFFF0000"/>
        <rFont val="Times New Roman"/>
        <family val="1"/>
      </rPr>
      <t>(rakit tukang)</t>
    </r>
  </si>
  <si>
    <r>
      <t xml:space="preserve">Pintu Panel S4 </t>
    </r>
    <r>
      <rPr>
        <i/>
        <sz val="12"/>
        <color rgb="FFFF0000"/>
        <rFont val="Times New Roman"/>
        <family val="1"/>
      </rPr>
      <t>(rakit tukang)</t>
    </r>
  </si>
  <si>
    <r>
      <t xml:space="preserve">Pintu Kaca S2 </t>
    </r>
    <r>
      <rPr>
        <i/>
        <sz val="12"/>
        <color rgb="FFFF0000"/>
        <rFont val="Times New Roman"/>
        <family val="1"/>
      </rPr>
      <t>(rakit tukang)</t>
    </r>
  </si>
  <si>
    <r>
      <t xml:space="preserve">Pintu Kaca S2 </t>
    </r>
    <r>
      <rPr>
        <i/>
        <sz val="12"/>
        <color rgb="FFFF0000"/>
        <rFont val="Times New Roman"/>
        <family val="1"/>
      </rPr>
      <t>(ram dlm)</t>
    </r>
  </si>
  <si>
    <r>
      <t xml:space="preserve">Pintu Kaca S4 </t>
    </r>
    <r>
      <rPr>
        <i/>
        <sz val="12"/>
        <color rgb="FFFF0000"/>
        <rFont val="Times New Roman"/>
        <family val="1"/>
      </rPr>
      <t>(rakit tukang)</t>
    </r>
  </si>
  <si>
    <r>
      <t xml:space="preserve">Pintu Kaca S4 </t>
    </r>
    <r>
      <rPr>
        <i/>
        <sz val="12"/>
        <color rgb="FFFF0000"/>
        <rFont val="Times New Roman"/>
        <family val="1"/>
      </rPr>
      <t>(ram dlm)</t>
    </r>
  </si>
  <si>
    <r>
      <t xml:space="preserve">Pintu nad DUCO </t>
    </r>
    <r>
      <rPr>
        <i/>
        <sz val="12"/>
        <color rgb="FFFF0000"/>
        <rFont val="Times New Roman"/>
        <family val="1"/>
      </rPr>
      <t>(rakit tukang)</t>
    </r>
  </si>
  <si>
    <r>
      <t xml:space="preserve">Tutup Laci S2 </t>
    </r>
    <r>
      <rPr>
        <i/>
        <sz val="12"/>
        <color rgb="FFFF0000"/>
        <rFont val="Times New Roman"/>
        <family val="1"/>
      </rPr>
      <t>(rakit tukang)</t>
    </r>
  </si>
  <si>
    <r>
      <t xml:space="preserve">Tutup Laci S4 </t>
    </r>
    <r>
      <rPr>
        <i/>
        <sz val="12"/>
        <color rgb="FFFF0000"/>
        <rFont val="Times New Roman"/>
        <family val="1"/>
      </rPr>
      <t>(rakit tukang)</t>
    </r>
  </si>
  <si>
    <t>Pintu Kaca S2 (rakit tukang)</t>
  </si>
  <si>
    <t>WHG_4232_G(V)</t>
  </si>
  <si>
    <t>Edg_EAW_4232_Z4</t>
  </si>
  <si>
    <t>Edg_EAW_4232_Z4(44X1)</t>
  </si>
  <si>
    <t>M_16016_003_TM(V)</t>
  </si>
  <si>
    <t>Edg_EAS_5107_D0</t>
  </si>
  <si>
    <t>SEMI CIRCULAR SHAFT T 55.889 W (T 55 000R Tip On Pinion/Syncrh</t>
  </si>
  <si>
    <t>AS_14115_CS98(V)</t>
  </si>
  <si>
    <t>Edg_DC_7L74</t>
  </si>
  <si>
    <t>Alm. 86706 ( MH-02 ) MENTAH P3</t>
  </si>
  <si>
    <t>Tutup laci tandembox Inner</t>
  </si>
  <si>
    <t>Koordinator Rekap</t>
  </si>
  <si>
    <t>SHG_1144</t>
  </si>
  <si>
    <t>Edg_EAS_1144Z5</t>
  </si>
  <si>
    <t>(ram_60)+tutup 3mm</t>
  </si>
  <si>
    <t>(ram_70)+tutup 3mm</t>
  </si>
  <si>
    <t>(ram_100)+tutup 3mm</t>
  </si>
  <si>
    <t>(ram_standar)+tutup 3mm</t>
  </si>
  <si>
    <t>WY_1289_D(V)</t>
  </si>
  <si>
    <r>
      <t xml:space="preserve">Pintu KS-1A Edging </t>
    </r>
    <r>
      <rPr>
        <i/>
        <sz val="12"/>
        <color indexed="53"/>
        <rFont val="Times New Roman"/>
        <family val="1"/>
      </rPr>
      <t>(rakit tukang)</t>
    </r>
  </si>
  <si>
    <r>
      <t xml:space="preserve">Pintu KS-1A HPL </t>
    </r>
    <r>
      <rPr>
        <i/>
        <sz val="12"/>
        <color indexed="53"/>
        <rFont val="Times New Roman"/>
        <family val="1"/>
      </rPr>
      <t>(rakit tukang)</t>
    </r>
  </si>
  <si>
    <t>Handel Kayu Rangka•</t>
  </si>
  <si>
    <r>
      <t xml:space="preserve">Plinth "MPP" DUCO </t>
    </r>
    <r>
      <rPr>
        <i/>
        <sz val="12"/>
        <color indexed="53"/>
        <rFont val="Times New Roman"/>
        <family val="1"/>
      </rPr>
      <t>(pasang lapangan)</t>
    </r>
  </si>
  <si>
    <t>tebal 18mm</t>
  </si>
  <si>
    <t>AS_14039_CY34</t>
  </si>
  <si>
    <t>a.n Paryono</t>
  </si>
  <si>
    <t>AS_14062_CY34</t>
  </si>
  <si>
    <t>Dinding Samping OS•</t>
  </si>
  <si>
    <t>Dinding Atas Bawah OS•</t>
  </si>
  <si>
    <t>Dinding Belakang OS•</t>
  </si>
  <si>
    <r>
      <t xml:space="preserve">Back Panel Kaca Rangka </t>
    </r>
    <r>
      <rPr>
        <i/>
        <sz val="12"/>
        <color indexed="53"/>
        <rFont val="Times New Roman"/>
        <family val="1"/>
      </rPr>
      <t>(+plat besi lengkung)</t>
    </r>
  </si>
  <si>
    <t>Duco</t>
  </si>
  <si>
    <t>AS_13000_CG</t>
  </si>
  <si>
    <t>AS_14097_CS16(V)</t>
  </si>
  <si>
    <t>TAS_13029_CT74</t>
  </si>
  <si>
    <t>SCM_1150_XM</t>
  </si>
  <si>
    <t>WY_4257_D(V)</t>
  </si>
  <si>
    <r>
      <t xml:space="preserve">Back Panel S2 </t>
    </r>
    <r>
      <rPr>
        <i/>
        <sz val="12"/>
        <color indexed="53"/>
        <rFont val="Times New Roman"/>
        <family val="1"/>
      </rPr>
      <t>(rakit tukang)</t>
    </r>
  </si>
  <si>
    <r>
      <t xml:space="preserve">Back Panel S4 </t>
    </r>
    <r>
      <rPr>
        <i/>
        <sz val="12"/>
        <color indexed="53"/>
        <rFont val="Times New Roman"/>
        <family val="1"/>
      </rPr>
      <t>(rakit tukang)</t>
    </r>
  </si>
  <si>
    <t>WY_4257_D(H)</t>
  </si>
  <si>
    <t>Sekat samping■</t>
  </si>
  <si>
    <r>
      <t xml:space="preserve">Meja HPL Rangka Hollow </t>
    </r>
    <r>
      <rPr>
        <i/>
        <sz val="12"/>
        <color indexed="53"/>
        <rFont val="Times New Roman"/>
        <family val="1"/>
      </rPr>
      <t>(rakit tukang)</t>
    </r>
  </si>
  <si>
    <t>(   Ade Irawan    )           ( Dedy Cahyadi )           (  Mucshon Adie S  )          ( ……….…….)         (  Ade Irawan  )</t>
  </si>
  <si>
    <t>Reza Pahlevi</t>
  </si>
  <si>
    <t>Ade Irawan</t>
  </si>
  <si>
    <t>Dedi Cahyadi</t>
  </si>
  <si>
    <t>Muchson Adie S</t>
  </si>
  <si>
    <t>Sukamto</t>
  </si>
  <si>
    <t>Yusuf Samara</t>
  </si>
  <si>
    <t>AS_14094_CY25(V)</t>
  </si>
  <si>
    <t>DXN_4330_M(V)</t>
  </si>
  <si>
    <t>Edg_EAP_5321_G2</t>
  </si>
  <si>
    <t>HST_9001_M</t>
  </si>
  <si>
    <t>Rekap</t>
  </si>
  <si>
    <t>checklist</t>
  </si>
  <si>
    <t>Dinding Atas Bawah OS ∟</t>
  </si>
  <si>
    <t>Cutting Order</t>
  </si>
  <si>
    <t>Edg_EAS_1136_D0</t>
  </si>
  <si>
    <t>Alpikord_Ebony_50.54(V)</t>
  </si>
  <si>
    <t>Edg_Taco_W802_(42x1)</t>
  </si>
  <si>
    <t>2440 X 1220 X 0.8</t>
  </si>
  <si>
    <t>pcs</t>
  </si>
  <si>
    <t>AS_14108_Cs98(V)</t>
  </si>
  <si>
    <t>Tutup laci••</t>
  </si>
  <si>
    <t>Dasar laci Pull Out•</t>
  </si>
  <si>
    <t>AS_14094_CS98(V)</t>
  </si>
  <si>
    <t>MH-08 Champagne Doff( Alm. 75289 ) P3</t>
  </si>
  <si>
    <t>ASW_13001_KN74</t>
  </si>
  <si>
    <r>
      <t xml:space="preserve">End Panel Rangka nat Duco </t>
    </r>
    <r>
      <rPr>
        <i/>
        <sz val="12"/>
        <color indexed="53"/>
        <rFont val="Times New Roman"/>
        <family val="1"/>
      </rPr>
      <t>(rakit tukang)</t>
    </r>
  </si>
  <si>
    <t>Tatakan kaca•</t>
  </si>
  <si>
    <r>
      <t xml:space="preserve">Kotak MCT </t>
    </r>
    <r>
      <rPr>
        <i/>
        <sz val="12"/>
        <color indexed="53"/>
        <rFont val="Times New Roman"/>
        <family val="1"/>
      </rPr>
      <t>(rakit tukang)</t>
    </r>
  </si>
  <si>
    <t>AS_14119_Cs98(V)</t>
  </si>
  <si>
    <t>Edg_Taco_W107</t>
  </si>
  <si>
    <t>Dinding Samping≈</t>
  </si>
  <si>
    <t>FORM ORDER Alumunium</t>
  </si>
  <si>
    <t>INA_8121_Cs16(V)</t>
  </si>
  <si>
    <t>tol_p</t>
  </si>
  <si>
    <t>toleransi panjang potongan</t>
  </si>
  <si>
    <t>hand6</t>
  </si>
  <si>
    <t>hand7</t>
  </si>
  <si>
    <t>hand8</t>
  </si>
  <si>
    <t>hand9</t>
  </si>
  <si>
    <t>hand10</t>
  </si>
  <si>
    <t>MH_01</t>
  </si>
  <si>
    <t>MH_02</t>
  </si>
  <si>
    <t>MH_03</t>
  </si>
  <si>
    <t>MH_04</t>
  </si>
  <si>
    <t>MH_05</t>
  </si>
  <si>
    <t>MH_06</t>
  </si>
  <si>
    <t>MH_07</t>
  </si>
  <si>
    <t>MH_08</t>
  </si>
  <si>
    <t>MH_09</t>
  </si>
  <si>
    <t>kabinet</t>
  </si>
  <si>
    <t>pintu</t>
  </si>
  <si>
    <t>metal</t>
  </si>
  <si>
    <t>alu</t>
  </si>
  <si>
    <t>Kc</t>
  </si>
  <si>
    <t>cat.</t>
  </si>
  <si>
    <t>minifix @</t>
  </si>
  <si>
    <t>dowel @</t>
  </si>
  <si>
    <t>Rangka back panel ..</t>
  </si>
  <si>
    <t>Engsel Sensys Full Bengkok C 16-110 DERAJAT 907 1207</t>
  </si>
  <si>
    <t>tebal cover panel/pelmet</t>
  </si>
  <si>
    <t>AS_14129_Cy33(V)</t>
  </si>
  <si>
    <t>••</t>
  </si>
  <si>
    <t>WY_4257_X(V)</t>
  </si>
  <si>
    <t>WY_4257_X(H)</t>
  </si>
  <si>
    <t>AS_14062_Cs83(V)</t>
  </si>
  <si>
    <t>AS_14062_Cs83(H)</t>
  </si>
  <si>
    <t>WY_4224_D(V)</t>
  </si>
  <si>
    <t>Edg_EAW_4224_RO</t>
  </si>
  <si>
    <t>LACI B1S3 GREY+BM</t>
  </si>
  <si>
    <t>Edg_EAW_4224_RO(44X1)</t>
  </si>
  <si>
    <t>WY_4224_D(H)</t>
  </si>
  <si>
    <t>•••</t>
  </si>
  <si>
    <t>mplt1</t>
  </si>
  <si>
    <t>mplt2</t>
  </si>
  <si>
    <t>Samping laci tiebox</t>
  </si>
  <si>
    <t>Mel.DG_4604</t>
  </si>
  <si>
    <r>
      <t xml:space="preserve">Kotak Laci "tiebox" </t>
    </r>
    <r>
      <rPr>
        <i/>
        <sz val="12"/>
        <color indexed="53"/>
        <rFont val="Times New Roman"/>
        <family val="1"/>
      </rPr>
      <t>(rakit tukang)</t>
    </r>
  </si>
  <si>
    <t>amwrd</t>
  </si>
  <si>
    <t>pengurangan lebar ambalan wardrobe</t>
  </si>
  <si>
    <t>pengurangan lebar ambalan wardrobe di dalam sekat</t>
  </si>
  <si>
    <t>amwrddlm</t>
  </si>
  <si>
    <t>amhcptr</t>
  </si>
  <si>
    <t>pengurangan lebar ambalan HC pantry</t>
  </si>
  <si>
    <t>amhcptrFlap</t>
  </si>
  <si>
    <t>pengurangan lebar ambalan HC pantry pintu flap</t>
  </si>
  <si>
    <t>amfcptr</t>
  </si>
  <si>
    <t>pengurangan lebar ambalan FC pantry</t>
  </si>
  <si>
    <t>Dasar laci tiebox</t>
  </si>
  <si>
    <t>AS_14142_Cs99(V)</t>
  </si>
  <si>
    <t>M_71028_Cs21(V)</t>
  </si>
  <si>
    <t>fr</t>
  </si>
  <si>
    <t>(handel_profil_a_1sisi_pjg)</t>
  </si>
  <si>
    <t>(handel_profil_a_1sisi_lbr)</t>
  </si>
  <si>
    <t>(handel_profil_a_2sisi_lbr)</t>
  </si>
  <si>
    <t>(handel_profil_b_1sisi_pjg)</t>
  </si>
  <si>
    <t>(handel_profil_b_1sisi_lbr)</t>
  </si>
  <si>
    <t>(handel_profil_b_2sisi_lbr)</t>
  </si>
  <si>
    <t>Dinding Samping OS••</t>
  </si>
  <si>
    <t>(u/_dinding) ; (pasang_lapangan)</t>
  </si>
  <si>
    <t>(u/_laci_grouting) ; (pasang_rakit)</t>
  </si>
  <si>
    <t xml:space="preserve"> @siku</t>
  </si>
  <si>
    <t xml:space="preserve"> @ screw</t>
  </si>
  <si>
    <t>jml siku</t>
  </si>
  <si>
    <t>jml screw</t>
  </si>
  <si>
    <t>WY_7202_D(V)</t>
  </si>
  <si>
    <t>WYA_5291_MT</t>
  </si>
  <si>
    <t>Edg_EAW_5291_L1</t>
  </si>
  <si>
    <t>Edg_EAW_5213_D1</t>
  </si>
  <si>
    <r>
      <t xml:space="preserve">Panel Plafond </t>
    </r>
    <r>
      <rPr>
        <i/>
        <sz val="12"/>
        <color indexed="53"/>
        <rFont val="Times New Roman"/>
        <family val="1"/>
      </rPr>
      <t>(rakit tukang)</t>
    </r>
  </si>
  <si>
    <r>
      <t xml:space="preserve">Panel Plafond Kisi² </t>
    </r>
    <r>
      <rPr>
        <i/>
        <sz val="12"/>
        <color indexed="53"/>
        <rFont val="Times New Roman"/>
        <family val="1"/>
      </rPr>
      <t>(rakit tukang)</t>
    </r>
  </si>
  <si>
    <t>Pintu HPL</t>
  </si>
  <si>
    <t>Tutup Laci HPL</t>
  </si>
  <si>
    <t>WY_7202_D(H)</t>
  </si>
  <si>
    <t>Panel kisi² ( ks-1a.edg)•</t>
  </si>
  <si>
    <t>Panel kisi² ( ks-1a.edg)</t>
  </si>
  <si>
    <t>WY_5240_D(V)</t>
  </si>
  <si>
    <t>AS_13009_Cs16</t>
  </si>
  <si>
    <t>Ambalan mati║</t>
  </si>
  <si>
    <t>HC∟◄-Pm┐H◄3-sw2QHP1-000</t>
  </si>
  <si>
    <t>HC∟◄-Pm000-sw2QH0-000</t>
  </si>
  <si>
    <t>HC Hood-║000-sw2QH3a-ch00</t>
  </si>
  <si>
    <t>WY_1283_D(V)</t>
  </si>
  <si>
    <t>Edg_EAW_1283_D1</t>
  </si>
  <si>
    <t>ENGSEL  sensys 8675  9073662 (overlay)</t>
  </si>
  <si>
    <t>Sekat gantung</t>
  </si>
  <si>
    <t>AS_14116_Cs98(V)</t>
  </si>
  <si>
    <t>pintu kecil</t>
  </si>
  <si>
    <t>pintu tip on</t>
  </si>
  <si>
    <t>bifold 1</t>
  </si>
  <si>
    <t>bifold 2</t>
  </si>
  <si>
    <t>blind cr</t>
  </si>
  <si>
    <t>pintu wrd</t>
  </si>
  <si>
    <t>pintu 45</t>
  </si>
  <si>
    <t>full bengkok</t>
  </si>
  <si>
    <t>pintu tebal</t>
  </si>
  <si>
    <t>pintu folding akses</t>
  </si>
  <si>
    <t>ENGSEL 9936 W45 C6</t>
  </si>
  <si>
    <t>tipe lap. u/ sisi tidak terlihat</t>
  </si>
  <si>
    <t>tipe edg. u/ sisi tidak terlihat</t>
  </si>
  <si>
    <t>ikut link spek(tipe lap.u/ sisi tidak terlihat)</t>
  </si>
  <si>
    <t>[Aica]</t>
  </si>
  <si>
    <t>G4_4892_PG</t>
  </si>
  <si>
    <t>AS_14175_KM</t>
  </si>
  <si>
    <r>
      <t xml:space="preserve">Rak Bumbu </t>
    </r>
    <r>
      <rPr>
        <i/>
        <sz val="12"/>
        <color indexed="53"/>
        <rFont val="Times New Roman"/>
        <family val="1"/>
      </rPr>
      <t>(rakit tukang)</t>
    </r>
  </si>
  <si>
    <r>
      <t xml:space="preserve">Pintu lengkung+finger groove </t>
    </r>
    <r>
      <rPr>
        <i/>
        <sz val="12"/>
        <color rgb="FFFF0000"/>
        <rFont val="Times New Roman"/>
        <family val="1"/>
      </rPr>
      <t>(rakit tukang)</t>
    </r>
  </si>
  <si>
    <t>Palang tengah/nat handel•</t>
  </si>
  <si>
    <t>Palang tengah/nat handel│</t>
  </si>
  <si>
    <t>Dummies♦</t>
  </si>
  <si>
    <t>Tatakan kisi² HPL</t>
  </si>
  <si>
    <t>Panel Kisi² (KS-1A.HPL)•</t>
  </si>
  <si>
    <r>
      <t xml:space="preserve">Tatakan Quadra+Rangka Hollow </t>
    </r>
    <r>
      <rPr>
        <i/>
        <sz val="12"/>
        <color indexed="53"/>
        <rFont val="Times New Roman"/>
        <family val="1"/>
      </rPr>
      <t>(rakit tukang)</t>
    </r>
  </si>
  <si>
    <r>
      <t xml:space="preserve">Pintu Ram+expanded metal </t>
    </r>
    <r>
      <rPr>
        <i/>
        <sz val="12"/>
        <color indexed="53"/>
        <rFont val="Times New Roman"/>
        <family val="1"/>
      </rPr>
      <t>(rakit_tukang)</t>
    </r>
  </si>
  <si>
    <t>HPL Lembaran♦</t>
  </si>
  <si>
    <t>WY_1267_D(V)</t>
  </si>
  <si>
    <t>Edg_EAW_1267D1</t>
  </si>
  <si>
    <t>Edg_AL_403B</t>
  </si>
  <si>
    <t>AL_403_B(V)</t>
  </si>
  <si>
    <t>Pintu S4•</t>
  </si>
  <si>
    <t>Pintu•</t>
  </si>
  <si>
    <t>Pintu Mati•</t>
  </si>
  <si>
    <t>Tutup laci•</t>
  </si>
  <si>
    <t>Cover Panel / Pelmet•</t>
  </si>
  <si>
    <t>End Panel•</t>
  </si>
  <si>
    <t>End Panel Kaca S2•</t>
  </si>
  <si>
    <t>Back Panel•</t>
  </si>
  <si>
    <t>EMB_2719</t>
  </si>
  <si>
    <t>WY_1281_D(H)</t>
  </si>
  <si>
    <t>WY_1281_D(V)</t>
  </si>
  <si>
    <t>Edg_TACO_S_022(42x1)</t>
  </si>
  <si>
    <t>AS_14143_Cs62(V)</t>
  </si>
  <si>
    <t>Edg_EAW_5248_RO</t>
  </si>
  <si>
    <t>DXP_1329C(V)</t>
  </si>
  <si>
    <t>Tutup laci S4 ▬</t>
  </si>
  <si>
    <t>Tutup laci S4 ▌</t>
  </si>
  <si>
    <t>FORM ORDER Alumunium (tambahan)</t>
  </si>
  <si>
    <t>Ambalan♦</t>
  </si>
  <si>
    <t>Back Panel nad duco│</t>
  </si>
  <si>
    <t>M-FRM-02 Champaigne Doff ( Alm. 75227 ) P3</t>
  </si>
  <si>
    <t>set</t>
  </si>
  <si>
    <t>►untuk proses manual</t>
  </si>
  <si>
    <t>A»</t>
  </si>
  <si>
    <t>engsel_wrd</t>
  </si>
  <si>
    <t>engsel_pantry</t>
  </si>
  <si>
    <t>Tutup blk M-Frm-07•</t>
  </si>
  <si>
    <t>Back Panel Rangka♦</t>
  </si>
  <si>
    <t>fr10</t>
  </si>
  <si>
    <t>Tutup laci Kaca S2•</t>
  </si>
  <si>
    <t>Tatakan Ram Depan MLP</t>
  </si>
  <si>
    <t>Duco(PU_White)</t>
  </si>
  <si>
    <t>Duco(PU_066-5)</t>
  </si>
  <si>
    <t>MWW_003</t>
  </si>
  <si>
    <t>MWW_004</t>
  </si>
  <si>
    <t>Edg_1685B</t>
  </si>
  <si>
    <r>
      <t xml:space="preserve">Back Panel Rangka Sibu </t>
    </r>
    <r>
      <rPr>
        <i/>
        <sz val="12"/>
        <color indexed="53"/>
        <rFont val="Times New Roman"/>
        <family val="1"/>
      </rPr>
      <t>(rakit tukang)</t>
    </r>
  </si>
  <si>
    <r>
      <t xml:space="preserve">Back Panel Rangka HPL+Kaca </t>
    </r>
    <r>
      <rPr>
        <i/>
        <sz val="12"/>
        <color indexed="53"/>
        <rFont val="Times New Roman"/>
        <family val="1"/>
      </rPr>
      <t>(rakit tukang)</t>
    </r>
  </si>
  <si>
    <t>AL01</t>
  </si>
  <si>
    <t>Edg_EAS_1103_D0</t>
  </si>
  <si>
    <t>Plinth/Uppertop•</t>
  </si>
  <si>
    <t>Plinth/Uppertop♦</t>
  </si>
  <si>
    <r>
      <t>Pintu HPL+finger groove tengah</t>
    </r>
    <r>
      <rPr>
        <i/>
        <sz val="12"/>
        <color rgb="FFFF0000"/>
        <rFont val="Times New Roman"/>
        <family val="1"/>
      </rPr>
      <t>(rakit tukang)</t>
    </r>
  </si>
  <si>
    <r>
      <t xml:space="preserve">Tutup Laci+slot kaca </t>
    </r>
    <r>
      <rPr>
        <i/>
        <sz val="12"/>
        <color rgb="FFFF0000"/>
        <rFont val="Times New Roman"/>
        <family val="1"/>
      </rPr>
      <t>(rakit tukang)</t>
    </r>
  </si>
  <si>
    <t>Siku joint</t>
  </si>
  <si>
    <r>
      <t xml:space="preserve">Pintu Akses engsel concealed </t>
    </r>
    <r>
      <rPr>
        <i/>
        <sz val="12"/>
        <color indexed="53"/>
        <rFont val="Times New Roman"/>
        <family val="1"/>
      </rPr>
      <t>(rakit tukang)</t>
    </r>
  </si>
  <si>
    <t>faktor pembagi jml minifix</t>
  </si>
  <si>
    <t>fm</t>
  </si>
  <si>
    <t>fd</t>
  </si>
  <si>
    <t>faktor pembagi jml dowel</t>
  </si>
  <si>
    <t>WY_5281_D(V)</t>
  </si>
  <si>
    <t>WY_5213_D(V)</t>
  </si>
  <si>
    <t>AS_14092_Cs98(V)</t>
  </si>
  <si>
    <t>AS_14176_Cy32</t>
  </si>
  <si>
    <t>TH_1235_FA</t>
  </si>
  <si>
    <t>(handel_profil_sebagian_1sisi_pjg_kanan)</t>
  </si>
  <si>
    <t>(handel_profil_sebagian_1sisi_pjg_kiri)</t>
  </si>
  <si>
    <t>SHG_1150</t>
  </si>
  <si>
    <t>Dinding Belakang•</t>
  </si>
  <si>
    <t>dc man</t>
  </si>
  <si>
    <t>Veneer_Muka_Surface_Silver_Ghotic</t>
  </si>
  <si>
    <r>
      <t xml:space="preserve">Top Meja Island+rangka duco </t>
    </r>
    <r>
      <rPr>
        <i/>
        <sz val="12"/>
        <color indexed="53"/>
        <rFont val="Times New Roman"/>
        <family val="1"/>
      </rPr>
      <t>(rakit tukang)</t>
    </r>
  </si>
  <si>
    <r>
      <t xml:space="preserve">Top Meja Island </t>
    </r>
    <r>
      <rPr>
        <i/>
        <sz val="12"/>
        <color indexed="53"/>
        <rFont val="Times New Roman"/>
        <family val="1"/>
      </rPr>
      <t>(coak kaca)</t>
    </r>
  </si>
  <si>
    <r>
      <t xml:space="preserve">Plinth Rangka DUCO </t>
    </r>
    <r>
      <rPr>
        <i/>
        <sz val="12"/>
        <color indexed="53"/>
        <rFont val="Times New Roman"/>
        <family val="1"/>
      </rPr>
      <t>(rakit tukang)</t>
    </r>
  </si>
  <si>
    <t>(ram_80)</t>
  </si>
  <si>
    <t>(ram_80)•</t>
  </si>
  <si>
    <t>(ram_80)+tutup 3mm</t>
  </si>
  <si>
    <t>Bob,,engsel blind yg biasa dipake 79T atau 79M ?</t>
  </si>
  <si>
    <t>PABRIK:PPIC_GURUH</t>
  </si>
  <si>
    <t>(07/30(Tue)PM03:30)</t>
  </si>
  <si>
    <t>&gt;(ReplyTo PABRIK:Rakit_Reza 07/30(Sel)PM03:28)</t>
  </si>
  <si>
    <t>yg dipakai,,info guruh 7/30/2024</t>
  </si>
  <si>
    <r>
      <t xml:space="preserve">Pintu lengkung </t>
    </r>
    <r>
      <rPr>
        <i/>
        <sz val="12"/>
        <color rgb="FFFF0000"/>
        <rFont val="Times New Roman"/>
        <family val="1"/>
      </rPr>
      <t>(rakit tukang)</t>
    </r>
  </si>
  <si>
    <t>DWK_3126_AT(V)</t>
  </si>
  <si>
    <t>(alur_M_lis)</t>
  </si>
  <si>
    <r>
      <t xml:space="preserve">Back Panel lengkung KS-1A HPL </t>
    </r>
    <r>
      <rPr>
        <i/>
        <sz val="12"/>
        <color indexed="53"/>
        <rFont val="Times New Roman"/>
        <family val="1"/>
      </rPr>
      <t>(rakit tukang)</t>
    </r>
  </si>
  <si>
    <t>HPL Aica 1311</t>
  </si>
  <si>
    <t>Lbr</t>
  </si>
  <si>
    <t>Ply lantrex HB 41130 -11 + Aica</t>
  </si>
  <si>
    <t>Ply lantrex HB 41130 -11 2mk</t>
  </si>
  <si>
    <t>Ply lantrex HB 41130 2mk</t>
  </si>
  <si>
    <t>Ply lantrex HB 41130 + Aica</t>
  </si>
  <si>
    <t>Ply lantrex C001 2mk</t>
  </si>
  <si>
    <t>Ply lantrex C001 + Aica</t>
  </si>
  <si>
    <t>Ply lantrex aica 2mk</t>
  </si>
  <si>
    <t>Ply lantrex Mocca+Aica</t>
  </si>
  <si>
    <t>Ply lantrex Mocca 2mk</t>
  </si>
  <si>
    <t>Ply lantrex Mocca+GS 1</t>
  </si>
  <si>
    <t>Ply lantrex Polos</t>
  </si>
  <si>
    <t>Ply lantrex Aica 1mk</t>
  </si>
  <si>
    <t>Ply lantrex Polos u Duco</t>
  </si>
  <si>
    <t>Ply Duco 24mm 1sisi</t>
  </si>
  <si>
    <t>Ply Duco</t>
  </si>
  <si>
    <t>Ply Duco 24mm 2sisi</t>
  </si>
  <si>
    <t>Ply Duco 18mm 1sisi</t>
  </si>
  <si>
    <t>Ply Duco 18mm 2sisi</t>
  </si>
  <si>
    <t>Ply Duco 15mm 2sisi</t>
  </si>
  <si>
    <t>Ply Duco 15mm 1sisi</t>
  </si>
  <si>
    <t>Ply Duco 13mm 2sisi</t>
  </si>
  <si>
    <t>Ply Duco 13mm 1sisi</t>
  </si>
  <si>
    <t>Ply Duco 12mm 1sisi</t>
  </si>
  <si>
    <t>Ply Duco 12mm 2sisi</t>
  </si>
  <si>
    <t>Ply Duco 9mm 1sisi</t>
  </si>
  <si>
    <t>Ply Duco 9mm 2sisi</t>
  </si>
  <si>
    <t>Ply Duco 6mm 1sisi</t>
  </si>
  <si>
    <t>Ply Duco 6mm 2sisi</t>
  </si>
  <si>
    <t>Ply Duco 3mm 1sisi</t>
  </si>
  <si>
    <t>Ply Duco 3mm 2sisi</t>
  </si>
  <si>
    <t>paket_al01</t>
  </si>
  <si>
    <t>paket_hmr_polos</t>
  </si>
  <si>
    <t>paket_mdf_hb41130</t>
  </si>
  <si>
    <t>paket_mdf_polos</t>
  </si>
  <si>
    <t>paket_mfs203</t>
  </si>
  <si>
    <t>paket_mm002</t>
  </si>
  <si>
    <t>paket_mww003</t>
  </si>
  <si>
    <t>paket_mww004</t>
  </si>
  <si>
    <t>paket_ply_aica</t>
  </si>
  <si>
    <t>paket_ply_C001</t>
  </si>
  <si>
    <t>paket_ply_duco</t>
  </si>
  <si>
    <t>paket_ply_hb41130</t>
  </si>
  <si>
    <t>paket_ply_lantrex_C001</t>
  </si>
  <si>
    <t>paket_ply_lantrex_hb41130</t>
  </si>
  <si>
    <t>paket_ply_lantrex_M41130</t>
  </si>
  <si>
    <t>paket_ply_lantrex_polos</t>
  </si>
  <si>
    <t>paket_ply_lantrex_polos_duco</t>
  </si>
  <si>
    <t>paket_ply_m41130</t>
  </si>
  <si>
    <t>paket_ply_polos</t>
  </si>
  <si>
    <t>paket_ply_polos_duco</t>
  </si>
  <si>
    <t>paket_plyhmr_1mk</t>
  </si>
  <si>
    <t>paket_plyhmr_2mk</t>
  </si>
  <si>
    <t>paket_UPVC_polos</t>
  </si>
  <si>
    <t>paket_UPVC_polos_duco</t>
  </si>
  <si>
    <t>Ply 18 mm HPL HB 41130 1 mk</t>
  </si>
  <si>
    <t>Ply HB 41130 1mk</t>
  </si>
  <si>
    <t>REKAPITULASI PEMAKAIAN BAHAN (KS)</t>
  </si>
  <si>
    <t>REKAPITULASI PEMAKAIAN BAHAN (non KS)</t>
  </si>
  <si>
    <t>Penahan Cermin</t>
  </si>
  <si>
    <t>Panel Top•</t>
  </si>
  <si>
    <t>Panel Top♦</t>
  </si>
  <si>
    <t>MM_002</t>
  </si>
  <si>
    <t>Edg_EAW_5242_RO</t>
  </si>
  <si>
    <t>Edg_EAW_5242_RO(44X1)</t>
  </si>
  <si>
    <t>WY_5242_D(V)</t>
  </si>
  <si>
    <t>DXP_1393_MD</t>
  </si>
  <si>
    <t>Pintu Kc Frameless</t>
  </si>
  <si>
    <t>Engsel kaca harfit ES SG-26 KACA SLOW MOTION 26 MM FULL OVERLAY</t>
  </si>
  <si>
    <t>AS_14055_Cs98(V)</t>
  </si>
  <si>
    <r>
      <t>Pintu HPL+finger groove profil</t>
    </r>
    <r>
      <rPr>
        <i/>
        <sz val="12"/>
        <color rgb="FFFF0000"/>
        <rFont val="Times New Roman"/>
        <family val="1"/>
      </rPr>
      <t>(rakit tukang)</t>
    </r>
  </si>
  <si>
    <t>SCM_1135_XM</t>
  </si>
  <si>
    <t>Edg_EAS_1135_D0</t>
  </si>
  <si>
    <t>Edg_EAS_5129_D0</t>
  </si>
  <si>
    <t>M_71010_Cs99(V)</t>
  </si>
  <si>
    <t>M-PLT-01 Mocha Doff ( Alm. 75256 ) P3</t>
  </si>
  <si>
    <t>Pintu MLP Panel ▬</t>
  </si>
  <si>
    <t>Pintu MLP Kaca ▬</t>
  </si>
  <si>
    <t>Tutup laci MLP ▬</t>
  </si>
  <si>
    <r>
      <t xml:space="preserve">Tatakan Granit/Marmer+Rangka Hollow </t>
    </r>
    <r>
      <rPr>
        <i/>
        <sz val="12"/>
        <color indexed="53"/>
        <rFont val="Times New Roman"/>
        <family val="1"/>
      </rPr>
      <t>(rakit tukang)</t>
    </r>
  </si>
  <si>
    <t>SCA_1124_D</t>
  </si>
  <si>
    <t>TAS_13019_CT74</t>
  </si>
  <si>
    <t>WVB_5567</t>
  </si>
  <si>
    <t>Edg_Taco_W200</t>
  </si>
  <si>
    <t>WY_1286_D(V)</t>
  </si>
  <si>
    <t>DXP_1392_MD</t>
  </si>
  <si>
    <t>Edg_EAP_1392_CO</t>
  </si>
  <si>
    <t>Edg_EAW_1286_D1</t>
  </si>
  <si>
    <t>tube_meter</t>
  </si>
  <si>
    <t>jumlah linear meter sealant per tube</t>
  </si>
  <si>
    <t>(ks)</t>
  </si>
  <si>
    <t>─</t>
  </si>
  <si>
    <t>?</t>
  </si>
  <si>
    <t>DWE_9021_L(V)</t>
  </si>
  <si>
    <t>Edg_EAW_5248_RO(44X1)</t>
  </si>
  <si>
    <t>Pintu •▌</t>
  </si>
  <si>
    <t>[ks]</t>
  </si>
  <si>
    <t>frame alu</t>
  </si>
  <si>
    <t>ALUM TYPE 75227 P 6000 SILVER</t>
  </si>
  <si>
    <t>AL - FRAME 02    75113</t>
  </si>
  <si>
    <t>205250</t>
  </si>
  <si>
    <t>ALM 75227 CA 1 PJ.3  MTR MOCHA GLOSS</t>
  </si>
  <si>
    <t>205257</t>
  </si>
  <si>
    <t>ALM 75227 CA 1 PJ.3  MTR BLACK GLOSS</t>
  </si>
  <si>
    <t>205258</t>
  </si>
  <si>
    <t>ALM 75227 CA 1 PJ.3  MTR COKLAT GLOSS</t>
  </si>
  <si>
    <t>ALM 75227 CA 1 PJ.3  MTR MOCCA DOFF</t>
  </si>
  <si>
    <t>ALM 75227 CA 1 PJ.3  MTR BLACK DOFF</t>
  </si>
  <si>
    <t>ALM 75227 CA 1 PJ.3  MTR COKLAT DOFF</t>
  </si>
  <si>
    <t>ALUM TYPE 75229 P. 6000 SILVER</t>
  </si>
  <si>
    <t>AL - FRAME 03    75115</t>
  </si>
  <si>
    <t>205252</t>
  </si>
  <si>
    <t>ALM 75229 CA 1 PJ.3  MTR MOCHA GLOSS</t>
  </si>
  <si>
    <t>205261</t>
  </si>
  <si>
    <t>ALM 75229 CA 1 PJ.3  MTR BLACK GLOSS</t>
  </si>
  <si>
    <t>205262</t>
  </si>
  <si>
    <t>ALM 75229 CA 1 PJ.3  MTR COKLAT GLOSS</t>
  </si>
  <si>
    <t>ALM 75229 CA 1 PJ.3  MTR MOCCA DOFF</t>
  </si>
  <si>
    <t>ALM 75229 CA 1 PJ.3  MTR BLACK DOFF</t>
  </si>
  <si>
    <t>ALM 75229 CA 1 PJ.3  MTR COKLAT DOFF</t>
  </si>
  <si>
    <t>ALUM TYPE 75228 P. 6000 SILVER</t>
  </si>
  <si>
    <t>AL - FRAME 04    75151</t>
  </si>
  <si>
    <t>205251</t>
  </si>
  <si>
    <t>ALM 75228 CA 1 PJ.3  MTR MOCHA GLOSS</t>
  </si>
  <si>
    <t>205259</t>
  </si>
  <si>
    <t>ALM 75228 CA 1 PJ.3  MTR BLACK GLOSS</t>
  </si>
  <si>
    <t>205260</t>
  </si>
  <si>
    <t>ALM 75228 CA 1 PJ.3  MTR COKLAT GLOSS</t>
  </si>
  <si>
    <t>ALM 75228 CA 1 PJ.3  MTR MOCCA DOFF</t>
  </si>
  <si>
    <t>ALM 75228 CA 1 PJ.3  MTR BLACK DOFF</t>
  </si>
  <si>
    <t>ALM 75228 CA 1 PJ.3  MTR COKLAT DOFF</t>
  </si>
  <si>
    <t>ALUM TYPE 75226 P.6000 SILVER</t>
  </si>
  <si>
    <t xml:space="preserve">NON HANDLE </t>
  </si>
  <si>
    <t>ALUM TYPE 75226 P.2500 SILVER</t>
  </si>
  <si>
    <t>205249</t>
  </si>
  <si>
    <t>ALM 75226 CA 1 PJ.3  MTR MOCHA GLOSS</t>
  </si>
  <si>
    <t>205255</t>
  </si>
  <si>
    <t>ALM 75226 CA 1 PJ.3  MTR BLACK GLOSS</t>
  </si>
  <si>
    <t>205256</t>
  </si>
  <si>
    <t>ALM 75226 CA 1 PJ.3  MTR COKLAT GLOSS</t>
  </si>
  <si>
    <t>ALM 75226 CA 1 PJ.2.5  MTR COKLAT GLOSS</t>
  </si>
  <si>
    <t>ALM 75226 CA 1 PJ.3  MTR MOCCA DOFF</t>
  </si>
  <si>
    <t>ALM 75226 CA 1 PJ.3  MTR BLACK DOFF</t>
  </si>
  <si>
    <t>ALM 75226 CA 1 PJ.3  MTR COKLAT DOFF</t>
  </si>
  <si>
    <t>ALUM TYPE 75225 (TUTUP PROFIL) P. 6000</t>
  </si>
  <si>
    <t>TUTUP</t>
  </si>
  <si>
    <t>205211</t>
  </si>
  <si>
    <t>ALM 75225 CA 1 PJ.3 MTR SILVER</t>
  </si>
  <si>
    <t>TUTUP PROFIL</t>
  </si>
  <si>
    <t>205248</t>
  </si>
  <si>
    <t>ALM 75225 CA 1 PJ.3  MTR MOCHA GLOSS</t>
  </si>
  <si>
    <t>205253</t>
  </si>
  <si>
    <t>ALM 75225 CA 1 PJ.3  MTR BLACK GLOSS</t>
  </si>
  <si>
    <t>205254</t>
  </si>
  <si>
    <t>ALM 75225 CA 1 PJ.3  MTR MOCCA DOFF</t>
  </si>
  <si>
    <t>ALM 75225 CA 1 PJ.3  MTR BLACK DOFF</t>
  </si>
  <si>
    <t>ALM 75225 CA 1 PJ.3  MTR COKLAT DOFF</t>
  </si>
  <si>
    <t>ALUM TYPE 75283 P. 6000 SILVER</t>
  </si>
  <si>
    <t xml:space="preserve">FRAME 05    </t>
  </si>
  <si>
    <t>205284</t>
  </si>
  <si>
    <t>ALM CA 1 75283 R PJ 3 MTR BLACK</t>
  </si>
  <si>
    <t>205285</t>
  </si>
  <si>
    <t>ALM CA 1 75283 R PJ 3 MTR BROWN</t>
  </si>
  <si>
    <t>205286</t>
  </si>
  <si>
    <t>ALM CA 1 75283 R PJ 3 MTR MOCHA</t>
  </si>
  <si>
    <t>205287</t>
  </si>
  <si>
    <t>ALM CA 1 75284 R PJ 3 mtr BLACK</t>
  </si>
  <si>
    <t xml:space="preserve">NON HANDLE FRAME 05    </t>
  </si>
  <si>
    <t>205288</t>
  </si>
  <si>
    <t>ALM CA 1 75284 R PJ 3 mtr BROWN</t>
  </si>
  <si>
    <t>205289</t>
  </si>
  <si>
    <t>ALM CA 1 75284 R PJ 3 mtr MOCHA</t>
  </si>
  <si>
    <t>ALUM TYPE 75284 P.6000 SILVER</t>
  </si>
  <si>
    <t>PLAT BESI bracket (U/FRAME AL 05)</t>
  </si>
  <si>
    <t>SIKU FRAME 05</t>
  </si>
  <si>
    <t>205688</t>
  </si>
  <si>
    <t>SCREW JF 4X10</t>
  </si>
  <si>
    <t>SCRUF JF 4 X 10</t>
  </si>
  <si>
    <t xml:space="preserve">ALUM TYPE 75288 P. 3000 SILVER </t>
  </si>
  <si>
    <t xml:space="preserve">FRAME 06    </t>
  </si>
  <si>
    <t>ALM CA 1 75288 R PJ 3 MTR BLACK GLOSSY</t>
  </si>
  <si>
    <t>ALM CA 1 75288 R PJ 3 MTR BROWN GLOSSY</t>
  </si>
  <si>
    <t>ALM CA 1 75288 R PJ 3 MTR MOCHA GLOSSY</t>
  </si>
  <si>
    <t>SCRUF JF 4 X 6</t>
  </si>
  <si>
    <t>205743</t>
  </si>
  <si>
    <t>PLAT BESI SIKU 2.9 MM (U/FRAME AL)</t>
  </si>
  <si>
    <t>SIKU FRAME</t>
  </si>
  <si>
    <t>205034</t>
  </si>
  <si>
    <t>ALM FRM SQUARE CHANNEL 41316 25.4X12.7X2MM</t>
  </si>
  <si>
    <t>MULLION DALAM SILVER  41316</t>
  </si>
  <si>
    <t>205266</t>
  </si>
  <si>
    <t>ALM FRM SQUARE CHANNEL 41316 BLACK GLOSS</t>
  </si>
  <si>
    <t>MULLION DALAM BLACK  41316</t>
  </si>
  <si>
    <t>205267</t>
  </si>
  <si>
    <t>ALM FRM SQUARE CHANNEL 41316 COKLAT GLOSS</t>
  </si>
  <si>
    <t>MULLION DALAM COKLAT  41316</t>
  </si>
  <si>
    <t>205268</t>
  </si>
  <si>
    <t>ALM FRM SQUARE CHANNEL 41316 MOCHA GLOSS</t>
  </si>
  <si>
    <t>MULLION DALAM MOCCA  41316</t>
  </si>
  <si>
    <t>205033</t>
  </si>
  <si>
    <t>ALM FRM 75114 P.6M F CA1</t>
  </si>
  <si>
    <t>MULLION LUAR         75114</t>
  </si>
  <si>
    <t>ALM FRM 75114 P.3M F CA1 BLACK GLOSS</t>
  </si>
  <si>
    <t>MULLION LUAR BLACK 75114</t>
  </si>
  <si>
    <t>ALM FRM 75114 P.3M F CA1 COKLAT GLOSS</t>
  </si>
  <si>
    <t>MULLION LUAR COKLAT 75114</t>
  </si>
  <si>
    <t>ALM FRM 75114 P.3M F CA1 MOCCA GLOSS</t>
  </si>
  <si>
    <t>MULLION LUAR MOCCA 75114</t>
  </si>
  <si>
    <t>205516</t>
  </si>
  <si>
    <t>WD 40</t>
  </si>
  <si>
    <t>205697</t>
  </si>
  <si>
    <t>ALM 75109 P.3 MTR M-SHF-01/02 SILVER</t>
  </si>
  <si>
    <t>MSHF 04      75109</t>
  </si>
  <si>
    <t>205160</t>
  </si>
  <si>
    <t>ALUMUNIUM MF 75109 P.3 MTR BLACK</t>
  </si>
  <si>
    <t>205161</t>
  </si>
  <si>
    <t>ALUMUNIUM MF 75109 P.3 MTR COKLAT</t>
  </si>
  <si>
    <t>205162</t>
  </si>
  <si>
    <t>ALUMUNIUM MF 75109 P.3 MTR MOCHA</t>
  </si>
  <si>
    <t>205683</t>
  </si>
  <si>
    <t xml:space="preserve">BRACKET ALM 25X25X4.7 + SCRUP          </t>
  </si>
  <si>
    <t>SIKU MSHF 04</t>
  </si>
  <si>
    <t>205529</t>
  </si>
  <si>
    <t>SCREW 6X3/8</t>
  </si>
  <si>
    <t>SCRUF 6 X 3/8</t>
  </si>
  <si>
    <t>205092</t>
  </si>
  <si>
    <t>Alum YKK MF 9K-86599 P.3 MTR SILVER</t>
  </si>
  <si>
    <t xml:space="preserve">LIGHTING 01 </t>
  </si>
  <si>
    <t>205175</t>
  </si>
  <si>
    <t>ALUMUNIUM MF 86599 P.3 MTR BLACK</t>
  </si>
  <si>
    <t>205176</t>
  </si>
  <si>
    <t>ALUMUNIUM MF 86599 P.3 MTR COKLAT</t>
  </si>
  <si>
    <t>205177</t>
  </si>
  <si>
    <t>ALUMUNIUM MF 86599 P.3 MTR MOCHA</t>
  </si>
  <si>
    <t>205536</t>
  </si>
  <si>
    <t>SCREW JF 5X10</t>
  </si>
  <si>
    <t>SCRUF GFSS 5 X 10</t>
  </si>
  <si>
    <t>205755</t>
  </si>
  <si>
    <t xml:space="preserve">SIKU JOINT LIGHTING SHELF 35 MM           </t>
  </si>
  <si>
    <t>SIKU LS 01</t>
  </si>
  <si>
    <t>LAMPU LED PHILIPS 13 W 120CM PUTIH</t>
  </si>
  <si>
    <t>LAMPU LED PHILIPS 13 W 120CM KUNING</t>
  </si>
  <si>
    <t>LAMPU LED PHILIPS 7 W 60CM PUTIH</t>
  </si>
  <si>
    <t>LAMPU LED PHILIPS 7 W 60CM KUNING</t>
  </si>
  <si>
    <t>LAMPU LED PHILIPS 4 W 30CM PUTIH</t>
  </si>
  <si>
    <t>LAMPU LED PHILIPS 4 W 30CM KUNING</t>
  </si>
  <si>
    <t>SOCKET LAMPU MINISTRIP</t>
  </si>
  <si>
    <t>308020</t>
  </si>
  <si>
    <t xml:space="preserve">LAMPU T5 8W SINAR KUNING                  </t>
  </si>
  <si>
    <t>LAMPU T5 8 W         KUNING</t>
  </si>
  <si>
    <t>308043</t>
  </si>
  <si>
    <t xml:space="preserve">LAMPU T5 14W 2700 K KUNING      </t>
  </si>
  <si>
    <t>LAMPU T5 14 W       KUNING</t>
  </si>
  <si>
    <t>308046</t>
  </si>
  <si>
    <t>LAMPU T5 14W 6400 K PTH</t>
  </si>
  <si>
    <t>LAMPU T5 14 W       PUTIH</t>
  </si>
  <si>
    <t>308015</t>
  </si>
  <si>
    <t>LAMPU T5 21 W 90 CM PUTIH</t>
  </si>
  <si>
    <t>LAMPU T5 21 W       PUTIH</t>
  </si>
  <si>
    <t>308024</t>
  </si>
  <si>
    <t xml:space="preserve">LAMPU T5 21W SINAR KUNING                </t>
  </si>
  <si>
    <t>LAMPU T5 21 W       KUNING</t>
  </si>
  <si>
    <t>205059</t>
  </si>
  <si>
    <t>ALM 10321/906003 P.3 MTR</t>
  </si>
  <si>
    <t xml:space="preserve">LIGHTING 02 </t>
  </si>
  <si>
    <t>205187</t>
  </si>
  <si>
    <t>ALUMUNIUM MF 10321 P.3 MTR BLACK</t>
  </si>
  <si>
    <t>205189</t>
  </si>
  <si>
    <t>ALUMUNIUM MF 10321 P.3 MTR MOCHA</t>
  </si>
  <si>
    <t>205128</t>
  </si>
  <si>
    <t>ALM 10321/906003 P. 3 MTR (COKLAT)</t>
  </si>
  <si>
    <t>205744</t>
  </si>
  <si>
    <t>SCREW JF 5X12</t>
  </si>
  <si>
    <t>SCRUF  5 X 12</t>
  </si>
  <si>
    <t>205754</t>
  </si>
  <si>
    <t xml:space="preserve">SIKU JOINT LIGHTING SHELF 28 MM          </t>
  </si>
  <si>
    <t>SIKU LS 02</t>
  </si>
  <si>
    <t>TUTUP LS 02 A COAK KANAN ACRY ABU-ABU</t>
  </si>
  <si>
    <t>TUTUP LS 02 A COAK KIRI ACRY ABU-ABU</t>
  </si>
  <si>
    <t>306727</t>
  </si>
  <si>
    <t>TUTUP LS 02 B KOTAK ACRY ABU-ABU</t>
  </si>
  <si>
    <t>TUTUP AKRILIC KOTAK</t>
  </si>
  <si>
    <t xml:space="preserve">LIST GLASS 14X12 l=1000mm PVC SRP 3606 </t>
  </si>
  <si>
    <t>list glass u/ ls 02</t>
  </si>
  <si>
    <t>Sclim Silver  4,1 dan 2,3 mtr</t>
  </si>
  <si>
    <t>ANODYZED ALUM BAR W/PROTECTION</t>
  </si>
  <si>
    <t>Body</t>
  </si>
  <si>
    <t>RAW ALUM REINFORCE CROSS BAR</t>
  </si>
  <si>
    <t>mullion</t>
  </si>
  <si>
    <t>GREY CORNER PROTECTION FOR PROFIL</t>
  </si>
  <si>
    <t>per pintu 4</t>
  </si>
  <si>
    <t>siku sclim mdf hijau 60 x 60 x 12</t>
  </si>
  <si>
    <t>JOINT FOR CROSS BAR</t>
  </si>
  <si>
    <t>sesuai kebutuhan</t>
  </si>
  <si>
    <t>per pintu 8</t>
  </si>
  <si>
    <t>sclim  metric  [ frame 07 ]</t>
  </si>
  <si>
    <t>ALUM TYPE 75355 P 3000</t>
  </si>
  <si>
    <t>Body KIRI KANAN + ATAS BAWAH</t>
  </si>
  <si>
    <t>ALUM TYPE 75354 P 3000</t>
  </si>
  <si>
    <t>PLAT SIKU 29mm joint frame</t>
  </si>
  <si>
    <t>plat alum pin join mulion</t>
  </si>
  <si>
    <t xml:space="preserve">screw jf 4x6 </t>
  </si>
  <si>
    <t>CAP GREY CORNER</t>
  </si>
  <si>
    <t>fr11</t>
  </si>
  <si>
    <t>fr12</t>
  </si>
  <si>
    <t>fr13</t>
  </si>
  <si>
    <t>fr14</t>
  </si>
  <si>
    <t>fr type 11</t>
  </si>
  <si>
    <t>fr type 12</t>
  </si>
  <si>
    <t>fr type 13</t>
  </si>
  <si>
    <t>fr type 14</t>
  </si>
  <si>
    <t>mullion M Frm 07</t>
  </si>
  <si>
    <t>mulion_m_frm_07</t>
  </si>
  <si>
    <t>(mullion_dlm_V)</t>
  </si>
  <si>
    <t>(mullion_dlm_H)</t>
  </si>
  <si>
    <t>(mullion_dlm_H•)</t>
  </si>
  <si>
    <t>(mullion_dlm07_V)</t>
  </si>
  <si>
    <t>(mullion_dlm07_H)</t>
  </si>
  <si>
    <t>(mullion_dlm07_H•)</t>
  </si>
  <si>
    <t>Tutup laci nad duco•</t>
  </si>
  <si>
    <t>PROFIL TYPE AR 52  MDF HIJAU UK.2440x51x25</t>
  </si>
  <si>
    <t>AR_52</t>
  </si>
  <si>
    <t>Ratim Riyanto</t>
  </si>
  <si>
    <t>Lembar ( putih ) : Purchasing. /             Lembar ( kuning ) : PPIC.   /         Lembar ( Hijau ) : Gudang./           Lembar  ( merah ):Ybs.</t>
  </si>
  <si>
    <t xml:space="preserve">KOORDINATOR              KA. RAKIT              KA.PPIC           KA./ WAKA PABRIK          KA.FAB KACA.             PURCHASING   </t>
  </si>
  <si>
    <t>DISERAHKAN :             DIKETAHUI :           DIKETAHUI :           DI SETUJUI :               DI TERIMA :               DI TERIMA :</t>
  </si>
  <si>
    <t>Ambalan LS-01</t>
  </si>
  <si>
    <t>Ambalan LS-02A</t>
  </si>
  <si>
    <t>Ambalan LS-02B</t>
  </si>
  <si>
    <t>M_71009_CS21(V)</t>
  </si>
  <si>
    <t>2440 X 350 X 0.8</t>
  </si>
  <si>
    <t>Ambalan M-shf-04</t>
  </si>
  <si>
    <t>List Kaca Mocha Doff ( Alm. 6600/6599 ) P2.8</t>
  </si>
  <si>
    <t>MH-09 B Mocha Doff ( Alm. MF 75303 R ) P3</t>
  </si>
  <si>
    <t>kaca polos</t>
  </si>
  <si>
    <t>cermin polos</t>
  </si>
  <si>
    <t>alt</t>
  </si>
  <si>
    <t>bahan7</t>
  </si>
  <si>
    <t>bahan8</t>
  </si>
  <si>
    <t>Bahan Kabinet 7</t>
  </si>
  <si>
    <t>Bahan Kabinet 8</t>
  </si>
  <si>
    <t>►Dept.Kaca</t>
  </si>
  <si>
    <t>►Dept.Rakit</t>
  </si>
  <si>
    <t>Kaca_</t>
  </si>
  <si>
    <t>Kaca,,</t>
  </si>
  <si>
    <t>(ram_lis_kaca)</t>
  </si>
  <si>
    <t>Kaca»</t>
  </si>
  <si>
    <t>(u/_mshf) ; (pasang_rakit)</t>
  </si>
  <si>
    <t>k¢</t>
  </si>
  <si>
    <t>fr,</t>
  </si>
  <si>
    <t>Pintu(fr)</t>
  </si>
  <si>
    <t>Pintu(fr) 02▬</t>
  </si>
  <si>
    <t>Pintu(fr) 02▌</t>
  </si>
  <si>
    <t>Pintu(fr) 03▬</t>
  </si>
  <si>
    <t>Pintu(fr) 03▌</t>
  </si>
  <si>
    <t>Pintu(fr) 07</t>
  </si>
  <si>
    <t>Pintu(fr) 05▌</t>
  </si>
  <si>
    <t>Tutup Laci(fr) 07</t>
  </si>
  <si>
    <t>Ply Bending</t>
  </si>
  <si>
    <t>MH-08 Champagne Gloss ( Alm. 75289 ) P3</t>
  </si>
  <si>
    <t>u/ dinding &amp; amb.formatop</t>
  </si>
  <si>
    <t>warna . . . (untuk gloss/doff disamakan dengan ketersediaan plinth)</t>
  </si>
  <si>
    <t>M-SHF-01/02 Mocha Gloss  ( Alm. 75109 ) P3</t>
  </si>
  <si>
    <t>Cermin-</t>
  </si>
  <si>
    <t>Cermin_</t>
  </si>
  <si>
    <t>Kaca-</t>
  </si>
  <si>
    <t>Kaca Bv»</t>
  </si>
  <si>
    <t>Kaca Bv-</t>
  </si>
  <si>
    <t>Cermin Bv-</t>
  </si>
  <si>
    <t>Grey_Tinted</t>
  </si>
  <si>
    <t>Edg_Taco_119_AA</t>
  </si>
  <si>
    <t>Edg_Taco_119_AA(42X1)</t>
  </si>
  <si>
    <t>Rangka back panel ♦</t>
  </si>
  <si>
    <t>Dinding Samping•</t>
  </si>
  <si>
    <t>Dinding Atas Bawah•</t>
  </si>
  <si>
    <t>cermin u/ bp</t>
  </si>
  <si>
    <t>kaca7</t>
  </si>
  <si>
    <t>ATS_1165M</t>
  </si>
  <si>
    <t>WY_1271_D(V)</t>
  </si>
  <si>
    <t>Edg_EAW_1271_D1</t>
  </si>
  <si>
    <t>Edg_EAW_1279_E1</t>
  </si>
  <si>
    <t>Edg_EAW_1271_D1(44X1)</t>
  </si>
  <si>
    <t>Edg_EAW_1279_E1(44X1)</t>
  </si>
  <si>
    <t>Edg_EAW_1281_D1(44X1)</t>
  </si>
  <si>
    <t>Edg_EAW_4244_H1(44X1)</t>
  </si>
  <si>
    <t>Edg_EAW_4251_D1(44X1)</t>
  </si>
  <si>
    <t>Edg_EAW_1257_RO(44X1)</t>
  </si>
  <si>
    <t>Edg_EMS_1165_U0</t>
  </si>
  <si>
    <t>Pintu Pocket Door (HPL)</t>
  </si>
  <si>
    <t>MB_056_DN.74(V)</t>
  </si>
  <si>
    <t>YAS_14094_CP98(V)</t>
  </si>
  <si>
    <t>AK_14041_KM</t>
  </si>
  <si>
    <r>
      <t xml:space="preserve">Top Table HPL Rangka </t>
    </r>
    <r>
      <rPr>
        <i/>
        <sz val="12"/>
        <color indexed="53"/>
        <rFont val="Times New Roman"/>
        <family val="1"/>
      </rPr>
      <t>(rakit tukang)</t>
    </r>
  </si>
  <si>
    <t>Edg_2073_B(29X1)</t>
  </si>
  <si>
    <t>Edg_EAS_1155_DO</t>
  </si>
  <si>
    <t>Edg_EAW_4256_R1</t>
  </si>
  <si>
    <t>Edg_EAW_4256_R1(44X1)</t>
  </si>
  <si>
    <t>u/ gas</t>
  </si>
  <si>
    <t>Kaca♦</t>
  </si>
  <si>
    <t>M-FRM-02 Silver Gloss ( Alm. 75227 ) P3</t>
  </si>
  <si>
    <t>M-FRM-03 Silver Gloss ( Alm. 75229 ) P3</t>
  </si>
  <si>
    <t>M-FRM Body Silver ( Alm. 75226 ) P2.8</t>
  </si>
  <si>
    <t>M-FRM Tutup Belakang Silver ( Alm. 75225 ) P3</t>
  </si>
  <si>
    <t>WY_4256_X(V)</t>
  </si>
  <si>
    <t>#N/A</t>
  </si>
  <si>
    <t>BON PERMINTAAN PEMBELIAN (Rework)</t>
  </si>
  <si>
    <t>ASW_13002_KM</t>
  </si>
  <si>
    <t>►Mulyana</t>
  </si>
  <si>
    <t>PT PANEL ASRI PERKASA</t>
  </si>
  <si>
    <t>JL.ARTERI PONDOK INDAH NO.10-10A</t>
  </si>
  <si>
    <t>JAKARTA 12240,INDONESIA</t>
  </si>
  <si>
    <t>PHONE :[021] 7291520,7293308</t>
  </si>
  <si>
    <t>FAX : [ 021]77293301</t>
  </si>
  <si>
    <t>NAMA PROY</t>
  </si>
  <si>
    <t>No.Surat Jalan             :</t>
  </si>
  <si>
    <t>HARI / TGL KIRIM    :</t>
  </si>
  <si>
    <t>ALAMAT</t>
  </si>
  <si>
    <t>Dept.Kaca</t>
  </si>
  <si>
    <t>SOPIR                         :</t>
  </si>
  <si>
    <t>UKURAN</t>
  </si>
  <si>
    <t>chek pengirim</t>
  </si>
  <si>
    <t>chek penerima</t>
  </si>
  <si>
    <t>ada</t>
  </si>
  <si>
    <t>tdk ada</t>
  </si>
  <si>
    <t>Ukuran Awal</t>
  </si>
  <si>
    <t>jasa potong ; di paskan dengan scilm;  gbr terlampir</t>
  </si>
  <si>
    <t>1936 x 447 x 5</t>
  </si>
  <si>
    <t>Ukuran Jadi</t>
  </si>
  <si>
    <t>751 x 447 x 5</t>
  </si>
  <si>
    <t>633 x 447 x 5</t>
  </si>
  <si>
    <t>552 x 98 x 5</t>
  </si>
  <si>
    <t>DIBUAT :            DISETUJUI :          DIKIRIM :           DIPERIKSA :               DIKETAHUI :               DI TERIMA :</t>
  </si>
  <si>
    <t xml:space="preserve">Koord.Rakit          KA. RAKIT              SOPIR                Pet.QC                                                      DEPT.KACA   </t>
  </si>
  <si>
    <t>WY_4263_X(V)</t>
  </si>
  <si>
    <t>EDG_EAW_4263_XO</t>
  </si>
  <si>
    <t>EDG_EAW_4263_XO(44X1)</t>
  </si>
  <si>
    <t>Cermin♦</t>
  </si>
  <si>
    <t>Edg_EAW_5244_DO(44X1)</t>
  </si>
  <si>
    <t>Edg_EAW_5244_DO</t>
  </si>
  <si>
    <t>AS_14117_Cs98(H)</t>
  </si>
  <si>
    <t>Dinding Atas Bawah OS••</t>
  </si>
  <si>
    <t>Veneer_Santos_Rosewood(V)</t>
  </si>
  <si>
    <t>Veneer_Santos_Rosewood(H)</t>
  </si>
  <si>
    <t>Pintu Veneer</t>
  </si>
  <si>
    <t>(u/_S2) ; (pasang_rakit)</t>
  </si>
  <si>
    <t>(u/_S4) ; (pasang_rakit)</t>
  </si>
  <si>
    <t>(u/_frame) ; (pasang_rakit)</t>
  </si>
  <si>
    <t>(u/_scilm) ; (pasang_rakit)</t>
  </si>
  <si>
    <t>Cover Panel / Pelmet♦</t>
  </si>
  <si>
    <t>Dinding Atas Bawah OS║</t>
  </si>
  <si>
    <t>Klos Engsel Pocket Door</t>
  </si>
  <si>
    <t>AS_14067_Cs21(V)</t>
  </si>
  <si>
    <t>AS_14067_Cs21(H)</t>
  </si>
  <si>
    <t>M_71010_Cs21(V)</t>
  </si>
  <si>
    <t>Ambalan hidup OS♦</t>
  </si>
  <si>
    <t>BON PERMINTAAN PEMBELIAN (Kerja+)</t>
  </si>
  <si>
    <t>Pintu HPL+handel MH</t>
  </si>
  <si>
    <t>Tutup Laci HPL+handel MH</t>
  </si>
  <si>
    <t>Pintu Veneer+handel MH</t>
  </si>
  <si>
    <r>
      <t xml:space="preserve">End Panel Revego Uno </t>
    </r>
    <r>
      <rPr>
        <i/>
        <sz val="12"/>
        <color indexed="53"/>
        <rFont val="Times New Roman"/>
        <family val="1"/>
      </rPr>
      <t>(rakit tukang)</t>
    </r>
  </si>
  <si>
    <r>
      <t xml:space="preserve">End Panel Revego Duo </t>
    </r>
    <r>
      <rPr>
        <i/>
        <sz val="12"/>
        <color indexed="53"/>
        <rFont val="Times New Roman"/>
        <family val="1"/>
      </rPr>
      <t>(rakit tukang)</t>
    </r>
  </si>
  <si>
    <r>
      <t xml:space="preserve">Panel Atas Revego </t>
    </r>
    <r>
      <rPr>
        <i/>
        <sz val="12"/>
        <color indexed="53"/>
        <rFont val="Times New Roman"/>
        <family val="1"/>
      </rPr>
      <t>(rakit tukang)</t>
    </r>
  </si>
  <si>
    <r>
      <t xml:space="preserve">Dinding Atas ∟ </t>
    </r>
    <r>
      <rPr>
        <i/>
        <sz val="12"/>
        <color indexed="53"/>
        <rFont val="Times New Roman"/>
        <family val="1"/>
      </rPr>
      <t>(rakit tukang)</t>
    </r>
  </si>
  <si>
    <t>AS_14012_Cs62(V)</t>
  </si>
  <si>
    <t>TH_5011_NT(V)</t>
  </si>
  <si>
    <t>Kaca Polos 2 mm</t>
  </si>
  <si>
    <t>1220 x 860 x 2 mm</t>
  </si>
  <si>
    <t>Kaca Polos 3 mm</t>
  </si>
  <si>
    <t>1828.8 x 1219.2 x 3 mm</t>
  </si>
  <si>
    <t xml:space="preserve">Kaca Polos 3 mm </t>
  </si>
  <si>
    <t>1524 x 1220 x 3 mm</t>
  </si>
  <si>
    <t>Kaca Polos 4 mm</t>
  </si>
  <si>
    <t>1830 x 1220 x 4 mm</t>
  </si>
  <si>
    <t>3048 x 2133.6 x 5 mm</t>
  </si>
  <si>
    <t xml:space="preserve">Kaca Polos 5 mm </t>
  </si>
  <si>
    <t>3660 x 2440 x 5 mm</t>
  </si>
  <si>
    <t>Kaca Polos 6 mm</t>
  </si>
  <si>
    <t>3048 x 2133.6 x 6 mm</t>
  </si>
  <si>
    <t>Kaca Polos 8 mm</t>
  </si>
  <si>
    <t>2440 x 1830 x 8 mm</t>
  </si>
  <si>
    <t>3048 x 2133.6 x 8 mm</t>
  </si>
  <si>
    <t>3660 x 2440 x 8 mm</t>
  </si>
  <si>
    <t>Kaca Polos 10 mm</t>
  </si>
  <si>
    <t>2440 x 1830 x 10 mm</t>
  </si>
  <si>
    <t xml:space="preserve">Kaca Polos 10 mm </t>
  </si>
  <si>
    <t>3048 x 2133.6 x 10 mm</t>
  </si>
  <si>
    <t xml:space="preserve">Kaca Polos 10 mm  </t>
  </si>
  <si>
    <t>3660 x 2440 x 10 mm</t>
  </si>
  <si>
    <t xml:space="preserve">Kaca Polos 15 mm </t>
  </si>
  <si>
    <t>3660 x 2440 x 15 mm</t>
  </si>
  <si>
    <t>Diamond Clear 5 mm</t>
  </si>
  <si>
    <t>3300 x 2134 x 5 mm</t>
  </si>
  <si>
    <t xml:space="preserve">Diamond Clear 5 mm </t>
  </si>
  <si>
    <t>3300 x 2140 x 5 mm</t>
  </si>
  <si>
    <t xml:space="preserve">Diamond Clear 5 mm  </t>
  </si>
  <si>
    <t>3210 x 2550 x 5 mm</t>
  </si>
  <si>
    <t>Super Clear 5 mm</t>
  </si>
  <si>
    <t xml:space="preserve">Super Clear 5 mm </t>
  </si>
  <si>
    <t>3300 x 2550 x 5 mm</t>
  </si>
  <si>
    <t xml:space="preserve">Super Clear 5 mm  </t>
  </si>
  <si>
    <t>3660 x 2134 x 5 mm</t>
  </si>
  <si>
    <t>Extra Clear 5 mm</t>
  </si>
  <si>
    <t>3660 x 2140 x 5 mm</t>
  </si>
  <si>
    <t>Extra Clear 6 mm</t>
  </si>
  <si>
    <t>3660 x 2134 x 6 mm</t>
  </si>
  <si>
    <t xml:space="preserve">Extra Clear 6 mm </t>
  </si>
  <si>
    <t>3660 x 2140 x 6 mm</t>
  </si>
  <si>
    <t>Extra Clear 8 mm</t>
  </si>
  <si>
    <t>3660 x 2134 x 8 mm</t>
  </si>
  <si>
    <t xml:space="preserve">Extra Clear 8 mm </t>
  </si>
  <si>
    <t>3660 x 2140 x 8 mm</t>
  </si>
  <si>
    <t>2438.4 x 1828.8 x 5 mm</t>
  </si>
  <si>
    <t xml:space="preserve">Cermin Polos Clear 5mm   </t>
  </si>
  <si>
    <t>Grey Tinted Mirror 5 mm</t>
  </si>
  <si>
    <t>3210 x 2134 x 5 mm</t>
  </si>
  <si>
    <t>Stopsol Dark Grey 5 mm</t>
  </si>
  <si>
    <t>1830 x 1220 x 5 mm</t>
  </si>
  <si>
    <t xml:space="preserve">Stopsol Dark Grey 5 mm </t>
  </si>
  <si>
    <t>2440 x 1830 x 5 mm</t>
  </si>
  <si>
    <t>Stopsol Super Silver Dark Grey 5 mm</t>
  </si>
  <si>
    <t>Riben Dark Grey 5 mm</t>
  </si>
  <si>
    <t>3048 x 2134 x 5 mm</t>
  </si>
  <si>
    <t>Riben Dark Grey 8 mm</t>
  </si>
  <si>
    <t>Cermin Bronze 5 mm</t>
  </si>
  <si>
    <t>Kaca Bronze 5 mm</t>
  </si>
  <si>
    <t>3048 x 2550 x 5 mm</t>
  </si>
  <si>
    <t>3050 x 2440 x 5 mm</t>
  </si>
  <si>
    <t>Kaca Bronze 8 mm</t>
  </si>
  <si>
    <t>Acid Bronze 5 mm</t>
  </si>
  <si>
    <t xml:space="preserve">Acid Bronze 5 mm </t>
  </si>
  <si>
    <t>Acid Bronze G2 5 mm</t>
  </si>
  <si>
    <t>3250 x 2080 x 5 mm</t>
  </si>
  <si>
    <t xml:space="preserve">Acid Bronze G2 5 mm </t>
  </si>
  <si>
    <t xml:space="preserve">Acid Bronze G2 5 mm  </t>
  </si>
  <si>
    <t>3610 x 2080 x 5 mm</t>
  </si>
  <si>
    <t>Acid Clear 5 mm</t>
  </si>
  <si>
    <t xml:space="preserve">Acid Clear 5 mm </t>
  </si>
  <si>
    <t>Acid Clear G2 5 mm</t>
  </si>
  <si>
    <t xml:space="preserve">Acid Clear G2 5 mm </t>
  </si>
  <si>
    <t>Acid Grey G2 5 mm</t>
  </si>
  <si>
    <t>3302 x 2134 x 5 mm</t>
  </si>
  <si>
    <t>Acid Mirror Clear 5 mm</t>
  </si>
  <si>
    <t>Acid Mirror Bronze 5 mm</t>
  </si>
  <si>
    <t xml:space="preserve">Acid Mirror Bronze 5 mm </t>
  </si>
  <si>
    <t>Acid Mirror Grey 5 mm</t>
  </si>
  <si>
    <t>Lacobel Pure White 5 mm</t>
  </si>
  <si>
    <t>3210 x 2250 x 5 mm</t>
  </si>
  <si>
    <t xml:space="preserve">Lacobel Pure White 5 mm </t>
  </si>
  <si>
    <t xml:space="preserve">Lacobel Pure White 5 mm  </t>
  </si>
  <si>
    <t>Lacobel Pure White 6 mm</t>
  </si>
  <si>
    <t>3210 x 2250 x 6 mm</t>
  </si>
  <si>
    <t>Lacobel Soft White 5 mm</t>
  </si>
  <si>
    <t>3210 x 2440 x 5 mm</t>
  </si>
  <si>
    <t xml:space="preserve">Euro Grey 5 mm   </t>
  </si>
  <si>
    <t>Euro Grey 8 mm</t>
  </si>
  <si>
    <t>3210 x 2134 x 8 mm</t>
  </si>
  <si>
    <t>3210 x 2440 x 8 mm</t>
  </si>
  <si>
    <t>Kaca One Way 5 mm</t>
  </si>
  <si>
    <t xml:space="preserve">Kaca Polos Sandblast Full 5 mm </t>
  </si>
  <si>
    <t>3048 x 1067 x 5 mm</t>
  </si>
  <si>
    <t>Kaca Polos Sandblast Full 8 mm</t>
  </si>
  <si>
    <t>Kaca Gallera 5 mm</t>
  </si>
  <si>
    <t>2400 x 1800 x 5 mm</t>
  </si>
  <si>
    <t>Kaca Fillia 5 mm</t>
  </si>
  <si>
    <t>Kaca Linea 5 mm</t>
  </si>
  <si>
    <t>Kaca Valsa 5 mm</t>
  </si>
  <si>
    <t>Kaca Moru 5 mm</t>
  </si>
  <si>
    <t>2134 x 1830 x 5 mm</t>
  </si>
  <si>
    <t>2440 x 2000 x 5 mm</t>
  </si>
  <si>
    <t>Kaca Floria 5 mm</t>
  </si>
  <si>
    <t>Kaca Rainfall 5 mm</t>
  </si>
  <si>
    <t xml:space="preserve">Kaca Rainfall 5 mm </t>
  </si>
  <si>
    <t>2134 x 1219 x 5 mm</t>
  </si>
  <si>
    <t>Kaca Pinstripe 5 mm</t>
  </si>
  <si>
    <t>2438 x 1828 x 5 mm</t>
  </si>
  <si>
    <t xml:space="preserve">Kaca Pinstripe 5 mm </t>
  </si>
  <si>
    <t>Kaca Aqualite 5 mm</t>
  </si>
  <si>
    <t xml:space="preserve">Kaca Aqualite 5 mm </t>
  </si>
  <si>
    <t>Kaca Dania Milenium 5 mm</t>
  </si>
  <si>
    <t>Bolaro Silver Glass 5 mm</t>
  </si>
  <si>
    <t>3048 x 1065 x 5 mm</t>
  </si>
  <si>
    <t>Cermin Painting Ring Silver 5 mm</t>
  </si>
  <si>
    <t>2240 x 1065 x 5 mm</t>
  </si>
  <si>
    <t xml:space="preserve">Cermin Painting Ring Silver 5 mm </t>
  </si>
  <si>
    <t xml:space="preserve">Cermin Painting Ring Silver 5 mm  </t>
  </si>
  <si>
    <t>Cermin Painting Ring Bronze 5 mm</t>
  </si>
  <si>
    <t>Fancy Bronze Mirror Esmeralda 5 mm</t>
  </si>
  <si>
    <t>2000 x 1500 x 5 mm</t>
  </si>
  <si>
    <t xml:space="preserve">Fancy Bronze Mirror Esmeralda 5 mm </t>
  </si>
  <si>
    <t xml:space="preserve">Fancy Bronze Mirror Esmeralda 5 mm  </t>
  </si>
  <si>
    <t>Fancy Silver Mirror Esmeralda 5 mm</t>
  </si>
  <si>
    <t>Fancy Grey Mirror Esmeralda 5 mm</t>
  </si>
  <si>
    <t>Fancy Carrol 5 mm</t>
  </si>
  <si>
    <t>Kaca Niagara 5 mm</t>
  </si>
  <si>
    <t>Antique Mirror Bronze 5 mm</t>
  </si>
  <si>
    <t>Antique Mirror Grey 5 mm</t>
  </si>
  <si>
    <t>Metalic Gold 5 mm</t>
  </si>
  <si>
    <t>Mirromax Titanium 5 mm</t>
  </si>
  <si>
    <t>3050 x 1830 x 5 mm</t>
  </si>
  <si>
    <t>Mirromax Red 5 mm</t>
  </si>
  <si>
    <t>Mirromax Gold 5 mm</t>
  </si>
  <si>
    <t>Mirromax Blue 5 mm</t>
  </si>
  <si>
    <t>Mirromax Bronze 5 mm</t>
  </si>
  <si>
    <t>Mirromax Arte Brunn 5 mm</t>
  </si>
  <si>
    <t>Mirromax Purple 5 mm</t>
  </si>
  <si>
    <t>TG Ivory 5 mm</t>
  </si>
  <si>
    <t>TG SKY Blue 5 mm</t>
  </si>
  <si>
    <t>TG Chocolate 5 mm</t>
  </si>
  <si>
    <t>TG Yellowish Green 5 mm</t>
  </si>
  <si>
    <t>TG Metalic Silver 5 mm</t>
  </si>
  <si>
    <t>TG Metalic SKY Blue 5 mm</t>
  </si>
  <si>
    <t>TG Maroon 5 mm</t>
  </si>
  <si>
    <t>TG Brown 5 mm</t>
  </si>
  <si>
    <t>TG SKY Green 5 mm</t>
  </si>
  <si>
    <t>TG Ungu 5 mm</t>
  </si>
  <si>
    <t>TG Yellow 5 mm</t>
  </si>
  <si>
    <t>TG Dark Grey 5 mm</t>
  </si>
  <si>
    <t>TG Tiffany Blue 5 mm</t>
  </si>
  <si>
    <t>TG Light Grey 5 mm</t>
  </si>
  <si>
    <t>TG Blue 5 mm</t>
  </si>
  <si>
    <t>TG Metalic Gold 5 mm</t>
  </si>
  <si>
    <t>TG Natural Brown 5 mm</t>
  </si>
  <si>
    <t>TG Brown Muda 5 mm</t>
  </si>
  <si>
    <t>Glasstone Pure White 5 mm</t>
  </si>
  <si>
    <t>Glasstone Mono White 5 mm</t>
  </si>
  <si>
    <t>Glasstone Mono Super White 5 mm</t>
  </si>
  <si>
    <t>Glasstone Mono Black 5 mm</t>
  </si>
  <si>
    <t>Glasstone White 5 mm</t>
  </si>
  <si>
    <t>Glasstone Super White 5 mm</t>
  </si>
  <si>
    <t>Glasstone Black 5 mm</t>
  </si>
  <si>
    <t>Glasstone Red 5 mm</t>
  </si>
  <si>
    <t xml:space="preserve">Glasstone Red 5 mm </t>
  </si>
  <si>
    <t>Glasstone Yellow 5 mm</t>
  </si>
  <si>
    <t>Glasstone Orange 5 mm</t>
  </si>
  <si>
    <t>Glasstone Blue 5 mm</t>
  </si>
  <si>
    <t>Glasstone Light Grey 5 mm</t>
  </si>
  <si>
    <t>Glasstone Matte White 5 mm</t>
  </si>
  <si>
    <t>Glasstone Matte Super White 5 mm</t>
  </si>
  <si>
    <t>Glasstone Matte Black 5 mm</t>
  </si>
  <si>
    <t>Glasstone Matte Bronze 5 mm</t>
  </si>
  <si>
    <t xml:space="preserve">Glasstone Matte Bronze 5 mm  </t>
  </si>
  <si>
    <t>Glasstone Matte Grey 5 mm</t>
  </si>
  <si>
    <t xml:space="preserve">Guardian Ultra Mirror 5 mm   </t>
  </si>
  <si>
    <t>Guardian Ultra Mirror Euro Bronze 5 mm</t>
  </si>
  <si>
    <t>3050 x 2134 x 5 mm</t>
  </si>
  <si>
    <t xml:space="preserve">Guardian Ultra Mirror Euro Bronze 5 mm </t>
  </si>
  <si>
    <t>DWK_3163_AT(V)</t>
  </si>
  <si>
    <t>DWK_3163_AT(H)</t>
  </si>
  <si>
    <t>HP_1501_XA(V)</t>
  </si>
  <si>
    <t>Tutup laci♦</t>
  </si>
  <si>
    <t>Tutup laci•▬</t>
  </si>
  <si>
    <t>Tutup laci S2♦</t>
  </si>
  <si>
    <t>Pintu♦</t>
  </si>
  <si>
    <t>Pintu S2♦</t>
  </si>
  <si>
    <t>ASW_13003_KM</t>
  </si>
  <si>
    <t>u/ frame alu/kaca tembus</t>
  </si>
  <si>
    <t>u/ pintu/laci /tidak tembus</t>
  </si>
  <si>
    <t>u/ pintu/laci alt.2/tidak tembus</t>
  </si>
  <si>
    <t>AS_13033_Cn74</t>
  </si>
  <si>
    <t>WYA_5284_MT(V)</t>
  </si>
  <si>
    <t>Edg_EAW_5284_L1</t>
  </si>
  <si>
    <t>Edg_EAW_5284_L1(44X1)</t>
  </si>
  <si>
    <t>HP_1504XA</t>
  </si>
  <si>
    <t>Edg_DEW_03126</t>
  </si>
  <si>
    <t>Edg_EAW_4219_T1</t>
  </si>
  <si>
    <t>Edg_EAW_4219_T1(44x1)</t>
  </si>
  <si>
    <r>
      <t xml:space="preserve">End Panel Finger Groove 45º modif+alur duco </t>
    </r>
    <r>
      <rPr>
        <i/>
        <sz val="12"/>
        <color indexed="53"/>
        <rFont val="Times New Roman"/>
        <family val="1"/>
      </rPr>
      <t>(rakit tukang)</t>
    </r>
  </si>
  <si>
    <t>Depth laci tandem blum 300</t>
  </si>
  <si>
    <t>D_tdm_30</t>
  </si>
  <si>
    <t>AS_14059_CS22</t>
  </si>
  <si>
    <t>Edg_Taco_W355</t>
  </si>
  <si>
    <t>Edg_EAW_5249_RO</t>
  </si>
  <si>
    <t>Edg_EAW_5249_RO(44X1)</t>
  </si>
  <si>
    <t>AS_14013_Cs62(V)</t>
  </si>
  <si>
    <t>AK_14129_Cs16(V)</t>
  </si>
  <si>
    <t>560H3000 B rel tandem blum full ext int 300</t>
  </si>
  <si>
    <t>CUTTING ORDER (KS)</t>
  </si>
  <si>
    <t>CUTTING ORDER (Non KS)</t>
  </si>
  <si>
    <t>End Panel│</t>
  </si>
  <si>
    <t>End Panel ■■</t>
  </si>
  <si>
    <t>End Panel••</t>
  </si>
  <si>
    <t>End Panel ◘◘</t>
  </si>
  <si>
    <t>HP_1502_XA(V)</t>
  </si>
  <si>
    <r>
      <t>Dummies Rangka Duco</t>
    </r>
    <r>
      <rPr>
        <i/>
        <sz val="12"/>
        <color indexed="53"/>
        <rFont val="Times New Roman"/>
        <family val="1"/>
      </rPr>
      <t xml:space="preserve"> (rakit tukang)</t>
    </r>
  </si>
  <si>
    <t>Pintu nad duco│</t>
  </si>
  <si>
    <t>Pintu nad duco•</t>
  </si>
  <si>
    <t xml:space="preserve"> u/ Witono</t>
  </si>
  <si>
    <t>( u/ Witono</t>
  </si>
  <si>
    <t xml:space="preserve"> u/ tukang</t>
  </si>
  <si>
    <t>WY_1244_D(V)</t>
  </si>
  <si>
    <t>Edg_EAW_1244_RO</t>
  </si>
  <si>
    <t>Edg_EAW_1244_RO(44X1)</t>
  </si>
  <si>
    <t>Edg _ABS_76264_(45X1,3)</t>
  </si>
  <si>
    <r>
      <t xml:space="preserve">Ambalan HPL+ST36 </t>
    </r>
    <r>
      <rPr>
        <i/>
        <sz val="12"/>
        <color indexed="53"/>
        <rFont val="Times New Roman"/>
        <family val="1"/>
      </rPr>
      <t>(rakit tukang)</t>
    </r>
  </si>
  <si>
    <t>Panel Plafond</t>
  </si>
  <si>
    <t>Panel Plafond│</t>
  </si>
  <si>
    <t>Edg_EAS_1104_DO</t>
  </si>
  <si>
    <t>Edg_EAW_5260_R1(44X1)</t>
  </si>
  <si>
    <t>TH_014_AA</t>
  </si>
  <si>
    <t>EDG_TACO_014_AA</t>
  </si>
  <si>
    <t>EDG_TACO_014_AA(42X1)</t>
  </si>
  <si>
    <r>
      <t xml:space="preserve">Kotak Assesories </t>
    </r>
    <r>
      <rPr>
        <i/>
        <sz val="12"/>
        <color indexed="53"/>
        <rFont val="Times New Roman"/>
        <family val="1"/>
      </rPr>
      <t>(rakit tukang)</t>
    </r>
  </si>
  <si>
    <t>DXP_5357_XM</t>
  </si>
  <si>
    <t>DXO_1337_D</t>
  </si>
  <si>
    <t>Edg_EAP_1337_DO</t>
  </si>
  <si>
    <t>Edg_EAP_5357_M0</t>
  </si>
  <si>
    <t>MODES 262.47.021 MODULAR 13 HAFELLE</t>
  </si>
  <si>
    <t>MODES 262.47.987 SCREW HAFELLE</t>
  </si>
  <si>
    <t>DSK_7770_SM</t>
  </si>
  <si>
    <t>Panel Kisi² (KS-1A.Edg)♦</t>
  </si>
  <si>
    <t>Panel kisi² ( ks-1a.edg)♦</t>
  </si>
  <si>
    <r>
      <t xml:space="preserve">Back Panel Kaca Rangka </t>
    </r>
    <r>
      <rPr>
        <i/>
        <sz val="12"/>
        <color indexed="53"/>
        <rFont val="Times New Roman"/>
        <family val="1"/>
      </rPr>
      <t>(trim kll lengkung)</t>
    </r>
  </si>
  <si>
    <t>Tatakan Ram Depan MLP•</t>
  </si>
  <si>
    <t>REKAPITULASI PEMAKAIAN BAHAN (K+ u/ didahulukan)</t>
  </si>
  <si>
    <t>Pintu/Panel Rangka Manual</t>
  </si>
  <si>
    <t>Dasar laci merivobox</t>
  </si>
  <si>
    <t>Palang blk merivobox</t>
  </si>
  <si>
    <t>Pengurangan panjang palang merivobox</t>
  </si>
  <si>
    <t>Pengurangan panjang dasar merivobox</t>
  </si>
  <si>
    <t>merivo_palang</t>
  </si>
  <si>
    <t>merivo_dasar</t>
  </si>
  <si>
    <t>minimal tinggi ruang Merivobox S1</t>
  </si>
  <si>
    <t>minimal tinggi ruang Merivobox S4</t>
  </si>
  <si>
    <t>minimal tinggi ruang Merivobox S4XL</t>
  </si>
  <si>
    <t>minimal tinggi ruang Merivobox S2</t>
  </si>
  <si>
    <t>T_min_merivo_S1</t>
  </si>
  <si>
    <t>T_min_merivo_S2</t>
  </si>
  <si>
    <t>T_min_merivo_S4</t>
  </si>
  <si>
    <t>M</t>
  </si>
  <si>
    <t>T_min_merivo_S4XL</t>
  </si>
  <si>
    <t>Lbr_dasar_merivobox</t>
  </si>
  <si>
    <t>Lebar/depth dasar laci merivobox</t>
  </si>
  <si>
    <t>Lbr_palang_blk_merivo_S1</t>
  </si>
  <si>
    <t>Lebar palang belakang merivobox S1</t>
  </si>
  <si>
    <t>Lbr_palang_blk_merivo_I3</t>
  </si>
  <si>
    <t>Lebar palang belakang merivobox I3</t>
  </si>
  <si>
    <t>Lbr_palang_blk_merivo_S2</t>
  </si>
  <si>
    <t>Lebar palang belakang merivobox S2</t>
  </si>
  <si>
    <t>Lbr_palang_blk_merivo_I6</t>
  </si>
  <si>
    <t>Lebar palang belakang merivobox I6</t>
  </si>
  <si>
    <t>Lbr_palang_blk_merivo_S4</t>
  </si>
  <si>
    <t>Lebar palang belakang merivobox S4</t>
  </si>
  <si>
    <t>Lbr_palang_blk_merivo_S4XL</t>
  </si>
  <si>
    <t>Lebar palang belakang merivobox S4XL</t>
  </si>
  <si>
    <t>K?</t>
  </si>
  <si>
    <t>SCM_1132_XM</t>
  </si>
  <si>
    <r>
      <t xml:space="preserve">Dasar Laci Pull Out </t>
    </r>
    <r>
      <rPr>
        <i/>
        <sz val="12"/>
        <color indexed="53"/>
        <rFont val="Times New Roman"/>
        <family val="1"/>
      </rPr>
      <t>(rakit tukang)</t>
    </r>
  </si>
  <si>
    <t>Dasar Laci Pull Out (rakit tukang)</t>
  </si>
  <si>
    <t>19/28</t>
  </si>
  <si>
    <t>Pintu S2 •▌</t>
  </si>
  <si>
    <t>id</t>
  </si>
  <si>
    <t>MERIVOBOX MVX S1 SW 500 40 BM</t>
  </si>
  <si>
    <t>merivobox</t>
  </si>
  <si>
    <t>MERIVOBOX MVX S4 SW 500 70 BM</t>
  </si>
  <si>
    <t>MERIVOBOX MVX i3 SW 500 40 BM</t>
  </si>
  <si>
    <t>MERIVOBOX MVX S2 SW 500 70 BM</t>
  </si>
  <si>
    <t>/panel</t>
  </si>
  <si>
    <t>M³</t>
  </si>
  <si>
    <t>WY_1248_D(H)</t>
  </si>
  <si>
    <t>Dasar laci tiebox│</t>
  </si>
  <si>
    <t>Dasar laci tiebox•</t>
  </si>
  <si>
    <r>
      <t xml:space="preserve">Pintu MLP Kaca kombinasi Panel </t>
    </r>
    <r>
      <rPr>
        <i/>
        <sz val="12"/>
        <color indexed="53"/>
        <rFont val="Times New Roman"/>
        <family val="1"/>
      </rPr>
      <t>(rakit_tukang)</t>
    </r>
  </si>
  <si>
    <r>
      <t xml:space="preserve">Pintu MLP Kaca kisi² kombinasi Panel </t>
    </r>
    <r>
      <rPr>
        <i/>
        <sz val="12"/>
        <color indexed="53"/>
        <rFont val="Times New Roman"/>
        <family val="1"/>
      </rPr>
      <t>(rakit_tukang)</t>
    </r>
  </si>
  <si>
    <t>SHG_1091</t>
  </si>
  <si>
    <t>PLAT BESI SIKU 2 MM (U/FRAME AL)</t>
  </si>
  <si>
    <t>Edg_EAW_4257_XO</t>
  </si>
  <si>
    <t>Edg_EAW_4257_XO(44X1)</t>
  </si>
  <si>
    <r>
      <t xml:space="preserve">End Panel Pocket Door Exedra </t>
    </r>
    <r>
      <rPr>
        <i/>
        <sz val="12"/>
        <color indexed="53"/>
        <rFont val="Times New Roman"/>
        <family val="1"/>
      </rPr>
      <t>(rakit tukang)</t>
    </r>
  </si>
  <si>
    <t>Edg_SF_K099_(46X1)</t>
  </si>
  <si>
    <t>Edg_EAW_5217_D2(44X1)</t>
  </si>
  <si>
    <t>Edg_EAW_5232_D1</t>
  </si>
  <si>
    <t>Edg_EAW_5232_D1(44X1)</t>
  </si>
  <si>
    <t>Edg_EAW_5259_R1(44X1)</t>
  </si>
  <si>
    <t>Edg_EAW_5278_E1(44X1)</t>
  </si>
  <si>
    <t>Edg_EAW_5289_L1</t>
  </si>
  <si>
    <t>Edg_EAW_5289_L1(44X1)</t>
  </si>
  <si>
    <t>Edg_EAW_5290_L1</t>
  </si>
  <si>
    <t>Edg_EAW_4223_XO(44X1)</t>
  </si>
  <si>
    <t>Edg_EAW_1280_D1(44X1)</t>
  </si>
  <si>
    <t>Edg_EAW_5281_R1</t>
  </si>
  <si>
    <t>Edg_EAW_5281_R1(44X1)</t>
  </si>
  <si>
    <t>Edg_A1066_TH14(55X1)</t>
  </si>
  <si>
    <t>Edg_EAS_5101_D0</t>
  </si>
  <si>
    <t>Edg_EAW_5292_D(44X1)</t>
  </si>
  <si>
    <t>Edg_EAW_4222_XO</t>
  </si>
  <si>
    <t>Edg_Décor_1684_B</t>
  </si>
  <si>
    <t>Edg_Décor_1684_B(55x1)</t>
  </si>
  <si>
    <t>Edg_TACO_009_AA</t>
  </si>
  <si>
    <t>Edg_EAP_1354_Z6</t>
  </si>
  <si>
    <t>Edg_EAW_1206_R1</t>
  </si>
  <si>
    <t>Edg_EAP_1369_JO</t>
  </si>
  <si>
    <t>Edg_EAW_5239_S1</t>
  </si>
  <si>
    <t>Edg_EAW_5239_S1(44x1)</t>
  </si>
  <si>
    <t>Edg_EAW_4232_XO</t>
  </si>
  <si>
    <t>Edg_EAW_5243_R0</t>
  </si>
  <si>
    <t>Edg_EAW_5243_R0(44X1)</t>
  </si>
  <si>
    <t>Edg_EAW_5218_D1</t>
  </si>
  <si>
    <t>Edg_EAW_5255_D1</t>
  </si>
  <si>
    <t>Edg_EAW_5255_D1(44x1)</t>
  </si>
  <si>
    <t>Edg_EAW_4217_T1</t>
  </si>
  <si>
    <t>Edg_EAW_4217_T1(44X1)</t>
  </si>
  <si>
    <t>Edg_DC_7L74_(46X1)</t>
  </si>
  <si>
    <t>Edg_EAW_1246_RO(44X1)</t>
  </si>
  <si>
    <t>Edg_EAW_1246_RO</t>
  </si>
  <si>
    <t>Edg_EAW_1289_R1</t>
  </si>
  <si>
    <t>Edg_EAW_4257_R1</t>
  </si>
  <si>
    <t>Edg_EAW 4257_R1(45X1)</t>
  </si>
  <si>
    <t>Edg_EAW_1265_D1</t>
  </si>
  <si>
    <t>Edg_EAW_4254_XO(44X1)</t>
  </si>
  <si>
    <t>Edg_EAW_4229_TO(44x1)</t>
  </si>
  <si>
    <t xml:space="preserve">Edg_EAW_4229_TO </t>
  </si>
  <si>
    <t>Edg_TACO_003_G</t>
  </si>
  <si>
    <t>Edg_TACO_003_G(42X1)</t>
  </si>
  <si>
    <t>Edg_TACO_918_W(42X1)</t>
  </si>
  <si>
    <t>Edg_EAW_5260_R1</t>
  </si>
  <si>
    <t>PCA_1113_S</t>
  </si>
  <si>
    <t>PCA_1117_S</t>
  </si>
  <si>
    <t>PCA_1141_S</t>
  </si>
  <si>
    <t>PCA_5107_S</t>
  </si>
  <si>
    <t>SCA_1103_D</t>
  </si>
  <si>
    <t>SCA_1104_D</t>
  </si>
  <si>
    <t>SCA_1109_D</t>
  </si>
  <si>
    <t>SCA_1132_D</t>
  </si>
  <si>
    <t>SCA_1135_D</t>
  </si>
  <si>
    <t>SCA_1136_D</t>
  </si>
  <si>
    <t>SCA_1141_D</t>
  </si>
  <si>
    <t>SCA_5101_D</t>
  </si>
  <si>
    <t>SCA_5102_D</t>
  </si>
  <si>
    <t>SCA_5107_D</t>
  </si>
  <si>
    <t>SCA_5128_D</t>
  </si>
  <si>
    <t>SCA_5129_D</t>
  </si>
  <si>
    <t>SCX_1150_D</t>
  </si>
  <si>
    <t>SCX_1155_D</t>
  </si>
  <si>
    <t>SCX_1172_D</t>
  </si>
  <si>
    <t>TAS_14097_Ct16(V)</t>
  </si>
  <si>
    <t>VAS_13701_K</t>
  </si>
  <si>
    <t>VAS_13702_K</t>
  </si>
  <si>
    <t>VENEER_TABU ES.B01/6067(V)</t>
  </si>
  <si>
    <t>Veneer_Jati_LK(H)</t>
  </si>
  <si>
    <t>Veneer_Jati_LK(V)</t>
  </si>
  <si>
    <t>WY_1245_D(V)</t>
  </si>
  <si>
    <t>WY_1246_D(V)</t>
  </si>
  <si>
    <t>WY_4229_X(V)</t>
  </si>
  <si>
    <t>WY_5260_D(V)</t>
  </si>
  <si>
    <t>SCA_5118_D</t>
  </si>
  <si>
    <t>SCM_1103_XM</t>
  </si>
  <si>
    <t>Edg_EAS_5118_DO</t>
  </si>
  <si>
    <t>T_P1</t>
  </si>
  <si>
    <t>T_P2</t>
  </si>
  <si>
    <t>T_L1</t>
  </si>
  <si>
    <t>T_L2</t>
  </si>
  <si>
    <t>polos</t>
  </si>
  <si>
    <t>P_cnc</t>
  </si>
  <si>
    <t>L_cnc</t>
  </si>
  <si>
    <t>ukuran CNC</t>
  </si>
  <si>
    <t>Edg_ EAW_4222_XO(44X1)</t>
  </si>
  <si>
    <t>DXP_1371K</t>
  </si>
  <si>
    <t>Extra Clear 5 mm (a)</t>
  </si>
  <si>
    <t>Extra Clear 5 mm (b)</t>
  </si>
  <si>
    <t>Extra Clear 5 mm (c)</t>
  </si>
  <si>
    <t xml:space="preserve">Extra Clear 5 mm (d)    </t>
  </si>
  <si>
    <t>Kaca Polos 5 mm (a)</t>
  </si>
  <si>
    <t>Kaca Polos 8 mm (a)</t>
  </si>
  <si>
    <t>Kaca Polos 8 mm (b)</t>
  </si>
  <si>
    <t>Edg_EAW_4214_S2</t>
  </si>
  <si>
    <t>Edg_EAW_4214_S2(44X1)</t>
  </si>
  <si>
    <t>Non KS</t>
  </si>
  <si>
    <t>Cermin Polos Clear 5mm (a)</t>
  </si>
  <si>
    <t>Cermin Polos Clear 5mm (b)</t>
  </si>
  <si>
    <t>CSV Format</t>
  </si>
  <si>
    <t>Euro Grey 5 mm (a)</t>
  </si>
  <si>
    <t>Euro Grey 5 mm (b)</t>
  </si>
  <si>
    <t>Euro Grey 5 mm (c)</t>
  </si>
  <si>
    <t>Euro Grey 8 mm (a)</t>
  </si>
  <si>
    <t>Kaca Polos Sandblast Full 5 mm (a)</t>
  </si>
  <si>
    <t>Kaca Moru 5 mm (a)</t>
  </si>
  <si>
    <t>Kaca Moru 5 mm (b)</t>
  </si>
  <si>
    <t>Kaca Bronze 5 mm (a)</t>
  </si>
  <si>
    <t>Kaca Bronze 5 mm (b)</t>
  </si>
  <si>
    <t>Kaca Bronze 5 mm (c)</t>
  </si>
  <si>
    <t>Kaca Bronze 5 mm (d)</t>
  </si>
  <si>
    <t>AK_14175_KM</t>
  </si>
  <si>
    <t>Edg_EAP_1331_KO</t>
  </si>
  <si>
    <t>WY_4221_X(V)</t>
  </si>
  <si>
    <t>Edg_EAW_4221_XO</t>
  </si>
  <si>
    <t>Edg_EAW_4221_XO(44X1)</t>
  </si>
  <si>
    <t>DXP_1358XM</t>
  </si>
  <si>
    <t>Edg_EAP_1358_MO</t>
  </si>
  <si>
    <t>Edg_EAP_1391_CO</t>
  </si>
  <si>
    <t>Edg_EAP_1381_MO</t>
  </si>
  <si>
    <t>Edg_EAP_1393_CO</t>
  </si>
  <si>
    <r>
      <t xml:space="preserve">End Panel MLP </t>
    </r>
    <r>
      <rPr>
        <i/>
        <sz val="12"/>
        <color indexed="53"/>
        <rFont val="Times New Roman"/>
        <family val="1"/>
      </rPr>
      <t>(rakit tukang)</t>
    </r>
  </si>
  <si>
    <t>Tutup laci MLP│</t>
  </si>
  <si>
    <t>Tutup laci MLP•</t>
  </si>
  <si>
    <t>Tutup laci MLP♦</t>
  </si>
  <si>
    <t>Pintu MLP Panel│</t>
  </si>
  <si>
    <t>Pintu MLP Panel•</t>
  </si>
  <si>
    <t>Pintu MLP Panel♦</t>
  </si>
  <si>
    <t>Edg_EMS_1124_U0( 44X1 )</t>
  </si>
  <si>
    <t>Handel Kayu Rangka│</t>
  </si>
  <si>
    <r>
      <t xml:space="preserve">Plinth Rangka  </t>
    </r>
    <r>
      <rPr>
        <i/>
        <sz val="12"/>
        <color indexed="53"/>
        <rFont val="Times New Roman"/>
        <family val="1"/>
      </rPr>
      <t>(rakit tukang+lapis manual)</t>
    </r>
  </si>
  <si>
    <r>
      <t xml:space="preserve">Pintu FG DUCO </t>
    </r>
    <r>
      <rPr>
        <i/>
        <sz val="12"/>
        <color indexed="53"/>
        <rFont val="Times New Roman"/>
        <family val="1"/>
      </rPr>
      <t>(profil cnc cekung)</t>
    </r>
  </si>
  <si>
    <t>Tutup laci MLP ▌</t>
  </si>
  <si>
    <t>Pintu MLP Panel ▌</t>
  </si>
  <si>
    <t>Penyebab Retur</t>
  </si>
  <si>
    <t>(RETUR INTERNAL)</t>
  </si>
  <si>
    <t>UNTUK DEP.</t>
  </si>
  <si>
    <t>GUDANG</t>
  </si>
  <si>
    <t>Lembar I : Dept. Yang Mengembalikan   Lembar II : Dept. Penerima    Lembar III : Dept. PPIC     Lembar IV : Dept QC</t>
  </si>
  <si>
    <t xml:space="preserve"> DI SERAHKAN :                DIKETAHUI :                       DISETUJUI :                     DITERIMA OLEH :</t>
  </si>
  <si>
    <t>(…..…………….)               (………………...)                (………………….)            (…………………….)</t>
  </si>
  <si>
    <t>KA. DEPARTEMEN        KA. DEPARTEMEN           KA. DEPARTEMEN           KA. DEPARTEMEN</t>
  </si>
  <si>
    <t>Edg_Taco_003_G</t>
  </si>
  <si>
    <t>Edg_Taco_003_S</t>
  </si>
  <si>
    <t>Edg_TACO_009_AA(42x1)</t>
  </si>
  <si>
    <t>MTA_1108_XL(V)</t>
  </si>
  <si>
    <t>Edg_EAP_5338_RO(44X1)</t>
  </si>
  <si>
    <t>M-PLT-02 Champaigne Gloss ( Alm. 85830 ) P3</t>
  </si>
  <si>
    <t>M_54056_190TM</t>
  </si>
  <si>
    <t>ASW_13005_KM</t>
  </si>
  <si>
    <t>Edg_EAS_1125_DO</t>
  </si>
  <si>
    <t>rel11</t>
  </si>
  <si>
    <t>rel12</t>
  </si>
  <si>
    <t>rel13</t>
  </si>
  <si>
    <t>rel14</t>
  </si>
  <si>
    <t>bahan1 (u/ box)</t>
  </si>
  <si>
    <t>bahan5 (u/ pintu)</t>
  </si>
  <si>
    <t>Tutup laci nad duco│</t>
  </si>
  <si>
    <t>selisih tebal bahan apabila komponen laci melebihi 15mm</t>
  </si>
  <si>
    <t>sl_tbl</t>
  </si>
  <si>
    <t>DA_2083N</t>
  </si>
  <si>
    <t>DWA_2856A</t>
  </si>
  <si>
    <t>Edg_DEW_04517</t>
  </si>
  <si>
    <t>Edg_DEW_04517_(45X1)</t>
  </si>
  <si>
    <t>Edg_EAW_5266_E1</t>
  </si>
  <si>
    <t>Edg_EAW_5266_E1(44X1)</t>
  </si>
  <si>
    <r>
      <t>Palangan Meja Rangka Hollow</t>
    </r>
    <r>
      <rPr>
        <i/>
        <sz val="12"/>
        <color indexed="53"/>
        <rFont val="Times New Roman"/>
        <family val="1"/>
      </rPr>
      <t>(rakit tukang)</t>
    </r>
  </si>
  <si>
    <r>
      <t xml:space="preserve">Top Meja Island </t>
    </r>
    <r>
      <rPr>
        <i/>
        <sz val="12"/>
        <color indexed="53"/>
        <rFont val="Times New Roman"/>
        <family val="1"/>
      </rPr>
      <t>(coak kaca+trim kll)</t>
    </r>
  </si>
  <si>
    <t>Dinding Atas Bawah OS↓</t>
  </si>
  <si>
    <t>Ambalan mati OS■</t>
  </si>
  <si>
    <t>Ply Bending 5mm long grain</t>
  </si>
  <si>
    <t>Ply Bending 5mm short grain</t>
  </si>
  <si>
    <t>Ply Bending 8 mm long grain</t>
  </si>
  <si>
    <t>Ply Bending 8 mm short grain</t>
  </si>
  <si>
    <t>long grain yg ditekuk 2440nya</t>
  </si>
  <si>
    <t>HPL AK 13009 CS62 BLACK WOODY</t>
  </si>
  <si>
    <t>Edging Taco 003 S, uk : 22x1</t>
  </si>
  <si>
    <t xml:space="preserve">HPL AS/AK 14039 CG LEAD LOCK NPF 4X8 </t>
  </si>
  <si>
    <t>EDGING EAP 1331 KO 23X1</t>
  </si>
  <si>
    <t>AK_13009_CS62(V)</t>
  </si>
  <si>
    <t>AS/AK_14039_CG</t>
  </si>
  <si>
    <r>
      <t xml:space="preserve">Cover Cerobong Hood DUCO </t>
    </r>
    <r>
      <rPr>
        <i/>
        <sz val="12"/>
        <color indexed="53"/>
        <rFont val="Times New Roman"/>
        <family val="1"/>
      </rPr>
      <t>(rakit tukang)</t>
    </r>
  </si>
  <si>
    <t>Pintu Duco+handel MH</t>
  </si>
  <si>
    <t>Tutup Laci Duco+handel MH</t>
  </si>
  <si>
    <t>KACA</t>
  </si>
  <si>
    <t>WYA_5297_E(V)</t>
  </si>
  <si>
    <t>Edg_EAW_5292_D1</t>
  </si>
  <si>
    <t>Edg_EAW_5297_E1</t>
  </si>
  <si>
    <t>Edg_EAW_5297_E1(44X1)</t>
  </si>
  <si>
    <t>MERIVOBOX MVX i6 SW 500 70 BM</t>
  </si>
  <si>
    <r>
      <t xml:space="preserve">Back Panel Kaca S2 </t>
    </r>
    <r>
      <rPr>
        <i/>
        <sz val="12"/>
        <color indexed="53"/>
        <rFont val="Times New Roman"/>
        <family val="1"/>
      </rPr>
      <t>(rakit tukang)</t>
    </r>
  </si>
  <si>
    <r>
      <t xml:space="preserve">Back Panel Kaca S4 </t>
    </r>
    <r>
      <rPr>
        <i/>
        <sz val="12"/>
        <color indexed="53"/>
        <rFont val="Times New Roman"/>
        <family val="1"/>
      </rPr>
      <t>(rakit tukang)</t>
    </r>
  </si>
  <si>
    <r>
      <t xml:space="preserve">Back Panel Kaca S2+Mlis01 </t>
    </r>
    <r>
      <rPr>
        <i/>
        <sz val="12"/>
        <color indexed="53"/>
        <rFont val="Times New Roman"/>
        <family val="1"/>
      </rPr>
      <t>(rakit tukang)</t>
    </r>
  </si>
  <si>
    <t>Tutup laci merivobox Inner</t>
  </si>
  <si>
    <t>KIMANA LINK ITALIANA</t>
  </si>
  <si>
    <t>ENGSEL MEPLA FLAP DOOR</t>
  </si>
  <si>
    <t>WY_1205_D(V)</t>
  </si>
  <si>
    <t>Edg_EAW_1205_R1</t>
  </si>
  <si>
    <t>Edg_EAW_1205_R1(44X1)</t>
  </si>
  <si>
    <t>AK_14129_CY33(V)</t>
  </si>
  <si>
    <t>Duco Kitten White</t>
  </si>
  <si>
    <r>
      <t xml:space="preserve">Cover Cerobong Hood lapis plat s/s </t>
    </r>
    <r>
      <rPr>
        <i/>
        <sz val="12"/>
        <color indexed="53"/>
        <rFont val="Times New Roman"/>
        <family val="1"/>
      </rPr>
      <t>(rakit tukang)</t>
    </r>
  </si>
  <si>
    <r>
      <t xml:space="preserve">Kotak Laci Ball Bearing </t>
    </r>
    <r>
      <rPr>
        <i/>
        <sz val="12"/>
        <color indexed="53"/>
        <rFont val="Times New Roman"/>
        <family val="1"/>
      </rPr>
      <t>(rakit tukang)</t>
    </r>
  </si>
  <si>
    <t>MERIVOBOX MVX S4XL SW 500 70 BM</t>
  </si>
  <si>
    <t>DXP_5344_XM</t>
  </si>
  <si>
    <t>Edg_EAP_5344_MO</t>
  </si>
  <si>
    <t>AK_ 14180_CY33(V)</t>
  </si>
  <si>
    <t>AS_  14062_CS83(V)</t>
  </si>
  <si>
    <t>awali dengan bismillah . . .</t>
  </si>
  <si>
    <t>HMR_MTC_20153_003</t>
  </si>
  <si>
    <t>HMR_MTC_20353_100</t>
  </si>
  <si>
    <t>HMR MTC_01037_005</t>
  </si>
  <si>
    <t>HMR MTC_41130_11</t>
  </si>
  <si>
    <t>SCA_5127_D</t>
  </si>
  <si>
    <t>Edg_EAS_5127_D0</t>
  </si>
  <si>
    <t>Edg_EAS_5127_D0(44X1)</t>
  </si>
  <si>
    <t>(u/_box) ; (pasang_rakit)</t>
  </si>
  <si>
    <r>
      <t xml:space="preserve">Pintu Sibu S4 </t>
    </r>
    <r>
      <rPr>
        <i/>
        <sz val="12"/>
        <color rgb="FFFF0000"/>
        <rFont val="Times New Roman"/>
        <family val="1"/>
      </rPr>
      <t>(rakit tukang)</t>
    </r>
  </si>
  <si>
    <t>Pintu Sibu S2 ▌▌</t>
  </si>
  <si>
    <t>Pintu Sibu S4 ▌</t>
  </si>
  <si>
    <r>
      <t xml:space="preserve">Tutup Laci Lipping Pinggir </t>
    </r>
    <r>
      <rPr>
        <i/>
        <sz val="12"/>
        <color indexed="53"/>
        <rFont val="Times New Roman"/>
        <family val="1"/>
      </rPr>
      <t>(rakit_tukang)</t>
    </r>
  </si>
  <si>
    <t>Tutup laci Lipping</t>
  </si>
  <si>
    <t>Pintu Lipping</t>
  </si>
  <si>
    <t>Sekat Tiebox│</t>
  </si>
  <si>
    <r>
      <t xml:space="preserve">Pintu Lipping Pinggir </t>
    </r>
    <r>
      <rPr>
        <i/>
        <sz val="12"/>
        <color indexed="53"/>
        <rFont val="Times New Roman"/>
        <family val="1"/>
      </rPr>
      <t>(rakit_tukang)</t>
    </r>
  </si>
  <si>
    <t>u/ Panel Sibu</t>
  </si>
  <si>
    <r>
      <t xml:space="preserve">Tatakan Kaca Rangka </t>
    </r>
    <r>
      <rPr>
        <i/>
        <sz val="12"/>
        <color rgb="FFFF0000"/>
        <rFont val="Times New Roman"/>
        <family val="1"/>
      </rPr>
      <t>(cermin sandblast)</t>
    </r>
    <r>
      <rPr>
        <sz val="12"/>
        <color rgb="FFFF0000"/>
        <rFont val="Times New Roman"/>
        <family val="1"/>
      </rPr>
      <t xml:space="preserve"> </t>
    </r>
    <r>
      <rPr>
        <i/>
        <sz val="12"/>
        <color rgb="FFFF0000"/>
        <rFont val="Times New Roman"/>
        <family val="1"/>
      </rPr>
      <t>(rakit tukang)</t>
    </r>
  </si>
  <si>
    <r>
      <t xml:space="preserve">Pintu Akses engsel pivot </t>
    </r>
    <r>
      <rPr>
        <i/>
        <sz val="12"/>
        <color indexed="53"/>
        <rFont val="Times New Roman"/>
        <family val="1"/>
      </rPr>
      <t>(rakit tukang)</t>
    </r>
  </si>
  <si>
    <r>
      <t xml:space="preserve">Tatakan Top Table </t>
    </r>
    <r>
      <rPr>
        <i/>
        <sz val="12"/>
        <color indexed="53"/>
        <rFont val="Times New Roman"/>
        <family val="1"/>
      </rPr>
      <t>(rakit tukang)</t>
    </r>
  </si>
  <si>
    <r>
      <t xml:space="preserve">Tatakan Top Table + coakan </t>
    </r>
    <r>
      <rPr>
        <i/>
        <sz val="12"/>
        <color indexed="53"/>
        <rFont val="Times New Roman"/>
        <family val="1"/>
      </rPr>
      <t>(rakit tukang)</t>
    </r>
  </si>
  <si>
    <t>MG_Purewhite</t>
  </si>
  <si>
    <t>ASY_14004_Cs16(V)</t>
  </si>
  <si>
    <r>
      <t xml:space="preserve">Panel Kisi² join ke plat siku </t>
    </r>
    <r>
      <rPr>
        <i/>
        <sz val="12"/>
        <color rgb="FFFF0000"/>
        <rFont val="Times New Roman"/>
        <family val="1"/>
      </rPr>
      <t>(rakit tukang)</t>
    </r>
  </si>
  <si>
    <t>AS_14018_Cn74(…)</t>
  </si>
  <si>
    <t>AS_14019_Cn74(…)</t>
  </si>
  <si>
    <t>AS_14018_Cn74(H)</t>
  </si>
  <si>
    <t>AS_14019_Cn74(H)</t>
  </si>
  <si>
    <t>AS_14018_Cn74(V)</t>
  </si>
  <si>
    <t>AS_14019_Cn74(V)</t>
  </si>
  <si>
    <t>Edg.1694B_(45x1)</t>
  </si>
  <si>
    <t>MH-07 Brown Doff ( Alm. 75272 ) P3</t>
  </si>
  <si>
    <t>Pintu│</t>
  </si>
  <si>
    <t>Sekat OS•</t>
  </si>
  <si>
    <t>DWC_3651</t>
  </si>
  <si>
    <t>DSK_7771_SM</t>
  </si>
  <si>
    <r>
      <t xml:space="preserve">Uppertop Rangka / Panel Topi </t>
    </r>
    <r>
      <rPr>
        <i/>
        <sz val="12"/>
        <color indexed="53"/>
        <rFont val="Times New Roman"/>
        <family val="1"/>
      </rPr>
      <t>(rakit tukang)</t>
    </r>
  </si>
  <si>
    <r>
      <t xml:space="preserve">End Panel MLP </t>
    </r>
    <r>
      <rPr>
        <i/>
        <sz val="12"/>
        <color indexed="53"/>
        <rFont val="Times New Roman"/>
        <family val="1"/>
      </rPr>
      <t>(profil dipasang lapangan)</t>
    </r>
  </si>
  <si>
    <t>AS_14186_Cs22(V)</t>
  </si>
  <si>
    <t>Edg_REHAU_7750_B(45X1)</t>
  </si>
  <si>
    <t>Edg_REHAU_7750_B</t>
  </si>
  <si>
    <r>
      <t xml:space="preserve">Back Panel Kaca Rangka Kombinasi HPL+Mlis01 </t>
    </r>
    <r>
      <rPr>
        <i/>
        <sz val="12"/>
        <color indexed="53"/>
        <rFont val="Times New Roman"/>
        <family val="1"/>
      </rPr>
      <t>(rakit tukang)</t>
    </r>
  </si>
  <si>
    <t>MB_3083_DN74(V)</t>
  </si>
  <si>
    <t>Edg_EAW_5265_E1</t>
  </si>
  <si>
    <t>Edg_EAW_5265_E1(44X1)</t>
  </si>
  <si>
    <t>Edg_Rehau_153154_(46X1)</t>
  </si>
  <si>
    <t>Edg_Rehau_2728</t>
  </si>
  <si>
    <t>AS_14020_Cn74</t>
  </si>
  <si>
    <t>AS_14069 Cs98(V)</t>
  </si>
  <si>
    <t>DSK_5450_SM</t>
  </si>
  <si>
    <t>Edg_DSS_00206_SM</t>
  </si>
  <si>
    <t>SCM_1165_XM</t>
  </si>
  <si>
    <t>SCA_1140_D</t>
  </si>
  <si>
    <t>Edg_EAS_1134_D0</t>
  </si>
  <si>
    <t>Edg_EAS_1165_DO</t>
  </si>
  <si>
    <t>Edg_EAS_1140_D0</t>
  </si>
  <si>
    <r>
      <t>Ambalan+Rangka Hollow</t>
    </r>
    <r>
      <rPr>
        <i/>
        <sz val="12"/>
        <color indexed="53"/>
        <rFont val="Times New Roman"/>
        <family val="1"/>
      </rPr>
      <t>(rakit tukang)</t>
    </r>
  </si>
  <si>
    <r>
      <t xml:space="preserve">Kotak Laci "U" </t>
    </r>
    <r>
      <rPr>
        <i/>
        <sz val="12"/>
        <color indexed="53"/>
        <rFont val="Times New Roman"/>
        <family val="1"/>
      </rPr>
      <t>(rakit tukang)(tunggu assesories)</t>
    </r>
  </si>
  <si>
    <t>Pintu Frame Allure</t>
  </si>
  <si>
    <t>ministrip</t>
  </si>
  <si>
    <t>Acid_Clear</t>
  </si>
  <si>
    <t>Kaca•</t>
  </si>
  <si>
    <t>(u/_Lighting Shelf 01) ; (pasang_lapangan)</t>
  </si>
  <si>
    <t>(u/_Lighting Shelf 02)</t>
  </si>
  <si>
    <t>(u/_Mlp) ; (pasang_rakit)</t>
  </si>
  <si>
    <t>SCX_1166_D</t>
  </si>
  <si>
    <t>AS_14063_Cs83</t>
  </si>
  <si>
    <t>Edg_Rehau_2791_B</t>
  </si>
  <si>
    <t>HPL AICA-R QR 12051 UK 2440X609X7.1</t>
  </si>
  <si>
    <t>AICA-R_QR_12051</t>
  </si>
  <si>
    <t>DXP_5342_XM</t>
  </si>
  <si>
    <t>Edg_EAP_5342_M0</t>
  </si>
  <si>
    <r>
      <t xml:space="preserve">Back Panel Kaca S4 </t>
    </r>
    <r>
      <rPr>
        <i/>
        <sz val="12"/>
        <color indexed="53"/>
        <rFont val="Times New Roman"/>
        <family val="1"/>
      </rPr>
      <t>(cermin sandblast+rakit tukang)</t>
    </r>
  </si>
  <si>
    <r>
      <t>Tatakan Padded Rangka+Cover</t>
    </r>
    <r>
      <rPr>
        <i/>
        <sz val="12"/>
        <color rgb="FFFF0000"/>
        <rFont val="Times New Roman"/>
        <family val="1"/>
      </rPr>
      <t xml:space="preserve"> (rakit tukang)</t>
    </r>
  </si>
  <si>
    <t>Tatakan Padded</t>
  </si>
  <si>
    <t>gbr terlampir</t>
  </si>
  <si>
    <t>Tutup laci Kaca S4•</t>
  </si>
  <si>
    <t>Tutup laci Kaca S4• ▬</t>
  </si>
  <si>
    <t>SK.16127.S</t>
  </si>
  <si>
    <t>SK_10455_UW</t>
  </si>
  <si>
    <t>GM_86</t>
  </si>
  <si>
    <t>Edg_u/_SK_10455_UW</t>
  </si>
  <si>
    <t>Edg_u/_GM_86</t>
  </si>
  <si>
    <t>Edg_u/_SK.16127.S</t>
  </si>
  <si>
    <t>Edg_u/_SK.16127.S_(45x1)</t>
  </si>
  <si>
    <t>Edg_u/_SK_10455_UW_(45x1)</t>
  </si>
  <si>
    <t>Edg_u/_MB_69024_S</t>
  </si>
  <si>
    <t>Edg_u/_MB_69024_S_(45x1)</t>
  </si>
  <si>
    <t>MB_69024_S</t>
  </si>
  <si>
    <t>D_Mtx_50</t>
  </si>
  <si>
    <t>Mtx</t>
  </si>
  <si>
    <t>D_Mtx_45</t>
  </si>
  <si>
    <t>D_Mtx_40</t>
  </si>
  <si>
    <t>D_Mtx_35</t>
  </si>
  <si>
    <t>D_Mtx_30</t>
  </si>
  <si>
    <t>D_Mtx_25</t>
  </si>
  <si>
    <t>Depth laci Matrix 500</t>
  </si>
  <si>
    <t>Depth laci Matrix 450</t>
  </si>
  <si>
    <t>Depth laci Matrix 400</t>
  </si>
  <si>
    <t>Depth laci Matrix 350</t>
  </si>
  <si>
    <t>Depth laci Matrix 300</t>
  </si>
  <si>
    <t>Depth laci Matrix 250</t>
  </si>
  <si>
    <t>D_Mtx_27</t>
  </si>
  <si>
    <t>Depth laci Matrix 270</t>
  </si>
  <si>
    <t>Rel Matrix</t>
  </si>
  <si>
    <t>Pengurangan Laci Matrix (hafele) u/ ukuran muka blk</t>
  </si>
  <si>
    <t>KAKI ADJUSTER HAFELLE TG 100 ART # 637.45.326</t>
  </si>
  <si>
    <t>Dinding Atas Bawah ↑</t>
  </si>
  <si>
    <t>Sum of /panel</t>
  </si>
  <si>
    <t>Braket Kabinet Atas</t>
  </si>
  <si>
    <t>Proses Manual Tukang</t>
  </si>
  <si>
    <t>Proses Panel</t>
  </si>
  <si>
    <t>Raw Material</t>
  </si>
  <si>
    <t>Setting Rakit</t>
  </si>
  <si>
    <t>u/ Finger 45º</t>
  </si>
  <si>
    <t>MH-02 Black Doff ( Alm. 86706 ) P3 coak standart</t>
  </si>
  <si>
    <t>Alumunium</t>
  </si>
  <si>
    <t>Frame Alu.</t>
  </si>
  <si>
    <t>Anodize (edging)</t>
  </si>
  <si>
    <t>Anodize (proses rakit)</t>
  </si>
  <si>
    <t>Setting Frame Alu.</t>
  </si>
  <si>
    <t>Lampu u LS.</t>
  </si>
  <si>
    <t>Setting Rakit.</t>
  </si>
  <si>
    <t>Door Mechanism.</t>
  </si>
  <si>
    <t>Setting Lapangan.</t>
  </si>
  <si>
    <t>Bill Of Material</t>
  </si>
  <si>
    <t>Anodize (Handel)</t>
  </si>
  <si>
    <t>2024mm</t>
  </si>
  <si>
    <t>600mm</t>
  </si>
  <si>
    <t>450mm</t>
  </si>
  <si>
    <t>◄ganti screw</t>
  </si>
  <si>
    <t>◄ganti merk Hafele</t>
  </si>
  <si>
    <t>Plinth Pintu│</t>
  </si>
  <si>
    <t>Plinth Pintu•</t>
  </si>
  <si>
    <t>Benaya Reno</t>
  </si>
  <si>
    <t>(   Benaya Reno )                ( Dedy Cahyadi )           (  Mucshon Adie S  )          ( ……….…….)         ( Benaya Reno )</t>
  </si>
  <si>
    <t>Isma Wardani</t>
  </si>
  <si>
    <t>( Isma Wardani )          ( Dedy Cahyadi )           (  Mucshon Adie S  )          ( ……….…….)         ( Isma Wardani )</t>
  </si>
  <si>
    <t>Diva Wulandari</t>
  </si>
  <si>
    <t>( Diva Wulandari )          ( Dedy Cahyadi )           (  Mucshon Adie S  )          ( ……….…….)         ( Diva Wulandari )</t>
  </si>
  <si>
    <t>WY_1282D(V)</t>
  </si>
  <si>
    <t>MB_057_DN.74(V)</t>
  </si>
  <si>
    <t>Edg_EAP_4310_F1(44x1)</t>
  </si>
  <si>
    <t>Lbr_palang_blk_Av1</t>
  </si>
  <si>
    <t>lebar palang belakang avantech 101</t>
  </si>
  <si>
    <t>lebar palang belakang avantech 139</t>
  </si>
  <si>
    <t>Lbr_palang_blk_Av2</t>
  </si>
  <si>
    <t>Lbr_palang_blk_Av3</t>
  </si>
  <si>
    <t>lebar palang belakang avantech 187</t>
  </si>
  <si>
    <t>Lbr_palang_blk_Av4</t>
  </si>
  <si>
    <t>lebar palang belakang avantech 251</t>
  </si>
  <si>
    <t>Lebar/depth dasar laci avantech 500</t>
  </si>
  <si>
    <t>Lebar/depth dasar laci avantech 450</t>
  </si>
  <si>
    <t>Lebar/depth dasar laci avantech 400</t>
  </si>
  <si>
    <t>Lbr_dasar_Avantech_50</t>
  </si>
  <si>
    <t>Lbr_dasar_Avantech_45</t>
  </si>
  <si>
    <t>avantech_palang</t>
  </si>
  <si>
    <t>avantech_dasar</t>
  </si>
  <si>
    <t>Pengurangan panjang palang avantech</t>
  </si>
  <si>
    <t>Pengurangan panjang dasar avantech</t>
  </si>
  <si>
    <t>T_min_Av1</t>
  </si>
  <si>
    <t>minimal tinggi ruang Avantech 101</t>
  </si>
  <si>
    <t>T_min_Av2</t>
  </si>
  <si>
    <t>minimal tinggi ruang Avantech 139</t>
  </si>
  <si>
    <t>T_min_Av3</t>
  </si>
  <si>
    <t>minimal tinggi ruang Avantech 187</t>
  </si>
  <si>
    <t>T_min_Av4</t>
  </si>
  <si>
    <t>minimal tinggi ruang Avantech 251</t>
  </si>
  <si>
    <t>Palang blk avantech</t>
  </si>
  <si>
    <t>Dasar laci avantech</t>
  </si>
  <si>
    <t>avantech</t>
  </si>
  <si>
    <t>Avantech You 101 P.500mm</t>
  </si>
  <si>
    <t>Avantech You 139 P.500mm</t>
  </si>
  <si>
    <t>Avantech You 187 P.500mm</t>
  </si>
  <si>
    <t>Avantech You 251 P.500mm</t>
  </si>
  <si>
    <t>Avantech You 101 P.500mm tip on</t>
  </si>
  <si>
    <t>Avantech You 139 P.500mm tip on</t>
  </si>
  <si>
    <t>Avantech You 187 P.500mm tip on</t>
  </si>
  <si>
    <t>Avantech You 251 P.500mm tip on</t>
  </si>
  <si>
    <t>Alvic_Cashmere_SM</t>
  </si>
  <si>
    <t>Alvic_Antracite_SM</t>
  </si>
  <si>
    <t>Edg_u/_A.Cashmere</t>
  </si>
  <si>
    <t>Edg_u/_A.Cashmere_(45x1)</t>
  </si>
  <si>
    <t>Edg_u/_A.Antracite</t>
  </si>
  <si>
    <t>Edg_u/_A.Antracite_(45x1)</t>
  </si>
  <si>
    <r>
      <t xml:space="preserve">Back Panel Rangka "lengkung" </t>
    </r>
    <r>
      <rPr>
        <i/>
        <sz val="12"/>
        <color indexed="53"/>
        <rFont val="Times New Roman"/>
        <family val="1"/>
      </rPr>
      <t>(rakit tukang)</t>
    </r>
  </si>
  <si>
    <t>Lbr_dasar_Avantech_40</t>
  </si>
  <si>
    <t>AK_14114_Cs16(V)</t>
  </si>
  <si>
    <t>Edg_TACO_352</t>
  </si>
  <si>
    <t>Edg_TACO_352_(42X1)</t>
  </si>
  <si>
    <r>
      <t xml:space="preserve">Meja HPL lapis manual </t>
    </r>
    <r>
      <rPr>
        <i/>
        <sz val="12"/>
        <color indexed="53"/>
        <rFont val="Times New Roman"/>
        <family val="1"/>
      </rPr>
      <t>(rakit tukang)</t>
    </r>
  </si>
  <si>
    <t>Edg_EAP_5337_R0(44x1)</t>
  </si>
  <si>
    <t>ST-36 Champagne Doff ( Alm. 2351 ) P3 P3</t>
  </si>
  <si>
    <t>u/ HC OS</t>
  </si>
  <si>
    <t>u/ nakas</t>
  </si>
  <si>
    <t>Ply 15 mm polos untuk pintu</t>
  </si>
  <si>
    <t>u/ pintu wardrobe</t>
  </si>
  <si>
    <r>
      <t>Tatakan Padded Rangka</t>
    </r>
    <r>
      <rPr>
        <i/>
        <sz val="12"/>
        <color rgb="FFFF0000"/>
        <rFont val="Times New Roman"/>
        <family val="1"/>
      </rPr>
      <t xml:space="preserve"> (rakit tukang)</t>
    </r>
  </si>
  <si>
    <r>
      <t xml:space="preserve">Back Panel Rangka profil cekung </t>
    </r>
    <r>
      <rPr>
        <i/>
        <sz val="12"/>
        <color indexed="53"/>
        <rFont val="Times New Roman"/>
        <family val="1"/>
      </rPr>
      <t>(rakit tukang)</t>
    </r>
  </si>
  <si>
    <t>Pintu kisi²+handel MH</t>
  </si>
  <si>
    <t>PROFIL PASANGAN MLP-02 MDF HIJAU  24X16X2350</t>
  </si>
  <si>
    <t>Edg_DSS_00755_SM</t>
  </si>
  <si>
    <t>Edg_DSS_00755_SM(45X1)</t>
  </si>
  <si>
    <t>Edg_EAS_1150_DO(44x1)</t>
  </si>
  <si>
    <t>AK_14005_Cs16(V)</t>
  </si>
  <si>
    <t>Edg_Taco_252</t>
  </si>
  <si>
    <t>AK_14176_Cy32</t>
  </si>
  <si>
    <r>
      <t xml:space="preserve">Pintu HPL kombinasi Kaca </t>
    </r>
    <r>
      <rPr>
        <i/>
        <sz val="12"/>
        <color rgb="FFFF0000"/>
        <rFont val="Times New Roman"/>
        <family val="1"/>
      </rPr>
      <t>(rakit tukang)</t>
    </r>
  </si>
  <si>
    <t>MB_69035_S</t>
  </si>
  <si>
    <t>Edg_DSS_00746_SM</t>
  </si>
  <si>
    <t>Edg_DSS_00746_SM_(45X1)</t>
  </si>
  <si>
    <t>AK_14094_CS98(V)</t>
  </si>
  <si>
    <t>WY_1206_D(V)</t>
  </si>
  <si>
    <t>Edg_EAW_1206_R1(44x1)</t>
  </si>
  <si>
    <t>DXP_1386BS</t>
  </si>
  <si>
    <t>Edg_EAP_1390_CO</t>
  </si>
  <si>
    <t>End Panel Kaca S4</t>
  </si>
  <si>
    <t>End Panel Kaca S4•</t>
  </si>
  <si>
    <r>
      <t>End Panel Kaca S2</t>
    </r>
    <r>
      <rPr>
        <i/>
        <sz val="12"/>
        <color indexed="53"/>
        <rFont val="Times New Roman"/>
        <family val="1"/>
      </rPr>
      <t>(rakit tukang)</t>
    </r>
  </si>
  <si>
    <r>
      <t>End Panel Kaca S4</t>
    </r>
    <r>
      <rPr>
        <i/>
        <sz val="12"/>
        <color indexed="53"/>
        <rFont val="Times New Roman"/>
        <family val="1"/>
      </rPr>
      <t>(rakit tukang)</t>
    </r>
  </si>
  <si>
    <t>(tidak_grooving)</t>
  </si>
  <si>
    <t>(grooving_15mm)</t>
  </si>
  <si>
    <t>(grooving_manual)</t>
  </si>
  <si>
    <t>(grooving_maju_16mm)</t>
  </si>
  <si>
    <t>(grooving_maju_18mm)</t>
  </si>
  <si>
    <t>(grooving_maju_60mm)</t>
  </si>
  <si>
    <t>(grooving_maju_110mm)</t>
  </si>
  <si>
    <t>ATS_1104M</t>
  </si>
  <si>
    <t>Edg_EMS_1104_U0</t>
  </si>
  <si>
    <t>Edg_EMS_1104_U0( 44X1 )</t>
  </si>
  <si>
    <t>CX_3315_NR</t>
  </si>
  <si>
    <t>Edg_EAP_1392_CO(44x1)</t>
  </si>
  <si>
    <t>Edg_EAP_1390_CO(44x1)</t>
  </si>
  <si>
    <t>Edg_EAP_1381_MO(44x1)</t>
  </si>
  <si>
    <t>Euro Grey</t>
  </si>
  <si>
    <r>
      <t xml:space="preserve">Back Panel Kaca trim 3Sisi+cermin Sandblast </t>
    </r>
    <r>
      <rPr>
        <i/>
        <sz val="12"/>
        <color indexed="53"/>
        <rFont val="Times New Roman"/>
        <family val="1"/>
      </rPr>
      <t>(rakit tukang)</t>
    </r>
  </si>
  <si>
    <t>AS_14004_Cs16(V)</t>
  </si>
  <si>
    <t>TH_5033_NT(V)</t>
  </si>
  <si>
    <t>AK_13020_KM</t>
  </si>
  <si>
    <t>Edg_EAS_5118_DO(44x1)</t>
  </si>
  <si>
    <t>Edg_......(44x1)</t>
  </si>
  <si>
    <t>MG_Mocca</t>
  </si>
  <si>
    <r>
      <t xml:space="preserve">Pintu Akses engsel cowboy </t>
    </r>
    <r>
      <rPr>
        <i/>
        <sz val="12"/>
        <color indexed="53"/>
        <rFont val="Times New Roman"/>
        <family val="1"/>
      </rPr>
      <t>(rakit tukang)</t>
    </r>
  </si>
  <si>
    <t>Back Panel◘</t>
  </si>
  <si>
    <r>
      <t xml:space="preserve">Back Panel Nad DUCO </t>
    </r>
    <r>
      <rPr>
        <i/>
        <sz val="12"/>
        <color rgb="FFFF0000"/>
        <rFont val="Times New Roman"/>
        <family val="1"/>
      </rPr>
      <t xml:space="preserve">(lengkung ) ; </t>
    </r>
    <r>
      <rPr>
        <i/>
        <sz val="12"/>
        <color indexed="53"/>
        <rFont val="Times New Roman"/>
        <family val="1"/>
      </rPr>
      <t>(rakit tukang)</t>
    </r>
  </si>
  <si>
    <r>
      <t xml:space="preserve">Back Panel Rangka Nad DUCO </t>
    </r>
    <r>
      <rPr>
        <i/>
        <sz val="12"/>
        <color rgb="FFFF0000"/>
        <rFont val="Times New Roman"/>
        <family val="1"/>
      </rPr>
      <t>(ada mal)</t>
    </r>
    <r>
      <rPr>
        <sz val="12"/>
        <color rgb="FFFF0000"/>
        <rFont val="Times New Roman"/>
        <family val="1"/>
      </rPr>
      <t xml:space="preserve"> </t>
    </r>
    <r>
      <rPr>
        <i/>
        <sz val="12"/>
        <color indexed="53"/>
        <rFont val="Times New Roman"/>
        <family val="1"/>
      </rPr>
      <t>(rakit tukang)</t>
    </r>
  </si>
  <si>
    <t>Back Panel Rangka◘</t>
  </si>
  <si>
    <t xml:space="preserve">  </t>
  </si>
  <si>
    <r>
      <t xml:space="preserve">Ambalan hidup </t>
    </r>
    <r>
      <rPr>
        <i/>
        <sz val="12"/>
        <rFont val="Times New Roman"/>
        <family val="1"/>
      </rPr>
      <t>trim depan</t>
    </r>
  </si>
  <si>
    <t>Kaca○</t>
  </si>
  <si>
    <t>Kaca Tempered</t>
  </si>
  <si>
    <t>Opt</t>
  </si>
  <si>
    <t>OPT</t>
  </si>
  <si>
    <t>KUNCI SENTRAL SAMPING 237.48.601/210.41.621/237.23.006/237.22.100</t>
  </si>
  <si>
    <t>TIX_0138_VA(V)</t>
  </si>
  <si>
    <t>Bronze</t>
  </si>
  <si>
    <t>Dobelan Pintu frame</t>
  </si>
  <si>
    <t>Ket</t>
  </si>
  <si>
    <t>CERMIN</t>
  </si>
  <si>
    <t>KACa</t>
  </si>
  <si>
    <t>TI_Z0151_PA</t>
  </si>
  <si>
    <t>TH_5019_NT(V)</t>
  </si>
  <si>
    <t>TACO_W_5032</t>
  </si>
  <si>
    <t>TACO_W_5032(42x1)</t>
  </si>
  <si>
    <t>HPL Aica</t>
  </si>
  <si>
    <t>Ply 13,5 mm polos untuk pintu</t>
  </si>
  <si>
    <t>Edg_Rehau_7301B</t>
  </si>
  <si>
    <t>TH_063_SA</t>
  </si>
  <si>
    <t>TH_15_RE(V)</t>
  </si>
  <si>
    <t>Edg_TACO_1206_FC</t>
  </si>
  <si>
    <t>Edg_u/_TH063</t>
  </si>
  <si>
    <t>Blockboard</t>
  </si>
  <si>
    <t>TH_20_RE(V)</t>
  </si>
  <si>
    <t>Edg_TACO_305_H(42X1)</t>
  </si>
  <si>
    <t>Edg_TACO_305_H</t>
  </si>
  <si>
    <t>TH_5013_NT(V)</t>
  </si>
  <si>
    <t>TH_5024_NT(V)</t>
  </si>
  <si>
    <t>TI_Y8007_MA</t>
  </si>
  <si>
    <t>penamaan di rekap</t>
  </si>
  <si>
    <t>Diamond Clear</t>
  </si>
  <si>
    <t>Super Clear</t>
  </si>
  <si>
    <t>Extra Clear</t>
  </si>
  <si>
    <t>Grey Tinted</t>
  </si>
  <si>
    <t>Stopsol Dark Grey</t>
  </si>
  <si>
    <t>Stopsol Super Silver Dark Grey</t>
  </si>
  <si>
    <t>Riben Dark Grey</t>
  </si>
  <si>
    <t>Acid Bronze</t>
  </si>
  <si>
    <t>Acid Bronze G2</t>
  </si>
  <si>
    <t>Acid Clear</t>
  </si>
  <si>
    <t>Acid Clear G2</t>
  </si>
  <si>
    <t>Acid Mirror Clear</t>
  </si>
  <si>
    <t>Acid Mirror Bronze</t>
  </si>
  <si>
    <t>Acid Mirror Grey</t>
  </si>
  <si>
    <t>Lacobel Pure White</t>
  </si>
  <si>
    <t>Lacobel Soft White</t>
  </si>
  <si>
    <t>One Way</t>
  </si>
  <si>
    <t>Sandblast full</t>
  </si>
  <si>
    <t>Gallera</t>
  </si>
  <si>
    <t>Fillia</t>
  </si>
  <si>
    <t>Linea</t>
  </si>
  <si>
    <t>Valsa</t>
  </si>
  <si>
    <t>Moru</t>
  </si>
  <si>
    <t>Floria</t>
  </si>
  <si>
    <t>Rainfall</t>
  </si>
  <si>
    <t>Pinstripe</t>
  </si>
  <si>
    <t>Aqualite</t>
  </si>
  <si>
    <t>Dania Milenium</t>
  </si>
  <si>
    <t>Bolaro Silver</t>
  </si>
  <si>
    <t>Painting Ring Silver</t>
  </si>
  <si>
    <t>Painting Ring Bronze</t>
  </si>
  <si>
    <t>Fancy Bronze Esmeralda</t>
  </si>
  <si>
    <t>Fancy Silver Esmeralda</t>
  </si>
  <si>
    <t>Fancy Grey Esmeralda</t>
  </si>
  <si>
    <t>Fancy Carol</t>
  </si>
  <si>
    <t>Niagara</t>
  </si>
  <si>
    <t>Antique Bronze</t>
  </si>
  <si>
    <t>Antique Grey</t>
  </si>
  <si>
    <t>Metalic Gold</t>
  </si>
  <si>
    <t>Mirromax Titanium</t>
  </si>
  <si>
    <t>Mirromax Red</t>
  </si>
  <si>
    <t>Mirromax Gold</t>
  </si>
  <si>
    <t>Mirromax Blue</t>
  </si>
  <si>
    <t>Mirromax Bronze</t>
  </si>
  <si>
    <t>Mirromax Arte Brunn</t>
  </si>
  <si>
    <t>Mirromax Purple</t>
  </si>
  <si>
    <t>Tinctone Ivory</t>
  </si>
  <si>
    <t>Tinctone Sky Blue</t>
  </si>
  <si>
    <t>Tinctone Chocolate</t>
  </si>
  <si>
    <t>Tinctone Yellowish Green</t>
  </si>
  <si>
    <t>Tinctone Metallic Silver</t>
  </si>
  <si>
    <t>Tinctone Metallic Sky Blue</t>
  </si>
  <si>
    <t>Tinctone Maroon</t>
  </si>
  <si>
    <t>Tinctone Brown</t>
  </si>
  <si>
    <t>Tinctone Sky Green</t>
  </si>
  <si>
    <t>Tinctone Ungu</t>
  </si>
  <si>
    <t>Tinctone Yellow</t>
  </si>
  <si>
    <t>Tinctone Dark Grey</t>
  </si>
  <si>
    <t>Tinctone Tiffany Blue</t>
  </si>
  <si>
    <t>Tinctone Light Grey</t>
  </si>
  <si>
    <t>Tinctone Blue</t>
  </si>
  <si>
    <t>Tinctone Metallic Gold</t>
  </si>
  <si>
    <t>Tinctone Natural Brown</t>
  </si>
  <si>
    <t>Tinctone Brown Muda</t>
  </si>
  <si>
    <t>Glasstone Pure White</t>
  </si>
  <si>
    <t>Glasstone Mono White</t>
  </si>
  <si>
    <t>Glasstone Mono Super White</t>
  </si>
  <si>
    <t>Glasstone Mono Black</t>
  </si>
  <si>
    <t>Glasstone Super White</t>
  </si>
  <si>
    <t>Glasstone Black</t>
  </si>
  <si>
    <t>Glasstone Red</t>
  </si>
  <si>
    <t>Glasstone Yellow</t>
  </si>
  <si>
    <t>Glasstone Orange</t>
  </si>
  <si>
    <t>Glasstone Blue</t>
  </si>
  <si>
    <t>Glasstone Light Grey</t>
  </si>
  <si>
    <t>Glasstone Matte White</t>
  </si>
  <si>
    <t>Glasstone Matte Super White</t>
  </si>
  <si>
    <t>Glasstone Matte Black</t>
  </si>
  <si>
    <t>Glasstone Matte Bronze</t>
  </si>
  <si>
    <t>Glasstone Matte Grey</t>
  </si>
  <si>
    <t>Guardian Ultra Mirror</t>
  </si>
  <si>
    <t>Guardian Ultra Mirror Euro Bronze</t>
  </si>
  <si>
    <t>MG</t>
  </si>
  <si>
    <t>MG_Black</t>
  </si>
  <si>
    <t>MG_Fenix</t>
  </si>
  <si>
    <t>MG_Sliver</t>
  </si>
  <si>
    <t>Acid_Bronze</t>
  </si>
  <si>
    <t>Acid_Grey</t>
  </si>
  <si>
    <t>Painting_Ring_Silver</t>
  </si>
  <si>
    <t>Painting_Ring_Bronze</t>
  </si>
  <si>
    <t>Fancy_Bronze_Esmeralda</t>
  </si>
  <si>
    <t>Fancy_Silver_Esmeralda</t>
  </si>
  <si>
    <t>Fancy_Grey_Esmeralda</t>
  </si>
  <si>
    <t>Antique_Bronze</t>
  </si>
  <si>
    <t>Antique_Grey</t>
  </si>
  <si>
    <t>Metalic_Gold</t>
  </si>
  <si>
    <t>Mirromax_Titanium</t>
  </si>
  <si>
    <t>Mirromax_Red</t>
  </si>
  <si>
    <t>Mirromax_Gold</t>
  </si>
  <si>
    <t>Mirromax_Blue</t>
  </si>
  <si>
    <t>Mirromax_Bronze</t>
  </si>
  <si>
    <t>Mirromax_Arte_Brunn</t>
  </si>
  <si>
    <t>Mirromax_Purple</t>
  </si>
  <si>
    <t>Guardian_Ultra_Mirror</t>
  </si>
  <si>
    <t>Guardian_Ultra_Mirror_Euro_Bronze</t>
  </si>
  <si>
    <t>Diamond_Clear</t>
  </si>
  <si>
    <t>Super_Clear</t>
  </si>
  <si>
    <t>Extra_Clear</t>
  </si>
  <si>
    <t>Stopsol_Dark_Grey</t>
  </si>
  <si>
    <t>Stopsol_Super_Silver_Dark_Grey</t>
  </si>
  <si>
    <t>Riben_Dark_Grey</t>
  </si>
  <si>
    <t>Acid_Bronze_G2</t>
  </si>
  <si>
    <t>Acid_Clear_G2</t>
  </si>
  <si>
    <t>Lacobel_Pure_White</t>
  </si>
  <si>
    <t>Lacobel_Soft_White</t>
  </si>
  <si>
    <t>Euro_Grey</t>
  </si>
  <si>
    <t>One_Way</t>
  </si>
  <si>
    <t>Sandblast_full</t>
  </si>
  <si>
    <t>Dania_Milenium</t>
  </si>
  <si>
    <t>Bolaro_Silver</t>
  </si>
  <si>
    <t>Fancy_Carol</t>
  </si>
  <si>
    <t>Tinctone_Ivory</t>
  </si>
  <si>
    <t>Tinctone_Sky_Blue</t>
  </si>
  <si>
    <t>Tinctone_Chocolate</t>
  </si>
  <si>
    <t>Tinctone_Yellowish_Green</t>
  </si>
  <si>
    <t>Tinctone_Metallic_Silver</t>
  </si>
  <si>
    <t>Tinctone_Metallic_Sky_Blue</t>
  </si>
  <si>
    <t>Tinctone_Maroon</t>
  </si>
  <si>
    <t>Tinctone_Brown</t>
  </si>
  <si>
    <t>Tinctone_Sky_Green</t>
  </si>
  <si>
    <t>Tinctone_Ungu</t>
  </si>
  <si>
    <t>Tinctone_Yellow</t>
  </si>
  <si>
    <t>MG_Misty_Grey</t>
  </si>
  <si>
    <t>Tinctone_Dark_Grey</t>
  </si>
  <si>
    <t>Tinctone_Tiffany_Blue</t>
  </si>
  <si>
    <t>Tinctone_Light_Grey</t>
  </si>
  <si>
    <t>Tinctone_Blue</t>
  </si>
  <si>
    <t>Tinctone_Metallic_Gold</t>
  </si>
  <si>
    <t>Tinctone_Natural_Brown</t>
  </si>
  <si>
    <t>Tinctone_Brown_Muda</t>
  </si>
  <si>
    <t>Glasstone_Pure_White</t>
  </si>
  <si>
    <t>Glasstone_Mono_White</t>
  </si>
  <si>
    <t>Glasstone_Mono_Super_White</t>
  </si>
  <si>
    <t>Glasstone_Mono_Black</t>
  </si>
  <si>
    <t>Glasstone_Super_White</t>
  </si>
  <si>
    <t>Glasstone_Black</t>
  </si>
  <si>
    <t>Glasstone_Red</t>
  </si>
  <si>
    <t>Glasstone_Yellow</t>
  </si>
  <si>
    <t>Glasstone_Orange</t>
  </si>
  <si>
    <t>Glasstone_Blue</t>
  </si>
  <si>
    <t>Glasstone_Light_Grey</t>
  </si>
  <si>
    <t>Glasstone_Matte_White</t>
  </si>
  <si>
    <t>Glasstone_Matte_Super_White</t>
  </si>
  <si>
    <t>Glasstone_Matte_Black</t>
  </si>
  <si>
    <t>Glasstone_Matte_Bronze</t>
  </si>
  <si>
    <t>Glasstone_Matte_Grey</t>
  </si>
  <si>
    <t>Moru ↕</t>
  </si>
  <si>
    <t>Moru ↔</t>
  </si>
  <si>
    <t>Komp.Dipan»Rgk spg</t>
  </si>
  <si>
    <t>Komp.Dipan»palang blk</t>
  </si>
  <si>
    <t>Komp.Dipan»tatakan braket</t>
  </si>
  <si>
    <t>Komp.Dipan»palang T</t>
  </si>
  <si>
    <t>Komp.Dipan»palang T•</t>
  </si>
  <si>
    <r>
      <rPr>
        <sz val="12"/>
        <color rgb="FFFF0000"/>
        <rFont val="Times New Roman"/>
        <family val="1"/>
      </rPr>
      <t>Rangka Samping Dipan</t>
    </r>
    <r>
      <rPr>
        <i/>
        <sz val="12"/>
        <color rgb="FFFF0000"/>
        <rFont val="Times New Roman"/>
        <family val="1"/>
      </rPr>
      <t xml:space="preserve"> (rakit tukang)</t>
    </r>
  </si>
  <si>
    <r>
      <rPr>
        <sz val="12"/>
        <color rgb="FFFF0000"/>
        <rFont val="Times New Roman"/>
        <family val="1"/>
      </rPr>
      <t>Rangka Depan Dipan</t>
    </r>
    <r>
      <rPr>
        <i/>
        <sz val="12"/>
        <color rgb="FFFF0000"/>
        <rFont val="Times New Roman"/>
        <family val="1"/>
      </rPr>
      <t xml:space="preserve"> (rakit tukang)</t>
    </r>
  </si>
  <si>
    <r>
      <rPr>
        <sz val="12"/>
        <color rgb="FFFF0000"/>
        <rFont val="Times New Roman"/>
        <family val="1"/>
      </rPr>
      <t>Palang T Dipan</t>
    </r>
    <r>
      <rPr>
        <i/>
        <sz val="12"/>
        <color rgb="FFFF0000"/>
        <rFont val="Times New Roman"/>
        <family val="1"/>
      </rPr>
      <t xml:space="preserve"> (rakit tukang)</t>
    </r>
  </si>
  <si>
    <t>Komp.Dipan»alas</t>
  </si>
  <si>
    <t>Edg_DEW_03713</t>
  </si>
  <si>
    <t>Edg_DEW_03713_(45X1)</t>
  </si>
  <si>
    <t>DWT_3713_W(V)</t>
  </si>
  <si>
    <t>(Multiple Items)</t>
  </si>
  <si>
    <t>Pintu(fr) 03║</t>
  </si>
  <si>
    <t>tunggu info</t>
  </si>
  <si>
    <t>MG_Coklat_Susu</t>
  </si>
  <si>
    <t>TI_Q9003_AF</t>
  </si>
  <si>
    <r>
      <t xml:space="preserve">Tempat Pot Bunga </t>
    </r>
    <r>
      <rPr>
        <i/>
        <sz val="12"/>
        <color indexed="53"/>
        <rFont val="Times New Roman"/>
        <family val="1"/>
      </rPr>
      <t>(rakit tukang)</t>
    </r>
  </si>
  <si>
    <t>Edg_Taco_W_825</t>
  </si>
  <si>
    <t>Edg_Taco_W_825( 42X1 )</t>
  </si>
  <si>
    <t>TH_7104_AC</t>
  </si>
  <si>
    <t>REL BALL BEARING PJ 40 CM FULL EXT MOTION</t>
  </si>
  <si>
    <t>ball bearing</t>
  </si>
  <si>
    <t>REL BALL BEARING PJ 35 CM FULL EXT MOTION</t>
  </si>
  <si>
    <t>ball_bearing</t>
  </si>
  <si>
    <t>Pipa SS 1/2" x 1,2 mm @ 6 Mtr</t>
  </si>
  <si>
    <t>Superior_Twin_(DR)</t>
  </si>
  <si>
    <t>Superior_Twin_(DL)</t>
  </si>
  <si>
    <t>Superior_Twin_II_(DR)</t>
  </si>
  <si>
    <t>Superior_Twin_II_(DL)</t>
  </si>
  <si>
    <t>Deluxe_Twin_(DR)</t>
  </si>
  <si>
    <t>Deluxe_Twin_(DL)</t>
  </si>
  <si>
    <t>Deluxe_Twin_con.(DR)</t>
  </si>
  <si>
    <t>Deluxe_Twin_con.(DL)</t>
  </si>
  <si>
    <t>Deluxe_King_(DR)</t>
  </si>
  <si>
    <t>Deluxe_King_(DL)</t>
  </si>
  <si>
    <t>Junior_Suite_(DR)</t>
  </si>
  <si>
    <t>Junior_Suite_(DL)</t>
  </si>
  <si>
    <t>Executive_Suite_(DR)</t>
  </si>
  <si>
    <t>Executive_Suite_(DL)</t>
  </si>
  <si>
    <t>type_room</t>
  </si>
  <si>
    <t>MDF 18 mm mel paper MM 002 + AL 01</t>
  </si>
  <si>
    <t>DWT_3704_W(V)</t>
  </si>
  <si>
    <t>AK_14167_Cy32</t>
  </si>
  <si>
    <t>Edg_DEW_03704</t>
  </si>
  <si>
    <t>Edg_DEW_03704_(45X1)</t>
  </si>
  <si>
    <t>ft</t>
  </si>
  <si>
    <t>LACI MERIVOBOX S2 + KACA ORION GREY</t>
  </si>
  <si>
    <t>ENGSEL CLIP TOP  107 DEG INTEGRATED 75 B 1550 + 173 L 6100 BLACK ONYX</t>
  </si>
  <si>
    <t>Edg_EMS_1165_U0(44x1)</t>
  </si>
  <si>
    <t>Edg_EAS_1180_D0</t>
  </si>
  <si>
    <t>Edg_EAS_1180_D0(44x1)</t>
  </si>
  <si>
    <t>Edg_EAS_1166_D0</t>
  </si>
  <si>
    <t>Edg_EAS_1172_D0</t>
  </si>
  <si>
    <t>SCA_1180_D</t>
  </si>
  <si>
    <t>ENGSEL CLIP TOP 74T1550  BLACK ONYX</t>
  </si>
  <si>
    <t>engsel clip top hitam</t>
  </si>
  <si>
    <t>engsel tip on hitam</t>
  </si>
  <si>
    <t>M_grill</t>
  </si>
  <si>
    <t>2430 x 30 x 19</t>
  </si>
  <si>
    <t>Ply 27 Aica_1mk_Polos</t>
  </si>
  <si>
    <t>Kaca(Samping Merivobox)</t>
  </si>
  <si>
    <t>Tutup Laci HPL(join)</t>
  </si>
  <si>
    <t>2430 x 70 x 19</t>
  </si>
  <si>
    <t>Ply 18 Aica_1mk_Polos</t>
  </si>
  <si>
    <t>Ply 18 Polos</t>
  </si>
  <si>
    <t>MOBILE SH 006 DH BLACK</t>
  </si>
  <si>
    <t>RZ0458</t>
  </si>
  <si>
    <t>127/RK-RL-PI/PAP-LL/XII/2025</t>
  </si>
  <si>
    <t>25LL017MPC</t>
  </si>
  <si>
    <t>Dry Pantry</t>
  </si>
  <si>
    <t>PT Malindo Feedmill Tbk</t>
  </si>
  <si>
    <t>Edg_EAW_5214_D1(44X1)</t>
  </si>
  <si>
    <t>Edg_EAW_4264_XO(44X1)</t>
  </si>
  <si>
    <t>Edg_EAW_5216_D1</t>
  </si>
  <si>
    <t>Edg_EAW_5216_D1(44x1)</t>
  </si>
  <si>
    <t>Edg_EAW_5240_S1</t>
  </si>
  <si>
    <t>Edg_EAW_5240_S1(44X1)</t>
  </si>
  <si>
    <t>Edg_EAW_5288_L1</t>
  </si>
  <si>
    <t>Edg_TACO_002_Gloss(42x1)</t>
  </si>
  <si>
    <t>Edg_TACO_153_AA(42X1)</t>
  </si>
  <si>
    <t>Edg_TACO_153_AA</t>
  </si>
  <si>
    <t>Edg_TACO_325_H</t>
  </si>
  <si>
    <t>Edg_TACO_918_W</t>
  </si>
  <si>
    <t>L-FA_0206_AP</t>
  </si>
  <si>
    <t>L-FA_0755_AP</t>
  </si>
  <si>
    <t>Edg_Decor_2008_B(45x1)</t>
  </si>
  <si>
    <t>Edg_Decor_2008_B</t>
  </si>
  <si>
    <t>Edg_Décor_1763_B(55X1)</t>
  </si>
  <si>
    <t>Edg_Décor_1763_B</t>
  </si>
  <si>
    <t>Edg_Décor_1740_B(55x1)</t>
  </si>
  <si>
    <t>Edg_Decor_1723_B(55x1)</t>
  </si>
  <si>
    <t>Edg_703_W(45X1)</t>
  </si>
  <si>
    <t>Edg_646_L(45X1)</t>
  </si>
  <si>
    <t>Edg_646_L</t>
  </si>
  <si>
    <t>Edg_2502_B(55x1)</t>
  </si>
  <si>
    <t>Edg_DSS_00206_SM(45X1)</t>
  </si>
  <si>
    <t>DXO_1338_D</t>
  </si>
  <si>
    <t>Edg_EAP_1338_DO</t>
  </si>
  <si>
    <t>TC-S005-sw1Hº0-00a</t>
  </si>
  <si>
    <t>HC-S004-sw1Hº0-000</t>
  </si>
  <si>
    <t>FC OS-∩HOs0-0000-00a</t>
  </si>
  <si>
    <t>HC-├ ┤000-sw1Hº0-pu00</t>
  </si>
  <si>
    <t>HC-├ ┤003-sw1Hº0-000</t>
  </si>
  <si>
    <t>TC Disp-∩├H►0-sw1Hº0-00a</t>
  </si>
  <si>
    <t>HC-├003-sw1Hº0-000</t>
  </si>
  <si>
    <t>HC Kulkas-S002-sw2QHº0-000</t>
  </si>
  <si>
    <t>TC Mw Ov-Cf002'-Mv41Hº0-00a</t>
  </si>
  <si>
    <t>HC-├ ┤004-sw1Hº0-000</t>
  </si>
  <si>
    <t>FC-Cf000-Mv42QHº0-00a</t>
  </si>
  <si>
    <t>FC-Cf000-Mv142Q+Hº0-sr0a</t>
  </si>
  <si>
    <t>FC-CfH←0-tdm1Hº0-cdb0a</t>
  </si>
  <si>
    <t>FC OS-SH↔1'-0000-rh0a</t>
  </si>
  <si>
    <t>FC∟◄-Cf001-sw1Hº0-00a</t>
  </si>
  <si>
    <t>HC-┌H►3-sw2QHº0-000</t>
  </si>
  <si>
    <t>HC Hood-S00│ │6-sw2Q0-000</t>
  </si>
  <si>
    <t>HC-┐H◄3-sw2Hº0-000</t>
  </si>
  <si>
    <t>HC∟-S003-Bfl2Hº0-000</t>
  </si>
  <si>
    <t>HC-SHOs0-sw2QFK0-020</t>
  </si>
  <si>
    <t>HC-SHOs│ │-sw2QFK0-020</t>
  </si>
  <si>
    <t>HC-SHOs0-sw1FK0-020</t>
  </si>
  <si>
    <t>HC-SHOs0-BD1FK0-020</t>
  </si>
  <si>
    <t>FC-Cf000-tdm1Hº0-tln0a</t>
  </si>
  <si>
    <t>FC Sink-CfK►0-sw2QHº0-Ü0a</t>
  </si>
  <si>
    <t>HC-S003-sw2QHº0-000</t>
  </si>
  <si>
    <t>HC-S003-sw1Hº0-000</t>
  </si>
  <si>
    <t>Rangka-S000-01Hº0-000</t>
  </si>
  <si>
    <t>TC-S001'-sw1Hº0-00a</t>
  </si>
  <si>
    <t>HC-S002-sw1Hº0-000</t>
  </si>
  <si>
    <t>FC-Cf000-Mv142Q+Hº0-00a</t>
  </si>
  <si>
    <t>FC-Cf000-Mv4Hº0-00a</t>
  </si>
  <si>
    <t>HC-S002-swHº0-000</t>
  </si>
  <si>
    <t>FC-CfH←1-sw1Hº0-00a</t>
  </si>
  <si>
    <t>FC-Cf001-sw1Hº0-00a</t>
  </si>
  <si>
    <t>FC-Cf001-sw2QHº0-00a</t>
  </si>
  <si>
    <t>Ply 18 L-FA_0206_AP_1mk_Polos</t>
  </si>
  <si>
    <t>Ply 18 WY_5216_D(V)_+_HB_41130</t>
  </si>
  <si>
    <t>Ply 18 WY_5216_D(V)_1mk_Polos</t>
  </si>
  <si>
    <t>Ply 18 WY_5216_D(V)_2mk</t>
  </si>
  <si>
    <t>Ply 20 WY_5216_D(V)+Aica</t>
  </si>
  <si>
    <t>End Panel Rangka nat Duco (rakit tukang)</t>
  </si>
  <si>
    <t>Plinth Rangka DUCO (rakit tukang)</t>
  </si>
  <si>
    <t>Pintu Akses engsel concealed (rakit tukang)</t>
  </si>
  <si>
    <t>2420 x 30 x 19</t>
  </si>
  <si>
    <t>760 x 40 x 21,5</t>
  </si>
  <si>
    <t>1210 x 40 x 21,5</t>
  </si>
  <si>
    <t>500 x 40 x 21,5</t>
  </si>
  <si>
    <t>2430 x 100 x 19</t>
  </si>
  <si>
    <t>602 x 50 x 19,5</t>
  </si>
  <si>
    <t>1908 x 70 x 19,5</t>
  </si>
  <si>
    <t>2430 x 50 x 19,5</t>
  </si>
  <si>
    <t>DXO_1338_D 18 Duco_1mk_Polos</t>
  </si>
  <si>
    <t>2430;1220;1;DXO_1338_D 18 Duco_1mk_Polos;18,5;HPL Lembaran♦;-1; ;; ;; ;; ;</t>
  </si>
  <si>
    <t>2430;1220;3;DXO_1338_D 18 Duco_1mk_Polos;18,5;HPL Lembaran♦;-1; ;; ;; ;; ;</t>
  </si>
  <si>
    <t>Ply 12 Aica_1mk_Polos</t>
  </si>
  <si>
    <t>2430;50;6;Ply 12 Aica_1mk_Polos;12,5;Tatakan Quadra;-1; ;; ;; ;; ;</t>
  </si>
  <si>
    <t>1844;750;2;Ply 12 Aica_1mk_Polos;12,5;Tatakan Quadra;-1; ;; ;; ;; ;</t>
  </si>
  <si>
    <t>Ply 12 Polos</t>
  </si>
  <si>
    <t>2430;954;3;Ply 12 Polos;12;Pintu/Panel Rangka Manual;-1; ;; ;; ;; ;</t>
  </si>
  <si>
    <t>2430;960;1;Ply 12 Polos;12;Pintu/Panel Rangka Manual;-1; ;; ;; ;; ;</t>
  </si>
  <si>
    <t>2430;60;1;Ply 18 Aica_1mk_Polos;18,5;Rangka back panel;-1; ;; ;; ;;Melanor;0,5</t>
  </si>
  <si>
    <t>2430;60;3;Ply 18 Aica_1mk_Polos;18,5;Rangka back panel;-1; ;; ;; ;;Melanor;0,5</t>
  </si>
  <si>
    <t>2430;55;3;Ply 18 Aica_1mk_Polos;18,5;Rangka back panel;-1; ;; ;; ;;Melanor;0,5</t>
  </si>
  <si>
    <t>2430;55;2;Ply 18 Aica_1mk_Polos;18,5;Rangka back panel;-1; ;; ;; ;;Melanor;0,5</t>
  </si>
  <si>
    <t>Ply 18 Duco_1mk_Polos</t>
  </si>
  <si>
    <t>2430;100;1;Ply 18 Duco_1mk_Polos;18,5;End Panel Rangka;-1; ;; ;; ;; ;</t>
  </si>
  <si>
    <t>2430;100;2;Ply 18 Duco_1mk_Polos;18,5;End Panel Rangka;-1; ;; ;; ;; ;</t>
  </si>
  <si>
    <t>2430;81;3;Ply 18 Duco_1mk_Polos;18,5;End Panel Rangka;-1; ;; ;; ;; ;</t>
  </si>
  <si>
    <t>2430;24;4;Ply 18 Duco_1mk_Polos;18,5;End Panel Rangka;-1; ;; ;; ;; ;</t>
  </si>
  <si>
    <t>2430;24;8;Ply 18 Duco_1mk_Polos;18,5;End Panel Rangka;-1; ;; ;; ;; ;</t>
  </si>
  <si>
    <t>2000;95;2;Ply 18 Duco_1mk_Polos;18,5;End Panel Rangka;-1; ;; ;; ;; ;</t>
  </si>
  <si>
    <t>2000;840;2;Ply 18 Duco_1mk_Polos;18,5;End Panel Rangka;-1; ;; ;; ;; ;</t>
  </si>
  <si>
    <t>1490;95;2;Ply 18 Duco_1mk_Polos;18,5;End Panel Rangka;-1; ;; ;; ;; ;</t>
  </si>
  <si>
    <t>1490;840;2;Ply 18 Duco_1mk_Polos;18,5;End Panel Rangka;-1; ;; ;; ;; ;</t>
  </si>
  <si>
    <t>1026;581;1;Ply 18 Duco_1mk_Polos;18,5;End Panel Rangka;-1; ;; ;; ;; ;</t>
  </si>
  <si>
    <t>Ply 18 DXO_1338_D_1mk_Polos</t>
  </si>
  <si>
    <t>Ply 18 WY_5216_D(V)_Full 1mk (WY_5216_D(V) rangka……+Aica)</t>
  </si>
  <si>
    <t>Ply 18 WY_5216_D(V)+Aica</t>
  </si>
  <si>
    <t>2370;588;1;Ply 27 Aica_1mk_Polos;27,5;Tutup Kabinet Bawah;-1; ;; ;;Edg_EAW_5216D1;; ;</t>
  </si>
  <si>
    <t>1318;588;1;Ply 27 Aica_1mk_Polos;27,5;Tutup Kabinet Bawah;-1; ;; ;;Edg_EAW_5216D1;; ;</t>
  </si>
  <si>
    <t>1852;688;1;Ply 27 Aica_1mk_Polos;27,5;Tutup Kabinet Bawah;-1; ;; ;;Edg_EAW_5216D1;; ;</t>
  </si>
  <si>
    <t>WY_5216_D(V) 1 Polos</t>
  </si>
  <si>
    <t>2000;95;2;WY_5216_D(V) 1 Polos;1;HPL Lembaran;-1; ;; ;; ;; ;</t>
  </si>
  <si>
    <t>2000;840;2;WY_5216_D(V) 1 Polos;1;HPL Lembaran;-1; ;; ;; ;; ;</t>
  </si>
  <si>
    <t>1490;95;2;WY_5216_D(V) 1 Polos;1;HPL Lembaran;-1; ;; ;; ;; ;</t>
  </si>
  <si>
    <t>1490;840;2;WY_5216_D(V) 1 Polos;1;HPL Lembaran;-1; ;; ;; ;; ;</t>
  </si>
  <si>
    <t>0A) Back Panel Rangka (rakit tukang)</t>
  </si>
  <si>
    <t>2000 x 209 x 75</t>
  </si>
  <si>
    <t>1490 x 209 x 75</t>
  </si>
  <si>
    <t>1900 x 327 x 75</t>
  </si>
  <si>
    <t>1390 x 327 x 75</t>
  </si>
  <si>
    <t>2890 x 130 x 80</t>
  </si>
  <si>
    <t>600 x 130 x 80</t>
  </si>
  <si>
    <t>0A) End Panel Rangka nat Duco (rakit tukang)</t>
  </si>
  <si>
    <t>2000 x 95 x 75</t>
  </si>
  <si>
    <t>1490 x 95 x 75</t>
  </si>
  <si>
    <t>2000 x 840 x 75</t>
  </si>
  <si>
    <t>1490 x 840 x 75</t>
  </si>
  <si>
    <t>0A) Plinth Rangka DUCO (rakit tukang)</t>
  </si>
  <si>
    <t>1333 x 600 x 100</t>
  </si>
  <si>
    <t>0A) Panel Partisi (rakit tukang)</t>
  </si>
  <si>
    <t>1844 x 750 x 26</t>
  </si>
  <si>
    <t>0A) Pintu Akses engsel concealed (rakit tukang)</t>
  </si>
  <si>
    <t>2880 x 954 x 40</t>
  </si>
  <si>
    <t>600 x 960 x 40</t>
  </si>
  <si>
    <t xml:space="preserve">414)Rangka back panel Ply 18mm - Aica_1mk_Polos ; Melanor_1sisi_pjg  </t>
  </si>
  <si>
    <t>2430 x 55 x 18,5</t>
  </si>
  <si>
    <t>2430 x 60 x 18,5</t>
  </si>
  <si>
    <t xml:space="preserve">421)Braket miring Ply 18mm - Polos ;  -  </t>
  </si>
  <si>
    <t>172 x 100 x 18</t>
  </si>
  <si>
    <t>290 x 100 x 18</t>
  </si>
  <si>
    <t xml:space="preserve">435)Dummies Ply 18mm - WY_5216_D(V)_1mk_Polos ;  -  </t>
  </si>
  <si>
    <t xml:space="preserve">439)Dummies Luar Ply 20mm - WY_5216_D(V)+Aica ; Edg_EAW_5216_D1(44x1)_Keliling  </t>
  </si>
  <si>
    <t xml:space="preserve">403)Back Panel Rangka Ply 18mm - WY_5216_D(V)_1mk_Polos ; Edg_EAW_5216D1_Keliling  </t>
  </si>
  <si>
    <t>2000 x 209 x 19</t>
  </si>
  <si>
    <t>1490 x 209 x 19</t>
  </si>
  <si>
    <t>1900 x 327 x 19</t>
  </si>
  <si>
    <t>1390 x 327 x 19</t>
  </si>
  <si>
    <t xml:space="preserve">462)Plinth/Uppertop Ply 18mm - WY_5216_D(V)_1mk_Polos ; Edg_EAW_5216D1_1sisi_pjg  </t>
  </si>
  <si>
    <t xml:space="preserve">386)Back Panel Ply 18mm - WY_5216_D(V)+Aica ; Edg_EAW_5216D1_Keliling  </t>
  </si>
  <si>
    <t>2000 x 1004 x 19,5</t>
  </si>
  <si>
    <t xml:space="preserve">379)End Panel Rangka Ply 18mm - Duco_1mk_Polos ;  -  </t>
  </si>
  <si>
    <t>2000 x 95 x 18,5</t>
  </si>
  <si>
    <t>1490 x 95 x 18,5</t>
  </si>
  <si>
    <t>2000 x 840 x 18,5</t>
  </si>
  <si>
    <t>1490 x 840 x 18,5</t>
  </si>
  <si>
    <t>2430 x 100 x 18,5</t>
  </si>
  <si>
    <t>1026 x 581 x 18,5</t>
  </si>
  <si>
    <t>2430 x 81 x 18,5</t>
  </si>
  <si>
    <t>2430 x 24 x 18,5</t>
  </si>
  <si>
    <t xml:space="preserve">430)Tatakan Quadra Ply 12mm - Aica_1mk_Polos ;  -  </t>
  </si>
  <si>
    <t>1844 x 750 x 12,5</t>
  </si>
  <si>
    <t>2430 x 50 x 12,5</t>
  </si>
  <si>
    <t xml:space="preserve">406)Back Panel Rangka♦ Ply 18mm - DXO_1338_D_1mk_Polos ; Edg_EAP_1338_DO_Keliling  </t>
  </si>
  <si>
    <t>900 x 130 x 19</t>
  </si>
  <si>
    <t>1990 x 130 x 19</t>
  </si>
  <si>
    <t>600 x 130 x 19</t>
  </si>
  <si>
    <t xml:space="preserve">317)Pintu/Panel Rangka Manual Ply 12mm - Polos ;  -  </t>
  </si>
  <si>
    <t>2430 x 954 x 12</t>
  </si>
  <si>
    <t>2430 x 960 x 12</t>
  </si>
  <si>
    <t xml:space="preserve">369)End Panel Ply 18mm - WY_5216_D(V)_Full 1mk (WY_5216_D(V) rangka……+Aica) ; Edg_EAW_5216D1_Keliling  </t>
  </si>
  <si>
    <t>1650 x 730 x 20</t>
  </si>
  <si>
    <t>1840 x 730 x 20</t>
  </si>
  <si>
    <t>860 x 585 x 20</t>
  </si>
  <si>
    <t xml:space="preserve">457)Palang tengah/nat handel│ Ply 18mm - WY_5216_D(V)_+_HB_41130 ; Edg_EAW_5216D1_2sisi_pjg  </t>
  </si>
  <si>
    <t xml:space="preserve">433)Tutup Kabinet Bawah Ply 27mm - Aica_1mk_Polos ; Edg_EAW_5216D1_1sisi_pjg  </t>
  </si>
  <si>
    <t>2370 x 588 x 27,5</t>
  </si>
  <si>
    <t>1318 x 588 x 27,5</t>
  </si>
  <si>
    <t>1852 x 688 x 27,5</t>
  </si>
  <si>
    <t xml:space="preserve">370)End Panel│ Ply 18mm - WY_5216_D(V)_2mk ; Edg_EAW_5216D1_Keliling  </t>
  </si>
  <si>
    <t>1740 x 705 x 20</t>
  </si>
  <si>
    <t xml:space="preserve">366)Cover Panel / Pelmet Ply 18mm - WY_5216_D(V)_1mk_Polos ; Edg_EAW_5216D1_1sisi_pjg  </t>
  </si>
  <si>
    <t>1004 x 550 x 19</t>
  </si>
  <si>
    <t>1948 x 210 x 19</t>
  </si>
  <si>
    <t>1790 x 210 x 19</t>
  </si>
  <si>
    <t>2440 x 310 x 19</t>
  </si>
  <si>
    <t xml:space="preserve">483)HPL Lembaran WY_5216_D(V) 1mm - Polos ;  -  </t>
  </si>
  <si>
    <t>2000 x 95 x 1</t>
  </si>
  <si>
    <t>1490 x 95 x 1</t>
  </si>
  <si>
    <t>2000 x 840 x 1</t>
  </si>
  <si>
    <t>1490 x 840 x 1</t>
  </si>
  <si>
    <t>367)Cover Panel / Pelmet• Ply 18mm - L-FA_0206_AP_1mk_Polos ; Edg_DSS_00206_SM_1sisi_pjg  (alur_M_led_Blk)</t>
  </si>
  <si>
    <t>1025 x 400 x 19</t>
  </si>
  <si>
    <t>1721 x 400 x 19</t>
  </si>
  <si>
    <t>2440 x 400 x 19</t>
  </si>
  <si>
    <t>0B) Kotak Laci (rakit tukang)</t>
  </si>
  <si>
    <t>851 x 490 x 230</t>
  </si>
  <si>
    <t>851 x 490 x 135</t>
  </si>
  <si>
    <t>0B) Dasar Laci Pull Out (rakit tukang)</t>
  </si>
  <si>
    <t>360 x 490 x 19/28</t>
  </si>
  <si>
    <t xml:space="preserve">101)Dinding Samping Ply 18mm - HB_41130_1mk_Polos ; Edg Kll standart  </t>
  </si>
  <si>
    <t>732 x 560 x 18,5</t>
  </si>
  <si>
    <t>2404 x 600 x 18,5</t>
  </si>
  <si>
    <t xml:space="preserve">117)Dinding Atas Bawah ↓ Ply 18mm - HB_41130_1mk_Polos ; Edg 2sisi standart  </t>
  </si>
  <si>
    <t>867 x 560 x 18,5</t>
  </si>
  <si>
    <t xml:space="preserve">134)Palangan Ply 18mm - HB_41130+[Aica] ; Edg 2sisi standart  </t>
  </si>
  <si>
    <t>867 x 80 x 19</t>
  </si>
  <si>
    <t xml:space="preserve">139)Dinding Belakang Ply 6mm - HB_41130+[Aica] ;  -  </t>
  </si>
  <si>
    <t>710 x 883 x 7</t>
  </si>
  <si>
    <t>2343 x 581 x 7</t>
  </si>
  <si>
    <t>683 x 581 x 7</t>
  </si>
  <si>
    <t xml:space="preserve">176)Samping laci Ply 12mm - HB_41130_2mk ; Edg_Décor_1723_B_Keliling  </t>
  </si>
  <si>
    <t>490 x 230 x 13</t>
  </si>
  <si>
    <t>490 x 135 x 13</t>
  </si>
  <si>
    <t xml:space="preserve">179)Depan belakang laci Ply 12mm - HB_41130_2mk ; Edg_Décor_1723_B_1sisi_pjg  </t>
  </si>
  <si>
    <t>825 x 213 x 13</t>
  </si>
  <si>
    <t>825 x 118 x 13</t>
  </si>
  <si>
    <t xml:space="preserve">185)Dasar laci Ply 6mm - HB_41130+[Aica] ;  -  </t>
  </si>
  <si>
    <t>837 x 488 x 7</t>
  </si>
  <si>
    <t xml:space="preserve">104)Dinding Samping I Ply 18mm - WY_5216_D(V)_+_HB_41130 ; Edg_EAW_5216D1_Keliling  </t>
  </si>
  <si>
    <t>2404 x 600 x 19,5</t>
  </si>
  <si>
    <t xml:space="preserve">119)Dinding Atas Bawah Ply 18mm - HB_41130+[Aica] ; Edg 2sisi standart  </t>
  </si>
  <si>
    <t>564 x 600 x 19</t>
  </si>
  <si>
    <t>564 x 550 x 19</t>
  </si>
  <si>
    <t xml:space="preserve">122)Dinding Atas Bawah ≈ Ply 18mm - HB_41130_2mk ; Edg 2sisi standart  </t>
  </si>
  <si>
    <t xml:space="preserve">152)Ambalan mati Ply 18mm - HB_41130_2mk ; Edg_Décor_1723_B_1sisi_pjg  </t>
  </si>
  <si>
    <t>564 x 582 x 19</t>
  </si>
  <si>
    <t>564 x 526 x 19</t>
  </si>
  <si>
    <t xml:space="preserve">160)Sekat Ply 18mm - WY_5216_D(V)_+_HB_41130 ; Edg_Décor_1723_B_1sisi_pjg  </t>
  </si>
  <si>
    <t>1149 x 582 x 19,5</t>
  </si>
  <si>
    <t xml:space="preserve">156)Ambalan mati OS Ply 18mm - WY_5216_D(V)_2mk ; Edg_EAW_5216D1_1sisi_pjg  </t>
  </si>
  <si>
    <t>154 x 579 x 20</t>
  </si>
  <si>
    <t xml:space="preserve">358)Tutup laci dalam Ply 18mm - HB_41130_2mk ; Edg_Décor_1723_B_Keliling  </t>
  </si>
  <si>
    <t>65 x 370 x 19</t>
  </si>
  <si>
    <t xml:space="preserve">186)Dasar laci Pull Out Ply 18mm - HB_41130_2mk ; Edg_Décor_1723_B_Keliling  </t>
  </si>
  <si>
    <t>360 x 490 x 19</t>
  </si>
  <si>
    <t xml:space="preserve">333)Tutup laci Kaca S2 Ply 13,5mm - HB_41130+Aica ; Edg_EAW_5216D1_2sisi_pjg  </t>
  </si>
  <si>
    <t>296 x 902 x 14,5</t>
  </si>
  <si>
    <t>181 x 902 x 14,5</t>
  </si>
  <si>
    <t xml:space="preserve">145)Ambalan hidup Ply 18mm - HB_41130_2mk ; Edg_Décor_1723_B_Keliling  </t>
  </si>
  <si>
    <t>563 x 575 x 19</t>
  </si>
  <si>
    <t>506 x 50 x 19</t>
  </si>
  <si>
    <t xml:space="preserve">278)Pintu Kaca S2 Ply 13,5mm - HB_41130+Aica ; Edg_EAW_5216D1_2sisi_pjg  </t>
  </si>
  <si>
    <t>714 x 600 x 14,5</t>
  </si>
  <si>
    <t>1196 x 408 x 14,5</t>
  </si>
  <si>
    <t>1196 x 190 x 14,5</t>
  </si>
  <si>
    <t xml:space="preserve">0) </t>
  </si>
  <si>
    <t>MG_Purewhite 5 Polos</t>
  </si>
  <si>
    <t>295;901;1;MG_Purewhite 5 Polos;5;Kaca_;-1; ;; ;; ;; ;</t>
  </si>
  <si>
    <t>180;901;2;MG_Purewhite 5 Polos;5;Kaca_;-1; ;; ;; ;; ;</t>
  </si>
  <si>
    <t>713;599;1;MG_Purewhite 5 Polos;5;Kaca_;-1; ;; ;; ;; ;</t>
  </si>
  <si>
    <t>1195;407;1;MG_Purewhite 5 Polos;5;Kaca_;-1; ;; ;; ;; ;</t>
  </si>
  <si>
    <t>1195;189;1;MG_Purewhite 5 Polos;5;Kaca_;-1; ;; ;; ;; ;</t>
  </si>
  <si>
    <t>Ply 12 HB_41130_2mk</t>
  </si>
  <si>
    <t>490;230;2;Ply 12 HB_41130_2mk;13;Samping laci;-1;Edg_Décor_1723_B;1;Edg_Décor_1723_B;1;Edg_Décor_1723_B;1;Edg_Décor_1723_B;1</t>
  </si>
  <si>
    <t>490;135;4;Ply 12 HB_41130_2mk;13;Samping laci;-1;Edg_Décor_1723_B;1;Edg_Décor_1723_B;1;Edg_Décor_1723_B;1;Edg_Décor_1723_B;1</t>
  </si>
  <si>
    <t>825;213;2;Ply 12 HB_41130_2mk;13;Depan belakang laci;-1; ;; ;;Edg_Décor_1723_B;1; ;</t>
  </si>
  <si>
    <t>825;118;4;Ply 12 HB_41130_2mk;13;Depan belakang laci;-1; ;; ;;Edg_Décor_1723_B;1; ;</t>
  </si>
  <si>
    <t>Ply 13,5 HB_41130+Aica</t>
  </si>
  <si>
    <t>Ply 18 HB_41130_1mk_Polos</t>
  </si>
  <si>
    <t>732;560;1;Ply 18 HB_41130_1mk_Polos;18,5;Dinding Samping;-1;Melanor;0,5;Melanor;0,5;Edg_Décor_1723_B;1;Melanor;0,5</t>
  </si>
  <si>
    <t>2404;600;1;Ply 18 HB_41130_1mk_Polos;18,5;Dinding Samping;-1;Melanor;0,5;Melanor;0,5;Edg_Décor_1723_B;1;Melanor;0,5</t>
  </si>
  <si>
    <t>867;560;1;Ply 18 HB_41130_1mk_Polos;18,5;Dinding Atas Bawah ↓;-1; ;; ;;Edg_Décor_1723_B;1;Melanor;0,5</t>
  </si>
  <si>
    <t>Ply 18 HB_41130_2mk</t>
  </si>
  <si>
    <t>564;550;1;Ply 18 HB_41130_2mk;19;Dinding Atas Bawah ≈;-1; ;; ;;Edg_Décor_1723_B;1;Melanor;0,5</t>
  </si>
  <si>
    <t>564;582;1;Ply 18 HB_41130_2mk;19;Ambalan mati;-1; ;; ;;Edg_Décor_1723_B;1; ;</t>
  </si>
  <si>
    <t>564;526;1;Ply 18 HB_41130_2mk;19;Ambalan mati;-1; ;; ;;Edg_Décor_1723_B;1; ;</t>
  </si>
  <si>
    <t>563;575;1;Ply 18 HB_41130_2mk;19;Ambalan hidup;-1;Edg_Décor_1723_B;1;Edg_Décor_1723_B;1;Edg_Décor_1723_B;1;Edg_Décor_1723_B;1</t>
  </si>
  <si>
    <t>506;50;1;Ply 18 HB_41130_2mk;19;Ambalan hidup;-1;Edg_Décor_1723_B;1;Edg_Décor_1723_B;1;Edg_Décor_1723_B;1;Edg_Décor_1723_B;1</t>
  </si>
  <si>
    <t>65;370;1;Ply 18 HB_41130_2mk;19;Tutup laci dalam;-1;Edg_Décor_1723_B;1;Edg_Décor_1723_B;1;Edg_Décor_1723_B;1;Edg_Décor_1723_B;1</t>
  </si>
  <si>
    <t>360;490;1;Ply 18 HB_41130_2mk;19;Dasar laci Pull Out;-1;Edg_Décor_1723_B;1;Edg_Décor_1723_B;1;Edg_Décor_1723_B;1;Edg_Décor_1723_B;1</t>
  </si>
  <si>
    <t>Ply 18 HB_41130+[Aica]</t>
  </si>
  <si>
    <t>867;80;2;Ply 18 HB_41130+[Aica];19;Palangan;-1; ;; ;;Edg_Décor_1723_B;1;Melanor;0,5</t>
  </si>
  <si>
    <t>564;600;1;Ply 18 HB_41130+[Aica];19;Dinding Atas Bawah;-1; ;; ;;Edg_Décor_1723_B;1;Melanor;0,5</t>
  </si>
  <si>
    <t>564;550;1;Ply 18 HB_41130+[Aica];19;Dinding Atas Bawah;-1; ;; ;;Edg_Décor_1723_B;1;Melanor;0,5</t>
  </si>
  <si>
    <t>2404;600;1;Ply 18 WY_5216_D(V)_+_HB_41130;19,5;Dinding Samping I;-1;Edg_EAW_5216D1;;Edg_EAW_5216D1;;Edg_EAW_5216D1;;Edg_EAW_5216D1;</t>
  </si>
  <si>
    <t>1149;582;1;Ply 18 WY_5216_D(V)_+_HB_41130;19,5;Sekat;-1; ;; ;;Edg_Décor_1723_B;1; ;</t>
  </si>
  <si>
    <t>Ply 6 HB_41130+[Aica]</t>
  </si>
  <si>
    <t>710;883;1;Ply 6 HB_41130+[Aica];7;Dinding Belakang;-1; ;; ;; ;; ;</t>
  </si>
  <si>
    <t>2343;581;1;Ply 6 HB_41130+[Aica];7;Dinding Belakang;-1; ;; ;; ;; ;</t>
  </si>
  <si>
    <t>683;581;1;Ply 6 HB_41130+[Aica];7;Dinding Belakang;-1; ;; ;; ;; ;</t>
  </si>
  <si>
    <t>837;488;1;Ply 6 HB_41130+[Aica];7;Dasar laci;-1; ;; ;; ;; ;</t>
  </si>
  <si>
    <t>837;488;2;Ply 6 HB_41130+[Aica];7;Dasar laci;-1; ;; ;; ;; ;</t>
  </si>
  <si>
    <t xml:space="preserve">3000    </t>
  </si>
  <si>
    <t>300 x 902 x 20</t>
  </si>
  <si>
    <t>185 x 902 x 20</t>
  </si>
  <si>
    <t>718 x 600 x 20</t>
  </si>
  <si>
    <t>1200 x 408 x 20</t>
  </si>
  <si>
    <t>1200 x 190 x 20</t>
  </si>
  <si>
    <t>295 x 901 x 5</t>
  </si>
  <si>
    <t>180 x 901 x 5</t>
  </si>
  <si>
    <t>713 x 599 x 5</t>
  </si>
  <si>
    <t>1195 x 407 x 5</t>
  </si>
  <si>
    <t>1195 x 189 x 5</t>
  </si>
  <si>
    <t>535)Kaca_ MG_Purewhite 5mm -  ;  -  (u/_S2) ; (pasang_rakit)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</si>
</sst>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mmm\-yyyy;@"/>
    <numFmt numFmtId="165" formatCode="0.0"/>
    <numFmt numFmtId="166" formatCode="[$-409]d\-mmm\-yy;@"/>
    <numFmt numFmtId="167" formatCode="0.000"/>
    <numFmt numFmtId="168" formatCode="[$-F800]dddd\,\ mmmm\ dd\,\ yyyy"/>
  </numFmts>
  <fonts count="191">
    <font>
      <sz val="12"/>
      <name val="Times New Roman"/>
      <family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u/>
      <sz val="16"/>
      <color indexed="8"/>
      <name val="Arial"/>
      <family val="2"/>
    </font>
    <font>
      <sz val="11"/>
      <color indexed="8"/>
      <name val="Arial"/>
      <family val="2"/>
    </font>
    <font>
      <b/>
      <sz val="11"/>
      <color indexed="8"/>
      <name val="Arial"/>
      <family val="2"/>
    </font>
    <font>
      <b/>
      <sz val="10"/>
      <color indexed="8"/>
      <name val="Arial"/>
      <family val="2"/>
    </font>
    <font>
      <sz val="10"/>
      <color indexed="8"/>
      <name val="Arial"/>
      <family val="2"/>
    </font>
    <font>
      <sz val="12"/>
      <color indexed="8"/>
      <name val="Arial"/>
      <family val="2"/>
    </font>
    <font>
      <b/>
      <sz val="12"/>
      <color indexed="8"/>
      <name val="Arial"/>
      <family val="2"/>
    </font>
    <font>
      <b/>
      <sz val="12"/>
      <name val="Times New Roman"/>
      <family val="1"/>
    </font>
    <font>
      <u/>
      <sz val="11"/>
      <color indexed="8"/>
      <name val="Times New Roman"/>
      <family val="1"/>
    </font>
    <font>
      <sz val="11"/>
      <color indexed="8"/>
      <name val="Calibri"/>
      <family val="2"/>
    </font>
    <font>
      <b/>
      <sz val="14"/>
      <color indexed="8"/>
      <name val="Arial"/>
      <family val="2"/>
    </font>
    <font>
      <b/>
      <sz val="10"/>
      <name val="Microsoft Sans Serif"/>
      <family val="2"/>
    </font>
    <font>
      <sz val="10"/>
      <name val="Microsoft Sans Serif"/>
      <family val="2"/>
    </font>
    <font>
      <b/>
      <sz val="11"/>
      <name val="Microsoft Sans Serif"/>
      <family val="2"/>
    </font>
    <font>
      <sz val="10"/>
      <name val="Swis721 BT"/>
      <family val="2"/>
    </font>
    <font>
      <sz val="10"/>
      <name val="Arial"/>
      <family val="2"/>
    </font>
    <font>
      <u/>
      <sz val="14"/>
      <name val="Arial"/>
      <family val="2"/>
    </font>
    <font>
      <b/>
      <sz val="10"/>
      <name val="Arial"/>
      <family val="2"/>
    </font>
    <font>
      <b/>
      <sz val="11"/>
      <name val="Arial"/>
      <family val="2"/>
    </font>
    <font>
      <sz val="11"/>
      <name val="Arial"/>
      <family val="2"/>
    </font>
    <font>
      <u/>
      <sz val="10"/>
      <name val="Arial"/>
      <family val="2"/>
    </font>
    <font>
      <b/>
      <sz val="9"/>
      <name val="Arial"/>
      <family val="2"/>
    </font>
    <font>
      <sz val="9"/>
      <name val="Arial"/>
      <family val="2"/>
    </font>
    <font>
      <b/>
      <sz val="10"/>
      <color indexed="9"/>
      <name val="Swis721 BT"/>
      <family val="2"/>
    </font>
    <font>
      <b/>
      <sz val="10"/>
      <name val="Swis721 BT"/>
      <family val="2"/>
    </font>
    <font>
      <i/>
      <sz val="10"/>
      <name val="Swis721 BT"/>
      <family val="2"/>
    </font>
    <font>
      <sz val="9"/>
      <name val="Swis721 BT"/>
      <family val="2"/>
    </font>
    <font>
      <b/>
      <u/>
      <sz val="14"/>
      <name val="Arial"/>
      <family val="2"/>
    </font>
    <font>
      <i/>
      <u/>
      <sz val="12"/>
      <name val="Times New Roman"/>
      <family val="1"/>
    </font>
    <font>
      <u/>
      <sz val="9"/>
      <name val="Arial"/>
      <family val="2"/>
    </font>
    <font>
      <sz val="9"/>
      <color indexed="8"/>
      <name val="Arial"/>
      <family val="2"/>
    </font>
    <font>
      <i/>
      <u/>
      <sz val="12"/>
      <color indexed="8"/>
      <name val="Arial"/>
      <family val="2"/>
    </font>
    <font>
      <sz val="12"/>
      <color indexed="8"/>
      <name val="Calibri"/>
      <family val="2"/>
    </font>
    <font>
      <sz val="10"/>
      <name val="Times New Roman"/>
      <family val="1"/>
    </font>
    <font>
      <b/>
      <u/>
      <sz val="10"/>
      <name val="Arial"/>
      <family val="2"/>
    </font>
    <font>
      <sz val="12"/>
      <name val="Arial"/>
      <family val="2"/>
    </font>
    <font>
      <b/>
      <u/>
      <sz val="12"/>
      <name val="Times New Roman"/>
      <family val="1"/>
    </font>
    <font>
      <b/>
      <sz val="8"/>
      <name val="Times New Roman"/>
      <family val="1"/>
    </font>
    <font>
      <b/>
      <i/>
      <sz val="12"/>
      <name val="Times New Roman"/>
      <family val="1"/>
    </font>
    <font>
      <sz val="9"/>
      <name val="Times New Roman"/>
      <family val="1"/>
    </font>
    <font>
      <sz val="8"/>
      <name val="Times New Roman"/>
      <family val="1"/>
    </font>
    <font>
      <b/>
      <sz val="9"/>
      <name val="Times New Roman"/>
      <family val="1"/>
    </font>
    <font>
      <i/>
      <u/>
      <sz val="8"/>
      <name val="Times New Roman"/>
      <family val="1"/>
    </font>
    <font>
      <b/>
      <sz val="11"/>
      <name val="Times New Roman"/>
      <family val="1"/>
    </font>
    <font>
      <i/>
      <sz val="10"/>
      <name val="Times New Roman"/>
      <family val="1"/>
    </font>
    <font>
      <b/>
      <i/>
      <sz val="10"/>
      <name val="Times New Roman"/>
      <family val="1"/>
    </font>
    <font>
      <b/>
      <sz val="10"/>
      <name val="Times New Roman"/>
      <family val="1"/>
    </font>
    <font>
      <i/>
      <sz val="12"/>
      <name val="Times New Roman"/>
      <family val="1"/>
    </font>
    <font>
      <b/>
      <i/>
      <u/>
      <sz val="12"/>
      <name val="Times New Roman"/>
      <family val="1"/>
    </font>
    <font>
      <sz val="10"/>
      <name val="Tw Cen MT"/>
      <family val="2"/>
    </font>
    <font>
      <u/>
      <sz val="12"/>
      <name val="Times New Roman"/>
      <family val="1"/>
    </font>
    <font>
      <sz val="8"/>
      <name val="Swis721 BT"/>
      <family val="2"/>
    </font>
    <font>
      <sz val="8"/>
      <name val="Arial"/>
      <family val="2"/>
    </font>
    <font>
      <sz val="10"/>
      <name val="Arial Narrow"/>
      <family val="2"/>
    </font>
    <font>
      <b/>
      <u/>
      <sz val="14"/>
      <name val="Swis721 BT"/>
      <family val="2"/>
    </font>
    <font>
      <u/>
      <sz val="14"/>
      <name val="Swis721 BT"/>
      <family val="2"/>
    </font>
    <font>
      <i/>
      <sz val="9"/>
      <name val="Arial"/>
      <family val="2"/>
    </font>
    <font>
      <sz val="10"/>
      <color indexed="8"/>
      <name val="Tw Cen MT"/>
      <family val="2"/>
    </font>
    <font>
      <sz val="10"/>
      <color indexed="10"/>
      <name val="Arial Narrow"/>
      <family val="2"/>
    </font>
    <font>
      <sz val="10"/>
      <color indexed="8"/>
      <name val="Arial Narrow"/>
      <family val="2"/>
    </font>
    <font>
      <b/>
      <sz val="10"/>
      <color indexed="10"/>
      <name val="Swis721 BT"/>
      <family val="2"/>
    </font>
    <font>
      <sz val="10"/>
      <color indexed="8"/>
      <name val="Calibri"/>
      <family val="2"/>
    </font>
    <font>
      <sz val="10"/>
      <name val="Calibri"/>
      <family val="2"/>
    </font>
    <font>
      <sz val="12"/>
      <color indexed="8"/>
      <name val="Arial Narrow"/>
      <family val="2"/>
    </font>
    <font>
      <sz val="12"/>
      <name val="Arial Narrow"/>
      <family val="2"/>
    </font>
    <font>
      <sz val="10"/>
      <color indexed="20"/>
      <name val="Arial Narrow"/>
      <family val="2"/>
    </font>
    <font>
      <sz val="11"/>
      <name val="Calibri"/>
      <family val="2"/>
    </font>
    <font>
      <i/>
      <sz val="11"/>
      <name val="Calibri"/>
      <family val="2"/>
    </font>
    <font>
      <b/>
      <sz val="11"/>
      <name val="Calibri"/>
      <family val="2"/>
    </font>
    <font>
      <b/>
      <i/>
      <sz val="12"/>
      <color indexed="53"/>
      <name val="Times New Roman"/>
      <family val="1"/>
    </font>
    <font>
      <i/>
      <sz val="12"/>
      <color indexed="53"/>
      <name val="Times New Roman"/>
      <family val="1"/>
    </font>
    <font>
      <b/>
      <sz val="9"/>
      <name val="Tahoma"/>
      <family val="2"/>
    </font>
    <font>
      <b/>
      <sz val="12"/>
      <color theme="2"/>
      <name val="Arial"/>
      <family val="2"/>
    </font>
    <font>
      <b/>
      <sz val="8"/>
      <color theme="2"/>
      <name val="Arial"/>
      <family val="2"/>
    </font>
    <font>
      <sz val="12"/>
      <color rgb="FFFF0000"/>
      <name val="Times New Roman"/>
      <family val="1"/>
    </font>
    <font>
      <sz val="10"/>
      <color rgb="FFFF0000"/>
      <name val="Arial"/>
      <family val="2"/>
    </font>
    <font>
      <b/>
      <sz val="12"/>
      <color rgb="FFFF0000"/>
      <name val="Times New Roman"/>
      <family val="1"/>
    </font>
    <font>
      <i/>
      <u/>
      <sz val="12"/>
      <color rgb="FFFF0000"/>
      <name val="Times New Roman"/>
      <family val="1"/>
    </font>
    <font>
      <sz val="10"/>
      <color rgb="FFFF0000"/>
      <name val="Times New Roman"/>
      <family val="1"/>
    </font>
    <font>
      <sz val="8"/>
      <color rgb="FFFF0000"/>
      <name val="Times New Roman"/>
      <family val="1"/>
    </font>
    <font>
      <i/>
      <sz val="10"/>
      <color rgb="FFFF0000"/>
      <name val="Times New Roman"/>
      <family val="1"/>
    </font>
    <font>
      <b/>
      <i/>
      <sz val="12"/>
      <color rgb="FFFF0000"/>
      <name val="Times New Roman"/>
      <family val="1"/>
    </font>
    <font>
      <i/>
      <sz val="12"/>
      <color rgb="FFFF0000"/>
      <name val="Times New Roman"/>
      <family val="1"/>
    </font>
    <font>
      <u/>
      <sz val="10"/>
      <color indexed="8"/>
      <name val="Arial"/>
      <family val="2"/>
    </font>
    <font>
      <b/>
      <sz val="8"/>
      <name val="Arial"/>
      <family val="2"/>
    </font>
    <font>
      <b/>
      <i/>
      <sz val="9"/>
      <name val="Arial"/>
      <family val="2"/>
    </font>
    <font>
      <sz val="12"/>
      <name val="Times New Roman"/>
      <family val="1"/>
    </font>
    <font>
      <sz val="9"/>
      <color indexed="81"/>
      <name val="Tahoma"/>
      <family val="2"/>
    </font>
    <font>
      <b/>
      <sz val="9"/>
      <color indexed="81"/>
      <name val="Tahoma"/>
      <family val="2"/>
    </font>
    <font>
      <sz val="11"/>
      <color theme="1"/>
      <name val="Times New Roman"/>
      <family val="1"/>
    </font>
    <font>
      <sz val="12"/>
      <color theme="1"/>
      <name val="Times New Roman"/>
      <family val="1"/>
    </font>
    <font>
      <i/>
      <sz val="10"/>
      <name val="Arial"/>
      <family val="2"/>
    </font>
    <font>
      <sz val="10"/>
      <color theme="1"/>
      <name val="Arial"/>
      <family val="2"/>
    </font>
    <font>
      <sz val="9"/>
      <name val="Trebuchet MS"/>
      <family val="2"/>
    </font>
    <font>
      <b/>
      <sz val="10"/>
      <color indexed="8"/>
      <name val="Trebuchet MS"/>
      <family val="2"/>
    </font>
    <font>
      <sz val="9"/>
      <color indexed="8"/>
      <name val="Trebuchet MS"/>
      <family val="2"/>
    </font>
    <font>
      <sz val="9"/>
      <color indexed="10"/>
      <name val="Trebuchet MS"/>
      <family val="2"/>
    </font>
    <font>
      <b/>
      <sz val="10"/>
      <name val="Trebuchet MS"/>
      <family val="2"/>
    </font>
    <font>
      <sz val="11"/>
      <name val="Trebuchet MS"/>
      <family val="2"/>
    </font>
    <font>
      <sz val="11"/>
      <color indexed="8"/>
      <name val="Trebuchet MS"/>
      <family val="2"/>
    </font>
    <font>
      <sz val="10"/>
      <name val="Trebuchet MS"/>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0"/>
      <name val="Tahoma"/>
      <family val="2"/>
    </font>
    <font>
      <sz val="8"/>
      <name val="Tahoma"/>
      <family val="2"/>
    </font>
    <font>
      <b/>
      <u/>
      <sz val="11"/>
      <color indexed="8"/>
      <name val="Times New Roman"/>
      <family val="1"/>
    </font>
    <font>
      <sz val="12"/>
      <color indexed="8"/>
      <name val="Times New Roman"/>
      <family val="1"/>
    </font>
    <font>
      <b/>
      <sz val="14"/>
      <color indexed="8"/>
      <name val="Calibri"/>
      <family val="2"/>
    </font>
    <font>
      <b/>
      <sz val="12"/>
      <color indexed="8"/>
      <name val="Calibri"/>
      <family val="2"/>
    </font>
    <font>
      <b/>
      <i/>
      <u val="double"/>
      <sz val="12"/>
      <color indexed="8"/>
      <name val="Calibri"/>
      <family val="2"/>
    </font>
    <font>
      <i/>
      <sz val="9"/>
      <color indexed="8"/>
      <name val="Calibri"/>
      <family val="2"/>
    </font>
    <font>
      <b/>
      <sz val="14"/>
      <color indexed="8"/>
      <name val="Algerian"/>
      <family val="5"/>
    </font>
    <font>
      <b/>
      <sz val="9"/>
      <color indexed="8"/>
      <name val="Calibri"/>
      <family val="2"/>
    </font>
    <font>
      <sz val="11"/>
      <name val="Times New Roman"/>
      <family val="1"/>
    </font>
    <font>
      <sz val="11"/>
      <name val="Tahoma"/>
      <family val="2"/>
    </font>
    <font>
      <sz val="11"/>
      <color indexed="8"/>
      <name val="Times New Roman"/>
      <family val="1"/>
    </font>
    <font>
      <b/>
      <sz val="16"/>
      <color indexed="8"/>
      <name val="Arial"/>
      <family val="2"/>
    </font>
    <font>
      <b/>
      <sz val="14"/>
      <name val="Arial"/>
      <family val="2"/>
    </font>
    <font>
      <u/>
      <sz val="12"/>
      <color rgb="FFFF0000"/>
      <name val="Times New Roman"/>
      <family val="1"/>
    </font>
    <font>
      <sz val="11"/>
      <name val="Calibri"/>
      <family val="2"/>
      <scheme val="minor"/>
    </font>
    <font>
      <b/>
      <i/>
      <u/>
      <sz val="10"/>
      <name val="Arial"/>
      <family val="2"/>
    </font>
  </fonts>
  <fills count="51">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51"/>
        <bgColor indexed="64"/>
      </patternFill>
    </fill>
    <fill>
      <patternFill patternType="solid">
        <fgColor indexed="40"/>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00B050"/>
        <bgColor indexed="64"/>
      </patternFill>
    </fill>
    <fill>
      <patternFill patternType="solid">
        <fgColor rgb="FF00B0F0"/>
        <bgColor indexed="64"/>
      </patternFill>
    </fill>
    <fill>
      <patternFill patternType="solid">
        <fgColor theme="9"/>
        <bgColor indexed="64"/>
      </patternFill>
    </fill>
    <fill>
      <patternFill patternType="solid">
        <fgColor rgb="FFFFC0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theme="8"/>
        <bgColor indexed="64"/>
      </patternFill>
    </fill>
    <fill>
      <patternFill patternType="solid">
        <fgColor theme="9" tint="-0.249977111117893"/>
        <bgColor indexed="64"/>
      </patternFill>
    </fill>
    <fill>
      <patternFill patternType="solid">
        <fgColor theme="4" tint="0.79998168889431442"/>
        <bgColor indexed="65"/>
      </patternFill>
    </fill>
    <fill>
      <patternFill patternType="solid">
        <fgColor theme="2" tint="-0.249977111117893"/>
        <bgColor indexed="64"/>
      </patternFill>
    </fill>
    <fill>
      <patternFill patternType="solid">
        <fgColor theme="0" tint="-0.34998626667073579"/>
        <bgColor indexed="64"/>
      </patternFill>
    </fill>
  </fills>
  <borders count="95">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ouble">
        <color indexed="64"/>
      </left>
      <right/>
      <top style="double">
        <color indexed="64"/>
      </top>
      <bottom/>
      <diagonal/>
    </border>
    <border>
      <left style="double">
        <color indexed="64"/>
      </left>
      <right/>
      <top/>
      <bottom style="double">
        <color indexed="64"/>
      </bottom>
      <diagonal/>
    </border>
    <border>
      <left style="hair">
        <color indexed="64"/>
      </left>
      <right/>
      <top style="hair">
        <color indexed="64"/>
      </top>
      <bottom style="hair">
        <color indexed="64"/>
      </bottom>
      <diagonal/>
    </border>
    <border>
      <left/>
      <right/>
      <top style="hair">
        <color indexed="64"/>
      </top>
      <bottom/>
      <diagonal/>
    </border>
    <border>
      <left style="thin">
        <color indexed="8"/>
      </left>
      <right/>
      <top style="thin">
        <color indexed="8"/>
      </top>
      <bottom/>
      <diagonal/>
    </border>
    <border>
      <left style="thin">
        <color indexed="65"/>
      </left>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top/>
      <bottom style="medium">
        <color indexed="64"/>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bottom/>
      <diagonal/>
    </border>
    <border>
      <left style="thin">
        <color indexed="65"/>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8"/>
      </left>
      <right style="thin">
        <color indexed="8"/>
      </right>
      <top style="hair">
        <color indexed="8"/>
      </top>
      <bottom style="hair">
        <color indexed="8"/>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rgb="FF000000"/>
      </left>
      <right style="thin">
        <color rgb="FF000000"/>
      </right>
      <top style="thin">
        <color rgb="FF000000"/>
      </top>
      <bottom style="thin">
        <color rgb="FF000000"/>
      </bottom>
      <diagonal/>
    </border>
    <border>
      <left/>
      <right/>
      <top/>
      <bottom style="thin">
        <color theme="1"/>
      </bottom>
      <diagonal/>
    </border>
    <border>
      <left style="thin">
        <color indexed="64"/>
      </left>
      <right/>
      <top style="thin">
        <color indexed="64"/>
      </top>
      <bottom style="thin">
        <color indexed="64"/>
      </bottom>
      <diagonal/>
    </border>
    <border>
      <left style="thin">
        <color indexed="65"/>
      </left>
      <right/>
      <top style="thin">
        <color indexed="64"/>
      </top>
      <bottom style="thin">
        <color indexed="64"/>
      </bottom>
      <diagonal/>
    </border>
    <border>
      <left style="thin">
        <color indexed="8"/>
      </left>
      <right style="thin">
        <color indexed="8"/>
      </right>
      <top style="thin">
        <color indexed="8"/>
      </top>
      <bottom style="thin">
        <color indexed="64"/>
      </bottom>
      <diagonal/>
    </border>
    <border>
      <left style="thin">
        <color indexed="8"/>
      </left>
      <right/>
      <top style="thin">
        <color indexed="64"/>
      </top>
      <bottom/>
      <diagonal/>
    </border>
    <border>
      <left style="thin">
        <color indexed="65"/>
      </left>
      <right/>
      <top style="thin">
        <color indexed="64"/>
      </top>
      <bottom/>
      <diagonal/>
    </border>
    <border>
      <left style="thin">
        <color indexed="8"/>
      </left>
      <right style="thin">
        <color indexed="8"/>
      </right>
      <top style="thin">
        <color indexed="64"/>
      </top>
      <bottom/>
      <diagonal/>
    </border>
    <border>
      <left style="thin">
        <color indexed="8"/>
      </left>
      <right/>
      <top style="thin">
        <color indexed="8"/>
      </top>
      <bottom style="thin">
        <color indexed="64"/>
      </bottom>
      <diagonal/>
    </border>
    <border>
      <left/>
      <right style="thin">
        <color indexed="64"/>
      </right>
      <top style="medium">
        <color indexed="64"/>
      </top>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top/>
      <bottom style="thin">
        <color indexed="8"/>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right style="thin">
        <color indexed="8"/>
      </right>
      <top style="thin">
        <color indexed="8"/>
      </top>
      <bottom/>
      <diagonal/>
    </border>
    <border>
      <left/>
      <right/>
      <top style="hair">
        <color indexed="8"/>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8"/>
      </left>
      <right/>
      <top style="thin">
        <color indexed="65"/>
      </top>
      <bottom style="thin">
        <color indexed="8"/>
      </bottom>
      <diagonal/>
    </border>
    <border>
      <left style="thin">
        <color indexed="8"/>
      </left>
      <right style="thin">
        <color indexed="8"/>
      </right>
      <top/>
      <bottom style="thin">
        <color indexed="8"/>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999999"/>
      </right>
      <top/>
      <bottom style="thin">
        <color indexed="64"/>
      </bottom>
      <diagonal/>
    </border>
    <border>
      <left style="thin">
        <color indexed="65"/>
      </left>
      <right/>
      <top style="thin">
        <color rgb="FF999999"/>
      </top>
      <bottom style="thin">
        <color rgb="FF999999"/>
      </bottom>
      <diagonal/>
    </border>
    <border>
      <left style="thin">
        <color indexed="64"/>
      </left>
      <right style="thin">
        <color indexed="64"/>
      </right>
      <top style="thin">
        <color rgb="FF999999"/>
      </top>
      <bottom/>
      <diagonal/>
    </border>
    <border>
      <left style="thin">
        <color indexed="64"/>
      </left>
      <right style="thin">
        <color indexed="64"/>
      </right>
      <top style="thin">
        <color rgb="FF999999"/>
      </top>
      <bottom style="thin">
        <color indexed="64"/>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indexed="64"/>
      </top>
      <bottom style="thin">
        <color indexed="64"/>
      </bottom>
      <diagonal/>
    </border>
    <border>
      <left style="thin">
        <color rgb="FF999999"/>
      </left>
      <right style="thin">
        <color indexed="64"/>
      </right>
      <top style="thin">
        <color indexed="64"/>
      </top>
      <bottom style="thin">
        <color indexed="64"/>
      </bottom>
      <diagonal/>
    </border>
    <border>
      <left style="thin">
        <color rgb="FF999999"/>
      </left>
      <right style="thin">
        <color indexed="64"/>
      </right>
      <top style="thin">
        <color rgb="FF999999"/>
      </top>
      <bottom/>
      <diagonal/>
    </border>
    <border>
      <left style="thin">
        <color rgb="FF999999"/>
      </left>
      <right/>
      <top/>
      <bottom/>
      <diagonal/>
    </border>
    <border>
      <left style="thin">
        <color indexed="64"/>
      </left>
      <right style="thin">
        <color indexed="64"/>
      </right>
      <top style="thin">
        <color indexed="65"/>
      </top>
      <bottom style="thin">
        <color indexed="64"/>
      </bottom>
      <diagonal/>
    </border>
    <border>
      <left style="thin">
        <color indexed="64"/>
      </left>
      <right style="thin">
        <color indexed="64"/>
      </right>
      <top style="thin">
        <color indexed="65"/>
      </top>
      <bottom/>
      <diagonal/>
    </border>
    <border>
      <left style="thin">
        <color rgb="FF999999"/>
      </left>
      <right style="thin">
        <color rgb="FF999999"/>
      </right>
      <top/>
      <bottom/>
      <diagonal/>
    </border>
    <border>
      <left style="thin">
        <color rgb="FF999999"/>
      </left>
      <right/>
      <top/>
      <bottom style="thin">
        <color rgb="FF999999"/>
      </bottom>
      <diagonal/>
    </border>
    <border>
      <left style="thin">
        <color rgb="FF999999"/>
      </left>
      <right style="thin">
        <color rgb="FF999999"/>
      </right>
      <top/>
      <bottom style="thin">
        <color rgb="FF999999"/>
      </bottom>
      <diagonal/>
    </border>
  </borders>
  <cellStyleXfs count="183">
    <xf numFmtId="0" fontId="0" fillId="0" borderId="0">
      <alignment vertical="center"/>
    </xf>
    <xf numFmtId="0" fontId="71" fillId="0" borderId="0" applyProtection="0"/>
    <xf numFmtId="0" fontId="65" fillId="0" borderId="0" applyProtection="0"/>
    <xf numFmtId="0" fontId="71" fillId="0" borderId="0" applyProtection="0"/>
    <xf numFmtId="0" fontId="65" fillId="0" borderId="0" applyProtection="0"/>
    <xf numFmtId="0" fontId="65" fillId="0" borderId="0" applyProtection="0"/>
    <xf numFmtId="0" fontId="71" fillId="0" borderId="0" applyProtection="0">
      <alignment vertical="center"/>
    </xf>
    <xf numFmtId="0" fontId="71" fillId="0" borderId="0" applyProtection="0"/>
    <xf numFmtId="0" fontId="65" fillId="0" borderId="0" applyProtection="0"/>
    <xf numFmtId="0" fontId="71" fillId="0" borderId="0"/>
    <xf numFmtId="0" fontId="65" fillId="0" borderId="0" applyProtection="0"/>
    <xf numFmtId="0" fontId="65" fillId="0" borderId="0" applyProtection="0"/>
    <xf numFmtId="0" fontId="65" fillId="0" borderId="0" applyProtection="0"/>
    <xf numFmtId="0" fontId="55" fillId="0" borderId="0"/>
    <xf numFmtId="0" fontId="54" fillId="0" borderId="0"/>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71" fillId="0" borderId="0"/>
    <xf numFmtId="0" fontId="65" fillId="24" borderId="0" applyNumberFormat="0" applyBorder="0" applyAlignment="0" applyProtection="0"/>
    <xf numFmtId="0" fontId="65" fillId="25" borderId="0" applyNumberFormat="0" applyBorder="0" applyAlignment="0" applyProtection="0"/>
    <xf numFmtId="0" fontId="65" fillId="26" borderId="0" applyNumberFormat="0" applyBorder="0" applyAlignment="0" applyProtection="0"/>
    <xf numFmtId="0" fontId="65" fillId="27" borderId="0" applyNumberFormat="0" applyBorder="0" applyAlignment="0" applyProtection="0"/>
    <xf numFmtId="0" fontId="65" fillId="28" borderId="0" applyNumberFormat="0" applyBorder="0" applyAlignment="0" applyProtection="0"/>
    <xf numFmtId="0" fontId="65" fillId="29" borderId="0" applyNumberFormat="0" applyBorder="0" applyAlignment="0" applyProtection="0"/>
    <xf numFmtId="0" fontId="65" fillId="30" borderId="0" applyNumberFormat="0" applyBorder="0" applyAlignment="0" applyProtection="0"/>
    <xf numFmtId="0" fontId="65" fillId="31" borderId="0" applyNumberFormat="0" applyBorder="0" applyAlignment="0" applyProtection="0"/>
    <xf numFmtId="0" fontId="65" fillId="32" borderId="0" applyNumberFormat="0" applyBorder="0" applyAlignment="0" applyProtection="0"/>
    <xf numFmtId="0" fontId="65" fillId="27" borderId="0" applyNumberFormat="0" applyBorder="0" applyAlignment="0" applyProtection="0"/>
    <xf numFmtId="0" fontId="65" fillId="30" borderId="0" applyNumberFormat="0" applyBorder="0" applyAlignment="0" applyProtection="0"/>
    <xf numFmtId="0" fontId="65" fillId="33" borderId="0" applyNumberFormat="0" applyBorder="0" applyAlignment="0" applyProtection="0"/>
    <xf numFmtId="0" fontId="157" fillId="34" borderId="0" applyNumberFormat="0" applyBorder="0" applyAlignment="0" applyProtection="0"/>
    <xf numFmtId="0" fontId="157" fillId="31" borderId="0" applyNumberFormat="0" applyBorder="0" applyAlignment="0" applyProtection="0"/>
    <xf numFmtId="0" fontId="157" fillId="32" borderId="0" applyNumberFormat="0" applyBorder="0" applyAlignment="0" applyProtection="0"/>
    <xf numFmtId="0" fontId="157" fillId="35" borderId="0" applyNumberFormat="0" applyBorder="0" applyAlignment="0" applyProtection="0"/>
    <xf numFmtId="0" fontId="157" fillId="36" borderId="0" applyNumberFormat="0" applyBorder="0" applyAlignment="0" applyProtection="0"/>
    <xf numFmtId="0" fontId="157" fillId="37" borderId="0" applyNumberFormat="0" applyBorder="0" applyAlignment="0" applyProtection="0"/>
    <xf numFmtId="0" fontId="157" fillId="38" borderId="0" applyNumberFormat="0" applyBorder="0" applyAlignment="0" applyProtection="0"/>
    <xf numFmtId="0" fontId="157" fillId="39" borderId="0" applyNumberFormat="0" applyBorder="0" applyAlignment="0" applyProtection="0"/>
    <xf numFmtId="0" fontId="157" fillId="40" borderId="0" applyNumberFormat="0" applyBorder="0" applyAlignment="0" applyProtection="0"/>
    <xf numFmtId="0" fontId="157" fillId="35" borderId="0" applyNumberFormat="0" applyBorder="0" applyAlignment="0" applyProtection="0"/>
    <xf numFmtId="0" fontId="157" fillId="36" borderId="0" applyNumberFormat="0" applyBorder="0" applyAlignment="0" applyProtection="0"/>
    <xf numFmtId="0" fontId="157" fillId="41" borderId="0" applyNumberFormat="0" applyBorder="0" applyAlignment="0" applyProtection="0"/>
    <xf numFmtId="0" fontId="158" fillId="25" borderId="0" applyNumberFormat="0" applyBorder="0" applyAlignment="0" applyProtection="0"/>
    <xf numFmtId="0" fontId="159" fillId="42" borderId="56" applyNumberFormat="0" applyAlignment="0" applyProtection="0"/>
    <xf numFmtId="0" fontId="160" fillId="43" borderId="57" applyNumberFormat="0" applyAlignment="0" applyProtection="0"/>
    <xf numFmtId="0" fontId="161" fillId="0" borderId="0" applyNumberFormat="0" applyFill="0" applyBorder="0" applyAlignment="0" applyProtection="0"/>
    <xf numFmtId="0" fontId="162" fillId="26" borderId="0" applyNumberFormat="0" applyBorder="0" applyAlignment="0" applyProtection="0"/>
    <xf numFmtId="0" fontId="163" fillId="0" borderId="58" applyNumberFormat="0" applyFill="0" applyAlignment="0" applyProtection="0"/>
    <xf numFmtId="0" fontId="164" fillId="0" borderId="59" applyNumberFormat="0" applyFill="0" applyAlignment="0" applyProtection="0"/>
    <xf numFmtId="0" fontId="165" fillId="0" borderId="60" applyNumberFormat="0" applyFill="0" applyAlignment="0" applyProtection="0"/>
    <xf numFmtId="0" fontId="165" fillId="0" borderId="0" applyNumberFormat="0" applyFill="0" applyBorder="0" applyAlignment="0" applyProtection="0"/>
    <xf numFmtId="0" fontId="166" fillId="29" borderId="56" applyNumberFormat="0" applyAlignment="0" applyProtection="0"/>
    <xf numFmtId="0" fontId="167" fillId="0" borderId="61" applyNumberFormat="0" applyFill="0" applyAlignment="0" applyProtection="0"/>
    <xf numFmtId="0" fontId="168" fillId="44" borderId="0" applyNumberFormat="0" applyBorder="0" applyAlignment="0" applyProtection="0"/>
    <xf numFmtId="0" fontId="71" fillId="0" borderId="0"/>
    <xf numFmtId="0" fontId="71" fillId="45" borderId="62" applyNumberFormat="0" applyAlignment="0" applyProtection="0"/>
    <xf numFmtId="0" fontId="169" fillId="42" borderId="63" applyNumberFormat="0" applyAlignment="0" applyProtection="0"/>
    <xf numFmtId="0" fontId="170" fillId="0" borderId="0" applyNumberFormat="0" applyFill="0" applyBorder="0" applyAlignment="0" applyProtection="0"/>
    <xf numFmtId="0" fontId="171" fillId="0" borderId="64" applyNumberFormat="0" applyFill="0" applyAlignment="0" applyProtection="0"/>
    <xf numFmtId="0" fontId="172" fillId="0" borderId="0" applyNumberFormat="0" applyFill="0" applyBorder="0" applyAlignment="0" applyProtection="0"/>
    <xf numFmtId="0" fontId="45" fillId="0" borderId="0"/>
    <xf numFmtId="0" fontId="44" fillId="0" borderId="0"/>
    <xf numFmtId="0" fontId="43" fillId="0" borderId="0"/>
    <xf numFmtId="0" fontId="42"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0" fillId="0" borderId="0"/>
    <xf numFmtId="0" fontId="39" fillId="48" borderId="0" applyNumberFormat="0" applyBorder="0" applyAlignment="0" applyProtection="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29" fillId="0" borderId="0"/>
    <xf numFmtId="0" fontId="28" fillId="0" borderId="0"/>
    <xf numFmtId="0" fontId="26" fillId="0" borderId="0"/>
    <xf numFmtId="0" fontId="24" fillId="0" borderId="0"/>
    <xf numFmtId="0" fontId="22" fillId="0" borderId="0"/>
    <xf numFmtId="0" fontId="65" fillId="0" borderId="0" applyProtection="0"/>
    <xf numFmtId="0" fontId="142" fillId="0" borderId="0">
      <alignment vertical="center"/>
    </xf>
    <xf numFmtId="0" fontId="19" fillId="0" borderId="0"/>
    <xf numFmtId="0" fontId="1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8"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9" fillId="0" borderId="0"/>
    <xf numFmtId="0" fontId="8" fillId="0" borderId="0"/>
    <xf numFmtId="0" fontId="7" fillId="0" borderId="0"/>
    <xf numFmtId="0" fontId="4" fillId="0" borderId="0"/>
    <xf numFmtId="0" fontId="1" fillId="0" borderId="0"/>
  </cellStyleXfs>
  <cellXfs count="943">
    <xf numFmtId="0" fontId="0" fillId="0" borderId="0" xfId="0">
      <alignment vertical="center"/>
    </xf>
    <xf numFmtId="0" fontId="0" fillId="0" borderId="0" xfId="0" applyAlignment="1">
      <alignment horizontal="center" vertical="center"/>
    </xf>
    <xf numFmtId="0" fontId="0" fillId="0" borderId="0" xfId="0" applyAlignment="1"/>
    <xf numFmtId="0" fontId="128" fillId="13" borderId="0" xfId="0" applyFont="1" applyFill="1" applyAlignment="1">
      <alignment horizontal="center" vertical="center"/>
    </xf>
    <xf numFmtId="0" fontId="129" fillId="0" borderId="0" xfId="0" applyFont="1" applyAlignment="1">
      <alignment horizontal="left" vertical="center" wrapText="1"/>
    </xf>
    <xf numFmtId="0" fontId="129" fillId="0" borderId="0" xfId="0" applyFont="1" applyAlignment="1">
      <alignment horizontal="center" vertical="center"/>
    </xf>
    <xf numFmtId="0" fontId="129" fillId="0" borderId="0" xfId="0" applyFont="1" applyAlignment="1">
      <alignment horizontal="center" vertical="center" wrapText="1"/>
    </xf>
    <xf numFmtId="0" fontId="57" fillId="13" borderId="0" xfId="0" applyFont="1" applyFill="1" applyAlignment="1">
      <alignment horizontal="left"/>
    </xf>
    <xf numFmtId="0" fontId="57" fillId="0" borderId="0" xfId="0" applyFont="1" applyAlignment="1">
      <alignment horizontal="left"/>
    </xf>
    <xf numFmtId="0" fontId="57" fillId="0" borderId="0" xfId="0" applyFont="1" applyAlignment="1">
      <alignment horizontal="center" vertical="center"/>
    </xf>
    <xf numFmtId="0" fontId="58" fillId="0" borderId="0" xfId="0" applyFont="1" applyAlignment="1">
      <alignment horizontal="center" vertical="center"/>
    </xf>
    <xf numFmtId="0" fontId="59" fillId="0" borderId="0" xfId="0" applyFont="1" applyAlignment="1">
      <alignment horizontal="left" vertical="center"/>
    </xf>
    <xf numFmtId="0" fontId="57" fillId="0" borderId="0" xfId="0" applyFont="1" applyAlignment="1">
      <alignment horizontal="center" wrapText="1"/>
    </xf>
    <xf numFmtId="0" fontId="60" fillId="0" borderId="2" xfId="0" applyFont="1" applyBorder="1" applyAlignment="1">
      <alignment horizontal="left"/>
    </xf>
    <xf numFmtId="0" fontId="61" fillId="13" borderId="0" xfId="0" applyFont="1" applyFill="1" applyAlignment="1">
      <alignment horizontal="left"/>
    </xf>
    <xf numFmtId="0" fontId="60" fillId="0" borderId="2" xfId="0" applyFont="1" applyBorder="1" applyAlignment="1">
      <alignment horizontal="left" wrapText="1"/>
    </xf>
    <xf numFmtId="0" fontId="57" fillId="0" borderId="0" xfId="0" applyFont="1" applyAlignment="1">
      <alignment horizontal="center"/>
    </xf>
    <xf numFmtId="0" fontId="57" fillId="0" borderId="0" xfId="0" applyFont="1" applyAlignment="1"/>
    <xf numFmtId="0" fontId="57" fillId="0" borderId="0" xfId="0" applyFont="1" applyAlignment="1">
      <alignment wrapText="1"/>
    </xf>
    <xf numFmtId="164" fontId="57" fillId="0" borderId="0" xfId="0" applyNumberFormat="1" applyFont="1" applyAlignment="1">
      <alignment horizontal="left"/>
    </xf>
    <xf numFmtId="164" fontId="57" fillId="0" borderId="0" xfId="0" applyNumberFormat="1" applyFont="1" applyAlignment="1">
      <alignment horizontal="center" vertical="center"/>
    </xf>
    <xf numFmtId="164" fontId="57" fillId="0" borderId="0" xfId="0" applyNumberFormat="1" applyFont="1" applyAlignment="1">
      <alignment horizontal="center"/>
    </xf>
    <xf numFmtId="0" fontId="58" fillId="0" borderId="0" xfId="0" applyFont="1" applyAlignment="1">
      <alignment horizontal="center"/>
    </xf>
    <xf numFmtId="0" fontId="59" fillId="0" borderId="0" xfId="0" applyFont="1" applyAlignment="1">
      <alignment horizontal="left"/>
    </xf>
    <xf numFmtId="14" fontId="57" fillId="0" borderId="0" xfId="0" applyNumberFormat="1" applyFont="1" applyAlignment="1">
      <alignment horizontal="left"/>
    </xf>
    <xf numFmtId="14" fontId="57" fillId="0" borderId="0" xfId="0" applyNumberFormat="1" applyFont="1" applyAlignment="1">
      <alignment horizontal="center" vertical="center"/>
    </xf>
    <xf numFmtId="14" fontId="57" fillId="0" borderId="0" xfId="0" applyNumberFormat="1" applyFont="1" applyAlignment="1">
      <alignment horizontal="center"/>
    </xf>
    <xf numFmtId="49" fontId="60" fillId="0" borderId="3" xfId="0" applyNumberFormat="1" applyFont="1" applyBorder="1" applyAlignment="1">
      <alignment horizontal="center" vertical="center"/>
    </xf>
    <xf numFmtId="0" fontId="58" fillId="13" borderId="0" xfId="0" applyFont="1" applyFill="1" applyAlignment="1"/>
    <xf numFmtId="0" fontId="62" fillId="13" borderId="0" xfId="0" applyFont="1" applyFill="1" applyAlignment="1">
      <alignment horizontal="left"/>
    </xf>
    <xf numFmtId="0" fontId="58" fillId="0" borderId="0" xfId="0" applyFont="1" applyAlignment="1">
      <alignment horizontal="left"/>
    </xf>
    <xf numFmtId="0" fontId="62" fillId="13" borderId="0" xfId="0" applyFont="1" applyFill="1" applyAlignment="1">
      <alignment horizontal="center"/>
    </xf>
    <xf numFmtId="0" fontId="58" fillId="0" borderId="0" xfId="0" applyFont="1" applyAlignment="1">
      <alignment wrapText="1"/>
    </xf>
    <xf numFmtId="0" fontId="63" fillId="13" borderId="0" xfId="0" applyFont="1" applyFill="1"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0" borderId="2" xfId="0" applyBorder="1">
      <alignment vertical="center"/>
    </xf>
    <xf numFmtId="0" fontId="0" fillId="0" borderId="4" xfId="0" applyBorder="1" applyAlignment="1">
      <alignment vertical="center" wrapText="1"/>
    </xf>
    <xf numFmtId="0" fontId="0" fillId="0" borderId="5" xfId="0" applyBorder="1" applyAlignment="1">
      <alignment horizontal="center"/>
    </xf>
    <xf numFmtId="0" fontId="0" fillId="0" borderId="5" xfId="0" applyBorder="1" applyAlignment="1">
      <alignment horizontal="center" vertical="center" wrapText="1"/>
    </xf>
    <xf numFmtId="0" fontId="0" fillId="0" borderId="2" xfId="0" applyBorder="1" applyAlignment="1"/>
    <xf numFmtId="0" fontId="56" fillId="0" borderId="0" xfId="0" applyFont="1">
      <alignment vertical="center"/>
    </xf>
    <xf numFmtId="0" fontId="65" fillId="0" borderId="0" xfId="0" applyFont="1" applyAlignment="1"/>
    <xf numFmtId="0" fontId="66" fillId="0" borderId="0" xfId="0" applyFont="1" applyAlignment="1">
      <alignment horizontal="center" vertical="center"/>
    </xf>
    <xf numFmtId="0" fontId="58" fillId="0" borderId="0" xfId="0" applyFont="1" applyAlignment="1"/>
    <xf numFmtId="0" fontId="67" fillId="3" borderId="6" xfId="0" applyFont="1" applyFill="1" applyBorder="1" applyAlignment="1"/>
    <xf numFmtId="0" fontId="67" fillId="3" borderId="7" xfId="0" applyFont="1" applyFill="1" applyBorder="1" applyAlignment="1"/>
    <xf numFmtId="0" fontId="68" fillId="0" borderId="0" xfId="0" applyFont="1" applyAlignment="1"/>
    <xf numFmtId="0" fontId="69" fillId="0" borderId="8" xfId="0" applyFont="1" applyBorder="1" applyAlignment="1">
      <alignment horizontal="left"/>
    </xf>
    <xf numFmtId="0" fontId="68" fillId="0" borderId="8" xfId="0" applyFont="1" applyBorder="1" applyAlignment="1">
      <alignment horizontal="left"/>
    </xf>
    <xf numFmtId="0" fontId="68" fillId="0" borderId="9" xfId="0" applyFont="1" applyBorder="1" applyAlignment="1">
      <alignment horizontal="left"/>
    </xf>
    <xf numFmtId="0" fontId="68" fillId="0" borderId="8" xfId="0" applyFont="1" applyBorder="1" applyAlignment="1"/>
    <xf numFmtId="0" fontId="69" fillId="0" borderId="0" xfId="0" applyFont="1" applyAlignment="1">
      <alignment horizontal="left"/>
    </xf>
    <xf numFmtId="0" fontId="129" fillId="0" borderId="0" xfId="0" applyFont="1" applyAlignment="1">
      <alignment vertical="center" wrapText="1"/>
    </xf>
    <xf numFmtId="0" fontId="58" fillId="0" borderId="0" xfId="0" applyFont="1" applyAlignment="1">
      <alignment horizontal="left" vertical="center"/>
    </xf>
    <xf numFmtId="0" fontId="63" fillId="0" borderId="0" xfId="0" applyFont="1" applyAlignment="1">
      <alignment horizontal="center" vertical="center"/>
    </xf>
    <xf numFmtId="0" fontId="0" fillId="0" borderId="12" xfId="0" applyBorder="1" applyAlignment="1">
      <alignment horizontal="center" vertical="center"/>
    </xf>
    <xf numFmtId="0" fontId="57" fillId="0" borderId="2" xfId="0" applyFont="1" applyBorder="1" applyAlignment="1">
      <alignment horizontal="left"/>
    </xf>
    <xf numFmtId="0" fontId="0" fillId="13" borderId="0" xfId="0" applyFill="1">
      <alignment vertical="center"/>
    </xf>
    <xf numFmtId="0" fontId="0" fillId="13" borderId="2" xfId="0" applyFill="1" applyBorder="1">
      <alignment vertical="center"/>
    </xf>
    <xf numFmtId="1" fontId="130" fillId="13" borderId="2" xfId="0" applyNumberFormat="1" applyFont="1" applyFill="1" applyBorder="1" applyAlignment="1">
      <alignment horizontal="center" vertical="center"/>
    </xf>
    <xf numFmtId="0" fontId="0" fillId="13" borderId="2" xfId="0" applyFill="1" applyBorder="1" applyAlignment="1">
      <alignment horizontal="center" vertical="center"/>
    </xf>
    <xf numFmtId="0" fontId="0" fillId="13" borderId="0" xfId="0" applyFill="1" applyAlignment="1">
      <alignment horizontal="center" vertical="center"/>
    </xf>
    <xf numFmtId="0" fontId="0" fillId="0" borderId="17" xfId="0" applyBorder="1">
      <alignment vertical="center"/>
    </xf>
    <xf numFmtId="0" fontId="0" fillId="0" borderId="24" xfId="0" applyBorder="1">
      <alignment vertical="center"/>
    </xf>
    <xf numFmtId="0" fontId="60" fillId="0" borderId="0" xfId="0" applyFont="1" applyAlignment="1">
      <alignment horizontal="left"/>
    </xf>
    <xf numFmtId="0" fontId="57" fillId="0" borderId="0" xfId="0" applyFont="1" applyAlignment="1">
      <alignment vertical="center" wrapText="1"/>
    </xf>
    <xf numFmtId="0" fontId="60" fillId="0" borderId="0" xfId="0" applyFont="1" applyAlignment="1">
      <alignment horizontal="left" wrapText="1"/>
    </xf>
    <xf numFmtId="0" fontId="58" fillId="0" borderId="0" xfId="0" applyFont="1" applyAlignment="1">
      <alignment vertical="center" wrapText="1"/>
    </xf>
    <xf numFmtId="0" fontId="70" fillId="0" borderId="0" xfId="3" applyFont="1"/>
    <xf numFmtId="0" fontId="70" fillId="11" borderId="0" xfId="3" applyFont="1" applyFill="1"/>
    <xf numFmtId="0" fontId="71" fillId="0" borderId="0" xfId="3"/>
    <xf numFmtId="49" fontId="71" fillId="0" borderId="0" xfId="3" applyNumberFormat="1"/>
    <xf numFmtId="0" fontId="71" fillId="5" borderId="0" xfId="3" applyFill="1"/>
    <xf numFmtId="0" fontId="70" fillId="5" borderId="0" xfId="3" applyFont="1" applyFill="1"/>
    <xf numFmtId="0" fontId="73" fillId="0" borderId="0" xfId="3" applyFont="1" applyAlignment="1">
      <alignment horizontal="right"/>
    </xf>
    <xf numFmtId="0" fontId="74" fillId="0" borderId="0" xfId="3" applyFont="1" applyAlignment="1">
      <alignment horizontal="left"/>
    </xf>
    <xf numFmtId="0" fontId="73" fillId="0" borderId="0" xfId="3" applyFont="1"/>
    <xf numFmtId="0" fontId="71" fillId="0" borderId="0" xfId="3" applyAlignment="1">
      <alignment horizontal="left"/>
    </xf>
    <xf numFmtId="0" fontId="75" fillId="0" borderId="0" xfId="3" applyFont="1" applyAlignment="1">
      <alignment horizontal="left"/>
    </xf>
    <xf numFmtId="0" fontId="73" fillId="13" borderId="0" xfId="3" applyFont="1" applyFill="1"/>
    <xf numFmtId="0" fontId="75" fillId="13" borderId="0" xfId="3" applyFont="1" applyFill="1" applyAlignment="1">
      <alignment horizontal="left"/>
    </xf>
    <xf numFmtId="0" fontId="71" fillId="0" borderId="27" xfId="3" applyBorder="1" applyAlignment="1">
      <alignment horizontal="center" vertical="center"/>
    </xf>
    <xf numFmtId="0" fontId="71" fillId="13" borderId="28" xfId="3" applyFill="1" applyBorder="1" applyAlignment="1">
      <alignment horizontal="center"/>
    </xf>
    <xf numFmtId="0" fontId="76" fillId="13" borderId="28" xfId="3" applyFont="1" applyFill="1" applyBorder="1" applyAlignment="1">
      <alignment horizontal="left"/>
    </xf>
    <xf numFmtId="0" fontId="77" fillId="13" borderId="5" xfId="3" applyFont="1" applyFill="1" applyBorder="1"/>
    <xf numFmtId="0" fontId="71" fillId="13" borderId="2" xfId="3" applyFill="1" applyBorder="1" applyAlignment="1">
      <alignment horizontal="center"/>
    </xf>
    <xf numFmtId="0" fontId="77" fillId="13" borderId="2" xfId="3" applyFont="1" applyFill="1" applyBorder="1"/>
    <xf numFmtId="1" fontId="130" fillId="13" borderId="2" xfId="3" applyNumberFormat="1" applyFont="1" applyFill="1" applyBorder="1" applyAlignment="1">
      <alignment horizontal="center"/>
    </xf>
    <xf numFmtId="0" fontId="71" fillId="0" borderId="2" xfId="3" applyBorder="1" applyAlignment="1">
      <alignment horizontal="center"/>
    </xf>
    <xf numFmtId="0" fontId="77" fillId="0" borderId="2" xfId="3" applyFont="1" applyBorder="1"/>
    <xf numFmtId="0" fontId="78" fillId="0" borderId="2" xfId="3" applyFont="1" applyBorder="1"/>
    <xf numFmtId="49" fontId="70" fillId="5" borderId="0" xfId="3" applyNumberFormat="1" applyFont="1" applyFill="1"/>
    <xf numFmtId="49" fontId="71" fillId="0" borderId="2" xfId="3" applyNumberFormat="1" applyBorder="1" applyAlignment="1">
      <alignment horizontal="center"/>
    </xf>
    <xf numFmtId="0" fontId="71" fillId="0" borderId="2" xfId="3" applyBorder="1"/>
    <xf numFmtId="0" fontId="71" fillId="0" borderId="2" xfId="3" applyBorder="1" applyAlignment="1">
      <alignment horizontal="left"/>
    </xf>
    <xf numFmtId="0" fontId="78" fillId="0" borderId="0" xfId="3" applyFont="1" applyAlignment="1">
      <alignment horizontal="left"/>
    </xf>
    <xf numFmtId="49" fontId="78" fillId="0" borderId="0" xfId="3" applyNumberFormat="1" applyFont="1" applyAlignment="1">
      <alignment horizontal="left"/>
    </xf>
    <xf numFmtId="0" fontId="79" fillId="5" borderId="0" xfId="3" applyFont="1" applyFill="1"/>
    <xf numFmtId="0" fontId="73" fillId="2" borderId="0" xfId="3" applyFont="1" applyFill="1"/>
    <xf numFmtId="0" fontId="75" fillId="2" borderId="0" xfId="3" applyFont="1" applyFill="1" applyAlignment="1">
      <alignment horizontal="left"/>
    </xf>
    <xf numFmtId="0" fontId="58" fillId="2" borderId="0" xfId="0" applyFont="1" applyFill="1" applyAlignment="1">
      <alignment horizontal="left"/>
    </xf>
    <xf numFmtId="0" fontId="71" fillId="0" borderId="0" xfId="6">
      <alignment vertical="center"/>
    </xf>
    <xf numFmtId="0" fontId="70" fillId="0" borderId="0" xfId="3" applyFont="1" applyAlignment="1">
      <alignment horizontal="left"/>
    </xf>
    <xf numFmtId="0" fontId="71" fillId="0" borderId="0" xfId="6" applyAlignment="1">
      <alignment horizontal="left" vertical="center"/>
    </xf>
    <xf numFmtId="0" fontId="71" fillId="0" borderId="0" xfId="6" applyAlignment="1">
      <alignment horizontal="right" vertical="center"/>
    </xf>
    <xf numFmtId="0" fontId="71" fillId="11" borderId="0" xfId="6" applyFill="1" applyAlignment="1">
      <alignment horizontal="right" vertical="center"/>
    </xf>
    <xf numFmtId="0" fontId="71" fillId="11" borderId="0" xfId="6" applyFill="1" applyAlignment="1">
      <alignment horizontal="left" vertical="center"/>
    </xf>
    <xf numFmtId="0" fontId="71" fillId="11" borderId="0" xfId="3" applyFill="1"/>
    <xf numFmtId="49" fontId="71" fillId="0" borderId="27" xfId="3" applyNumberFormat="1" applyBorder="1" applyAlignment="1">
      <alignment horizontal="center" vertical="center"/>
    </xf>
    <xf numFmtId="0" fontId="77" fillId="2" borderId="2" xfId="3" applyFont="1" applyFill="1" applyBorder="1"/>
    <xf numFmtId="0" fontId="80" fillId="0" borderId="0" xfId="3" applyFont="1" applyAlignment="1">
      <alignment horizontal="left"/>
    </xf>
    <xf numFmtId="0" fontId="80" fillId="5" borderId="0" xfId="3" applyFont="1" applyFill="1" applyAlignment="1">
      <alignment horizontal="left"/>
    </xf>
    <xf numFmtId="0" fontId="71" fillId="0" borderId="28" xfId="3" applyBorder="1" applyAlignment="1">
      <alignment horizontal="center"/>
    </xf>
    <xf numFmtId="0" fontId="71" fillId="0" borderId="28" xfId="3" applyBorder="1" applyAlignment="1">
      <alignment horizontal="left"/>
    </xf>
    <xf numFmtId="49" fontId="71" fillId="0" borderId="28" xfId="3" applyNumberFormat="1" applyBorder="1" applyAlignment="1">
      <alignment horizontal="center"/>
    </xf>
    <xf numFmtId="0" fontId="77" fillId="2" borderId="28" xfId="3" applyFont="1" applyFill="1" applyBorder="1"/>
    <xf numFmtId="0" fontId="81" fillId="0" borderId="0" xfId="3" applyFont="1" applyAlignment="1">
      <alignment horizontal="left"/>
    </xf>
    <xf numFmtId="0" fontId="81" fillId="5" borderId="0" xfId="3" applyFont="1" applyFill="1" applyAlignment="1">
      <alignment horizontal="left"/>
    </xf>
    <xf numFmtId="0" fontId="82" fillId="0" borderId="0" xfId="3" applyFont="1" applyAlignment="1">
      <alignment horizontal="left"/>
    </xf>
    <xf numFmtId="0" fontId="70" fillId="0" borderId="0" xfId="3" applyFont="1" applyAlignment="1">
      <alignment horizontal="left" vertical="justify"/>
    </xf>
    <xf numFmtId="0" fontId="71" fillId="0" borderId="0" xfId="3" applyAlignment="1">
      <alignment horizontal="center"/>
    </xf>
    <xf numFmtId="49" fontId="71" fillId="0" borderId="0" xfId="3" applyNumberFormat="1" applyAlignment="1">
      <alignment horizontal="center"/>
    </xf>
    <xf numFmtId="0" fontId="71" fillId="0" borderId="0" xfId="3" applyAlignment="1">
      <alignment horizontal="center" vertical="center"/>
    </xf>
    <xf numFmtId="0" fontId="73" fillId="0" borderId="0" xfId="3" applyFont="1" applyAlignment="1">
      <alignment horizontal="center"/>
    </xf>
    <xf numFmtId="49" fontId="71" fillId="0" borderId="0" xfId="3" applyNumberFormat="1" applyAlignment="1">
      <alignment horizontal="left" vertical="center"/>
    </xf>
    <xf numFmtId="0" fontId="73" fillId="0" borderId="0" xfId="3" applyFont="1" applyAlignment="1">
      <alignment horizontal="center" vertical="center"/>
    </xf>
    <xf numFmtId="0" fontId="73" fillId="13" borderId="0" xfId="3" applyFont="1" applyFill="1" applyAlignment="1">
      <alignment horizontal="center"/>
    </xf>
    <xf numFmtId="14" fontId="71" fillId="0" borderId="0" xfId="3" applyNumberFormat="1" applyAlignment="1">
      <alignment horizontal="left" vertical="center"/>
    </xf>
    <xf numFmtId="0" fontId="0" fillId="0" borderId="2" xfId="0" applyBorder="1" applyAlignment="1">
      <alignment horizontal="center" vertical="center"/>
    </xf>
    <xf numFmtId="0" fontId="84" fillId="0" borderId="0" xfId="0" applyFont="1">
      <alignment vertical="center"/>
    </xf>
    <xf numFmtId="1" fontId="132" fillId="13" borderId="2" xfId="0" applyNumberFormat="1" applyFont="1" applyFill="1" applyBorder="1" applyAlignment="1">
      <alignment horizontal="center" vertical="center"/>
    </xf>
    <xf numFmtId="0" fontId="132" fillId="13" borderId="2" xfId="0" applyFont="1" applyFill="1" applyBorder="1" applyAlignment="1">
      <alignment horizontal="center" vertical="center"/>
    </xf>
    <xf numFmtId="0" fontId="78" fillId="0" borderId="0" xfId="0" applyFont="1" applyAlignment="1">
      <alignment horizontal="left"/>
    </xf>
    <xf numFmtId="0" fontId="71" fillId="0" borderId="22" xfId="3" applyBorder="1" applyAlignment="1">
      <alignment horizontal="center" vertical="center"/>
    </xf>
    <xf numFmtId="0" fontId="130" fillId="13" borderId="2" xfId="0" applyFont="1" applyFill="1" applyBorder="1" applyAlignment="1">
      <alignment horizontal="center" vertical="center"/>
    </xf>
    <xf numFmtId="0" fontId="76" fillId="13" borderId="2" xfId="3" applyFont="1" applyFill="1" applyBorder="1" applyAlignment="1">
      <alignment horizontal="left"/>
    </xf>
    <xf numFmtId="0" fontId="71" fillId="13" borderId="2" xfId="3" applyFill="1" applyBorder="1"/>
    <xf numFmtId="0" fontId="85" fillId="13" borderId="2" xfId="3" applyFont="1" applyFill="1" applyBorder="1"/>
    <xf numFmtId="1" fontId="0" fillId="0" borderId="0" xfId="0" applyNumberFormat="1" applyAlignment="1">
      <alignment horizontal="center" vertical="center"/>
    </xf>
    <xf numFmtId="0" fontId="0" fillId="0" borderId="2" xfId="0" applyBorder="1" applyAlignment="1">
      <alignment horizontal="left" vertical="center"/>
    </xf>
    <xf numFmtId="0" fontId="86" fillId="0" borderId="2" xfId="0" applyFont="1" applyBorder="1" applyAlignment="1">
      <alignment horizontal="center" wrapText="1"/>
    </xf>
    <xf numFmtId="0" fontId="65" fillId="0" borderId="0" xfId="0" applyFont="1" applyAlignment="1">
      <alignment horizontal="left"/>
    </xf>
    <xf numFmtId="0" fontId="65" fillId="0" borderId="0" xfId="0" applyFont="1" applyAlignment="1">
      <alignment horizontal="center"/>
    </xf>
    <xf numFmtId="0" fontId="88" fillId="0" borderId="0" xfId="0" applyFont="1" applyAlignment="1">
      <alignment horizontal="left"/>
    </xf>
    <xf numFmtId="0" fontId="88" fillId="0" borderId="0" xfId="0" applyFont="1" applyAlignment="1"/>
    <xf numFmtId="0" fontId="88" fillId="0" borderId="0" xfId="0" applyFont="1" applyAlignment="1">
      <alignment horizontal="center"/>
    </xf>
    <xf numFmtId="0" fontId="0" fillId="0" borderId="34" xfId="0" applyBorder="1">
      <alignment vertical="center"/>
    </xf>
    <xf numFmtId="0" fontId="71" fillId="0" borderId="0" xfId="0" applyFont="1" applyAlignment="1"/>
    <xf numFmtId="0" fontId="71" fillId="0" borderId="0" xfId="0" applyFont="1" applyAlignment="1">
      <alignment horizontal="center"/>
    </xf>
    <xf numFmtId="0" fontId="131" fillId="0" borderId="0" xfId="0" applyFont="1" applyAlignment="1"/>
    <xf numFmtId="0" fontId="73" fillId="0" borderId="0" xfId="0" applyFont="1" applyAlignment="1"/>
    <xf numFmtId="0" fontId="71" fillId="0" borderId="0" xfId="0" applyFont="1" applyAlignment="1">
      <alignment horizontal="left"/>
    </xf>
    <xf numFmtId="0" fontId="91" fillId="0" borderId="0" xfId="0" applyFont="1" applyAlignment="1"/>
    <xf numFmtId="167" fontId="71" fillId="0" borderId="0" xfId="0" applyNumberFormat="1" applyFont="1" applyAlignment="1"/>
    <xf numFmtId="0" fontId="0" fillId="6" borderId="0" xfId="0" applyFill="1">
      <alignment vertical="center"/>
    </xf>
    <xf numFmtId="0" fontId="93" fillId="0" borderId="35" xfId="0" applyFont="1" applyBorder="1" applyAlignment="1">
      <alignment horizontal="center" vertical="center" wrapText="1"/>
    </xf>
    <xf numFmtId="0" fontId="0" fillId="0" borderId="23" xfId="0" applyBorder="1" applyAlignment="1">
      <alignment horizontal="center" vertical="center"/>
    </xf>
    <xf numFmtId="0" fontId="92" fillId="0" borderId="23" xfId="0" applyFont="1" applyBorder="1" applyAlignment="1">
      <alignment horizontal="center" vertical="center"/>
    </xf>
    <xf numFmtId="0" fontId="0" fillId="0" borderId="15" xfId="0" applyBorder="1" applyAlignment="1">
      <alignment horizontal="center" vertical="center"/>
    </xf>
    <xf numFmtId="0" fontId="94" fillId="0" borderId="0" xfId="0" applyFont="1" applyAlignment="1">
      <alignment horizontal="center" vertical="center"/>
    </xf>
    <xf numFmtId="0" fontId="0" fillId="15" borderId="0" xfId="0" applyFill="1" applyAlignment="1">
      <alignment horizontal="center" vertical="center"/>
    </xf>
    <xf numFmtId="0" fontId="89" fillId="15" borderId="0" xfId="3" applyFont="1" applyFill="1" applyAlignment="1">
      <alignment horizontal="left"/>
    </xf>
    <xf numFmtId="1" fontId="0" fillId="0" borderId="0" xfId="0" applyNumberFormat="1">
      <alignment vertical="center"/>
    </xf>
    <xf numFmtId="1" fontId="130" fillId="0" borderId="0" xfId="0" applyNumberFormat="1" applyFont="1">
      <alignment vertical="center"/>
    </xf>
    <xf numFmtId="0" fontId="63" fillId="0" borderId="0" xfId="0" applyFont="1">
      <alignment vertical="center"/>
    </xf>
    <xf numFmtId="0" fontId="130" fillId="0" borderId="0" xfId="0" applyFont="1" applyAlignment="1">
      <alignment horizontal="center" vertical="center"/>
    </xf>
    <xf numFmtId="1" fontId="0" fillId="0" borderId="15" xfId="0" applyNumberFormat="1" applyBorder="1" applyAlignment="1">
      <alignment horizontal="center" vertical="center"/>
    </xf>
    <xf numFmtId="1" fontId="130" fillId="0" borderId="15" xfId="0" applyNumberFormat="1" applyFont="1" applyBorder="1" applyAlignment="1">
      <alignment horizontal="center" vertical="center"/>
    </xf>
    <xf numFmtId="0" fontId="63" fillId="0" borderId="15" xfId="0" applyFont="1" applyBorder="1" applyAlignment="1">
      <alignment horizontal="center" vertical="center"/>
    </xf>
    <xf numFmtId="1" fontId="130" fillId="0" borderId="0" xfId="0" applyNumberFormat="1" applyFont="1" applyAlignment="1">
      <alignment horizontal="center" vertical="center"/>
    </xf>
    <xf numFmtId="1" fontId="63" fillId="14" borderId="0" xfId="0" applyNumberFormat="1" applyFont="1" applyFill="1" applyAlignment="1">
      <alignment horizontal="center" vertical="center"/>
    </xf>
    <xf numFmtId="0" fontId="63" fillId="14" borderId="0" xfId="0" applyFont="1" applyFill="1" applyAlignment="1">
      <alignment horizontal="center" vertical="center"/>
    </xf>
    <xf numFmtId="165" fontId="130" fillId="0" borderId="0" xfId="0" applyNumberFormat="1" applyFont="1" applyAlignment="1">
      <alignment horizontal="center" vertical="center"/>
    </xf>
    <xf numFmtId="0" fontId="95" fillId="0" borderId="15" xfId="0" applyFont="1" applyBorder="1" applyAlignment="1">
      <alignment horizontal="center" vertical="center"/>
    </xf>
    <xf numFmtId="165" fontId="130" fillId="0" borderId="15" xfId="0" applyNumberFormat="1" applyFont="1" applyBorder="1" applyAlignment="1">
      <alignment horizontal="center" vertical="center"/>
    </xf>
    <xf numFmtId="0" fontId="130" fillId="0" borderId="15" xfId="0" applyFont="1" applyBorder="1" applyAlignment="1">
      <alignment horizontal="center" vertical="center"/>
    </xf>
    <xf numFmtId="0" fontId="134" fillId="9" borderId="0" xfId="3" applyFont="1" applyFill="1" applyAlignment="1">
      <alignment horizontal="left"/>
    </xf>
    <xf numFmtId="0" fontId="63" fillId="7" borderId="0" xfId="3" applyFont="1" applyFill="1" applyAlignment="1">
      <alignment horizontal="center"/>
    </xf>
    <xf numFmtId="0" fontId="0" fillId="7" borderId="0" xfId="0" applyFill="1" applyAlignment="1">
      <alignment horizontal="left" vertical="center"/>
    </xf>
    <xf numFmtId="0" fontId="130" fillId="7" borderId="0" xfId="3" applyFont="1" applyFill="1" applyAlignment="1">
      <alignment horizontal="left"/>
    </xf>
    <xf numFmtId="0" fontId="97" fillId="0" borderId="0" xfId="0" applyFont="1" applyAlignment="1">
      <alignment horizontal="left" vertical="center"/>
    </xf>
    <xf numFmtId="0" fontId="135" fillId="0" borderId="0" xfId="0" applyFont="1" applyAlignment="1">
      <alignment horizontal="left" vertical="center"/>
    </xf>
    <xf numFmtId="0" fontId="0" fillId="0" borderId="20" xfId="0" applyBorder="1" applyAlignment="1">
      <alignment horizontal="center" vertical="center" wrapText="1"/>
    </xf>
    <xf numFmtId="0" fontId="0" fillId="0" borderId="20" xfId="0" applyBorder="1" applyAlignment="1">
      <alignment horizontal="center" vertical="center"/>
    </xf>
    <xf numFmtId="0" fontId="0" fillId="0" borderId="0" xfId="0" applyAlignment="1">
      <alignment horizontal="center" vertical="center" wrapText="1"/>
    </xf>
    <xf numFmtId="0" fontId="96" fillId="0" borderId="20" xfId="0" applyFont="1" applyBorder="1" applyAlignment="1">
      <alignment horizontal="center" vertical="center"/>
    </xf>
    <xf numFmtId="0" fontId="130" fillId="0" borderId="20" xfId="0" applyFont="1" applyBorder="1" applyAlignment="1">
      <alignment horizontal="center" vertical="center"/>
    </xf>
    <xf numFmtId="0" fontId="96" fillId="0" borderId="0" xfId="0" applyFont="1" applyAlignment="1">
      <alignment horizontal="center" vertical="center"/>
    </xf>
    <xf numFmtId="0" fontId="96" fillId="0" borderId="0" xfId="0" applyFont="1" applyAlignment="1">
      <alignment horizontal="left" vertical="center"/>
    </xf>
    <xf numFmtId="0" fontId="98" fillId="0" borderId="0" xfId="0" applyFont="1">
      <alignment vertical="center"/>
    </xf>
    <xf numFmtId="0" fontId="99" fillId="0" borderId="0" xfId="0" applyFont="1" applyAlignment="1">
      <alignment horizontal="left" vertical="center"/>
    </xf>
    <xf numFmtId="0" fontId="99" fillId="0" borderId="20" xfId="0" applyFont="1" applyBorder="1" applyAlignment="1">
      <alignment horizontal="left" vertical="center"/>
    </xf>
    <xf numFmtId="0" fontId="98" fillId="0" borderId="15" xfId="0" applyFont="1" applyBorder="1">
      <alignment vertical="center"/>
    </xf>
    <xf numFmtId="0" fontId="98" fillId="0" borderId="36" xfId="0" applyFont="1" applyBorder="1" applyAlignment="1">
      <alignment horizontal="center" vertical="center"/>
    </xf>
    <xf numFmtId="0" fontId="130" fillId="0" borderId="26" xfId="0" applyFont="1" applyBorder="1" applyAlignment="1">
      <alignment horizontal="center" vertical="center"/>
    </xf>
    <xf numFmtId="0" fontId="98" fillId="0" borderId="3" xfId="0" applyFont="1" applyBorder="1">
      <alignment vertical="center"/>
    </xf>
    <xf numFmtId="0" fontId="98" fillId="0" borderId="17" xfId="0" applyFont="1" applyBorder="1">
      <alignment vertical="center"/>
    </xf>
    <xf numFmtId="0" fontId="130" fillId="0" borderId="0" xfId="0" applyFont="1" applyAlignment="1">
      <alignment horizontal="center" vertical="center" wrapText="1"/>
    </xf>
    <xf numFmtId="0" fontId="100" fillId="0" borderId="0" xfId="0" applyFont="1" applyAlignment="1">
      <alignment horizontal="left" vertical="center"/>
    </xf>
    <xf numFmtId="167" fontId="0" fillId="0" borderId="0" xfId="0" applyNumberFormat="1" applyAlignment="1">
      <alignment horizontal="center" vertical="center"/>
    </xf>
    <xf numFmtId="167" fontId="130" fillId="0" borderId="0" xfId="0" applyNumberFormat="1" applyFont="1" applyAlignment="1">
      <alignment horizontal="center" vertical="center"/>
    </xf>
    <xf numFmtId="1" fontId="131" fillId="13" borderId="0" xfId="3" applyNumberFormat="1" applyFont="1" applyFill="1" applyAlignment="1">
      <alignment horizontal="center"/>
    </xf>
    <xf numFmtId="0" fontId="101" fillId="0" borderId="0" xfId="0" applyFont="1" applyAlignment="1">
      <alignment horizontal="left" vertical="center"/>
    </xf>
    <xf numFmtId="0" fontId="136" fillId="0" borderId="0" xfId="0" applyFont="1" applyAlignment="1">
      <alignment horizontal="left" vertical="center"/>
    </xf>
    <xf numFmtId="0" fontId="63" fillId="0" borderId="0" xfId="3" applyFont="1" applyAlignment="1">
      <alignment horizontal="center"/>
    </xf>
    <xf numFmtId="0" fontId="0" fillId="0" borderId="24" xfId="0" applyBorder="1" applyAlignment="1">
      <alignment horizontal="center" vertical="center"/>
    </xf>
    <xf numFmtId="1" fontId="0" fillId="0" borderId="24" xfId="0" applyNumberFormat="1" applyBorder="1">
      <alignment vertical="center"/>
    </xf>
    <xf numFmtId="1" fontId="130" fillId="0" borderId="24" xfId="0" applyNumberFormat="1" applyFont="1" applyBorder="1" applyAlignment="1">
      <alignment horizontal="center" vertical="center"/>
    </xf>
    <xf numFmtId="0" fontId="63" fillId="0" borderId="24" xfId="0" applyFont="1" applyBorder="1">
      <alignment vertical="center"/>
    </xf>
    <xf numFmtId="0" fontId="0" fillId="0" borderId="24" xfId="0" applyBorder="1" applyAlignment="1">
      <alignment horizontal="left" vertical="center"/>
    </xf>
    <xf numFmtId="165" fontId="130" fillId="0" borderId="24" xfId="0" applyNumberFormat="1" applyFont="1" applyBorder="1" applyAlignment="1">
      <alignment horizontal="center" vertical="center"/>
    </xf>
    <xf numFmtId="0" fontId="130" fillId="0" borderId="24" xfId="0" applyFont="1" applyBorder="1" applyAlignment="1">
      <alignment horizontal="center" vertical="center"/>
    </xf>
    <xf numFmtId="0" fontId="96" fillId="0" borderId="24" xfId="0" applyFont="1" applyBorder="1" applyAlignment="1">
      <alignment horizontal="left" vertical="center"/>
    </xf>
    <xf numFmtId="0" fontId="98" fillId="0" borderId="18" xfId="0" applyFont="1" applyBorder="1">
      <alignment vertical="center"/>
    </xf>
    <xf numFmtId="0" fontId="132" fillId="0" borderId="0" xfId="0" applyFont="1" applyAlignment="1">
      <alignment horizontal="center" vertical="center"/>
    </xf>
    <xf numFmtId="0" fontId="103" fillId="0" borderId="0" xfId="0" applyFont="1">
      <alignment vertical="center"/>
    </xf>
    <xf numFmtId="0" fontId="103" fillId="0" borderId="0" xfId="0" applyFont="1" applyAlignment="1">
      <alignment horizontal="center" vertical="center"/>
    </xf>
    <xf numFmtId="0" fontId="84" fillId="0" borderId="0" xfId="0" applyFont="1" applyAlignment="1">
      <alignment horizontal="left" vertical="center"/>
    </xf>
    <xf numFmtId="0" fontId="130" fillId="0" borderId="0" xfId="0" applyFont="1">
      <alignment vertical="center"/>
    </xf>
    <xf numFmtId="0" fontId="132" fillId="0" borderId="0" xfId="0" applyFont="1" applyAlignment="1">
      <alignment horizontal="center" vertical="center" wrapText="1"/>
    </xf>
    <xf numFmtId="0" fontId="92" fillId="0" borderId="0" xfId="0" applyFont="1" applyAlignment="1">
      <alignment horizontal="center" vertical="center"/>
    </xf>
    <xf numFmtId="0" fontId="92" fillId="0" borderId="0" xfId="0" applyFont="1">
      <alignment vertical="center"/>
    </xf>
    <xf numFmtId="0" fontId="92" fillId="13" borderId="0" xfId="0" applyFont="1" applyFill="1" applyAlignment="1">
      <alignment horizontal="center" vertical="center"/>
    </xf>
    <xf numFmtId="0" fontId="104" fillId="0" borderId="0" xfId="0" applyFont="1" applyAlignment="1">
      <alignment horizontal="center" vertical="center"/>
    </xf>
    <xf numFmtId="0" fontId="104" fillId="0" borderId="0" xfId="0" applyFont="1" applyAlignment="1">
      <alignment horizontal="center" vertical="center" wrapText="1"/>
    </xf>
    <xf numFmtId="0" fontId="0" fillId="8" borderId="2" xfId="0" applyFill="1" applyBorder="1">
      <alignment vertical="center"/>
    </xf>
    <xf numFmtId="0" fontId="0" fillId="6" borderId="2" xfId="0" applyFill="1" applyBorder="1">
      <alignment vertical="center"/>
    </xf>
    <xf numFmtId="0" fontId="0" fillId="6" borderId="2" xfId="0" applyFill="1" applyBorder="1" applyAlignment="1">
      <alignment horizontal="left" vertical="center"/>
    </xf>
    <xf numFmtId="0" fontId="105" fillId="0" borderId="37" xfId="0" applyFont="1" applyBorder="1" applyAlignment="1">
      <alignment horizontal="center" vertical="center"/>
    </xf>
    <xf numFmtId="0" fontId="63" fillId="0" borderId="0" xfId="0" applyFont="1" applyAlignment="1">
      <alignment horizontal="left" vertical="center"/>
    </xf>
    <xf numFmtId="0" fontId="105" fillId="0" borderId="33" xfId="0" applyFont="1" applyBorder="1" applyAlignment="1"/>
    <xf numFmtId="0" fontId="105" fillId="0" borderId="0" xfId="0" applyFont="1" applyAlignment="1"/>
    <xf numFmtId="0" fontId="63" fillId="0" borderId="0" xfId="0" applyFont="1" applyAlignment="1">
      <alignment horizontal="center" vertical="center" wrapText="1"/>
    </xf>
    <xf numFmtId="0" fontId="0" fillId="10" borderId="2" xfId="0" applyFill="1" applyBorder="1">
      <alignment vertical="center"/>
    </xf>
    <xf numFmtId="0" fontId="137" fillId="0" borderId="0" xfId="0" applyFont="1">
      <alignment vertical="center"/>
    </xf>
    <xf numFmtId="0" fontId="137" fillId="0" borderId="0" xfId="0" applyFont="1" applyAlignment="1">
      <alignment horizontal="center" vertical="center"/>
    </xf>
    <xf numFmtId="0" fontId="63" fillId="4" borderId="2" xfId="0" applyFont="1" applyFill="1" applyBorder="1">
      <alignment vertical="center"/>
    </xf>
    <xf numFmtId="0" fontId="0" fillId="4" borderId="2" xfId="0" applyFill="1" applyBorder="1" applyAlignment="1">
      <alignment horizontal="center" vertical="center"/>
    </xf>
    <xf numFmtId="0" fontId="0" fillId="4" borderId="2" xfId="0" applyFill="1" applyBorder="1">
      <alignment vertical="center"/>
    </xf>
    <xf numFmtId="0" fontId="92" fillId="4" borderId="2" xfId="0" applyFont="1" applyFill="1" applyBorder="1">
      <alignment vertical="center"/>
    </xf>
    <xf numFmtId="0" fontId="138" fillId="0" borderId="0" xfId="0" applyFont="1">
      <alignment vertical="center"/>
    </xf>
    <xf numFmtId="0" fontId="138" fillId="0" borderId="0" xfId="0" applyFont="1" applyAlignment="1">
      <alignment horizontal="center" vertical="center"/>
    </xf>
    <xf numFmtId="0" fontId="0" fillId="16" borderId="2" xfId="0" applyFill="1" applyBorder="1">
      <alignment vertical="center"/>
    </xf>
    <xf numFmtId="0" fontId="0" fillId="16" borderId="2" xfId="0" applyFill="1" applyBorder="1" applyAlignment="1">
      <alignment horizontal="center" vertical="center"/>
    </xf>
    <xf numFmtId="0" fontId="0" fillId="0" borderId="16" xfId="0" applyBorder="1">
      <alignment vertical="center"/>
    </xf>
    <xf numFmtId="0" fontId="94" fillId="0" borderId="0" xfId="0" applyFont="1" applyAlignment="1">
      <alignment horizontal="left" vertical="center"/>
    </xf>
    <xf numFmtId="0" fontId="0" fillId="0" borderId="18" xfId="0" applyBorder="1">
      <alignment vertical="center"/>
    </xf>
    <xf numFmtId="0" fontId="0" fillId="0" borderId="3" xfId="0" applyBorder="1">
      <alignment vertical="center"/>
    </xf>
    <xf numFmtId="0" fontId="0" fillId="0" borderId="38" xfId="0" applyBorder="1">
      <alignment vertical="center"/>
    </xf>
    <xf numFmtId="0" fontId="104" fillId="0" borderId="0" xfId="0" applyFont="1">
      <alignment vertical="center"/>
    </xf>
    <xf numFmtId="0" fontId="107" fillId="0" borderId="0" xfId="3" applyFont="1"/>
    <xf numFmtId="0" fontId="94" fillId="0" borderId="0" xfId="0" applyFont="1">
      <alignment vertical="center"/>
    </xf>
    <xf numFmtId="0" fontId="0" fillId="0" borderId="0" xfId="3" applyFont="1"/>
    <xf numFmtId="0" fontId="103" fillId="0" borderId="26" xfId="0" applyFont="1" applyBorder="1">
      <alignment vertical="center"/>
    </xf>
    <xf numFmtId="0" fontId="104" fillId="0" borderId="2" xfId="0" applyFont="1" applyBorder="1">
      <alignment vertical="center"/>
    </xf>
    <xf numFmtId="0" fontId="104" fillId="0" borderId="39" xfId="0" applyFont="1" applyBorder="1">
      <alignment vertical="center"/>
    </xf>
    <xf numFmtId="0" fontId="0" fillId="0" borderId="39" xfId="0" applyBorder="1">
      <alignment vertical="center"/>
    </xf>
    <xf numFmtId="0" fontId="84" fillId="0" borderId="0" xfId="0" applyFont="1" applyAlignment="1">
      <alignment horizontal="center" vertical="center"/>
    </xf>
    <xf numFmtId="0" fontId="133" fillId="0" borderId="0" xfId="0" applyFont="1">
      <alignment vertical="center"/>
    </xf>
    <xf numFmtId="0" fontId="106" fillId="0" borderId="0" xfId="0" applyFont="1">
      <alignment vertical="center"/>
    </xf>
    <xf numFmtId="0" fontId="104" fillId="0" borderId="26" xfId="0" applyFont="1" applyBorder="1">
      <alignment vertical="center"/>
    </xf>
    <xf numFmtId="0" fontId="63" fillId="0" borderId="29" xfId="0" applyFont="1" applyBorder="1">
      <alignment vertical="center"/>
    </xf>
    <xf numFmtId="0" fontId="130" fillId="0" borderId="44" xfId="0" applyFont="1" applyBorder="1">
      <alignment vertical="center"/>
    </xf>
    <xf numFmtId="0" fontId="130" fillId="13" borderId="2" xfId="0" applyFont="1" applyFill="1" applyBorder="1">
      <alignment vertical="center"/>
    </xf>
    <xf numFmtId="0" fontId="130" fillId="12" borderId="44" xfId="0" applyFont="1" applyFill="1" applyBorder="1">
      <alignment vertical="center"/>
    </xf>
    <xf numFmtId="0" fontId="76" fillId="0" borderId="0" xfId="0" applyFont="1" applyAlignment="1">
      <alignment horizontal="left"/>
    </xf>
    <xf numFmtId="0" fontId="71" fillId="0" borderId="0" xfId="0" applyFont="1" applyAlignment="1">
      <alignment horizontal="right"/>
    </xf>
    <xf numFmtId="0" fontId="73" fillId="0" borderId="0" xfId="0" applyFont="1" applyAlignment="1">
      <alignment horizontal="left"/>
    </xf>
    <xf numFmtId="0" fontId="108" fillId="0" borderId="0" xfId="0" applyFont="1" applyAlignment="1"/>
    <xf numFmtId="0" fontId="76" fillId="0" borderId="0" xfId="0" applyFont="1" applyAlignment="1"/>
    <xf numFmtId="0" fontId="71" fillId="14" borderId="0" xfId="0" applyFont="1" applyFill="1" applyAlignment="1"/>
    <xf numFmtId="0" fontId="73" fillId="14" borderId="0" xfId="0" applyFont="1" applyFill="1" applyAlignment="1"/>
    <xf numFmtId="49" fontId="71" fillId="0" borderId="0" xfId="0" applyNumberFormat="1" applyFont="1" applyAlignment="1"/>
    <xf numFmtId="0" fontId="109" fillId="0" borderId="0" xfId="3" applyFont="1" applyAlignment="1">
      <alignment horizontal="center"/>
    </xf>
    <xf numFmtId="0" fontId="71" fillId="13" borderId="0" xfId="3" applyFill="1"/>
    <xf numFmtId="0" fontId="70" fillId="0" borderId="0" xfId="3" applyFont="1" applyAlignment="1">
      <alignment horizontal="center"/>
    </xf>
    <xf numFmtId="0" fontId="111" fillId="0" borderId="0" xfId="3" applyFont="1" applyAlignment="1">
      <alignment horizontal="center"/>
    </xf>
    <xf numFmtId="0" fontId="111" fillId="13" borderId="0" xfId="3" applyFont="1" applyFill="1" applyAlignment="1">
      <alignment horizontal="center"/>
    </xf>
    <xf numFmtId="0" fontId="109" fillId="0" borderId="27" xfId="3" applyFont="1" applyBorder="1" applyAlignment="1">
      <alignment horizontal="center" vertical="center"/>
    </xf>
    <xf numFmtId="0" fontId="71" fillId="13" borderId="27" xfId="3" applyFill="1" applyBorder="1" applyAlignment="1">
      <alignment horizontal="center" vertical="center"/>
    </xf>
    <xf numFmtId="0" fontId="109" fillId="0" borderId="0" xfId="3" applyFont="1" applyAlignment="1">
      <alignment horizontal="center" vertical="center"/>
    </xf>
    <xf numFmtId="49" fontId="71" fillId="0" borderId="0" xfId="3" applyNumberFormat="1" applyAlignment="1">
      <alignment horizontal="center" vertical="center"/>
    </xf>
    <xf numFmtId="0" fontId="71" fillId="13" borderId="0" xfId="3" applyFill="1" applyAlignment="1">
      <alignment horizontal="center" vertical="center"/>
    </xf>
    <xf numFmtId="0" fontId="109" fillId="0" borderId="28" xfId="3" applyFont="1" applyBorder="1" applyAlignment="1">
      <alignment horizontal="center"/>
    </xf>
    <xf numFmtId="0" fontId="77" fillId="13" borderId="28" xfId="3" applyFont="1" applyFill="1" applyBorder="1"/>
    <xf numFmtId="0" fontId="109" fillId="0" borderId="2" xfId="3" applyFont="1" applyBorder="1" applyAlignment="1">
      <alignment horizontal="center"/>
    </xf>
    <xf numFmtId="0" fontId="109" fillId="0" borderId="2" xfId="3" applyFont="1" applyBorder="1" applyAlignment="1">
      <alignment horizontal="center" vertical="center"/>
    </xf>
    <xf numFmtId="0" fontId="112" fillId="13" borderId="2" xfId="3" applyFont="1" applyFill="1" applyBorder="1" applyAlignment="1">
      <alignment horizontal="left"/>
    </xf>
    <xf numFmtId="0" fontId="109" fillId="0" borderId="2" xfId="4" applyFont="1" applyBorder="1" applyAlignment="1">
      <alignment horizontal="center"/>
    </xf>
    <xf numFmtId="0" fontId="113" fillId="0" borderId="2" xfId="4" applyFont="1" applyBorder="1"/>
    <xf numFmtId="49" fontId="70" fillId="0" borderId="0" xfId="3" applyNumberFormat="1" applyFont="1"/>
    <xf numFmtId="0" fontId="65" fillId="0" borderId="40" xfId="0" applyFont="1" applyBorder="1" applyAlignment="1">
      <alignment horizontal="center"/>
    </xf>
    <xf numFmtId="0" fontId="65" fillId="0" borderId="40" xfId="0" applyFont="1" applyBorder="1" applyAlignment="1"/>
    <xf numFmtId="0" fontId="114" fillId="0" borderId="2" xfId="2" applyFont="1" applyBorder="1" applyAlignment="1">
      <alignment horizontal="center"/>
    </xf>
    <xf numFmtId="0" fontId="113" fillId="0" borderId="2" xfId="2" applyFont="1" applyBorder="1"/>
    <xf numFmtId="0" fontId="109" fillId="0" borderId="2" xfId="0" applyFont="1" applyBorder="1" applyAlignment="1">
      <alignment horizontal="center" vertical="center"/>
    </xf>
    <xf numFmtId="0" fontId="105" fillId="0" borderId="2" xfId="0" applyFont="1" applyBorder="1">
      <alignment vertical="center"/>
    </xf>
    <xf numFmtId="0" fontId="113" fillId="0" borderId="2" xfId="0" applyFont="1" applyBorder="1" applyAlignment="1"/>
    <xf numFmtId="0" fontId="113" fillId="0" borderId="2" xfId="0" applyFont="1" applyBorder="1" applyAlignment="1">
      <alignment horizontal="center"/>
    </xf>
    <xf numFmtId="0" fontId="113" fillId="0" borderId="2" xfId="0" applyFont="1" applyBorder="1">
      <alignment vertical="center"/>
    </xf>
    <xf numFmtId="0" fontId="71" fillId="0" borderId="30" xfId="3" applyBorder="1"/>
    <xf numFmtId="0" fontId="108" fillId="0" borderId="2" xfId="3" applyFont="1" applyBorder="1"/>
    <xf numFmtId="0" fontId="113" fillId="0" borderId="2" xfId="12" applyFont="1" applyBorder="1"/>
    <xf numFmtId="0" fontId="113" fillId="0" borderId="2" xfId="11" applyFont="1" applyBorder="1" applyAlignment="1">
      <alignment horizontal="center" vertical="center"/>
    </xf>
    <xf numFmtId="0" fontId="78" fillId="13" borderId="2" xfId="3" applyFont="1" applyFill="1" applyBorder="1"/>
    <xf numFmtId="0" fontId="109" fillId="2" borderId="2" xfId="3" applyFont="1" applyFill="1" applyBorder="1" applyAlignment="1">
      <alignment horizontal="center"/>
    </xf>
    <xf numFmtId="0" fontId="71" fillId="2" borderId="2" xfId="3" applyFill="1" applyBorder="1"/>
    <xf numFmtId="49" fontId="71" fillId="0" borderId="2" xfId="3" applyNumberFormat="1" applyBorder="1"/>
    <xf numFmtId="0" fontId="112" fillId="13" borderId="2" xfId="3" applyFont="1" applyFill="1" applyBorder="1"/>
    <xf numFmtId="0" fontId="71" fillId="2" borderId="2" xfId="3" applyFill="1" applyBorder="1" applyAlignment="1">
      <alignment horizontal="left"/>
    </xf>
    <xf numFmtId="0" fontId="78" fillId="13" borderId="2" xfId="3" applyFont="1" applyFill="1" applyBorder="1" applyAlignment="1">
      <alignment horizontal="left"/>
    </xf>
    <xf numFmtId="0" fontId="115" fillId="0" borderId="2" xfId="8" applyFont="1" applyBorder="1" applyAlignment="1">
      <alignment horizontal="center"/>
    </xf>
    <xf numFmtId="0" fontId="113" fillId="0" borderId="2" xfId="8" applyFont="1" applyBorder="1"/>
    <xf numFmtId="0" fontId="113" fillId="0" borderId="2" xfId="8" applyFont="1" applyBorder="1" applyAlignment="1">
      <alignment horizontal="center"/>
    </xf>
    <xf numFmtId="0" fontId="115" fillId="0" borderId="2" xfId="3" applyFont="1" applyBorder="1" applyAlignment="1">
      <alignment horizontal="center"/>
    </xf>
    <xf numFmtId="0" fontId="60" fillId="0" borderId="2" xfId="3" applyFont="1" applyBorder="1"/>
    <xf numFmtId="0" fontId="60" fillId="0" borderId="2" xfId="3" applyFont="1" applyBorder="1" applyAlignment="1">
      <alignment horizontal="center"/>
    </xf>
    <xf numFmtId="49" fontId="71" fillId="2" borderId="2" xfId="3" applyNumberFormat="1" applyFill="1" applyBorder="1" applyAlignment="1">
      <alignment horizontal="center"/>
    </xf>
    <xf numFmtId="0" fontId="116" fillId="0" borderId="0" xfId="3" applyFont="1"/>
    <xf numFmtId="0" fontId="109" fillId="0" borderId="2" xfId="7" applyFont="1" applyBorder="1" applyAlignment="1">
      <alignment horizontal="center"/>
    </xf>
    <xf numFmtId="0" fontId="109" fillId="0" borderId="2" xfId="0" applyFont="1" applyBorder="1" applyAlignment="1">
      <alignment horizontal="center"/>
    </xf>
    <xf numFmtId="0" fontId="105" fillId="0" borderId="2" xfId="0" applyFont="1" applyBorder="1" applyAlignment="1"/>
    <xf numFmtId="0" fontId="105" fillId="0" borderId="2" xfId="1" applyFont="1" applyBorder="1" applyAlignment="1">
      <alignment horizontal="center"/>
    </xf>
    <xf numFmtId="0" fontId="117" fillId="0" borderId="2" xfId="0" applyFont="1" applyBorder="1" applyAlignment="1"/>
    <xf numFmtId="0" fontId="118" fillId="0" borderId="2" xfId="1" applyFont="1" applyBorder="1" applyAlignment="1">
      <alignment horizontal="center" vertical="center"/>
    </xf>
    <xf numFmtId="0" fontId="105" fillId="0" borderId="2" xfId="0" applyFont="1" applyBorder="1" applyAlignment="1">
      <alignment horizontal="center"/>
    </xf>
    <xf numFmtId="0" fontId="105" fillId="0" borderId="2" xfId="9" applyFont="1" applyBorder="1" applyAlignment="1">
      <alignment horizontal="center"/>
    </xf>
    <xf numFmtId="0" fontId="65" fillId="0" borderId="2" xfId="0" applyFont="1" applyBorder="1" applyAlignment="1"/>
    <xf numFmtId="0" fontId="60" fillId="0" borderId="2" xfId="3" applyFont="1" applyBorder="1" applyAlignment="1">
      <alignment horizontal="left"/>
    </xf>
    <xf numFmtId="0" fontId="114" fillId="0" borderId="2" xfId="10" applyFont="1" applyBorder="1" applyAlignment="1">
      <alignment horizontal="center"/>
    </xf>
    <xf numFmtId="0" fontId="113" fillId="0" borderId="2" xfId="10" applyFont="1" applyBorder="1"/>
    <xf numFmtId="0" fontId="113" fillId="0" borderId="2" xfId="10" applyFont="1" applyBorder="1" applyAlignment="1">
      <alignment horizontal="center" vertical="center"/>
    </xf>
    <xf numFmtId="0" fontId="82" fillId="0" borderId="0" xfId="3" applyFont="1" applyAlignment="1">
      <alignment vertical="top"/>
    </xf>
    <xf numFmtId="0" fontId="115" fillId="0" borderId="0" xfId="0" applyFont="1" applyAlignment="1">
      <alignment horizontal="center" vertical="center"/>
    </xf>
    <xf numFmtId="0" fontId="119" fillId="0" borderId="0" xfId="0" applyFont="1">
      <alignment vertical="center"/>
    </xf>
    <xf numFmtId="0" fontId="115" fillId="17" borderId="0" xfId="0" applyFont="1" applyFill="1" applyAlignment="1">
      <alignment horizontal="center" vertical="center"/>
    </xf>
    <xf numFmtId="0" fontId="119" fillId="17" borderId="0" xfId="0" applyFont="1" applyFill="1">
      <alignment vertical="center"/>
    </xf>
    <xf numFmtId="0" fontId="109" fillId="0" borderId="0" xfId="0" applyFont="1" applyAlignment="1">
      <alignment horizontal="center" vertical="center"/>
    </xf>
    <xf numFmtId="0" fontId="120" fillId="0" borderId="0" xfId="0" applyFont="1">
      <alignment vertical="center"/>
    </xf>
    <xf numFmtId="0" fontId="115" fillId="14" borderId="0" xfId="0" applyFont="1" applyFill="1" applyAlignment="1">
      <alignment horizontal="center" vertical="center"/>
    </xf>
    <xf numFmtId="0" fontId="119" fillId="14" borderId="0" xfId="0" applyFont="1" applyFill="1">
      <alignment vertical="center"/>
    </xf>
    <xf numFmtId="0" fontId="109" fillId="17" borderId="0" xfId="0" applyFont="1" applyFill="1" applyAlignment="1">
      <alignment horizontal="center" vertical="center"/>
    </xf>
    <xf numFmtId="0" fontId="120" fillId="17" borderId="0" xfId="0" applyFont="1" applyFill="1">
      <alignment vertical="center"/>
    </xf>
    <xf numFmtId="0" fontId="121" fillId="0" borderId="0" xfId="0" applyFont="1" applyAlignment="1">
      <alignment horizontal="center" vertical="center"/>
    </xf>
    <xf numFmtId="0" fontId="88" fillId="0" borderId="0" xfId="0" applyFont="1" applyAlignment="1">
      <alignment horizontal="left" vertical="center"/>
    </xf>
    <xf numFmtId="0" fontId="0" fillId="13" borderId="0" xfId="0" applyFill="1" applyAlignment="1"/>
    <xf numFmtId="0" fontId="109" fillId="0" borderId="0" xfId="0" applyFont="1" applyAlignment="1">
      <alignment horizontal="center"/>
    </xf>
    <xf numFmtId="0" fontId="109" fillId="0" borderId="0" xfId="3" applyFont="1" applyAlignment="1">
      <alignment horizontal="left"/>
    </xf>
    <xf numFmtId="0" fontId="122" fillId="0" borderId="41" xfId="5" applyFont="1" applyBorder="1"/>
    <xf numFmtId="0" fontId="122" fillId="0" borderId="42" xfId="5" applyFont="1" applyBorder="1"/>
    <xf numFmtId="0" fontId="122" fillId="0" borderId="43" xfId="5" applyFont="1" applyBorder="1"/>
    <xf numFmtId="0" fontId="123" fillId="0" borderId="43" xfId="5" applyFont="1" applyBorder="1"/>
    <xf numFmtId="0" fontId="124" fillId="0" borderId="43" xfId="5" applyFont="1" applyBorder="1"/>
    <xf numFmtId="0" fontId="64" fillId="0" borderId="0" xfId="0" applyFont="1" applyAlignment="1">
      <alignment wrapText="1"/>
    </xf>
    <xf numFmtId="0" fontId="63" fillId="0" borderId="4" xfId="0" applyFont="1" applyBorder="1" applyAlignment="1">
      <alignment horizontal="center"/>
    </xf>
    <xf numFmtId="0" fontId="57" fillId="0" borderId="2" xfId="0" applyFont="1" applyBorder="1" applyAlignment="1">
      <alignment horizontal="center" vertical="center" wrapText="1"/>
    </xf>
    <xf numFmtId="0" fontId="60" fillId="0" borderId="0" xfId="0" applyFont="1" applyAlignment="1">
      <alignment horizontal="center" wrapText="1"/>
    </xf>
    <xf numFmtId="0" fontId="0" fillId="0" borderId="0" xfId="0" applyAlignment="1">
      <alignment horizontal="left" vertical="center" wrapText="1"/>
    </xf>
    <xf numFmtId="0" fontId="58" fillId="0" borderId="0" xfId="0" applyFont="1" applyAlignment="1">
      <alignment horizontal="center" wrapText="1"/>
    </xf>
    <xf numFmtId="0" fontId="56" fillId="0" borderId="0" xfId="0" applyFont="1" applyAlignment="1">
      <alignment horizontal="center" vertical="center"/>
    </xf>
    <xf numFmtId="0" fontId="71" fillId="0" borderId="37" xfId="3" applyBorder="1"/>
    <xf numFmtId="0" fontId="71" fillId="0" borderId="37" xfId="3" applyBorder="1" applyAlignment="1">
      <alignment horizontal="center"/>
    </xf>
    <xf numFmtId="0" fontId="71" fillId="0" borderId="45" xfId="3" applyBorder="1" applyAlignment="1">
      <alignment horizontal="center"/>
    </xf>
    <xf numFmtId="0" fontId="71" fillId="0" borderId="45" xfId="3" applyBorder="1"/>
    <xf numFmtId="49" fontId="71" fillId="0" borderId="45" xfId="3" applyNumberFormat="1" applyBorder="1"/>
    <xf numFmtId="0" fontId="57" fillId="0" borderId="3" xfId="0" applyFont="1" applyBorder="1" applyAlignment="1">
      <alignment horizontal="center" vertical="center"/>
    </xf>
    <xf numFmtId="1" fontId="63" fillId="0" borderId="0" xfId="0" applyNumberFormat="1" applyFont="1" applyAlignment="1">
      <alignment horizontal="center" vertical="center"/>
    </xf>
    <xf numFmtId="168" fontId="0" fillId="14" borderId="0" xfId="0" applyNumberFormat="1" applyFill="1" applyAlignment="1">
      <alignment horizontal="left" vertical="center"/>
    </xf>
    <xf numFmtId="0" fontId="63" fillId="9" borderId="0" xfId="0" applyFont="1" applyFill="1" applyAlignment="1">
      <alignment horizontal="center" vertical="center"/>
    </xf>
    <xf numFmtId="1" fontId="132" fillId="9" borderId="0" xfId="0" applyNumberFormat="1" applyFont="1" applyFill="1" applyAlignment="1">
      <alignment horizontal="center" vertical="center"/>
    </xf>
    <xf numFmtId="0" fontId="0" fillId="9" borderId="0" xfId="0" applyFill="1" applyAlignment="1">
      <alignment horizontal="center" vertical="center"/>
    </xf>
    <xf numFmtId="0" fontId="103" fillId="0" borderId="0" xfId="0" applyFont="1" applyAlignment="1">
      <alignment horizontal="left" vertical="center"/>
    </xf>
    <xf numFmtId="0" fontId="104" fillId="0" borderId="0" xfId="0" applyFont="1" applyAlignment="1">
      <alignment horizontal="left" vertical="center"/>
    </xf>
    <xf numFmtId="0" fontId="137" fillId="0" borderId="0" xfId="0" applyFont="1" applyAlignment="1">
      <alignment horizontal="left" vertical="center"/>
    </xf>
    <xf numFmtId="0" fontId="138" fillId="0" borderId="0" xfId="0" applyFont="1" applyAlignment="1">
      <alignment horizontal="left" vertical="center"/>
    </xf>
    <xf numFmtId="0" fontId="130" fillId="0" borderId="2" xfId="0" applyFont="1" applyBorder="1">
      <alignment vertical="center"/>
    </xf>
    <xf numFmtId="0" fontId="132" fillId="0" borderId="0" xfId="0" applyFont="1">
      <alignment vertical="center"/>
    </xf>
    <xf numFmtId="0" fontId="71" fillId="13" borderId="2" xfId="3" applyFill="1" applyBorder="1" applyAlignment="1">
      <alignment horizontal="left"/>
    </xf>
    <xf numFmtId="0" fontId="92" fillId="0" borderId="0" xfId="0" applyFont="1" applyAlignment="1">
      <alignment horizontal="left" vertical="center"/>
    </xf>
    <xf numFmtId="0" fontId="0" fillId="0" borderId="19" xfId="0" applyBorder="1" applyAlignment="1">
      <alignment horizontal="left" vertical="center"/>
    </xf>
    <xf numFmtId="0" fontId="0" fillId="0" borderId="21" xfId="0" applyBorder="1" applyAlignment="1">
      <alignment horizontal="left" vertical="center"/>
    </xf>
    <xf numFmtId="0" fontId="0" fillId="0" borderId="25" xfId="0" applyBorder="1" applyAlignment="1">
      <alignment horizontal="left" vertical="center"/>
    </xf>
    <xf numFmtId="0" fontId="0" fillId="0" borderId="32" xfId="0" applyBorder="1" applyAlignment="1">
      <alignment horizontal="left" vertical="center"/>
    </xf>
    <xf numFmtId="0" fontId="0" fillId="0" borderId="29" xfId="0" applyBorder="1" applyAlignment="1">
      <alignment horizontal="left" vertical="center"/>
    </xf>
    <xf numFmtId="0" fontId="0" fillId="0" borderId="31" xfId="0" applyBorder="1" applyAlignment="1">
      <alignment horizontal="left" vertical="center"/>
    </xf>
    <xf numFmtId="0" fontId="102" fillId="0" borderId="0" xfId="0" applyFont="1" applyAlignment="1">
      <alignment horizontal="center" vertical="center" wrapText="1"/>
    </xf>
    <xf numFmtId="0" fontId="134" fillId="18" borderId="0" xfId="3" applyFont="1" applyFill="1" applyAlignment="1">
      <alignment horizontal="left"/>
    </xf>
    <xf numFmtId="0" fontId="58" fillId="0" borderId="0" xfId="0" applyFont="1" applyAlignment="1">
      <alignment horizontal="left" wrapText="1"/>
    </xf>
    <xf numFmtId="0" fontId="57" fillId="0" borderId="29" xfId="0" applyFont="1" applyBorder="1" applyAlignment="1">
      <alignment horizontal="center" vertical="center"/>
    </xf>
    <xf numFmtId="0" fontId="60" fillId="0" borderId="26" xfId="0" applyFont="1" applyBorder="1" applyAlignment="1">
      <alignment horizontal="center" wrapText="1"/>
    </xf>
    <xf numFmtId="49" fontId="60" fillId="0" borderId="0" xfId="0" applyNumberFormat="1" applyFont="1" applyAlignment="1">
      <alignment horizontal="center" vertical="center"/>
    </xf>
    <xf numFmtId="0" fontId="60" fillId="0" borderId="46" xfId="0" applyFont="1" applyBorder="1" applyAlignment="1">
      <alignment horizontal="center" wrapText="1"/>
    </xf>
    <xf numFmtId="0" fontId="0" fillId="0" borderId="0" xfId="0" applyAlignment="1">
      <alignment horizontal="right" vertical="center"/>
    </xf>
    <xf numFmtId="0" fontId="88" fillId="0" borderId="2" xfId="0" applyFont="1" applyBorder="1" applyAlignment="1">
      <alignment horizontal="center"/>
    </xf>
    <xf numFmtId="0" fontId="88" fillId="0" borderId="2" xfId="0" applyFont="1" applyBorder="1" applyAlignment="1">
      <alignment horizontal="left"/>
    </xf>
    <xf numFmtId="0" fontId="0" fillId="0" borderId="5" xfId="0" applyBorder="1" applyAlignment="1">
      <alignment horizontal="center" vertical="center"/>
    </xf>
    <xf numFmtId="0" fontId="0" fillId="0" borderId="5" xfId="0" applyBorder="1">
      <alignment vertical="center"/>
    </xf>
    <xf numFmtId="0" fontId="132" fillId="15" borderId="0" xfId="0" applyFont="1" applyFill="1" applyAlignment="1">
      <alignment horizontal="center" vertical="center"/>
    </xf>
    <xf numFmtId="0" fontId="0" fillId="0" borderId="37" xfId="0" applyBorder="1" applyAlignment="1">
      <alignment horizontal="center" vertical="center"/>
    </xf>
    <xf numFmtId="0" fontId="71" fillId="0" borderId="0" xfId="0" applyFont="1" applyAlignment="1">
      <alignment horizontal="left" wrapText="1"/>
    </xf>
    <xf numFmtId="0" fontId="134" fillId="0" borderId="0" xfId="3" applyFont="1" applyAlignment="1">
      <alignment horizontal="left"/>
    </xf>
    <xf numFmtId="1" fontId="134" fillId="0" borderId="0" xfId="0" applyNumberFormat="1" applyFont="1" applyAlignment="1">
      <alignment horizontal="center" vertical="center"/>
    </xf>
    <xf numFmtId="0" fontId="134" fillId="0" borderId="0" xfId="0" applyFont="1" applyAlignment="1">
      <alignment horizontal="center" vertical="center"/>
    </xf>
    <xf numFmtId="0" fontId="57" fillId="0" borderId="2" xfId="0" applyFont="1" applyBorder="1" applyAlignment="1"/>
    <xf numFmtId="0" fontId="65" fillId="0" borderId="2" xfId="0" applyFont="1" applyBorder="1" applyAlignment="1">
      <alignment horizontal="left"/>
    </xf>
    <xf numFmtId="1" fontId="132" fillId="0" borderId="0" xfId="0" applyNumberFormat="1" applyFont="1" applyAlignment="1">
      <alignment horizontal="center" vertical="center"/>
    </xf>
    <xf numFmtId="0" fontId="130" fillId="0" borderId="0" xfId="3" applyFont="1" applyAlignment="1">
      <alignment horizontal="left"/>
    </xf>
    <xf numFmtId="0" fontId="103" fillId="14" borderId="0" xfId="0" applyFont="1" applyFill="1" applyAlignment="1">
      <alignment horizontal="center" vertical="center"/>
    </xf>
    <xf numFmtId="1" fontId="130" fillId="14" borderId="0" xfId="0" applyNumberFormat="1" applyFont="1" applyFill="1" applyAlignment="1">
      <alignment horizontal="center" vertical="center"/>
    </xf>
    <xf numFmtId="0" fontId="71" fillId="0" borderId="2" xfId="3" applyBorder="1" applyAlignment="1">
      <alignment horizontal="left" vertical="center" wrapText="1"/>
    </xf>
    <xf numFmtId="0" fontId="71" fillId="13" borderId="2" xfId="3" applyFill="1" applyBorder="1" applyAlignment="1">
      <alignment horizontal="center" vertical="center"/>
    </xf>
    <xf numFmtId="0" fontId="71" fillId="0" borderId="2" xfId="3" applyBorder="1" applyAlignment="1">
      <alignment horizontal="center" vertical="center"/>
    </xf>
    <xf numFmtId="0" fontId="0" fillId="0" borderId="49" xfId="0" applyBorder="1">
      <alignment vertical="center"/>
    </xf>
    <xf numFmtId="0" fontId="0" fillId="0" borderId="50" xfId="0" applyBorder="1">
      <alignment vertical="center"/>
    </xf>
    <xf numFmtId="0" fontId="0" fillId="0" borderId="51" xfId="0" applyBorder="1" applyAlignment="1">
      <alignment horizontal="center" vertical="center"/>
    </xf>
    <xf numFmtId="0" fontId="0" fillId="0" borderId="52" xfId="0" applyBorder="1">
      <alignment vertical="center"/>
    </xf>
    <xf numFmtId="0" fontId="0" fillId="0" borderId="52" xfId="0" applyBorder="1" applyAlignment="1">
      <alignment horizontal="center" vertical="center"/>
    </xf>
    <xf numFmtId="0" fontId="0" fillId="0" borderId="48" xfId="0" applyBorder="1" applyAlignment="1">
      <alignment horizontal="center" vertical="center"/>
    </xf>
    <xf numFmtId="0" fontId="139" fillId="0" borderId="2" xfId="0" applyFont="1" applyBorder="1" applyAlignment="1">
      <alignment horizontal="left"/>
    </xf>
    <xf numFmtId="0" fontId="139" fillId="0" borderId="4" xfId="0" applyFont="1" applyBorder="1" applyAlignment="1">
      <alignment horizontal="left"/>
    </xf>
    <xf numFmtId="0" fontId="57" fillId="0" borderId="2" xfId="0" applyFont="1" applyBorder="1" applyAlignment="1">
      <alignment horizontal="center" vertical="center"/>
    </xf>
    <xf numFmtId="0" fontId="63" fillId="0" borderId="2" xfId="0" applyFont="1" applyBorder="1">
      <alignment vertical="center"/>
    </xf>
    <xf numFmtId="0" fontId="63" fillId="0" borderId="4" xfId="0" applyFont="1" applyBorder="1">
      <alignment vertical="center"/>
    </xf>
    <xf numFmtId="0" fontId="0" fillId="0" borderId="33" xfId="0" applyBorder="1">
      <alignment vertical="center"/>
    </xf>
    <xf numFmtId="0" fontId="0" fillId="0" borderId="2" xfId="0" applyBorder="1" applyAlignment="1">
      <alignment vertical="center" wrapText="1"/>
    </xf>
    <xf numFmtId="0" fontId="130" fillId="0" borderId="2" xfId="0" applyFont="1" applyBorder="1" applyAlignment="1">
      <alignment horizontal="left" vertical="center"/>
    </xf>
    <xf numFmtId="0" fontId="59" fillId="0" borderId="0" xfId="0" applyFont="1" applyAlignment="1">
      <alignment horizontal="center" wrapText="1"/>
    </xf>
    <xf numFmtId="0" fontId="57" fillId="0" borderId="0" xfId="0" applyFont="1" applyAlignment="1">
      <alignment horizontal="left" wrapText="1"/>
    </xf>
    <xf numFmtId="0" fontId="140" fillId="0" borderId="0" xfId="0" applyFont="1" applyAlignment="1">
      <alignment horizontal="center" vertical="center"/>
    </xf>
    <xf numFmtId="0" fontId="75" fillId="0" borderId="0" xfId="0" applyFont="1" applyAlignment="1">
      <alignment horizontal="left"/>
    </xf>
    <xf numFmtId="0" fontId="74" fillId="0" borderId="0" xfId="0" applyFont="1" applyAlignment="1">
      <alignment horizontal="left"/>
    </xf>
    <xf numFmtId="0" fontId="0" fillId="0" borderId="4" xfId="0" applyBorder="1">
      <alignment vertical="center"/>
    </xf>
    <xf numFmtId="0" fontId="63" fillId="0" borderId="2" xfId="0" applyFont="1" applyBorder="1" applyAlignment="1">
      <alignment horizontal="left" vertical="center"/>
    </xf>
    <xf numFmtId="0" fontId="134" fillId="0" borderId="0" xfId="0" applyFont="1" applyAlignment="1">
      <alignment horizontal="left" vertical="center"/>
    </xf>
    <xf numFmtId="0" fontId="0" fillId="0" borderId="46" xfId="0" applyBorder="1">
      <alignment vertical="center"/>
    </xf>
    <xf numFmtId="0" fontId="71" fillId="0" borderId="46" xfId="3" applyBorder="1" applyAlignment="1">
      <alignment horizontal="center"/>
    </xf>
    <xf numFmtId="0" fontId="77" fillId="0" borderId="4" xfId="3" applyFont="1" applyBorder="1"/>
    <xf numFmtId="0" fontId="92" fillId="0" borderId="23" xfId="0" applyFont="1" applyBorder="1">
      <alignment vertical="center"/>
    </xf>
    <xf numFmtId="0" fontId="90" fillId="0" borderId="0" xfId="0" applyFont="1">
      <alignment vertical="center"/>
    </xf>
    <xf numFmtId="0" fontId="102" fillId="9" borderId="0" xfId="3" applyFont="1" applyFill="1" applyAlignment="1">
      <alignment horizontal="center"/>
    </xf>
    <xf numFmtId="0" fontId="130" fillId="0" borderId="0" xfId="3" applyFont="1" applyAlignment="1">
      <alignment horizontal="center"/>
    </xf>
    <xf numFmtId="0" fontId="141" fillId="0" borderId="2" xfId="3" applyFont="1" applyBorder="1"/>
    <xf numFmtId="0" fontId="138" fillId="13" borderId="2" xfId="0" applyFont="1" applyFill="1" applyBorder="1" applyAlignment="1">
      <alignment horizontal="center" vertical="center"/>
    </xf>
    <xf numFmtId="1" fontId="142" fillId="13" borderId="2" xfId="3" applyNumberFormat="1" applyFont="1" applyFill="1" applyBorder="1" applyAlignment="1">
      <alignment horizontal="center"/>
    </xf>
    <xf numFmtId="0" fontId="71" fillId="0" borderId="2" xfId="3" applyBorder="1" applyAlignment="1">
      <alignment horizontal="left" wrapText="1"/>
    </xf>
    <xf numFmtId="0" fontId="77" fillId="0" borderId="2" xfId="3" applyFont="1" applyBorder="1" applyAlignment="1">
      <alignment vertical="center"/>
    </xf>
    <xf numFmtId="0" fontId="89" fillId="0" borderId="0" xfId="3" applyFont="1" applyAlignment="1">
      <alignment horizontal="left"/>
    </xf>
    <xf numFmtId="165" fontId="0" fillId="0" borderId="0" xfId="0" applyNumberFormat="1">
      <alignment vertical="center"/>
    </xf>
    <xf numFmtId="165" fontId="0" fillId="0" borderId="24" xfId="0" applyNumberFormat="1" applyBorder="1">
      <alignment vertical="center"/>
    </xf>
    <xf numFmtId="165" fontId="71" fillId="0" borderId="0" xfId="0" applyNumberFormat="1" applyFont="1" applyAlignment="1"/>
    <xf numFmtId="0" fontId="130" fillId="0" borderId="0" xfId="0" applyFont="1" applyAlignment="1">
      <alignment horizontal="left" vertical="center"/>
    </xf>
    <xf numFmtId="0" fontId="132" fillId="9" borderId="0" xfId="0" applyFont="1" applyFill="1" applyAlignment="1">
      <alignment horizontal="center" vertical="center"/>
    </xf>
    <xf numFmtId="165" fontId="96" fillId="0" borderId="15" xfId="0" applyNumberFormat="1" applyFont="1" applyBorder="1" applyAlignment="1">
      <alignment horizontal="center" vertical="center" wrapText="1"/>
    </xf>
    <xf numFmtId="165" fontId="134" fillId="9" borderId="0" xfId="3" applyNumberFormat="1" applyFont="1" applyFill="1" applyAlignment="1">
      <alignment horizontal="left"/>
    </xf>
    <xf numFmtId="165" fontId="97" fillId="0" borderId="0" xfId="0" applyNumberFormat="1" applyFont="1" applyAlignment="1">
      <alignment horizontal="center" vertical="center"/>
    </xf>
    <xf numFmtId="165" fontId="134" fillId="0" borderId="0" xfId="3" applyNumberFormat="1" applyFont="1" applyAlignment="1">
      <alignment horizontal="left"/>
    </xf>
    <xf numFmtId="1" fontId="130" fillId="20" borderId="0" xfId="0" applyNumberFormat="1" applyFont="1" applyFill="1" applyAlignment="1">
      <alignment horizontal="center" vertical="center"/>
    </xf>
    <xf numFmtId="165" fontId="130" fillId="20" borderId="0" xfId="0" applyNumberFormat="1" applyFont="1" applyFill="1" applyAlignment="1">
      <alignment horizontal="center" vertical="center"/>
    </xf>
    <xf numFmtId="0" fontId="0" fillId="20" borderId="0" xfId="0" applyFill="1" applyAlignment="1">
      <alignment horizontal="center" vertical="center"/>
    </xf>
    <xf numFmtId="0" fontId="70" fillId="0" borderId="0" xfId="3" applyFont="1" applyAlignment="1">
      <alignment horizontal="left" vertical="center"/>
    </xf>
    <xf numFmtId="0" fontId="75" fillId="9" borderId="0" xfId="3" applyFont="1" applyFill="1" applyAlignment="1">
      <alignment horizontal="left"/>
    </xf>
    <xf numFmtId="0" fontId="134" fillId="20" borderId="0" xfId="3" applyFont="1" applyFill="1" applyAlignment="1">
      <alignment horizontal="left"/>
    </xf>
    <xf numFmtId="0" fontId="77" fillId="0" borderId="2" xfId="3" applyFont="1" applyBorder="1" applyAlignment="1">
      <alignment horizontal="left" vertical="center"/>
    </xf>
    <xf numFmtId="0" fontId="0" fillId="20" borderId="2" xfId="0" applyFill="1" applyBorder="1">
      <alignment vertical="center"/>
    </xf>
    <xf numFmtId="0" fontId="107" fillId="0" borderId="4" xfId="3" applyFont="1" applyBorder="1"/>
    <xf numFmtId="0" fontId="107" fillId="0" borderId="1" xfId="3" applyFont="1" applyBorder="1"/>
    <xf numFmtId="0" fontId="77" fillId="13" borderId="2" xfId="3" applyFont="1" applyFill="1" applyBorder="1" applyAlignment="1">
      <alignment vertical="center"/>
    </xf>
    <xf numFmtId="0" fontId="76" fillId="13" borderId="2" xfId="3" applyFont="1" applyFill="1" applyBorder="1" applyAlignment="1">
      <alignment horizontal="left" vertical="center" wrapText="1"/>
    </xf>
    <xf numFmtId="0" fontId="85" fillId="13" borderId="2" xfId="3" applyFont="1" applyFill="1" applyBorder="1" applyAlignment="1">
      <alignment vertical="center" wrapText="1"/>
    </xf>
    <xf numFmtId="0" fontId="71" fillId="0" borderId="2" xfId="0" applyFont="1" applyBorder="1" applyAlignment="1">
      <alignment horizontal="center"/>
    </xf>
    <xf numFmtId="0" fontId="71" fillId="0" borderId="2" xfId="0" applyFont="1" applyBorder="1" applyAlignment="1"/>
    <xf numFmtId="0" fontId="63" fillId="14" borderId="2" xfId="0" applyFont="1" applyFill="1" applyBorder="1" applyAlignment="1">
      <alignment horizontal="left" vertical="center"/>
    </xf>
    <xf numFmtId="0" fontId="0" fillId="14" borderId="2" xfId="0" applyFill="1" applyBorder="1">
      <alignment vertical="center"/>
    </xf>
    <xf numFmtId="0" fontId="130" fillId="20" borderId="0" xfId="0" applyFont="1" applyFill="1" applyAlignment="1">
      <alignment horizontal="center" vertical="center"/>
    </xf>
    <xf numFmtId="167" fontId="0" fillId="20" borderId="0" xfId="0" applyNumberFormat="1" applyFill="1" applyAlignment="1">
      <alignment horizontal="center" vertical="center"/>
    </xf>
    <xf numFmtId="0" fontId="132" fillId="0" borderId="0" xfId="0" applyFont="1" applyAlignment="1">
      <alignment horizontal="left" vertical="center"/>
    </xf>
    <xf numFmtId="0" fontId="63" fillId="0" borderId="53" xfId="0" applyFont="1" applyBorder="1" applyAlignment="1">
      <alignment horizontal="center" vertical="center"/>
    </xf>
    <xf numFmtId="0" fontId="142" fillId="0" borderId="0" xfId="3" applyFont="1" applyAlignment="1">
      <alignment horizontal="center"/>
    </xf>
    <xf numFmtId="0" fontId="0" fillId="0" borderId="0" xfId="3" applyFont="1" applyAlignment="1">
      <alignment horizontal="center"/>
    </xf>
    <xf numFmtId="0" fontId="55" fillId="0" borderId="0" xfId="13"/>
    <xf numFmtId="0" fontId="0" fillId="0" borderId="0" xfId="0" applyAlignment="1">
      <alignment horizontal="center"/>
    </xf>
    <xf numFmtId="0" fontId="71" fillId="0" borderId="0" xfId="0" applyFont="1" applyAlignment="1">
      <alignment horizontal="center" vertical="center"/>
    </xf>
    <xf numFmtId="0" fontId="0" fillId="0" borderId="4" xfId="0" applyBorder="1" applyAlignment="1"/>
    <xf numFmtId="0" fontId="0" fillId="0" borderId="1" xfId="0" applyBorder="1" applyAlignment="1">
      <alignment horizontal="center"/>
    </xf>
    <xf numFmtId="0" fontId="0" fillId="0" borderId="4" xfId="0" applyBorder="1" applyAlignment="1">
      <alignment horizontal="center" vertical="center"/>
    </xf>
    <xf numFmtId="0" fontId="57" fillId="0" borderId="2" xfId="0" applyFont="1" applyBorder="1" applyAlignment="1">
      <alignment horizontal="center"/>
    </xf>
    <xf numFmtId="0" fontId="57" fillId="0" borderId="4" xfId="0" applyFont="1" applyBorder="1" applyAlignment="1"/>
    <xf numFmtId="0" fontId="78" fillId="0" borderId="4" xfId="0" applyFont="1" applyBorder="1" applyAlignment="1">
      <alignment horizontal="left"/>
    </xf>
    <xf numFmtId="0" fontId="106" fillId="0" borderId="4" xfId="0" applyFont="1" applyBorder="1" applyAlignment="1">
      <alignment horizontal="center" vertical="center"/>
    </xf>
    <xf numFmtId="0" fontId="132" fillId="12" borderId="2" xfId="0" applyFont="1" applyFill="1" applyBorder="1" applyAlignment="1">
      <alignment horizontal="center" vertical="center"/>
    </xf>
    <xf numFmtId="0" fontId="54" fillId="0" borderId="0" xfId="14"/>
    <xf numFmtId="0" fontId="146" fillId="0" borderId="0" xfId="14" applyFont="1" applyAlignment="1">
      <alignment horizontal="center"/>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138" fillId="13" borderId="2" xfId="3" applyFont="1" applyFill="1" applyBorder="1" applyAlignment="1">
      <alignment horizontal="center"/>
    </xf>
    <xf numFmtId="0" fontId="71" fillId="20" borderId="2" xfId="3" applyFill="1" applyBorder="1"/>
    <xf numFmtId="0" fontId="0" fillId="20" borderId="2" xfId="0" applyFill="1" applyBorder="1" applyAlignment="1"/>
    <xf numFmtId="0" fontId="147" fillId="0" borderId="0" xfId="3" applyFont="1"/>
    <xf numFmtId="0" fontId="146" fillId="0" borderId="0" xfId="16" applyFont="1"/>
    <xf numFmtId="0" fontId="94" fillId="20" borderId="0" xfId="0" applyFont="1" applyFill="1" applyAlignment="1">
      <alignment horizontal="left" vertical="center"/>
    </xf>
    <xf numFmtId="0" fontId="103" fillId="0" borderId="0" xfId="0" applyFont="1" applyAlignment="1">
      <alignment vertical="center" wrapText="1"/>
    </xf>
    <xf numFmtId="0" fontId="130" fillId="19" borderId="0" xfId="0" applyFont="1" applyFill="1" applyAlignment="1">
      <alignment horizontal="center" vertical="center"/>
    </xf>
    <xf numFmtId="0" fontId="71" fillId="20" borderId="0" xfId="3" applyFill="1"/>
    <xf numFmtId="0" fontId="0" fillId="20" borderId="0" xfId="0" applyFill="1">
      <alignment vertical="center"/>
    </xf>
    <xf numFmtId="0" fontId="103" fillId="20" borderId="0" xfId="0" applyFont="1" applyFill="1" applyAlignment="1">
      <alignment horizontal="center" vertical="center"/>
    </xf>
    <xf numFmtId="0" fontId="104" fillId="0" borderId="37" xfId="0" applyFont="1" applyBorder="1">
      <alignment vertical="center"/>
    </xf>
    <xf numFmtId="0" fontId="130" fillId="22" borderId="0" xfId="0" applyFont="1" applyFill="1" applyAlignment="1">
      <alignment horizontal="center" vertical="center"/>
    </xf>
    <xf numFmtId="0" fontId="134" fillId="7" borderId="0" xfId="3" applyFont="1" applyFill="1" applyAlignment="1">
      <alignment horizontal="left"/>
    </xf>
    <xf numFmtId="0" fontId="130" fillId="23" borderId="0" xfId="0" applyFont="1" applyFill="1" applyAlignment="1">
      <alignment horizontal="center" vertical="center"/>
    </xf>
    <xf numFmtId="0" fontId="134" fillId="23" borderId="0" xfId="3" applyFont="1" applyFill="1" applyAlignment="1">
      <alignment horizontal="left"/>
    </xf>
    <xf numFmtId="0" fontId="71" fillId="13" borderId="5" xfId="3" applyFill="1" applyBorder="1" applyAlignment="1">
      <alignment horizontal="center"/>
    </xf>
    <xf numFmtId="0" fontId="71" fillId="13" borderId="5" xfId="3" applyFill="1" applyBorder="1" applyAlignment="1">
      <alignment horizontal="left"/>
    </xf>
    <xf numFmtId="1" fontId="130" fillId="13" borderId="5" xfId="0" applyNumberFormat="1" applyFont="1" applyFill="1" applyBorder="1" applyAlignment="1">
      <alignment horizontal="center" vertical="center"/>
    </xf>
    <xf numFmtId="49" fontId="71" fillId="0" borderId="2" xfId="3" applyNumberFormat="1" applyBorder="1" applyAlignment="1">
      <alignment horizontal="center" vertical="center"/>
    </xf>
    <xf numFmtId="0" fontId="129" fillId="0" borderId="0" xfId="0" applyFont="1">
      <alignment vertical="center"/>
    </xf>
    <xf numFmtId="0" fontId="50" fillId="0" borderId="0" xfId="18"/>
    <xf numFmtId="0" fontId="102" fillId="0" borderId="0" xfId="3" applyFont="1" applyAlignment="1">
      <alignment horizontal="center"/>
    </xf>
    <xf numFmtId="0" fontId="49" fillId="0" borderId="2" xfId="19" applyBorder="1" applyAlignment="1">
      <alignment horizontal="center"/>
    </xf>
    <xf numFmtId="0" fontId="49" fillId="0" borderId="2" xfId="19" applyBorder="1"/>
    <xf numFmtId="0" fontId="130" fillId="7" borderId="0" xfId="0" applyFont="1" applyFill="1" applyAlignment="1">
      <alignment horizontal="center" vertical="center"/>
    </xf>
    <xf numFmtId="0" fontId="0" fillId="0" borderId="2" xfId="3" applyFont="1" applyBorder="1"/>
    <xf numFmtId="0" fontId="107" fillId="0" borderId="2" xfId="3" applyFont="1" applyBorder="1"/>
    <xf numFmtId="0" fontId="0" fillId="0" borderId="2" xfId="0" applyBorder="1" applyAlignment="1">
      <alignment horizontal="center" vertical="center" wrapText="1"/>
    </xf>
    <xf numFmtId="0" fontId="58" fillId="13" borderId="0" xfId="0" applyFont="1" applyFill="1" applyAlignment="1">
      <alignment horizontal="left"/>
    </xf>
    <xf numFmtId="0" fontId="122" fillId="0" borderId="0" xfId="0" applyFont="1" applyAlignment="1">
      <alignment horizontal="left" vertical="center"/>
    </xf>
    <xf numFmtId="0" fontId="122" fillId="0" borderId="54" xfId="5" applyFont="1" applyBorder="1" applyAlignment="1">
      <alignment horizontal="center"/>
    </xf>
    <xf numFmtId="0" fontId="122" fillId="0" borderId="55" xfId="5" applyFont="1" applyBorder="1" applyAlignment="1">
      <alignment horizontal="center"/>
    </xf>
    <xf numFmtId="0" fontId="122" fillId="0" borderId="55" xfId="5" applyFont="1" applyBorder="1"/>
    <xf numFmtId="0" fontId="122" fillId="0" borderId="54" xfId="5" applyFont="1" applyBorder="1"/>
    <xf numFmtId="0" fontId="0" fillId="0" borderId="3" xfId="0" applyBorder="1" applyAlignment="1">
      <alignment horizontal="center" vertical="center"/>
    </xf>
    <xf numFmtId="0" fontId="142" fillId="0" borderId="0" xfId="3" applyFont="1" applyAlignment="1">
      <alignment horizontal="center" vertical="center"/>
    </xf>
    <xf numFmtId="0" fontId="142" fillId="0" borderId="0" xfId="3" applyFont="1" applyAlignment="1">
      <alignment horizontal="left" vertical="center"/>
    </xf>
    <xf numFmtId="0" fontId="48" fillId="0" borderId="0" xfId="20"/>
    <xf numFmtId="0" fontId="47" fillId="0" borderId="0" xfId="21"/>
    <xf numFmtId="0" fontId="47" fillId="0" borderId="0" xfId="21" applyAlignment="1">
      <alignment horizontal="center"/>
    </xf>
    <xf numFmtId="0" fontId="130" fillId="21" borderId="0" xfId="0" applyFont="1" applyFill="1" applyAlignment="1">
      <alignment horizontal="center" vertical="center"/>
    </xf>
    <xf numFmtId="0" fontId="130" fillId="21" borderId="0" xfId="0" applyFont="1" applyFill="1" applyAlignment="1">
      <alignment horizontal="left" vertical="center"/>
    </xf>
    <xf numFmtId="0" fontId="89" fillId="14" borderId="0" xfId="3" applyFont="1" applyFill="1" applyAlignment="1">
      <alignment horizontal="left"/>
    </xf>
    <xf numFmtId="0" fontId="84" fillId="20" borderId="0" xfId="0" applyFont="1" applyFill="1">
      <alignment vertical="center"/>
    </xf>
    <xf numFmtId="0" fontId="0" fillId="20" borderId="0" xfId="0" applyFill="1" applyAlignment="1">
      <alignment horizontal="left" vertical="center"/>
    </xf>
    <xf numFmtId="0" fontId="0" fillId="11" borderId="0" xfId="0" applyFill="1" applyAlignment="1">
      <alignment horizontal="center" vertical="center"/>
    </xf>
    <xf numFmtId="0" fontId="148" fillId="0" borderId="0" xfId="15" applyFont="1"/>
    <xf numFmtId="0" fontId="145" fillId="0" borderId="0" xfId="13" applyFont="1" applyAlignment="1">
      <alignment horizontal="center"/>
    </xf>
    <xf numFmtId="0" fontId="145" fillId="0" borderId="0" xfId="15" applyFont="1" applyAlignment="1">
      <alignment horizontal="center"/>
    </xf>
    <xf numFmtId="0" fontId="145" fillId="0" borderId="0" xfId="18" applyFont="1" applyAlignment="1">
      <alignment horizontal="center"/>
    </xf>
    <xf numFmtId="0" fontId="89" fillId="0" borderId="0" xfId="3" applyFont="1" applyAlignment="1">
      <alignment horizontal="center"/>
    </xf>
    <xf numFmtId="0" fontId="145" fillId="0" borderId="0" xfId="16" applyFont="1" applyAlignment="1">
      <alignment horizontal="center"/>
    </xf>
    <xf numFmtId="0" fontId="145" fillId="0" borderId="0" xfId="20" applyFont="1" applyAlignment="1">
      <alignment horizontal="center"/>
    </xf>
    <xf numFmtId="0" fontId="46" fillId="0" borderId="0" xfId="22"/>
    <xf numFmtId="0" fontId="46" fillId="0" borderId="0" xfId="22" applyAlignment="1">
      <alignment horizontal="center"/>
    </xf>
    <xf numFmtId="0" fontId="142" fillId="0" borderId="0" xfId="0" applyFont="1" applyAlignment="1">
      <alignment horizontal="center"/>
    </xf>
    <xf numFmtId="0" fontId="142" fillId="0" borderId="0" xfId="0" applyFont="1" applyAlignment="1"/>
    <xf numFmtId="0" fontId="146" fillId="0" borderId="0" xfId="14" applyFont="1"/>
    <xf numFmtId="0" fontId="146" fillId="0" borderId="0" xfId="20" applyFont="1" applyAlignment="1">
      <alignment horizontal="center"/>
    </xf>
    <xf numFmtId="0" fontId="146" fillId="0" borderId="0" xfId="20" applyFont="1"/>
    <xf numFmtId="0" fontId="142" fillId="0" borderId="0" xfId="3" applyFont="1"/>
    <xf numFmtId="0" fontId="146" fillId="0" borderId="0" xfId="17" applyFont="1" applyAlignment="1">
      <alignment horizontal="center"/>
    </xf>
    <xf numFmtId="0" fontId="142" fillId="0" borderId="0" xfId="0" applyFont="1">
      <alignment vertical="center"/>
    </xf>
    <xf numFmtId="0" fontId="142" fillId="0" borderId="0" xfId="3" applyFont="1" applyAlignment="1">
      <alignment horizontal="left"/>
    </xf>
    <xf numFmtId="0" fontId="0" fillId="0" borderId="1" xfId="0" applyBorder="1">
      <alignment vertical="center"/>
    </xf>
    <xf numFmtId="0" fontId="57" fillId="0" borderId="1" xfId="0" applyFont="1" applyBorder="1" applyAlignment="1"/>
    <xf numFmtId="0" fontId="0" fillId="0" borderId="1" xfId="0" applyBorder="1" applyAlignment="1">
      <alignment horizontal="center" vertical="center"/>
    </xf>
    <xf numFmtId="0" fontId="57" fillId="13" borderId="0" xfId="0" applyFont="1" applyFill="1" applyAlignment="1"/>
    <xf numFmtId="0" fontId="61" fillId="13" borderId="0" xfId="0" applyFont="1" applyFill="1" applyAlignment="1"/>
    <xf numFmtId="0" fontId="62" fillId="13" borderId="0" xfId="0" applyFont="1" applyFill="1" applyAlignment="1"/>
    <xf numFmtId="0" fontId="149" fillId="0" borderId="2" xfId="0" applyFont="1" applyBorder="1" applyAlignment="1">
      <alignment horizontal="center" vertical="center"/>
    </xf>
    <xf numFmtId="0" fontId="149" fillId="0" borderId="2" xfId="0" applyFont="1" applyBorder="1" applyAlignment="1">
      <alignment horizontal="left" vertical="center"/>
    </xf>
    <xf numFmtId="0" fontId="151" fillId="0" borderId="2" xfId="23" applyFont="1" applyBorder="1" applyAlignment="1">
      <alignment horizontal="center"/>
    </xf>
    <xf numFmtId="0" fontId="151" fillId="0" borderId="2" xfId="23" applyFont="1" applyBorder="1" applyAlignment="1">
      <alignment horizontal="left"/>
    </xf>
    <xf numFmtId="0" fontId="150" fillId="0" borderId="2" xfId="0" applyFont="1" applyBorder="1" applyAlignment="1"/>
    <xf numFmtId="0" fontId="151" fillId="0" borderId="2" xfId="24" applyFont="1" applyBorder="1" applyAlignment="1">
      <alignment horizontal="center"/>
    </xf>
    <xf numFmtId="0" fontId="151" fillId="0" borderId="2" xfId="24" applyFont="1" applyBorder="1" applyAlignment="1">
      <alignment horizontal="left"/>
    </xf>
    <xf numFmtId="0" fontId="151" fillId="0" borderId="2" xfId="25" applyFont="1" applyBorder="1" applyAlignment="1">
      <alignment horizontal="center"/>
    </xf>
    <xf numFmtId="0" fontId="151" fillId="0" borderId="2" xfId="25" applyFont="1" applyBorder="1" applyAlignment="1">
      <alignment horizontal="left"/>
    </xf>
    <xf numFmtId="0" fontId="151" fillId="0" borderId="2" xfId="26" applyFont="1" applyBorder="1" applyAlignment="1">
      <alignment horizontal="center"/>
    </xf>
    <xf numFmtId="0" fontId="151" fillId="0" borderId="2" xfId="26" applyFont="1" applyBorder="1"/>
    <xf numFmtId="0" fontId="152" fillId="0" borderId="2" xfId="0" applyFont="1" applyBorder="1" applyAlignment="1">
      <alignment horizontal="center" vertical="center"/>
    </xf>
    <xf numFmtId="0" fontId="152" fillId="0" borderId="2" xfId="0" applyFont="1" applyBorder="1" applyAlignment="1">
      <alignment horizontal="left" vertical="center"/>
    </xf>
    <xf numFmtId="0" fontId="151" fillId="0" borderId="2" xfId="27" applyFont="1" applyBorder="1" applyAlignment="1">
      <alignment horizontal="center"/>
    </xf>
    <xf numFmtId="0" fontId="151" fillId="0" borderId="2" xfId="27" applyFont="1" applyBorder="1"/>
    <xf numFmtId="0" fontId="151" fillId="0" borderId="2" xfId="28" applyFont="1" applyBorder="1" applyAlignment="1">
      <alignment horizontal="center"/>
    </xf>
    <xf numFmtId="0" fontId="151" fillId="0" borderId="2" xfId="28" applyFont="1" applyBorder="1" applyAlignment="1">
      <alignment horizontal="left"/>
    </xf>
    <xf numFmtId="0" fontId="151" fillId="0" borderId="2" xfId="29" applyFont="1" applyBorder="1" applyAlignment="1">
      <alignment horizontal="center"/>
    </xf>
    <xf numFmtId="0" fontId="151" fillId="0" borderId="2" xfId="29" applyFont="1" applyBorder="1" applyAlignment="1">
      <alignment horizontal="left"/>
    </xf>
    <xf numFmtId="0" fontId="151" fillId="0" borderId="2" xfId="30" applyFont="1" applyBorder="1" applyAlignment="1">
      <alignment horizontal="center"/>
    </xf>
    <xf numFmtId="0" fontId="151" fillId="0" borderId="2" xfId="30" applyFont="1" applyBorder="1"/>
    <xf numFmtId="0" fontId="149" fillId="0" borderId="2" xfId="31" applyFont="1" applyBorder="1" applyAlignment="1">
      <alignment horizontal="center" vertical="center"/>
    </xf>
    <xf numFmtId="0" fontId="149" fillId="0" borderId="2" xfId="31" applyFont="1" applyBorder="1" applyAlignment="1">
      <alignment horizontal="left" vertical="center"/>
    </xf>
    <xf numFmtId="0" fontId="151" fillId="0" borderId="2" xfId="32" applyFont="1" applyBorder="1" applyAlignment="1">
      <alignment horizontal="center"/>
    </xf>
    <xf numFmtId="0" fontId="151" fillId="0" borderId="2" xfId="32" applyFont="1" applyBorder="1"/>
    <xf numFmtId="0" fontId="151" fillId="0" borderId="2" xfId="33" applyFont="1" applyBorder="1" applyAlignment="1">
      <alignment horizontal="center"/>
    </xf>
    <xf numFmtId="0" fontId="151" fillId="0" borderId="2" xfId="33" applyFont="1" applyBorder="1"/>
    <xf numFmtId="0" fontId="151" fillId="0" borderId="2" xfId="34" applyFont="1" applyBorder="1" applyAlignment="1">
      <alignment horizontal="center"/>
    </xf>
    <xf numFmtId="0" fontId="151" fillId="0" borderId="2" xfId="34" applyFont="1" applyBorder="1" applyAlignment="1">
      <alignment horizontal="left"/>
    </xf>
    <xf numFmtId="0" fontId="153" fillId="0" borderId="2" xfId="0" applyFont="1" applyBorder="1" applyAlignment="1"/>
    <xf numFmtId="0" fontId="155" fillId="0" borderId="2" xfId="0" applyFont="1" applyBorder="1" applyAlignment="1"/>
    <xf numFmtId="0" fontId="154" fillId="0" borderId="2" xfId="0" applyFont="1" applyBorder="1" applyAlignment="1">
      <alignment horizontal="center" vertical="center"/>
    </xf>
    <xf numFmtId="0" fontId="154" fillId="0" borderId="2" xfId="0" applyFont="1" applyBorder="1" applyAlignment="1">
      <alignment horizontal="left" vertical="center"/>
    </xf>
    <xf numFmtId="0" fontId="156" fillId="0" borderId="2" xfId="0" applyFont="1" applyBorder="1" applyAlignment="1">
      <alignment horizontal="center" vertical="center"/>
    </xf>
    <xf numFmtId="0" fontId="156" fillId="0" borderId="2" xfId="0" applyFont="1" applyBorder="1" applyAlignment="1">
      <alignment horizontal="left" vertical="center"/>
    </xf>
    <xf numFmtId="0" fontId="154" fillId="0" borderId="2" xfId="3" applyFont="1" applyBorder="1" applyAlignment="1">
      <alignment horizontal="left" vertical="center"/>
    </xf>
    <xf numFmtId="0" fontId="60" fillId="12" borderId="2" xfId="3" applyFont="1" applyFill="1" applyBorder="1"/>
    <xf numFmtId="0" fontId="71" fillId="0" borderId="2" xfId="0" applyFont="1" applyBorder="1" applyAlignment="1">
      <alignment horizontal="left" vertical="center"/>
    </xf>
    <xf numFmtId="0" fontId="0" fillId="13" borderId="2" xfId="0" applyFill="1" applyBorder="1" applyAlignment="1">
      <alignment horizontal="left" vertical="center" wrapText="1"/>
    </xf>
    <xf numFmtId="0" fontId="0" fillId="0" borderId="11" xfId="0" applyBorder="1">
      <alignment vertical="center"/>
    </xf>
    <xf numFmtId="0" fontId="173" fillId="0" borderId="0" xfId="35" applyFont="1" applyAlignment="1">
      <alignment horizontal="center" vertical="center"/>
    </xf>
    <xf numFmtId="0" fontId="173" fillId="0" borderId="0" xfId="35" applyFont="1" applyAlignment="1">
      <alignment vertical="center"/>
    </xf>
    <xf numFmtId="0" fontId="174" fillId="0" borderId="0" xfId="35" applyFont="1" applyAlignment="1">
      <alignment horizontal="center" vertical="center"/>
    </xf>
    <xf numFmtId="0" fontId="173" fillId="0" borderId="0" xfId="35" applyFont="1" applyAlignment="1">
      <alignment horizontal="left" vertical="center"/>
    </xf>
    <xf numFmtId="0" fontId="45" fillId="0" borderId="0" xfId="78"/>
    <xf numFmtId="0" fontId="45" fillId="0" borderId="0" xfId="78" applyAlignment="1">
      <alignment horizontal="center"/>
    </xf>
    <xf numFmtId="0" fontId="174" fillId="0" borderId="0" xfId="35" applyFont="1" applyAlignment="1">
      <alignment horizontal="left" vertical="center"/>
    </xf>
    <xf numFmtId="0" fontId="57" fillId="0" borderId="0" xfId="0" applyFont="1" applyAlignment="1">
      <alignment horizontal="right"/>
    </xf>
    <xf numFmtId="0" fontId="132" fillId="0" borderId="2" xfId="0" applyFont="1" applyBorder="1" applyAlignment="1">
      <alignment horizontal="center" vertical="center"/>
    </xf>
    <xf numFmtId="0" fontId="173" fillId="0" borderId="2" xfId="35" applyFont="1" applyBorder="1" applyAlignment="1">
      <alignment horizontal="left" vertical="center"/>
    </xf>
    <xf numFmtId="0" fontId="173" fillId="0" borderId="2" xfId="35" applyFont="1" applyBorder="1" applyAlignment="1">
      <alignment horizontal="center" vertical="center"/>
    </xf>
    <xf numFmtId="0" fontId="174" fillId="0" borderId="2" xfId="35" applyFont="1" applyBorder="1" applyAlignment="1">
      <alignment horizontal="left" vertical="center"/>
    </xf>
    <xf numFmtId="0" fontId="174" fillId="0" borderId="2" xfId="35" applyFont="1" applyBorder="1" applyAlignment="1">
      <alignment horizontal="center" vertical="center"/>
    </xf>
    <xf numFmtId="0" fontId="142" fillId="20" borderId="0" xfId="0" applyFont="1" applyFill="1">
      <alignment vertical="center"/>
    </xf>
    <xf numFmtId="0" fontId="0" fillId="0" borderId="2" xfId="0" applyBorder="1" applyAlignment="1">
      <alignment horizontal="left" vertical="center" wrapText="1"/>
    </xf>
    <xf numFmtId="0" fontId="77" fillId="0" borderId="2" xfId="3" applyFont="1" applyBorder="1" applyAlignment="1">
      <alignment wrapText="1"/>
    </xf>
    <xf numFmtId="0" fontId="71" fillId="0" borderId="2" xfId="3" applyBorder="1" applyAlignment="1">
      <alignment horizontal="left" vertical="center"/>
    </xf>
    <xf numFmtId="0" fontId="146" fillId="0" borderId="0" xfId="79" applyFont="1" applyAlignment="1">
      <alignment horizontal="center"/>
    </xf>
    <xf numFmtId="0" fontId="146" fillId="0" borderId="0" xfId="79" applyFont="1"/>
    <xf numFmtId="0" fontId="43" fillId="0" borderId="0" xfId="80" applyAlignment="1">
      <alignment horizontal="center"/>
    </xf>
    <xf numFmtId="0" fontId="146" fillId="0" borderId="0" xfId="80" applyFont="1"/>
    <xf numFmtId="0" fontId="42" fillId="0" borderId="0" xfId="81" applyAlignment="1">
      <alignment horizontal="center"/>
    </xf>
    <xf numFmtId="0" fontId="0" fillId="46" borderId="0" xfId="0" applyFill="1">
      <alignment vertical="center"/>
    </xf>
    <xf numFmtId="0" fontId="98" fillId="22" borderId="3" xfId="0" applyFont="1" applyFill="1" applyBorder="1">
      <alignment vertical="center"/>
    </xf>
    <xf numFmtId="0" fontId="40" fillId="0" borderId="0" xfId="97"/>
    <xf numFmtId="0" fontId="40" fillId="0" borderId="0" xfId="97" applyAlignment="1">
      <alignment horizontal="center"/>
    </xf>
    <xf numFmtId="0" fontId="0" fillId="0" borderId="10" xfId="0" applyBorder="1" applyAlignment="1">
      <alignment horizontal="center" vertical="center"/>
    </xf>
    <xf numFmtId="0" fontId="0" fillId="0" borderId="10" xfId="0" applyBorder="1">
      <alignment vertical="center"/>
    </xf>
    <xf numFmtId="0" fontId="176" fillId="0" borderId="2" xfId="0" applyFont="1" applyBorder="1" applyAlignment="1">
      <alignment horizontal="center" vertical="center"/>
    </xf>
    <xf numFmtId="0" fontId="177" fillId="0" borderId="0" xfId="5" applyFont="1" applyAlignment="1" applyProtection="1">
      <alignment horizontal="center" vertical="center"/>
    </xf>
    <xf numFmtId="0" fontId="178" fillId="0" borderId="0" xfId="5" applyFont="1" applyAlignment="1" applyProtection="1">
      <alignment horizontal="center" vertical="center"/>
    </xf>
    <xf numFmtId="0" fontId="0" fillId="0" borderId="0" xfId="5" applyFont="1" applyProtection="1"/>
    <xf numFmtId="0" fontId="117" fillId="0" borderId="0" xfId="5" applyFont="1" applyAlignment="1" applyProtection="1">
      <alignment horizontal="center" vertical="center"/>
    </xf>
    <xf numFmtId="0" fontId="0" fillId="0" borderId="0" xfId="5" applyFont="1" applyAlignment="1" applyProtection="1">
      <alignment horizontal="left"/>
    </xf>
    <xf numFmtId="0" fontId="0" fillId="0" borderId="0" xfId="5" applyFont="1" applyAlignment="1" applyProtection="1">
      <alignment horizontal="center"/>
    </xf>
    <xf numFmtId="0" fontId="183" fillId="0" borderId="0" xfId="5" applyFont="1" applyAlignment="1" applyProtection="1">
      <alignment horizontal="left"/>
    </xf>
    <xf numFmtId="0" fontId="74" fillId="0" borderId="0" xfId="5" applyFont="1" applyAlignment="1" applyProtection="1">
      <alignment horizontal="center"/>
    </xf>
    <xf numFmtId="0" fontId="183" fillId="0" borderId="0" xfId="0" applyFont="1">
      <alignment vertical="center"/>
    </xf>
    <xf numFmtId="0" fontId="184" fillId="0" borderId="0" xfId="0" applyFont="1">
      <alignment vertical="center"/>
    </xf>
    <xf numFmtId="0" fontId="173" fillId="0" borderId="0" xfId="0" applyFont="1">
      <alignment vertical="center"/>
    </xf>
    <xf numFmtId="0" fontId="183" fillId="0" borderId="0" xfId="5" applyFont="1" applyAlignment="1" applyProtection="1">
      <alignment horizontal="left" vertical="center"/>
    </xf>
    <xf numFmtId="0" fontId="185" fillId="0" borderId="0" xfId="5" applyFont="1" applyAlignment="1" applyProtection="1">
      <alignment vertical="center" wrapText="1"/>
    </xf>
    <xf numFmtId="0" fontId="74" fillId="0" borderId="0" xfId="5" applyFont="1" applyAlignment="1" applyProtection="1">
      <alignment horizontal="center" vertical="center"/>
    </xf>
    <xf numFmtId="166" fontId="183" fillId="0" borderId="0" xfId="5" applyNumberFormat="1" applyFont="1" applyAlignment="1" applyProtection="1">
      <alignment horizontal="left"/>
    </xf>
    <xf numFmtId="14" fontId="183" fillId="0" borderId="0" xfId="5" applyNumberFormat="1" applyFont="1" applyProtection="1"/>
    <xf numFmtId="0" fontId="183" fillId="0" borderId="0" xfId="5" applyFont="1" applyProtection="1"/>
    <xf numFmtId="0" fontId="183" fillId="0" borderId="0" xfId="0" applyFont="1" applyAlignment="1">
      <alignment horizontal="left"/>
    </xf>
    <xf numFmtId="0" fontId="73" fillId="0" borderId="0" xfId="5" applyFont="1" applyProtection="1"/>
    <xf numFmtId="0" fontId="108" fillId="0" borderId="13" xfId="5" applyFont="1" applyBorder="1" applyProtection="1"/>
    <xf numFmtId="0" fontId="108" fillId="0" borderId="66" xfId="5" applyFont="1" applyBorder="1" applyProtection="1"/>
    <xf numFmtId="0" fontId="0" fillId="0" borderId="14" xfId="5" applyFont="1" applyBorder="1" applyAlignment="1" applyProtection="1">
      <alignment horizontal="center"/>
    </xf>
    <xf numFmtId="0" fontId="108" fillId="0" borderId="14" xfId="5" applyFont="1" applyBorder="1" applyProtection="1"/>
    <xf numFmtId="0" fontId="108" fillId="0" borderId="14" xfId="5" applyFont="1" applyBorder="1" applyAlignment="1" applyProtection="1">
      <alignment horizontal="center"/>
    </xf>
    <xf numFmtId="0" fontId="65" fillId="0" borderId="14" xfId="5" applyBorder="1" applyAlignment="1" applyProtection="1">
      <alignment horizontal="center"/>
    </xf>
    <xf numFmtId="0" fontId="65" fillId="0" borderId="13" xfId="5" applyBorder="1" applyProtection="1"/>
    <xf numFmtId="0" fontId="184" fillId="0" borderId="2" xfId="0" applyFont="1" applyBorder="1" applyAlignment="1">
      <alignment horizontal="center" vertical="center"/>
    </xf>
    <xf numFmtId="0" fontId="65" fillId="0" borderId="2" xfId="5" applyBorder="1" applyAlignment="1" applyProtection="1">
      <alignment horizontal="center"/>
    </xf>
    <xf numFmtId="0" fontId="65" fillId="0" borderId="67" xfId="5" applyBorder="1" applyProtection="1"/>
    <xf numFmtId="0" fontId="183" fillId="0" borderId="14" xfId="5" applyFont="1" applyBorder="1" applyProtection="1"/>
    <xf numFmtId="0" fontId="184" fillId="0" borderId="2" xfId="72" applyFont="1" applyBorder="1" applyAlignment="1">
      <alignment horizontal="center" vertical="center"/>
    </xf>
    <xf numFmtId="0" fontId="65" fillId="0" borderId="66" xfId="5" applyBorder="1" applyProtection="1"/>
    <xf numFmtId="0" fontId="65" fillId="0" borderId="13" xfId="5" applyBorder="1" applyAlignment="1" applyProtection="1">
      <alignment horizontal="center"/>
    </xf>
    <xf numFmtId="0" fontId="65" fillId="0" borderId="46" xfId="5" applyBorder="1" applyAlignment="1" applyProtection="1">
      <alignment horizontal="center"/>
    </xf>
    <xf numFmtId="0" fontId="65" fillId="0" borderId="2" xfId="5" applyBorder="1" applyAlignment="1" applyProtection="1">
      <alignment horizontal="left" vertical="top" wrapText="1"/>
    </xf>
    <xf numFmtId="0" fontId="65" fillId="0" borderId="4" xfId="5" applyBorder="1" applyAlignment="1" applyProtection="1">
      <alignment horizontal="left" vertical="top" wrapText="1"/>
    </xf>
    <xf numFmtId="0" fontId="65" fillId="0" borderId="68" xfId="5" applyBorder="1" applyProtection="1"/>
    <xf numFmtId="0" fontId="117" fillId="0" borderId="14" xfId="5" applyFont="1" applyBorder="1" applyAlignment="1" applyProtection="1">
      <alignment horizontal="center"/>
    </xf>
    <xf numFmtId="0" fontId="117" fillId="0" borderId="14" xfId="5" applyFont="1" applyBorder="1" applyProtection="1"/>
    <xf numFmtId="0" fontId="117" fillId="0" borderId="65" xfId="5" applyFont="1" applyBorder="1" applyAlignment="1" applyProtection="1">
      <alignment horizontal="center"/>
    </xf>
    <xf numFmtId="0" fontId="117" fillId="0" borderId="2" xfId="5" applyFont="1" applyBorder="1" applyAlignment="1" applyProtection="1">
      <alignment horizontal="center"/>
    </xf>
    <xf numFmtId="0" fontId="117" fillId="0" borderId="2" xfId="5" applyFont="1" applyBorder="1" applyProtection="1"/>
    <xf numFmtId="0" fontId="0" fillId="0" borderId="66" xfId="5" applyFont="1" applyBorder="1" applyProtection="1"/>
    <xf numFmtId="0" fontId="0" fillId="0" borderId="14" xfId="5" applyFont="1" applyBorder="1" applyProtection="1"/>
    <xf numFmtId="0" fontId="0" fillId="0" borderId="0" xfId="7" applyFont="1" applyProtection="1"/>
    <xf numFmtId="0" fontId="0" fillId="0" borderId="0" xfId="7" applyFont="1" applyAlignment="1" applyProtection="1">
      <alignment horizontal="center"/>
    </xf>
    <xf numFmtId="0" fontId="0" fillId="0" borderId="0" xfId="7" applyFont="1" applyAlignment="1" applyProtection="1">
      <alignment horizontal="left"/>
    </xf>
    <xf numFmtId="0" fontId="0" fillId="0" borderId="0" xfId="5" applyFont="1" applyAlignment="1" applyProtection="1">
      <alignment horizontal="right"/>
    </xf>
    <xf numFmtId="0" fontId="73" fillId="0" borderId="0" xfId="7" applyFont="1" applyAlignment="1" applyProtection="1">
      <alignment horizontal="left" indent="1"/>
    </xf>
    <xf numFmtId="0" fontId="73" fillId="0" borderId="0" xfId="7" applyFont="1" applyProtection="1"/>
    <xf numFmtId="0" fontId="63" fillId="47" borderId="0" xfId="0" applyFont="1" applyFill="1" applyAlignment="1">
      <alignment horizontal="center" vertical="center"/>
    </xf>
    <xf numFmtId="0" fontId="127" fillId="0" borderId="2" xfId="0" applyFont="1" applyBorder="1">
      <alignment vertical="center"/>
    </xf>
    <xf numFmtId="0" fontId="127" fillId="0" borderId="5" xfId="98" applyNumberFormat="1" applyFont="1" applyFill="1" applyBorder="1" applyAlignment="1">
      <alignment horizontal="center"/>
    </xf>
    <xf numFmtId="0" fontId="127" fillId="0" borderId="5" xfId="98" applyNumberFormat="1" applyFont="1" applyFill="1" applyBorder="1" applyAlignment="1">
      <alignment horizontal="left"/>
    </xf>
    <xf numFmtId="0" fontId="38" fillId="0" borderId="0" xfId="99" applyAlignment="1">
      <alignment horizontal="center"/>
    </xf>
    <xf numFmtId="0" fontId="146" fillId="0" borderId="0" xfId="99" applyFont="1"/>
    <xf numFmtId="0" fontId="37" fillId="0" borderId="0" xfId="100"/>
    <xf numFmtId="0" fontId="37" fillId="0" borderId="0" xfId="100" applyAlignment="1">
      <alignment horizontal="center"/>
    </xf>
    <xf numFmtId="0" fontId="36" fillId="0" borderId="0" xfId="101"/>
    <xf numFmtId="0" fontId="36" fillId="0" borderId="0" xfId="101" applyAlignment="1">
      <alignment horizontal="center"/>
    </xf>
    <xf numFmtId="0" fontId="35" fillId="0" borderId="0" xfId="102"/>
    <xf numFmtId="0" fontId="35" fillId="0" borderId="0" xfId="102" applyAlignment="1">
      <alignment horizontal="center"/>
    </xf>
    <xf numFmtId="0" fontId="34" fillId="0" borderId="0" xfId="103"/>
    <xf numFmtId="0" fontId="34" fillId="0" borderId="0" xfId="103" applyAlignment="1">
      <alignment horizontal="center"/>
    </xf>
    <xf numFmtId="0" fontId="33" fillId="0" borderId="0" xfId="104"/>
    <xf numFmtId="0" fontId="33" fillId="0" borderId="0" xfId="104" applyAlignment="1">
      <alignment horizontal="center"/>
    </xf>
    <xf numFmtId="0" fontId="71" fillId="13" borderId="0" xfId="3" applyFill="1" applyAlignment="1">
      <alignment horizontal="center"/>
    </xf>
    <xf numFmtId="0" fontId="57" fillId="0" borderId="0" xfId="0" applyFont="1" applyAlignment="1">
      <alignment horizontal="center" vertical="center" wrapText="1"/>
    </xf>
    <xf numFmtId="0" fontId="86" fillId="0" borderId="0" xfId="0" applyFont="1" applyAlignment="1">
      <alignment horizontal="center" wrapText="1"/>
    </xf>
    <xf numFmtId="0" fontId="57" fillId="0" borderId="26" xfId="0" applyFont="1" applyBorder="1" applyAlignment="1">
      <alignment horizontal="center" vertical="center" wrapText="1"/>
    </xf>
    <xf numFmtId="0" fontId="86" fillId="0" borderId="26" xfId="0" applyFont="1" applyBorder="1" applyAlignment="1">
      <alignment horizontal="center" wrapText="1"/>
    </xf>
    <xf numFmtId="0" fontId="32" fillId="0" borderId="0" xfId="105"/>
    <xf numFmtId="0" fontId="32" fillId="0" borderId="0" xfId="105" applyAlignment="1">
      <alignment horizontal="center"/>
    </xf>
    <xf numFmtId="0" fontId="146" fillId="0" borderId="0" xfId="101" applyFont="1" applyAlignment="1">
      <alignment horizontal="center"/>
    </xf>
    <xf numFmtId="0" fontId="127" fillId="20" borderId="5" xfId="98" applyNumberFormat="1" applyFont="1" applyFill="1" applyBorder="1" applyAlignment="1">
      <alignment horizontal="left"/>
    </xf>
    <xf numFmtId="0" fontId="63" fillId="0" borderId="32" xfId="0" applyFont="1" applyBorder="1" applyAlignment="1">
      <alignment horizontal="center" vertical="center"/>
    </xf>
    <xf numFmtId="0" fontId="63" fillId="0" borderId="33" xfId="0" applyFont="1" applyBorder="1" applyAlignment="1">
      <alignment horizontal="center" vertical="center"/>
    </xf>
    <xf numFmtId="0" fontId="63" fillId="0" borderId="34" xfId="0" applyFont="1" applyBorder="1" applyAlignment="1">
      <alignment horizontal="center" vertical="center"/>
    </xf>
    <xf numFmtId="0" fontId="63" fillId="0" borderId="4" xfId="0" applyFont="1" applyBorder="1" applyAlignment="1">
      <alignment horizontal="center" vertical="center"/>
    </xf>
    <xf numFmtId="0" fontId="31" fillId="0" borderId="0" xfId="106"/>
    <xf numFmtId="0" fontId="31" fillId="0" borderId="0" xfId="106" applyAlignment="1">
      <alignment horizontal="center"/>
    </xf>
    <xf numFmtId="0" fontId="96" fillId="0" borderId="0" xfId="0" applyFont="1" applyAlignment="1">
      <alignment horizontal="left" vertical="center" wrapText="1"/>
    </xf>
    <xf numFmtId="0" fontId="99" fillId="0" borderId="0" xfId="0" applyFont="1" applyAlignment="1">
      <alignment horizontal="left" vertical="center" wrapText="1"/>
    </xf>
    <xf numFmtId="0" fontId="99" fillId="0" borderId="20" xfId="0" applyFont="1" applyBorder="1" applyAlignment="1">
      <alignment horizontal="left" vertical="center" wrapText="1"/>
    </xf>
    <xf numFmtId="0" fontId="0" fillId="20" borderId="0" xfId="3" applyFont="1" applyFill="1"/>
    <xf numFmtId="0" fontId="0" fillId="0" borderId="37" xfId="3" applyFont="1" applyBorder="1" applyAlignment="1">
      <alignment horizontal="center"/>
    </xf>
    <xf numFmtId="0" fontId="30" fillId="0" borderId="0" xfId="97" applyFont="1"/>
    <xf numFmtId="0" fontId="30" fillId="0" borderId="0" xfId="80" applyFont="1"/>
    <xf numFmtId="0" fontId="130" fillId="0" borderId="0" xfId="3" applyFont="1" applyAlignment="1">
      <alignment horizontal="center" vertical="center"/>
    </xf>
    <xf numFmtId="1" fontId="130" fillId="0" borderId="0" xfId="3" applyNumberFormat="1" applyFont="1" applyAlignment="1">
      <alignment horizontal="center" vertical="center"/>
    </xf>
    <xf numFmtId="1" fontId="130" fillId="0" borderId="0" xfId="3" applyNumberFormat="1" applyFont="1" applyAlignment="1">
      <alignment horizontal="center"/>
    </xf>
    <xf numFmtId="0" fontId="89" fillId="15" borderId="0" xfId="3" applyFont="1" applyFill="1" applyAlignment="1">
      <alignment horizontal="center"/>
    </xf>
    <xf numFmtId="165" fontId="0" fillId="0" borderId="0" xfId="0" applyNumberFormat="1" applyAlignment="1">
      <alignment horizontal="center" vertical="center" wrapText="1"/>
    </xf>
    <xf numFmtId="165" fontId="0" fillId="0" borderId="0" xfId="0" applyNumberFormat="1" applyAlignment="1">
      <alignment horizontal="center" vertical="center"/>
    </xf>
    <xf numFmtId="165" fontId="71" fillId="0" borderId="0" xfId="0" applyNumberFormat="1" applyFont="1" applyAlignment="1">
      <alignment horizontal="center"/>
    </xf>
    <xf numFmtId="0" fontId="146" fillId="0" borderId="0" xfId="107" applyFont="1" applyAlignment="1">
      <alignment horizontal="center"/>
    </xf>
    <xf numFmtId="0" fontId="146" fillId="0" borderId="0" xfId="107" applyFont="1"/>
    <xf numFmtId="0" fontId="28" fillId="0" borderId="0" xfId="108" applyAlignment="1">
      <alignment horizontal="center"/>
    </xf>
    <xf numFmtId="164" fontId="57" fillId="0" borderId="0" xfId="0" applyNumberFormat="1" applyFont="1" applyAlignment="1">
      <alignment horizontal="left" wrapText="1"/>
    </xf>
    <xf numFmtId="0" fontId="0" fillId="0" borderId="71" xfId="0" applyBorder="1">
      <alignment vertical="center"/>
    </xf>
    <xf numFmtId="165" fontId="0" fillId="0" borderId="71" xfId="0" applyNumberFormat="1" applyBorder="1" applyAlignment="1">
      <alignment horizontal="center" vertical="center"/>
    </xf>
    <xf numFmtId="0" fontId="0" fillId="0" borderId="71" xfId="0" applyBorder="1" applyAlignment="1">
      <alignment horizontal="center" vertical="center"/>
    </xf>
    <xf numFmtId="1" fontId="130" fillId="13" borderId="0" xfId="0" applyNumberFormat="1" applyFont="1" applyFill="1" applyAlignment="1">
      <alignment horizontal="center" vertical="center"/>
    </xf>
    <xf numFmtId="0" fontId="89" fillId="13" borderId="0" xfId="0" applyFont="1" applyFill="1">
      <alignment vertical="center"/>
    </xf>
    <xf numFmtId="0" fontId="0" fillId="0" borderId="72" xfId="0" applyBorder="1" applyAlignment="1">
      <alignment horizontal="center" vertical="center"/>
    </xf>
    <xf numFmtId="0" fontId="89" fillId="13" borderId="2" xfId="0" applyFont="1" applyFill="1" applyBorder="1">
      <alignment vertical="center"/>
    </xf>
    <xf numFmtId="0" fontId="89" fillId="0" borderId="70" xfId="0" applyFont="1" applyBorder="1">
      <alignment vertical="center"/>
    </xf>
    <xf numFmtId="0" fontId="27" fillId="0" borderId="0" xfId="100" applyFont="1"/>
    <xf numFmtId="0" fontId="26" fillId="0" borderId="0" xfId="109"/>
    <xf numFmtId="0" fontId="26" fillId="0" borderId="0" xfId="109" applyAlignment="1">
      <alignment horizontal="center"/>
    </xf>
    <xf numFmtId="0" fontId="76" fillId="0" borderId="27" xfId="3" applyFont="1" applyBorder="1" applyAlignment="1">
      <alignment horizontal="center" vertical="center"/>
    </xf>
    <xf numFmtId="0" fontId="0" fillId="0" borderId="0" xfId="7" applyFont="1"/>
    <xf numFmtId="0" fontId="77" fillId="0" borderId="0" xfId="3" applyFont="1"/>
    <xf numFmtId="0" fontId="25" fillId="0" borderId="0" xfId="106" applyFont="1"/>
    <xf numFmtId="0" fontId="24" fillId="0" borderId="0" xfId="110"/>
    <xf numFmtId="0" fontId="24" fillId="0" borderId="0" xfId="110" applyAlignment="1">
      <alignment horizontal="center"/>
    </xf>
    <xf numFmtId="1" fontId="188" fillId="49" borderId="0" xfId="0" applyNumberFormat="1" applyFont="1" applyFill="1" applyAlignment="1">
      <alignment horizontal="center" vertical="center"/>
    </xf>
    <xf numFmtId="0" fontId="23" fillId="0" borderId="0" xfId="109" applyFont="1"/>
    <xf numFmtId="0" fontId="189" fillId="0" borderId="0" xfId="3" applyFont="1" applyAlignment="1">
      <alignment horizontal="center" vertical="center"/>
    </xf>
    <xf numFmtId="0" fontId="189" fillId="0" borderId="0" xfId="3" applyFont="1" applyAlignment="1">
      <alignment horizontal="left" vertical="center"/>
    </xf>
    <xf numFmtId="0" fontId="22" fillId="0" borderId="0" xfId="111"/>
    <xf numFmtId="0" fontId="22" fillId="0" borderId="0" xfId="111" applyAlignment="1">
      <alignment horizontal="center"/>
    </xf>
    <xf numFmtId="0" fontId="21" fillId="0" borderId="0" xfId="109" applyFont="1"/>
    <xf numFmtId="0" fontId="20" fillId="0" borderId="0" xfId="109" applyFont="1"/>
    <xf numFmtId="0" fontId="175" fillId="0" borderId="0" xfId="0" applyFont="1" applyAlignment="1">
      <alignment wrapText="1"/>
    </xf>
    <xf numFmtId="164" fontId="57" fillId="0" borderId="0" xfId="0" applyNumberFormat="1" applyFont="1" applyAlignment="1"/>
    <xf numFmtId="14" fontId="57" fillId="0" borderId="0" xfId="0" applyNumberFormat="1" applyFont="1" applyAlignment="1"/>
    <xf numFmtId="0" fontId="18" fillId="0" borderId="0" xfId="115"/>
    <xf numFmtId="0" fontId="18" fillId="0" borderId="0" xfId="115" applyAlignment="1">
      <alignment horizontal="center"/>
    </xf>
    <xf numFmtId="0" fontId="17" fillId="0" borderId="0" xfId="109" applyFont="1"/>
    <xf numFmtId="0" fontId="16" fillId="0" borderId="0" xfId="100" applyFont="1"/>
    <xf numFmtId="0" fontId="15" fillId="0" borderId="0" xfId="109" applyFont="1"/>
    <xf numFmtId="0" fontId="0" fillId="0" borderId="0" xfId="3" applyFont="1" applyAlignment="1">
      <alignment horizontal="left"/>
    </xf>
    <xf numFmtId="0" fontId="14" fillId="0" borderId="0" xfId="97" applyFont="1"/>
    <xf numFmtId="0" fontId="132" fillId="7" borderId="0" xfId="0" applyFont="1" applyFill="1" applyAlignment="1">
      <alignment horizontal="center" vertical="center"/>
    </xf>
    <xf numFmtId="0" fontId="132" fillId="0" borderId="2" xfId="0" applyFont="1" applyBorder="1" applyAlignment="1">
      <alignment horizontal="left" vertical="center"/>
    </xf>
    <xf numFmtId="0" fontId="132" fillId="22" borderId="0" xfId="0" applyFont="1" applyFill="1" applyAlignment="1">
      <alignment horizontal="center" vertical="center"/>
    </xf>
    <xf numFmtId="0" fontId="0" fillId="0" borderId="74" xfId="0" applyBorder="1" applyAlignment="1">
      <alignment horizontal="center" vertical="center"/>
    </xf>
    <xf numFmtId="0" fontId="190" fillId="13" borderId="5" xfId="3" applyFont="1" applyFill="1" applyBorder="1" applyAlignment="1">
      <alignment horizontal="left"/>
    </xf>
    <xf numFmtId="0" fontId="176" fillId="0" borderId="0" xfId="0" applyFont="1" applyAlignment="1">
      <alignment horizontal="left" vertical="center"/>
    </xf>
    <xf numFmtId="0" fontId="0" fillId="13" borderId="2" xfId="0" applyFill="1" applyBorder="1" applyAlignment="1">
      <alignment horizontal="left" vertical="center"/>
    </xf>
    <xf numFmtId="0" fontId="0" fillId="13" borderId="0" xfId="0" applyFill="1" applyAlignment="1">
      <alignment horizontal="left" vertical="center"/>
    </xf>
    <xf numFmtId="0" fontId="76" fillId="13" borderId="5" xfId="3" applyFont="1" applyFill="1" applyBorder="1" applyAlignment="1">
      <alignment horizontal="left"/>
    </xf>
    <xf numFmtId="0" fontId="0" fillId="0" borderId="10" xfId="0" applyBorder="1" applyAlignment="1">
      <alignment horizontal="left" vertical="center" wrapText="1"/>
    </xf>
    <xf numFmtId="0" fontId="130" fillId="13" borderId="5" xfId="0" applyFont="1" applyFill="1" applyBorder="1" applyAlignment="1">
      <alignment horizontal="center" vertical="center"/>
    </xf>
    <xf numFmtId="0" fontId="0" fillId="0" borderId="2" xfId="0" pivotButton="1" applyBorder="1" applyAlignment="1">
      <alignment horizontal="left" vertical="center"/>
    </xf>
    <xf numFmtId="0" fontId="0" fillId="0" borderId="2" xfId="0" pivotButton="1" applyBorder="1">
      <alignment vertical="center"/>
    </xf>
    <xf numFmtId="0" fontId="96" fillId="0" borderId="0" xfId="0" applyFont="1" applyAlignment="1">
      <alignment horizontal="right" vertical="center"/>
    </xf>
    <xf numFmtId="0" fontId="0" fillId="0" borderId="37" xfId="0" applyBorder="1" applyAlignment="1">
      <alignment horizontal="left" vertical="center"/>
    </xf>
    <xf numFmtId="0" fontId="0" fillId="0" borderId="46" xfId="0" pivotButton="1" applyBorder="1" applyAlignment="1">
      <alignment horizontal="center" vertical="center"/>
    </xf>
    <xf numFmtId="0" fontId="0" fillId="0" borderId="2" xfId="0" pivotButton="1" applyBorder="1" applyAlignment="1">
      <alignment horizontal="center" vertical="center"/>
    </xf>
    <xf numFmtId="0" fontId="0" fillId="13" borderId="5" xfId="0" applyFill="1" applyBorder="1" applyAlignment="1">
      <alignment horizontal="center" vertical="center"/>
    </xf>
    <xf numFmtId="0" fontId="0" fillId="0" borderId="39" xfId="0" applyBorder="1" applyAlignment="1">
      <alignment horizontal="center" vertical="center"/>
    </xf>
    <xf numFmtId="0" fontId="11" fillId="0" borderId="0" xfId="177"/>
    <xf numFmtId="0" fontId="11" fillId="0" borderId="0" xfId="177" applyAlignment="1">
      <alignment horizontal="center"/>
    </xf>
    <xf numFmtId="0" fontId="10" fillId="0" borderId="0" xfId="177" applyFont="1" applyAlignment="1">
      <alignment horizontal="center"/>
    </xf>
    <xf numFmtId="0" fontId="10" fillId="0" borderId="0" xfId="177" applyFont="1"/>
    <xf numFmtId="0" fontId="103" fillId="7" borderId="0" xfId="0" applyFont="1" applyFill="1" applyAlignment="1">
      <alignment horizontal="left" vertical="center"/>
    </xf>
    <xf numFmtId="0" fontId="9" fillId="0" borderId="0" xfId="178"/>
    <xf numFmtId="0" fontId="9" fillId="0" borderId="0" xfId="178" applyAlignment="1">
      <alignment horizontal="center"/>
    </xf>
    <xf numFmtId="0" fontId="78" fillId="13" borderId="4" xfId="3" applyFont="1" applyFill="1" applyBorder="1" applyAlignment="1">
      <alignment horizontal="center" vertical="center"/>
    </xf>
    <xf numFmtId="0" fontId="78" fillId="13" borderId="2" xfId="3" applyFont="1" applyFill="1" applyBorder="1" applyAlignment="1">
      <alignment horizontal="center" vertical="center"/>
    </xf>
    <xf numFmtId="0" fontId="8" fillId="0" borderId="0" xfId="179"/>
    <xf numFmtId="0" fontId="8" fillId="0" borderId="0" xfId="179" applyAlignment="1">
      <alignment horizontal="center"/>
    </xf>
    <xf numFmtId="0" fontId="7" fillId="0" borderId="0" xfId="180"/>
    <xf numFmtId="0" fontId="7" fillId="0" borderId="0" xfId="180" applyAlignment="1">
      <alignment horizontal="center"/>
    </xf>
    <xf numFmtId="0" fontId="70" fillId="0" borderId="4" xfId="3" applyFont="1" applyBorder="1" applyAlignment="1">
      <alignment horizontal="left"/>
    </xf>
    <xf numFmtId="0" fontId="70" fillId="0" borderId="1" xfId="3" applyFont="1" applyBorder="1" applyAlignment="1">
      <alignment horizontal="left"/>
    </xf>
    <xf numFmtId="0" fontId="71" fillId="0" borderId="1" xfId="3" applyBorder="1" applyAlignment="1">
      <alignment horizontal="left"/>
    </xf>
    <xf numFmtId="0" fontId="0" fillId="13" borderId="1" xfId="0" applyFill="1" applyBorder="1" applyAlignment="1">
      <alignment horizontal="left"/>
    </xf>
    <xf numFmtId="0" fontId="71" fillId="0" borderId="5" xfId="3" applyBorder="1" applyAlignment="1">
      <alignment horizontal="center"/>
    </xf>
    <xf numFmtId="0" fontId="146" fillId="0" borderId="0" xfId="109" applyFont="1"/>
    <xf numFmtId="0" fontId="6" fillId="0" borderId="0" xfId="109" applyFont="1" applyAlignment="1">
      <alignment horizontal="center"/>
    </xf>
    <xf numFmtId="0" fontId="5" fillId="0" borderId="0" xfId="177" applyFont="1"/>
    <xf numFmtId="0" fontId="130" fillId="10" borderId="0" xfId="0" applyFont="1" applyFill="1" applyAlignment="1">
      <alignment horizontal="center" vertical="center"/>
    </xf>
    <xf numFmtId="0" fontId="4" fillId="0" borderId="0" xfId="181" applyAlignment="1">
      <alignment horizontal="center"/>
    </xf>
    <xf numFmtId="0" fontId="89" fillId="7" borderId="0" xfId="3" applyFont="1" applyFill="1" applyAlignment="1">
      <alignment horizontal="left"/>
    </xf>
    <xf numFmtId="0" fontId="3" fillId="0" borderId="0" xfId="177" applyFont="1"/>
    <xf numFmtId="0" fontId="127" fillId="0" borderId="2" xfId="98" applyNumberFormat="1" applyFont="1" applyFill="1" applyBorder="1" applyAlignment="1">
      <alignment horizontal="center"/>
    </xf>
    <xf numFmtId="0" fontId="127" fillId="0" borderId="2" xfId="98" applyNumberFormat="1" applyFont="1" applyFill="1" applyBorder="1" applyAlignment="1">
      <alignment horizontal="left"/>
    </xf>
    <xf numFmtId="0" fontId="138" fillId="12" borderId="44" xfId="0" applyFont="1" applyFill="1" applyBorder="1">
      <alignment vertical="center"/>
    </xf>
    <xf numFmtId="0" fontId="71" fillId="0" borderId="4" xfId="3" applyBorder="1" applyAlignment="1">
      <alignment horizontal="center"/>
    </xf>
    <xf numFmtId="0" fontId="71" fillId="0" borderId="1" xfId="3" applyBorder="1" applyAlignment="1">
      <alignment horizontal="center"/>
    </xf>
    <xf numFmtId="0" fontId="89" fillId="0" borderId="2" xfId="3" applyFont="1" applyBorder="1" applyAlignment="1">
      <alignment horizontal="left"/>
    </xf>
    <xf numFmtId="0" fontId="0" fillId="15" borderId="2" xfId="0" applyFill="1" applyBorder="1" applyAlignment="1">
      <alignment horizontal="center" vertical="center"/>
    </xf>
    <xf numFmtId="0" fontId="89" fillId="15" borderId="2" xfId="3" applyFont="1" applyFill="1" applyBorder="1" applyAlignment="1">
      <alignment horizontal="left"/>
    </xf>
    <xf numFmtId="0" fontId="89" fillId="7" borderId="2" xfId="3" applyFont="1" applyFill="1" applyBorder="1" applyAlignment="1">
      <alignment horizontal="left"/>
    </xf>
    <xf numFmtId="0" fontId="102" fillId="9" borderId="2" xfId="3" applyFont="1" applyFill="1" applyBorder="1" applyAlignment="1">
      <alignment horizontal="center"/>
    </xf>
    <xf numFmtId="0" fontId="63" fillId="0" borderId="2" xfId="0" applyFont="1" applyBorder="1" applyAlignment="1">
      <alignment horizontal="center" vertical="center"/>
    </xf>
    <xf numFmtId="1" fontId="130" fillId="0" borderId="2" xfId="0" applyNumberFormat="1" applyFont="1" applyBorder="1" applyAlignment="1">
      <alignment horizontal="center" vertical="center"/>
    </xf>
    <xf numFmtId="165" fontId="130" fillId="20" borderId="2" xfId="0" applyNumberFormat="1" applyFont="1" applyFill="1" applyBorder="1" applyAlignment="1">
      <alignment horizontal="center" vertical="center"/>
    </xf>
    <xf numFmtId="0" fontId="130" fillId="0" borderId="2" xfId="3" applyFont="1" applyBorder="1" applyAlignment="1">
      <alignment horizontal="center"/>
    </xf>
    <xf numFmtId="0" fontId="78" fillId="13" borderId="2" xfId="3" applyFont="1" applyFill="1" applyBorder="1" applyAlignment="1">
      <alignment horizontal="center"/>
    </xf>
    <xf numFmtId="1" fontId="188" fillId="50" borderId="0" xfId="0" applyNumberFormat="1" applyFont="1" applyFill="1" applyAlignment="1">
      <alignment horizontal="center" vertical="center"/>
    </xf>
    <xf numFmtId="0" fontId="135" fillId="0" borderId="0" xfId="3" applyFont="1" applyAlignment="1">
      <alignment horizontal="right"/>
    </xf>
    <xf numFmtId="0" fontId="135" fillId="0" borderId="0" xfId="3" applyFont="1" applyAlignment="1">
      <alignment horizontal="left"/>
    </xf>
    <xf numFmtId="0" fontId="96" fillId="0" borderId="24" xfId="0" applyFont="1" applyBorder="1" applyAlignment="1">
      <alignment horizontal="right" vertical="center"/>
    </xf>
    <xf numFmtId="0" fontId="108" fillId="0" borderId="0" xfId="0" applyFont="1" applyAlignment="1">
      <alignment horizontal="right"/>
    </xf>
    <xf numFmtId="0" fontId="2" fillId="0" borderId="0" xfId="111" applyFont="1" applyAlignment="1">
      <alignment horizontal="center"/>
    </xf>
    <xf numFmtId="0" fontId="1" fillId="0" borderId="0" xfId="182" applyAlignment="1">
      <alignment horizontal="center"/>
    </xf>
    <xf numFmtId="0" fontId="1" fillId="0" borderId="0" xfId="177" applyFont="1"/>
    <xf numFmtId="0" fontId="1" fillId="0" borderId="0" xfId="182"/>
    <xf numFmtId="0" fontId="0" fillId="0" borderId="75" xfId="0" pivotButton="1" applyBorder="1" applyAlignment="1">
      <alignment horizontal="center" vertical="center"/>
    </xf>
    <xf numFmtId="0" fontId="0" fillId="0" borderId="77" xfId="0" applyBorder="1" applyAlignment="1">
      <alignment horizontal="center" vertical="center"/>
    </xf>
    <xf numFmtId="0" fontId="0" fillId="0" borderId="80" xfId="0" applyBorder="1" applyAlignment="1">
      <alignment horizontal="center" vertical="center"/>
    </xf>
    <xf numFmtId="0" fontId="0" fillId="0" borderId="75" xfId="0" pivotButton="1" applyBorder="1" applyAlignment="1">
      <alignment horizontal="left" vertical="center"/>
    </xf>
    <xf numFmtId="0" fontId="0" fillId="0" borderId="75" xfId="0" applyBorder="1" applyAlignment="1">
      <alignment horizontal="center" vertical="center" wrapText="1"/>
    </xf>
    <xf numFmtId="0" fontId="0" fillId="0" borderId="78" xfId="0" applyBorder="1" applyAlignment="1">
      <alignment horizontal="center" vertical="center" wrapText="1"/>
    </xf>
    <xf numFmtId="0" fontId="0" fillId="0" borderId="75" xfId="0" pivotButton="1" applyBorder="1">
      <alignment vertical="center"/>
    </xf>
    <xf numFmtId="0" fontId="0" fillId="0" borderId="76" xfId="0" applyBorder="1">
      <alignment vertical="center"/>
    </xf>
    <xf numFmtId="0" fontId="0" fillId="0" borderId="76" xfId="0" applyBorder="1" applyAlignment="1">
      <alignment horizontal="left" vertical="center"/>
    </xf>
    <xf numFmtId="0" fontId="0" fillId="0" borderId="84" xfId="0" applyBorder="1">
      <alignment vertical="center"/>
    </xf>
    <xf numFmtId="0" fontId="0" fillId="0" borderId="75" xfId="0" applyBorder="1">
      <alignment vertical="center"/>
    </xf>
    <xf numFmtId="0" fontId="0" fillId="0" borderId="86" xfId="0" pivotButton="1" applyBorder="1">
      <alignment vertical="center"/>
    </xf>
    <xf numFmtId="0" fontId="0" fillId="0" borderId="87" xfId="0" applyBorder="1">
      <alignment vertical="center"/>
    </xf>
    <xf numFmtId="0" fontId="0" fillId="0" borderId="88" xfId="0" applyBorder="1">
      <alignment vertical="center"/>
    </xf>
    <xf numFmtId="0" fontId="0" fillId="0" borderId="89" xfId="0" applyBorder="1">
      <alignment vertical="center"/>
    </xf>
    <xf numFmtId="0" fontId="0" fillId="0" borderId="89" xfId="0" applyBorder="1" applyAlignment="1">
      <alignment horizontal="center" vertical="center" wrapText="1"/>
    </xf>
    <xf numFmtId="0" fontId="0" fillId="0" borderId="93" xfId="0" applyBorder="1" applyAlignment="1">
      <alignment horizontal="center" vertical="center" wrapText="1"/>
    </xf>
    <xf numFmtId="0" fontId="110" fillId="0" borderId="0" xfId="3" applyFont="1" applyAlignment="1">
      <alignment horizontal="center"/>
    </xf>
    <xf numFmtId="0" fontId="77" fillId="13" borderId="4" xfId="3" applyFont="1" applyFill="1" applyBorder="1" applyAlignment="1">
      <alignment horizontal="center" vertical="center"/>
    </xf>
    <xf numFmtId="0" fontId="77" fillId="13" borderId="1" xfId="3" applyFont="1" applyFill="1" applyBorder="1" applyAlignment="1">
      <alignment horizontal="center" vertical="center"/>
    </xf>
    <xf numFmtId="0" fontId="77" fillId="13" borderId="5" xfId="3" applyFont="1" applyFill="1" applyBorder="1" applyAlignment="1">
      <alignment horizontal="center" vertical="center"/>
    </xf>
    <xf numFmtId="0" fontId="76" fillId="0" borderId="0" xfId="0" applyFont="1" applyAlignment="1">
      <alignment horizontal="left"/>
    </xf>
    <xf numFmtId="0" fontId="71" fillId="0" borderId="0" xfId="0" applyFont="1" applyAlignment="1">
      <alignment horizontal="center"/>
    </xf>
    <xf numFmtId="0" fontId="71" fillId="0" borderId="0" xfId="0" applyFont="1" applyAlignment="1">
      <alignment horizontal="left"/>
    </xf>
    <xf numFmtId="0" fontId="0" fillId="0" borderId="0" xfId="0" applyAlignment="1">
      <alignment horizontal="center" vertical="center"/>
    </xf>
    <xf numFmtId="0" fontId="63" fillId="0" borderId="0" xfId="0" applyFont="1" applyAlignment="1">
      <alignment horizontal="center" vertical="center"/>
    </xf>
    <xf numFmtId="0" fontId="0" fillId="0" borderId="46" xfId="0" applyBorder="1" applyAlignment="1">
      <alignment horizontal="center" vertical="center" wrapText="1"/>
    </xf>
    <xf numFmtId="0" fontId="0" fillId="0" borderId="75" xfId="0" applyBorder="1" applyAlignment="1">
      <alignment horizontal="center" vertical="center" wrapText="1"/>
    </xf>
    <xf numFmtId="0" fontId="0" fillId="0" borderId="75" xfId="0" applyBorder="1" applyAlignment="1">
      <alignment horizontal="center" vertical="center"/>
    </xf>
    <xf numFmtId="0" fontId="56" fillId="0" borderId="0" xfId="0" applyFont="1" applyAlignment="1">
      <alignment horizontal="center" vertical="center"/>
    </xf>
    <xf numFmtId="0" fontId="0" fillId="0" borderId="84" xfId="0" applyBorder="1" applyAlignment="1">
      <alignment horizontal="left" vertical="top"/>
    </xf>
    <xf numFmtId="0" fontId="0" fillId="0" borderId="76"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84" xfId="0" applyBorder="1" applyAlignment="1">
      <alignment horizontal="center" vertical="center"/>
    </xf>
    <xf numFmtId="0" fontId="0" fillId="0" borderId="4" xfId="0" applyBorder="1" applyAlignment="1">
      <alignment horizontal="center" vertical="center" wrapText="1"/>
    </xf>
    <xf numFmtId="0" fontId="0" fillId="0" borderId="90" xfId="0" applyBorder="1" applyAlignment="1">
      <alignment horizontal="center" vertical="center"/>
    </xf>
    <xf numFmtId="0" fontId="0" fillId="0" borderId="91" xfId="0" applyBorder="1" applyAlignment="1">
      <alignment horizontal="center" vertical="center"/>
    </xf>
    <xf numFmtId="0" fontId="0" fillId="0" borderId="85" xfId="0" applyBorder="1" applyAlignment="1">
      <alignment horizontal="center" vertical="center"/>
    </xf>
    <xf numFmtId="0" fontId="57" fillId="0" borderId="2" xfId="0" applyFont="1" applyBorder="1" applyAlignment="1">
      <alignment horizontal="center" vertical="center"/>
    </xf>
    <xf numFmtId="0" fontId="0" fillId="0" borderId="78" xfId="0" applyBorder="1" applyAlignment="1">
      <alignment horizontal="center" vertical="center" wrapText="1"/>
    </xf>
    <xf numFmtId="0" fontId="0" fillId="0" borderId="81" xfId="0" applyBorder="1" applyAlignment="1">
      <alignment horizontal="center" vertical="center"/>
    </xf>
    <xf numFmtId="0" fontId="57" fillId="0" borderId="0" xfId="0" applyFont="1" applyAlignment="1">
      <alignment horizontal="left"/>
    </xf>
    <xf numFmtId="0" fontId="57" fillId="0" borderId="0" xfId="0" applyFont="1" applyAlignment="1">
      <alignment horizontal="left" wrapText="1"/>
    </xf>
    <xf numFmtId="164" fontId="57" fillId="0" borderId="0" xfId="0" applyNumberFormat="1" applyFont="1" applyAlignment="1">
      <alignment horizontal="left"/>
    </xf>
    <xf numFmtId="164" fontId="57" fillId="0" borderId="0" xfId="0" applyNumberFormat="1" applyFont="1" applyAlignment="1">
      <alignment horizontal="center" vertical="center"/>
    </xf>
    <xf numFmtId="14" fontId="57" fillId="0" borderId="0" xfId="0" applyNumberFormat="1" applyFont="1" applyAlignment="1">
      <alignment horizontal="left"/>
    </xf>
    <xf numFmtId="14" fontId="57" fillId="0" borderId="0" xfId="0" applyNumberFormat="1" applyFont="1" applyAlignment="1">
      <alignment horizontal="center" vertical="center"/>
    </xf>
    <xf numFmtId="0" fontId="58" fillId="0" borderId="0" xfId="0" applyFont="1" applyAlignment="1">
      <alignment horizontal="left"/>
    </xf>
    <xf numFmtId="0" fontId="58" fillId="0" borderId="0" xfId="0" applyFont="1" applyAlignment="1">
      <alignment horizontal="left" wrapText="1"/>
    </xf>
    <xf numFmtId="0" fontId="87" fillId="0" borderId="0" xfId="0" applyFont="1" applyAlignment="1">
      <alignment horizontal="center" vertical="center"/>
    </xf>
    <xf numFmtId="0" fontId="183" fillId="0" borderId="0" xfId="5" applyFont="1" applyAlignment="1" applyProtection="1">
      <alignment horizontal="left"/>
    </xf>
    <xf numFmtId="0" fontId="0" fillId="0" borderId="14" xfId="5" applyFont="1" applyBorder="1" applyAlignment="1" applyProtection="1">
      <alignment horizontal="center" vertical="center"/>
    </xf>
    <xf numFmtId="0" fontId="0" fillId="0" borderId="12" xfId="5" applyFont="1" applyBorder="1" applyAlignment="1" applyProtection="1">
      <alignment horizontal="center" vertical="center"/>
    </xf>
    <xf numFmtId="0" fontId="179" fillId="0" borderId="0" xfId="5" applyFont="1" applyAlignment="1" applyProtection="1">
      <alignment horizontal="left" vertical="center"/>
    </xf>
    <xf numFmtId="0" fontId="180" fillId="0" borderId="0" xfId="5" applyFont="1" applyAlignment="1" applyProtection="1">
      <alignment horizontal="left" vertical="center"/>
    </xf>
    <xf numFmtId="0" fontId="117" fillId="0" borderId="0" xfId="5" applyFont="1" applyAlignment="1" applyProtection="1">
      <alignment horizontal="center" vertical="center"/>
    </xf>
    <xf numFmtId="0" fontId="181" fillId="0" borderId="0" xfId="5" applyFont="1" applyAlignment="1" applyProtection="1">
      <alignment horizontal="center" vertical="center"/>
    </xf>
    <xf numFmtId="0" fontId="182" fillId="0" borderId="0" xfId="5" applyFont="1" applyAlignment="1" applyProtection="1">
      <alignment horizontal="center" vertical="center"/>
    </xf>
    <xf numFmtId="0" fontId="177" fillId="0" borderId="0" xfId="5" applyFont="1" applyAlignment="1" applyProtection="1">
      <alignment horizontal="center" vertical="center"/>
    </xf>
    <xf numFmtId="0" fontId="171" fillId="0" borderId="0" xfId="5" applyFont="1" applyAlignment="1" applyProtection="1">
      <alignment horizontal="center" vertical="center"/>
    </xf>
    <xf numFmtId="0" fontId="183" fillId="0" borderId="0" xfId="5" applyFont="1" applyAlignment="1" applyProtection="1">
      <alignment vertical="center"/>
    </xf>
    <xf numFmtId="0" fontId="78" fillId="0" borderId="14" xfId="5" applyFont="1" applyBorder="1" applyAlignment="1" applyProtection="1">
      <alignment horizontal="center" vertical="center"/>
    </xf>
    <xf numFmtId="0" fontId="78" fillId="0" borderId="12" xfId="5" applyFont="1" applyBorder="1" applyAlignment="1" applyProtection="1">
      <alignment horizontal="center" vertical="center"/>
    </xf>
    <xf numFmtId="0" fontId="184" fillId="0" borderId="2" xfId="0" applyFont="1" applyBorder="1" applyAlignment="1">
      <alignment horizontal="center" vertical="center"/>
    </xf>
    <xf numFmtId="0" fontId="65" fillId="0" borderId="4" xfId="5" applyBorder="1" applyAlignment="1" applyProtection="1">
      <alignment horizontal="left" vertical="top" wrapText="1"/>
    </xf>
    <xf numFmtId="0" fontId="65" fillId="0" borderId="1" xfId="5" applyBorder="1" applyAlignment="1" applyProtection="1">
      <alignment horizontal="left" vertical="top" wrapText="1"/>
    </xf>
    <xf numFmtId="0" fontId="0" fillId="0" borderId="69" xfId="7" applyFont="1" applyBorder="1" applyAlignment="1" applyProtection="1">
      <alignment horizontal="center"/>
    </xf>
    <xf numFmtId="0" fontId="58" fillId="2" borderId="0" xfId="0" applyFont="1" applyFill="1" applyAlignment="1">
      <alignment horizontal="left"/>
    </xf>
    <xf numFmtId="0" fontId="72" fillId="0" borderId="0" xfId="3" applyFont="1" applyAlignment="1">
      <alignment horizontal="center"/>
    </xf>
    <xf numFmtId="0" fontId="58" fillId="13" borderId="0" xfId="0" applyFont="1" applyFill="1" applyAlignment="1">
      <alignment horizontal="left"/>
    </xf>
    <xf numFmtId="0" fontId="73" fillId="0" borderId="0" xfId="3" applyFont="1" applyAlignment="1">
      <alignment horizontal="right"/>
    </xf>
    <xf numFmtId="0" fontId="187" fillId="0" borderId="0" xfId="3" applyFont="1" applyAlignment="1">
      <alignment horizontal="center"/>
    </xf>
    <xf numFmtId="0" fontId="89" fillId="0" borderId="0" xfId="7" applyFont="1" applyAlignment="1">
      <alignment horizontal="left"/>
    </xf>
    <xf numFmtId="0" fontId="83" fillId="0" borderId="0" xfId="3" applyFont="1" applyAlignment="1">
      <alignment horizontal="center"/>
    </xf>
    <xf numFmtId="166" fontId="73" fillId="0" borderId="0" xfId="3" applyNumberFormat="1" applyFont="1" applyAlignment="1">
      <alignment horizontal="left" vertical="center"/>
    </xf>
    <xf numFmtId="0" fontId="0" fillId="0" borderId="84" xfId="0" applyBorder="1" applyAlignment="1">
      <alignment horizontal="left" vertical="center"/>
    </xf>
    <xf numFmtId="0" fontId="0" fillId="0" borderId="85" xfId="0" applyBorder="1" applyAlignment="1">
      <alignment horizontal="left" vertical="center"/>
    </xf>
    <xf numFmtId="0" fontId="186" fillId="0" borderId="0" xfId="0" applyFont="1" applyAlignment="1">
      <alignment horizontal="center" vertical="center" wrapText="1"/>
    </xf>
    <xf numFmtId="0" fontId="78" fillId="13" borderId="4" xfId="3" applyFont="1" applyFill="1" applyBorder="1" applyAlignment="1">
      <alignment horizontal="center" vertical="center"/>
    </xf>
    <xf numFmtId="0" fontId="78" fillId="13" borderId="1" xfId="3" applyFont="1" applyFill="1" applyBorder="1" applyAlignment="1">
      <alignment horizontal="center" vertical="center"/>
    </xf>
    <xf numFmtId="0" fontId="78" fillId="13" borderId="5" xfId="3" applyFont="1" applyFill="1" applyBorder="1" applyAlignment="1">
      <alignment horizontal="center" vertical="center"/>
    </xf>
    <xf numFmtId="0" fontId="0" fillId="0" borderId="10" xfId="0" applyBorder="1" applyAlignment="1">
      <alignment horizontal="left" vertical="center" wrapText="1"/>
    </xf>
    <xf numFmtId="0" fontId="0" fillId="0" borderId="73" xfId="0" applyBorder="1" applyAlignment="1">
      <alignment horizontal="left" vertical="center"/>
    </xf>
    <xf numFmtId="0" fontId="0" fillId="0" borderId="77" xfId="0" applyNumberFormat="1" applyBorder="1" applyAlignment="1">
      <alignment horizontal="center" vertical="center"/>
    </xf>
    <xf numFmtId="0" fontId="0" fillId="0" borderId="92" xfId="0" applyNumberFormat="1" applyBorder="1" applyAlignment="1">
      <alignment horizontal="center" vertical="center"/>
    </xf>
    <xf numFmtId="0" fontId="0" fillId="0" borderId="94" xfId="0" applyNumberFormat="1" applyBorder="1" applyAlignment="1">
      <alignment horizontal="center" vertical="center"/>
    </xf>
    <xf numFmtId="0" fontId="0" fillId="0" borderId="79" xfId="0" applyNumberFormat="1" applyBorder="1" applyAlignment="1">
      <alignment horizontal="center" vertical="center"/>
    </xf>
    <xf numFmtId="0" fontId="0" fillId="0" borderId="2" xfId="0" applyNumberFormat="1" applyBorder="1" applyAlignment="1">
      <alignment horizontal="center" vertical="center"/>
    </xf>
    <xf numFmtId="0" fontId="0" fillId="0" borderId="75" xfId="0" pivotButton="1" applyBorder="1" applyAlignment="1">
      <alignment vertical="center"/>
    </xf>
    <xf numFmtId="0" fontId="0" fillId="0" borderId="76" xfId="0" applyBorder="1" applyAlignment="1">
      <alignment vertical="center"/>
    </xf>
    <xf numFmtId="0" fontId="0" fillId="0" borderId="47" xfId="0" applyBorder="1" applyAlignment="1">
      <alignment vertical="center"/>
    </xf>
    <xf numFmtId="0" fontId="0" fillId="0" borderId="30" xfId="0" applyBorder="1" applyAlignment="1">
      <alignment vertical="center"/>
    </xf>
    <xf numFmtId="0" fontId="0" fillId="0" borderId="4" xfId="0" applyNumberFormat="1" applyBorder="1" applyAlignment="1">
      <alignment horizontal="center" vertical="center"/>
    </xf>
    <xf numFmtId="0" fontId="0" fillId="0" borderId="82" xfId="0" applyNumberFormat="1" applyBorder="1" applyAlignment="1">
      <alignment horizontal="center" vertical="center"/>
    </xf>
    <xf numFmtId="0" fontId="0" fillId="0" borderId="83" xfId="0" applyNumberFormat="1" applyBorder="1" applyAlignment="1">
      <alignment horizontal="center" vertical="center"/>
    </xf>
    <xf numFmtId="0" fontId="0" fillId="0" borderId="46" xfId="0" pivotButton="1" applyFont="1" applyBorder="1" applyAlignment="1">
      <alignment horizontal="left" vertical="center"/>
    </xf>
    <xf numFmtId="0" fontId="0" fillId="0" borderId="47" xfId="0" applyFont="1" applyBorder="1" applyAlignment="1">
      <alignment horizontal="left" vertical="center"/>
    </xf>
    <xf numFmtId="0" fontId="0" fillId="0" borderId="46" xfId="0" pivotButton="1" applyFont="1" applyBorder="1" applyAlignment="1">
      <alignment horizontal="center" vertical="center"/>
    </xf>
    <xf numFmtId="0" fontId="0" fillId="0" borderId="0" xfId="0" applyFont="1" applyBorder="1" applyAlignment="1">
      <alignment horizontal="left" vertical="center"/>
    </xf>
    <xf numFmtId="0" fontId="0" fillId="0" borderId="46" xfId="0" pivotButton="1" applyBorder="1" applyAlignment="1">
      <alignment vertical="center"/>
    </xf>
    <xf numFmtId="0" fontId="0" fillId="0" borderId="84" xfId="0" applyBorder="1" applyAlignment="1">
      <alignment vertical="center"/>
    </xf>
    <xf numFmtId="0" fontId="0" fillId="0" borderId="78" xfId="0" applyBorder="1" applyAlignment="1">
      <alignment horizontal="center" vertical="center"/>
    </xf>
    <xf numFmtId="0" fontId="0" fillId="0" borderId="81" xfId="0" applyBorder="1" applyAlignment="1">
      <alignment vertical="center"/>
    </xf>
    <xf numFmtId="0" fontId="0" fillId="0" borderId="2" xfId="0" pivotButton="1" applyBorder="1" applyAlignment="1">
      <alignment vertical="center"/>
    </xf>
    <xf numFmtId="0" fontId="0" fillId="0" borderId="2" xfId="0" applyBorder="1" applyAlignment="1">
      <alignment vertical="center"/>
    </xf>
  </cellXfs>
  <cellStyles count="183">
    <cellStyle name="20% - Accent1" xfId="98" builtinId="30"/>
    <cellStyle name="20% - Accent1 2" xfId="36" xr:uid="{00000000-0005-0000-0000-000001000000}"/>
    <cellStyle name="20% - Accent1 3" xfId="161" xr:uid="{00000000-0005-0000-0000-000002000000}"/>
    <cellStyle name="20% - Accent2 2" xfId="37" xr:uid="{00000000-0005-0000-0000-000003000000}"/>
    <cellStyle name="20% - Accent3 2" xfId="38" xr:uid="{00000000-0005-0000-0000-000004000000}"/>
    <cellStyle name="20% - Accent4 2" xfId="39" xr:uid="{00000000-0005-0000-0000-000005000000}"/>
    <cellStyle name="20% - Accent5 2" xfId="40" xr:uid="{00000000-0005-0000-0000-000006000000}"/>
    <cellStyle name="20% - Accent6 2" xfId="41" xr:uid="{00000000-0005-0000-0000-000007000000}"/>
    <cellStyle name="40% - Accent1 2" xfId="42" xr:uid="{00000000-0005-0000-0000-000008000000}"/>
    <cellStyle name="40% - Accent2 2" xfId="43" xr:uid="{00000000-0005-0000-0000-000009000000}"/>
    <cellStyle name="40% - Accent3 2" xfId="44" xr:uid="{00000000-0005-0000-0000-00000A000000}"/>
    <cellStyle name="40% - Accent4 2" xfId="45" xr:uid="{00000000-0005-0000-0000-00000B000000}"/>
    <cellStyle name="40% - Accent5 2" xfId="46" xr:uid="{00000000-0005-0000-0000-00000C000000}"/>
    <cellStyle name="40% - Accent6 2" xfId="47" xr:uid="{00000000-0005-0000-0000-00000D000000}"/>
    <cellStyle name="60% - Accent1 2" xfId="48" xr:uid="{00000000-0005-0000-0000-00000E000000}"/>
    <cellStyle name="60% - Accent2 2" xfId="49" xr:uid="{00000000-0005-0000-0000-00000F000000}"/>
    <cellStyle name="60% - Accent3 2" xfId="50" xr:uid="{00000000-0005-0000-0000-000010000000}"/>
    <cellStyle name="60% - Accent4 2" xfId="51" xr:uid="{00000000-0005-0000-0000-000011000000}"/>
    <cellStyle name="60% - Accent5 2" xfId="52" xr:uid="{00000000-0005-0000-0000-000012000000}"/>
    <cellStyle name="60% - Accent6 2" xfId="53" xr:uid="{00000000-0005-0000-0000-000013000000}"/>
    <cellStyle name="Accent1 2" xfId="54" xr:uid="{00000000-0005-0000-0000-000014000000}"/>
    <cellStyle name="Accent2 2" xfId="55" xr:uid="{00000000-0005-0000-0000-000015000000}"/>
    <cellStyle name="Accent3 2" xfId="56" xr:uid="{00000000-0005-0000-0000-000016000000}"/>
    <cellStyle name="Accent4 2" xfId="57" xr:uid="{00000000-0005-0000-0000-000017000000}"/>
    <cellStyle name="Accent5 2" xfId="58" xr:uid="{00000000-0005-0000-0000-000018000000}"/>
    <cellStyle name="Accent6 2" xfId="59" xr:uid="{00000000-0005-0000-0000-000019000000}"/>
    <cellStyle name="Bad 2" xfId="60" xr:uid="{00000000-0005-0000-0000-00001A000000}"/>
    <cellStyle name="Calculation 2" xfId="61" xr:uid="{00000000-0005-0000-0000-00001B000000}"/>
    <cellStyle name="Check Cell 2" xfId="62" xr:uid="{00000000-0005-0000-0000-00001C000000}"/>
    <cellStyle name="Explanatory Text 2" xfId="63" xr:uid="{00000000-0005-0000-0000-00001D000000}"/>
    <cellStyle name="Good 2" xfId="64" xr:uid="{00000000-0005-0000-0000-00001E000000}"/>
    <cellStyle name="Heading 1 2" xfId="65" xr:uid="{00000000-0005-0000-0000-00001F000000}"/>
    <cellStyle name="Heading 2 2" xfId="66" xr:uid="{00000000-0005-0000-0000-000020000000}"/>
    <cellStyle name="Heading 3 2" xfId="67" xr:uid="{00000000-0005-0000-0000-000021000000}"/>
    <cellStyle name="Heading 4 2" xfId="68" xr:uid="{00000000-0005-0000-0000-000022000000}"/>
    <cellStyle name="Input 2" xfId="69" xr:uid="{00000000-0005-0000-0000-000023000000}"/>
    <cellStyle name="Linked Cell 2" xfId="70" xr:uid="{00000000-0005-0000-0000-000024000000}"/>
    <cellStyle name="Neutral 2" xfId="71" xr:uid="{00000000-0005-0000-0000-000025000000}"/>
    <cellStyle name="Normal" xfId="0" builtinId="0"/>
    <cellStyle name="Normal 10" xfId="19" xr:uid="{00000000-0005-0000-0000-000027000000}"/>
    <cellStyle name="Normal 10 2" xfId="88" xr:uid="{00000000-0005-0000-0000-000028000000}"/>
    <cellStyle name="Normal 10 2 2" xfId="151" xr:uid="{00000000-0005-0000-0000-000029000000}"/>
    <cellStyle name="Normal 10 3" xfId="122" xr:uid="{00000000-0005-0000-0000-00002A000000}"/>
    <cellStyle name="Normal 10 4" xfId="137" xr:uid="{00000000-0005-0000-0000-00002B000000}"/>
    <cellStyle name="Normal 11" xfId="20" xr:uid="{00000000-0005-0000-0000-00002C000000}"/>
    <cellStyle name="Normal 11 2" xfId="89" xr:uid="{00000000-0005-0000-0000-00002D000000}"/>
    <cellStyle name="Normal 11 2 2" xfId="152" xr:uid="{00000000-0005-0000-0000-00002E000000}"/>
    <cellStyle name="Normal 11 3" xfId="123" xr:uid="{00000000-0005-0000-0000-00002F000000}"/>
    <cellStyle name="Normal 11 4" xfId="138" xr:uid="{00000000-0005-0000-0000-000030000000}"/>
    <cellStyle name="Normal 12" xfId="21" xr:uid="{00000000-0005-0000-0000-000031000000}"/>
    <cellStyle name="Normal 12 2" xfId="90" xr:uid="{00000000-0005-0000-0000-000032000000}"/>
    <cellStyle name="Normal 12 2 2" xfId="153" xr:uid="{00000000-0005-0000-0000-000033000000}"/>
    <cellStyle name="Normal 12 3" xfId="124" xr:uid="{00000000-0005-0000-0000-000034000000}"/>
    <cellStyle name="Normal 12 4" xfId="139" xr:uid="{00000000-0005-0000-0000-000035000000}"/>
    <cellStyle name="Normal 13" xfId="22" xr:uid="{00000000-0005-0000-0000-000036000000}"/>
    <cellStyle name="Normal 13 2" xfId="91" xr:uid="{00000000-0005-0000-0000-000037000000}"/>
    <cellStyle name="Normal 13 2 2" xfId="154" xr:uid="{00000000-0005-0000-0000-000038000000}"/>
    <cellStyle name="Normal 13 3" xfId="125" xr:uid="{00000000-0005-0000-0000-000039000000}"/>
    <cellStyle name="Normal 13 4" xfId="140" xr:uid="{00000000-0005-0000-0000-00003A000000}"/>
    <cellStyle name="Normal 14" xfId="35" xr:uid="{00000000-0005-0000-0000-00003B000000}"/>
    <cellStyle name="Normal 15" xfId="78" xr:uid="{00000000-0005-0000-0000-00003C000000}"/>
    <cellStyle name="Normal 15 2" xfId="92" xr:uid="{00000000-0005-0000-0000-00003D000000}"/>
    <cellStyle name="Normal 15 2 2" xfId="155" xr:uid="{00000000-0005-0000-0000-00003E000000}"/>
    <cellStyle name="Normal 15 3" xfId="126" xr:uid="{00000000-0005-0000-0000-00003F000000}"/>
    <cellStyle name="Normal 15 4" xfId="141" xr:uid="{00000000-0005-0000-0000-000040000000}"/>
    <cellStyle name="Normal 16" xfId="79" xr:uid="{00000000-0005-0000-0000-000041000000}"/>
    <cellStyle name="Normal 16 2" xfId="93" xr:uid="{00000000-0005-0000-0000-000042000000}"/>
    <cellStyle name="Normal 16 2 2" xfId="156" xr:uid="{00000000-0005-0000-0000-000043000000}"/>
    <cellStyle name="Normal 16 3" xfId="127" xr:uid="{00000000-0005-0000-0000-000044000000}"/>
    <cellStyle name="Normal 16 4" xfId="142" xr:uid="{00000000-0005-0000-0000-000045000000}"/>
    <cellStyle name="Normal 17" xfId="80" xr:uid="{00000000-0005-0000-0000-000046000000}"/>
    <cellStyle name="Normal 17 2" xfId="94" xr:uid="{00000000-0005-0000-0000-000047000000}"/>
    <cellStyle name="Normal 17 2 2" xfId="157" xr:uid="{00000000-0005-0000-0000-000048000000}"/>
    <cellStyle name="Normal 17 3" xfId="128" xr:uid="{00000000-0005-0000-0000-000049000000}"/>
    <cellStyle name="Normal 17 4" xfId="143" xr:uid="{00000000-0005-0000-0000-00004A000000}"/>
    <cellStyle name="Normal 18" xfId="81" xr:uid="{00000000-0005-0000-0000-00004B000000}"/>
    <cellStyle name="Normal 18 2" xfId="95" xr:uid="{00000000-0005-0000-0000-00004C000000}"/>
    <cellStyle name="Normal 18 2 2" xfId="158" xr:uid="{00000000-0005-0000-0000-00004D000000}"/>
    <cellStyle name="Normal 18 3" xfId="129" xr:uid="{00000000-0005-0000-0000-00004E000000}"/>
    <cellStyle name="Normal 18 4" xfId="144" xr:uid="{00000000-0005-0000-0000-00004F000000}"/>
    <cellStyle name="Normal 19" xfId="96" xr:uid="{00000000-0005-0000-0000-000050000000}"/>
    <cellStyle name="Normal 19 2" xfId="130" xr:uid="{00000000-0005-0000-0000-000051000000}"/>
    <cellStyle name="Normal 19 3" xfId="159" xr:uid="{00000000-0005-0000-0000-000052000000}"/>
    <cellStyle name="Normal 2" xfId="3" xr:uid="{00000000-0005-0000-0000-000053000000}"/>
    <cellStyle name="Normal 2 2" xfId="7" xr:uid="{00000000-0005-0000-0000-000054000000}"/>
    <cellStyle name="Normal 2 3" xfId="72" xr:uid="{00000000-0005-0000-0000-000055000000}"/>
    <cellStyle name="Normal 20" xfId="97" xr:uid="{00000000-0005-0000-0000-000056000000}"/>
    <cellStyle name="Normal 20 2" xfId="160" xr:uid="{00000000-0005-0000-0000-000057000000}"/>
    <cellStyle name="Normal 21" xfId="99" xr:uid="{00000000-0005-0000-0000-000058000000}"/>
    <cellStyle name="Normal 21 2" xfId="162" xr:uid="{00000000-0005-0000-0000-000059000000}"/>
    <cellStyle name="Normal 22" xfId="100" xr:uid="{00000000-0005-0000-0000-00005A000000}"/>
    <cellStyle name="Normal 22 2" xfId="163" xr:uid="{00000000-0005-0000-0000-00005B000000}"/>
    <cellStyle name="Normal 23" xfId="101" xr:uid="{00000000-0005-0000-0000-00005C000000}"/>
    <cellStyle name="Normal 23 2" xfId="164" xr:uid="{00000000-0005-0000-0000-00005D000000}"/>
    <cellStyle name="Normal 24" xfId="102" xr:uid="{00000000-0005-0000-0000-00005E000000}"/>
    <cellStyle name="Normal 24 2" xfId="165" xr:uid="{00000000-0005-0000-0000-00005F000000}"/>
    <cellStyle name="Normal 25" xfId="103" xr:uid="{00000000-0005-0000-0000-000060000000}"/>
    <cellStyle name="Normal 25 2" xfId="166" xr:uid="{00000000-0005-0000-0000-000061000000}"/>
    <cellStyle name="Normal 26" xfId="104" xr:uid="{00000000-0005-0000-0000-000062000000}"/>
    <cellStyle name="Normal 26 2" xfId="167" xr:uid="{00000000-0005-0000-0000-000063000000}"/>
    <cellStyle name="Normal 27" xfId="105" xr:uid="{00000000-0005-0000-0000-000064000000}"/>
    <cellStyle name="Normal 27 2" xfId="168" xr:uid="{00000000-0005-0000-0000-000065000000}"/>
    <cellStyle name="Normal 28" xfId="106" xr:uid="{00000000-0005-0000-0000-000066000000}"/>
    <cellStyle name="Normal 28 2" xfId="169" xr:uid="{00000000-0005-0000-0000-000067000000}"/>
    <cellStyle name="Normal 29" xfId="107" xr:uid="{00000000-0005-0000-0000-000068000000}"/>
    <cellStyle name="Normal 29 2" xfId="170" xr:uid="{00000000-0005-0000-0000-000069000000}"/>
    <cellStyle name="Normal 3" xfId="5" xr:uid="{00000000-0005-0000-0000-00006A000000}"/>
    <cellStyle name="Normal 3 2" xfId="112" xr:uid="{00000000-0005-0000-0000-00006B000000}"/>
    <cellStyle name="Normal 30" xfId="108" xr:uid="{00000000-0005-0000-0000-00006C000000}"/>
    <cellStyle name="Normal 30 2" xfId="171" xr:uid="{00000000-0005-0000-0000-00006D000000}"/>
    <cellStyle name="Normal 31" xfId="109" xr:uid="{00000000-0005-0000-0000-00006E000000}"/>
    <cellStyle name="Normal 31 2" xfId="172" xr:uid="{00000000-0005-0000-0000-00006F000000}"/>
    <cellStyle name="Normal 32" xfId="110" xr:uid="{00000000-0005-0000-0000-000070000000}"/>
    <cellStyle name="Normal 32 2" xfId="173" xr:uid="{00000000-0005-0000-0000-000071000000}"/>
    <cellStyle name="Normal 33" xfId="111" xr:uid="{00000000-0005-0000-0000-000072000000}"/>
    <cellStyle name="Normal 33 2" xfId="174" xr:uid="{00000000-0005-0000-0000-000073000000}"/>
    <cellStyle name="Normal 34" xfId="115" xr:uid="{00000000-0005-0000-0000-000074000000}"/>
    <cellStyle name="Normal 34 2" xfId="176" xr:uid="{00000000-0005-0000-0000-000075000000}"/>
    <cellStyle name="Normal 35" xfId="177" xr:uid="{00000000-0005-0000-0000-000076000000}"/>
    <cellStyle name="Normal 36" xfId="178" xr:uid="{00000000-0005-0000-0000-000077000000}"/>
    <cellStyle name="Normal 37" xfId="179" xr:uid="{00000000-0005-0000-0000-000078000000}"/>
    <cellStyle name="Normal 38" xfId="180" xr:uid="{00000000-0005-0000-0000-000079000000}"/>
    <cellStyle name="Normal 39" xfId="181" xr:uid="{00000000-0005-0000-0000-00007A000000}"/>
    <cellStyle name="Normal 4" xfId="13" xr:uid="{00000000-0005-0000-0000-00007B000000}"/>
    <cellStyle name="Normal 4 2" xfId="82" xr:uid="{00000000-0005-0000-0000-00007C000000}"/>
    <cellStyle name="Normal 4 2 2" xfId="145" xr:uid="{00000000-0005-0000-0000-00007D000000}"/>
    <cellStyle name="Normal 4 3" xfId="113" xr:uid="{00000000-0005-0000-0000-00007E000000}"/>
    <cellStyle name="Normal 4 4" xfId="116" xr:uid="{00000000-0005-0000-0000-00007F000000}"/>
    <cellStyle name="Normal 4 5" xfId="131" xr:uid="{00000000-0005-0000-0000-000080000000}"/>
    <cellStyle name="Normal 40" xfId="182" xr:uid="{00000000-0005-0000-0000-000081000000}"/>
    <cellStyle name="Normal 5" xfId="14" xr:uid="{00000000-0005-0000-0000-000082000000}"/>
    <cellStyle name="Normal 5 2" xfId="83" xr:uid="{00000000-0005-0000-0000-000083000000}"/>
    <cellStyle name="Normal 5 2 2" xfId="146" xr:uid="{00000000-0005-0000-0000-000084000000}"/>
    <cellStyle name="Normal 5 3" xfId="114" xr:uid="{00000000-0005-0000-0000-000085000000}"/>
    <cellStyle name="Normal 5 3 2" xfId="175" xr:uid="{00000000-0005-0000-0000-000086000000}"/>
    <cellStyle name="Normal 5 4" xfId="117" xr:uid="{00000000-0005-0000-0000-000087000000}"/>
    <cellStyle name="Normal 5 5" xfId="132" xr:uid="{00000000-0005-0000-0000-000088000000}"/>
    <cellStyle name="Normal 6" xfId="15" xr:uid="{00000000-0005-0000-0000-000089000000}"/>
    <cellStyle name="Normal 6 2" xfId="84" xr:uid="{00000000-0005-0000-0000-00008A000000}"/>
    <cellStyle name="Normal 6 2 2" xfId="147" xr:uid="{00000000-0005-0000-0000-00008B000000}"/>
    <cellStyle name="Normal 6 3" xfId="118" xr:uid="{00000000-0005-0000-0000-00008C000000}"/>
    <cellStyle name="Normal 6 4" xfId="133" xr:uid="{00000000-0005-0000-0000-00008D000000}"/>
    <cellStyle name="Normal 7" xfId="16" xr:uid="{00000000-0005-0000-0000-00008E000000}"/>
    <cellStyle name="Normal 7 2" xfId="85" xr:uid="{00000000-0005-0000-0000-00008F000000}"/>
    <cellStyle name="Normal 7 2 2" xfId="148" xr:uid="{00000000-0005-0000-0000-000090000000}"/>
    <cellStyle name="Normal 7 3" xfId="119" xr:uid="{00000000-0005-0000-0000-000091000000}"/>
    <cellStyle name="Normal 7 4" xfId="134" xr:uid="{00000000-0005-0000-0000-000092000000}"/>
    <cellStyle name="Normal 8" xfId="17" xr:uid="{00000000-0005-0000-0000-000093000000}"/>
    <cellStyle name="Normal 8 2" xfId="86" xr:uid="{00000000-0005-0000-0000-000094000000}"/>
    <cellStyle name="Normal 8 2 2" xfId="149" xr:uid="{00000000-0005-0000-0000-000095000000}"/>
    <cellStyle name="Normal 8 3" xfId="120" xr:uid="{00000000-0005-0000-0000-000096000000}"/>
    <cellStyle name="Normal 8 4" xfId="135" xr:uid="{00000000-0005-0000-0000-000097000000}"/>
    <cellStyle name="Normal 9" xfId="18" xr:uid="{00000000-0005-0000-0000-000098000000}"/>
    <cellStyle name="Normal 9 2" xfId="87" xr:uid="{00000000-0005-0000-0000-000099000000}"/>
    <cellStyle name="Normal 9 2 2" xfId="150" xr:uid="{00000000-0005-0000-0000-00009A000000}"/>
    <cellStyle name="Normal 9 3" xfId="121" xr:uid="{00000000-0005-0000-0000-00009B000000}"/>
    <cellStyle name="Normal 9 4" xfId="136" xr:uid="{00000000-0005-0000-0000-00009C000000}"/>
    <cellStyle name="Normal_09" xfId="8" xr:uid="{00000000-0005-0000-0000-00009D000000}"/>
    <cellStyle name="Normal_21" xfId="1" xr:uid="{00000000-0005-0000-0000-00009E000000}"/>
    <cellStyle name="Normal_21_SUPP_MATERIAL_3" xfId="9" xr:uid="{00000000-0005-0000-0000-00009F000000}"/>
    <cellStyle name="Normal_BPB" xfId="10" xr:uid="{00000000-0005-0000-0000-0000A0000000}"/>
    <cellStyle name="Normal_BPB_1" xfId="11" xr:uid="{00000000-0005-0000-0000-0000A1000000}"/>
    <cellStyle name="Normal_BPB_2" xfId="12" xr:uid="{00000000-0005-0000-0000-0000A2000000}"/>
    <cellStyle name="Normal_ID" xfId="31" xr:uid="{00000000-0005-0000-0000-0000A3000000}"/>
    <cellStyle name="Normal_ID_1" xfId="23" xr:uid="{00000000-0005-0000-0000-0000A4000000}"/>
    <cellStyle name="Normal_ID_10" xfId="26" xr:uid="{00000000-0005-0000-0000-0000A5000000}"/>
    <cellStyle name="Normal_ID_11" xfId="32" xr:uid="{00000000-0005-0000-0000-0000A6000000}"/>
    <cellStyle name="Normal_ID_2" xfId="24" xr:uid="{00000000-0005-0000-0000-0000A7000000}"/>
    <cellStyle name="Normal_ID_3" xfId="25" xr:uid="{00000000-0005-0000-0000-0000A8000000}"/>
    <cellStyle name="Normal_ID_4" xfId="28" xr:uid="{00000000-0005-0000-0000-0000A9000000}"/>
    <cellStyle name="Normal_ID_5" xfId="29" xr:uid="{00000000-0005-0000-0000-0000AA000000}"/>
    <cellStyle name="Normal_ID_6" xfId="27" xr:uid="{00000000-0005-0000-0000-0000AB000000}"/>
    <cellStyle name="Normal_ID_7" xfId="30" xr:uid="{00000000-0005-0000-0000-0000AC000000}"/>
    <cellStyle name="Normal_ID_8" xfId="34" xr:uid="{00000000-0005-0000-0000-0000AD000000}"/>
    <cellStyle name="Normal_ID_9" xfId="33" xr:uid="{00000000-0005-0000-0000-0000AE000000}"/>
    <cellStyle name="Normal_KEBUTUHAN MATERIAL" xfId="6" xr:uid="{00000000-0005-0000-0000-0000AF000000}"/>
    <cellStyle name="Normal_KEBUTUHAN MATERIAL_2" xfId="2" xr:uid="{00000000-0005-0000-0000-0000B0000000}"/>
    <cellStyle name="Normal_KEBUTUHAN MATERIAL_3" xfId="4" xr:uid="{00000000-0005-0000-0000-0000B1000000}"/>
    <cellStyle name="Note 2" xfId="73" xr:uid="{00000000-0005-0000-0000-0000B2000000}"/>
    <cellStyle name="Output 2" xfId="74" xr:uid="{00000000-0005-0000-0000-0000B3000000}"/>
    <cellStyle name="Title 2" xfId="75" xr:uid="{00000000-0005-0000-0000-0000B4000000}"/>
    <cellStyle name="Total 2" xfId="76" xr:uid="{00000000-0005-0000-0000-0000B5000000}"/>
    <cellStyle name="Warning Text 2" xfId="77" xr:uid="{00000000-0005-0000-0000-0000B6000000}"/>
  </cellStyles>
  <dxfs count="8065">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79998168889431442"/>
        </patternFill>
      </fill>
    </dxf>
    <dxf>
      <fill>
        <patternFill>
          <bgColor theme="8"/>
        </patternFill>
      </fill>
    </dxf>
    <dxf>
      <fill>
        <patternFill>
          <bgColor theme="7" tint="0.39994506668294322"/>
        </patternFill>
      </fill>
    </dxf>
    <dxf>
      <fill>
        <patternFill>
          <bgColor theme="7" tint="-0.24994659260841701"/>
        </patternFill>
      </fill>
    </dxf>
    <dxf>
      <fill>
        <patternFill>
          <bgColor theme="0" tint="-0.34998626667073579"/>
        </patternFill>
      </fill>
    </dxf>
    <dxf>
      <fill>
        <patternFill>
          <bgColor rgb="FF66FF66"/>
        </patternFill>
      </fill>
    </dxf>
    <dxf>
      <fill>
        <patternFill>
          <bgColor rgb="FFFF0000"/>
        </patternFill>
      </fill>
    </dxf>
    <dxf>
      <fill>
        <patternFill>
          <bgColor rgb="FFFF9999"/>
        </patternFill>
      </fill>
    </dxf>
    <dxf>
      <fill>
        <patternFill>
          <bgColor rgb="FFFFC000"/>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rgb="FFFF0000"/>
        </patternFill>
      </fill>
    </dxf>
    <dxf>
      <fill>
        <patternFill>
          <bgColor theme="4" tint="0.79998168889431442"/>
        </patternFill>
      </fill>
    </dxf>
    <dxf>
      <fill>
        <patternFill>
          <bgColor theme="7" tint="0.39994506668294322"/>
        </patternFill>
      </fill>
    </dxf>
    <dxf>
      <fill>
        <patternFill>
          <bgColor theme="8"/>
        </patternFill>
      </fill>
    </dxf>
    <dxf>
      <fill>
        <patternFill>
          <bgColor rgb="FFFF9999"/>
        </patternFill>
      </fill>
    </dxf>
    <dxf>
      <fill>
        <patternFill>
          <bgColor rgb="FFFF0000"/>
        </patternFill>
      </fill>
    </dxf>
    <dxf>
      <fill>
        <patternFill>
          <bgColor rgb="FF66FF66"/>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rgb="FFFFC000"/>
        </patternFill>
      </fill>
    </dxf>
    <dxf>
      <fill>
        <patternFill>
          <bgColor theme="0" tint="-0.34998626667073579"/>
        </patternFill>
      </fill>
    </dxf>
    <dxf>
      <fill>
        <patternFill>
          <bgColor theme="4" tint="0.79998168889431442"/>
        </patternFill>
      </fill>
    </dxf>
    <dxf>
      <fill>
        <patternFill>
          <bgColor rgb="FF66FF66"/>
        </patternFill>
      </fill>
    </dxf>
    <dxf>
      <fill>
        <patternFill>
          <bgColor theme="7" tint="0.39994506668294322"/>
        </patternFill>
      </fill>
    </dxf>
    <dxf>
      <fill>
        <patternFill>
          <bgColor rgb="FF00B050"/>
        </patternFill>
      </fill>
    </dxf>
    <dxf>
      <fill>
        <patternFill>
          <bgColor rgb="FFFF0000"/>
        </patternFill>
      </fill>
    </dxf>
    <dxf>
      <fill>
        <patternFill>
          <bgColor theme="7" tint="-0.24994659260841701"/>
        </patternFill>
      </fill>
    </dxf>
    <dxf>
      <fill>
        <patternFill>
          <bgColor theme="8"/>
        </patternFill>
      </fill>
    </dxf>
    <dxf>
      <fill>
        <patternFill>
          <bgColor theme="0" tint="-0.34998626667073579"/>
        </patternFill>
      </fill>
    </dxf>
    <dxf>
      <fill>
        <patternFill>
          <bgColor rgb="FFFF9999"/>
        </patternFill>
      </fill>
    </dxf>
    <dxf>
      <fill>
        <patternFill>
          <bgColor rgb="FFFFC000"/>
        </patternFill>
      </fill>
    </dxf>
    <dxf>
      <fill>
        <patternFill>
          <bgColor rgb="FF00B050"/>
        </patternFill>
      </fill>
    </dxf>
    <dxf>
      <fill>
        <patternFill>
          <bgColor theme="7" tint="-0.24994659260841701"/>
        </patternFill>
      </fill>
    </dxf>
    <dxf>
      <fill>
        <patternFill>
          <bgColor theme="4" tint="0.79998168889431442"/>
        </patternFill>
      </fill>
    </dxf>
    <dxf>
      <fill>
        <patternFill>
          <bgColor rgb="FFFF9999"/>
        </patternFill>
      </fill>
    </dxf>
    <dxf>
      <fill>
        <patternFill>
          <bgColor rgb="FF66FF66"/>
        </patternFill>
      </fill>
    </dxf>
    <dxf>
      <fill>
        <patternFill>
          <bgColor rgb="FFFF0000"/>
        </patternFill>
      </fill>
    </dxf>
    <dxf>
      <fill>
        <patternFill>
          <bgColor rgb="FFFFC000"/>
        </patternFill>
      </fill>
    </dxf>
    <dxf>
      <fill>
        <patternFill>
          <bgColor theme="0" tint="-0.34998626667073579"/>
        </patternFill>
      </fill>
    </dxf>
    <dxf>
      <fill>
        <patternFill>
          <bgColor theme="8"/>
        </patternFill>
      </fill>
    </dxf>
    <dxf>
      <fill>
        <patternFill>
          <bgColor theme="7" tint="0.39994506668294322"/>
        </patternFill>
      </fill>
    </dxf>
    <dxf>
      <fill>
        <patternFill>
          <bgColor rgb="FF00B050"/>
        </patternFill>
      </fill>
    </dxf>
    <dxf>
      <fill>
        <patternFill>
          <bgColor theme="0" tint="-0.34998626667073579"/>
        </patternFill>
      </fill>
    </dxf>
    <dxf>
      <fill>
        <patternFill>
          <bgColor rgb="FFFF0000"/>
        </patternFill>
      </fill>
    </dxf>
    <dxf>
      <fill>
        <patternFill>
          <bgColor rgb="FFFFC000"/>
        </patternFill>
      </fill>
    </dxf>
    <dxf>
      <fill>
        <patternFill>
          <bgColor theme="7" tint="0.39994506668294322"/>
        </patternFill>
      </fill>
    </dxf>
    <dxf>
      <fill>
        <patternFill>
          <bgColor theme="8"/>
        </patternFill>
      </fill>
    </dxf>
    <dxf>
      <fill>
        <patternFill>
          <bgColor theme="4" tint="0.79998168889431442"/>
        </patternFill>
      </fill>
    </dxf>
    <dxf>
      <fill>
        <patternFill>
          <bgColor rgb="FFFF9999"/>
        </patternFill>
      </fill>
    </dxf>
    <dxf>
      <fill>
        <patternFill>
          <bgColor theme="7" tint="-0.24994659260841701"/>
        </patternFill>
      </fill>
    </dxf>
    <dxf>
      <fill>
        <patternFill>
          <bgColor rgb="FF66FF66"/>
        </patternFill>
      </fill>
    </dxf>
    <dxf>
      <fill>
        <patternFill>
          <bgColor theme="8"/>
        </patternFill>
      </fill>
    </dxf>
    <dxf>
      <fill>
        <patternFill>
          <bgColor theme="7" tint="0.39994506668294322"/>
        </patternFill>
      </fill>
    </dxf>
    <dxf>
      <fill>
        <patternFill>
          <bgColor rgb="FF00B050"/>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FF9999"/>
        </patternFill>
      </fill>
    </dxf>
    <dxf>
      <fill>
        <patternFill>
          <bgColor rgb="FF66FF66"/>
        </patternFill>
      </fill>
    </dxf>
    <dxf>
      <fill>
        <patternFill>
          <bgColor rgb="FFFF0000"/>
        </patternFill>
      </fill>
    </dxf>
    <dxf>
      <fill>
        <patternFill>
          <bgColor rgb="FF00B05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rgb="FFFF9999"/>
        </patternFill>
      </fill>
    </dxf>
    <dxf>
      <fill>
        <patternFill>
          <bgColor rgb="FF66FF66"/>
        </patternFill>
      </fill>
    </dxf>
    <dxf>
      <fill>
        <patternFill>
          <bgColor rgb="FFFFC000"/>
        </patternFill>
      </fill>
    </dxf>
    <dxf>
      <fill>
        <patternFill>
          <bgColor rgb="FFFF0000"/>
        </patternFill>
      </fill>
    </dxf>
    <dxf>
      <fill>
        <patternFill>
          <bgColor theme="0" tint="-0.34998626667073579"/>
        </patternFill>
      </fill>
    </dxf>
    <dxf>
      <fill>
        <patternFill>
          <bgColor rgb="FF66FF66"/>
        </patternFill>
      </fill>
    </dxf>
    <dxf>
      <fill>
        <patternFill>
          <bgColor rgb="FFFF9999"/>
        </patternFill>
      </fill>
    </dxf>
    <dxf>
      <fill>
        <patternFill>
          <bgColor theme="7" tint="0.39994506668294322"/>
        </patternFill>
      </fill>
    </dxf>
    <dxf>
      <fill>
        <patternFill>
          <bgColor theme="8"/>
        </patternFill>
      </fill>
    </dxf>
    <dxf>
      <fill>
        <patternFill>
          <bgColor theme="0" tint="-0.34998626667073579"/>
        </patternFill>
      </fill>
    </dxf>
    <dxf>
      <fill>
        <patternFill>
          <bgColor rgb="FF00B050"/>
        </patternFill>
      </fill>
    </dxf>
    <dxf>
      <fill>
        <patternFill>
          <bgColor theme="4" tint="0.79998168889431442"/>
        </patternFill>
      </fill>
    </dxf>
    <dxf>
      <fill>
        <patternFill>
          <bgColor rgb="FFFF0000"/>
        </patternFill>
      </fill>
    </dxf>
    <dxf>
      <fill>
        <patternFill>
          <bgColor rgb="FFFFC000"/>
        </patternFill>
      </fill>
    </dxf>
    <dxf>
      <fill>
        <patternFill>
          <bgColor theme="7" tint="-0.24994659260841701"/>
        </patternFill>
      </fill>
    </dxf>
    <dxf>
      <fill>
        <patternFill>
          <bgColor rgb="FFFF0000"/>
        </patternFill>
      </fill>
    </dxf>
    <dxf>
      <fill>
        <patternFill>
          <bgColor theme="7" tint="0.39994506668294322"/>
        </patternFill>
      </fill>
    </dxf>
    <dxf>
      <fill>
        <patternFill>
          <bgColor theme="4" tint="0.79998168889431442"/>
        </patternFill>
      </fill>
    </dxf>
    <dxf>
      <fill>
        <patternFill>
          <bgColor rgb="FF00B050"/>
        </patternFill>
      </fill>
    </dxf>
    <dxf>
      <fill>
        <patternFill>
          <bgColor rgb="FFFF9999"/>
        </patternFill>
      </fill>
    </dxf>
    <dxf>
      <fill>
        <patternFill>
          <bgColor theme="8"/>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7" tint="-0.24994659260841701"/>
        </patternFill>
      </fill>
    </dxf>
    <dxf>
      <fill>
        <patternFill>
          <bgColor theme="8"/>
        </patternFill>
      </fill>
    </dxf>
    <dxf>
      <fill>
        <patternFill>
          <bgColor theme="7" tint="0.39994506668294322"/>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rgb="FFFF0000"/>
        </patternFill>
      </fill>
    </dxf>
    <dxf>
      <fill>
        <patternFill>
          <bgColor rgb="FF00B050"/>
        </patternFill>
      </fill>
    </dxf>
    <dxf>
      <fill>
        <patternFill>
          <bgColor theme="4" tint="0.79998168889431442"/>
        </patternFill>
      </fill>
    </dxf>
    <dxf>
      <fill>
        <patternFill>
          <bgColor rgb="FFFF9999"/>
        </patternFill>
      </fill>
    </dxf>
    <dxf>
      <fill>
        <patternFill>
          <bgColor rgb="FF00B050"/>
        </patternFill>
      </fill>
    </dxf>
    <dxf>
      <fill>
        <patternFill>
          <bgColor rgb="FF66FF66"/>
        </patternFill>
      </fill>
    </dxf>
    <dxf>
      <fill>
        <patternFill>
          <bgColor theme="0" tint="-0.34998626667073579"/>
        </patternFill>
      </fill>
    </dxf>
    <dxf>
      <fill>
        <patternFill>
          <bgColor theme="7" tint="-0.24994659260841701"/>
        </patternFill>
      </fill>
    </dxf>
    <dxf>
      <fill>
        <patternFill>
          <bgColor rgb="FFFFC000"/>
        </patternFill>
      </fill>
    </dxf>
    <dxf>
      <fill>
        <patternFill>
          <bgColor rgb="FFFF0000"/>
        </patternFill>
      </fill>
    </dxf>
    <dxf>
      <fill>
        <patternFill>
          <bgColor theme="7" tint="0.39994506668294322"/>
        </patternFill>
      </fill>
    </dxf>
    <dxf>
      <fill>
        <patternFill>
          <bgColor theme="8"/>
        </patternFill>
      </fill>
    </dxf>
    <dxf>
      <fill>
        <patternFill>
          <bgColor rgb="FFFFC000"/>
        </patternFill>
      </fill>
    </dxf>
    <dxf>
      <fill>
        <patternFill>
          <bgColor rgb="FFFF0000"/>
        </patternFill>
      </fill>
    </dxf>
    <dxf>
      <fill>
        <patternFill>
          <bgColor theme="7" tint="0.39994506668294322"/>
        </patternFill>
      </fill>
    </dxf>
    <dxf>
      <fill>
        <patternFill>
          <bgColor rgb="FF00B050"/>
        </patternFill>
      </fill>
    </dxf>
    <dxf>
      <fill>
        <patternFill>
          <bgColor theme="8"/>
        </patternFill>
      </fill>
    </dxf>
    <dxf>
      <fill>
        <patternFill>
          <bgColor rgb="FFFF9999"/>
        </patternFill>
      </fill>
    </dxf>
    <dxf>
      <fill>
        <patternFill>
          <bgColor theme="4" tint="0.79998168889431442"/>
        </patternFill>
      </fill>
    </dxf>
    <dxf>
      <fill>
        <patternFill>
          <bgColor theme="0" tint="-0.34998626667073579"/>
        </patternFill>
      </fill>
    </dxf>
    <dxf>
      <fill>
        <patternFill>
          <bgColor theme="7" tint="-0.24994659260841701"/>
        </patternFill>
      </fill>
    </dxf>
    <dxf>
      <fill>
        <patternFill>
          <bgColor rgb="FF66FF66"/>
        </patternFill>
      </fill>
    </dxf>
    <dxf>
      <fill>
        <patternFill>
          <bgColor theme="7" tint="0.39994506668294322"/>
        </patternFill>
      </fill>
    </dxf>
    <dxf>
      <fill>
        <patternFill>
          <bgColor rgb="FFFF9999"/>
        </patternFill>
      </fill>
    </dxf>
    <dxf>
      <fill>
        <patternFill>
          <bgColor rgb="FFFFC000"/>
        </patternFill>
      </fill>
    </dxf>
    <dxf>
      <fill>
        <patternFill>
          <bgColor rgb="FFFF0000"/>
        </patternFill>
      </fill>
    </dxf>
    <dxf>
      <fill>
        <patternFill>
          <bgColor theme="7" tint="-0.24994659260841701"/>
        </patternFill>
      </fill>
    </dxf>
    <dxf>
      <fill>
        <patternFill>
          <bgColor theme="4" tint="0.79998168889431442"/>
        </patternFill>
      </fill>
    </dxf>
    <dxf>
      <fill>
        <patternFill>
          <bgColor theme="0" tint="-0.34998626667073579"/>
        </patternFill>
      </fill>
    </dxf>
    <dxf>
      <fill>
        <patternFill>
          <bgColor rgb="FF00B050"/>
        </patternFill>
      </fill>
    </dxf>
    <dxf>
      <fill>
        <patternFill>
          <bgColor theme="8"/>
        </patternFill>
      </fill>
    </dxf>
    <dxf>
      <fill>
        <patternFill>
          <bgColor rgb="FF66FF66"/>
        </patternFill>
      </fill>
    </dxf>
    <dxf>
      <fill>
        <patternFill>
          <bgColor rgb="FFFFC000"/>
        </patternFill>
      </fill>
    </dxf>
    <dxf>
      <fill>
        <patternFill>
          <bgColor rgb="FF66FF66"/>
        </patternFill>
      </fill>
    </dxf>
    <dxf>
      <fill>
        <patternFill>
          <bgColor rgb="FFFF9999"/>
        </patternFill>
      </fill>
    </dxf>
    <dxf>
      <fill>
        <patternFill>
          <bgColor theme="8"/>
        </patternFill>
      </fill>
    </dxf>
    <dxf>
      <fill>
        <patternFill>
          <bgColor theme="7" tint="0.39994506668294322"/>
        </patternFill>
      </fill>
    </dxf>
    <dxf>
      <fill>
        <patternFill>
          <bgColor rgb="FFFF0000"/>
        </patternFill>
      </fill>
    </dxf>
    <dxf>
      <fill>
        <patternFill>
          <bgColor theme="7" tint="-0.24994659260841701"/>
        </patternFill>
      </fill>
    </dxf>
    <dxf>
      <fill>
        <patternFill>
          <bgColor rgb="FF00B050"/>
        </patternFill>
      </fill>
    </dxf>
    <dxf>
      <fill>
        <patternFill>
          <bgColor theme="4" tint="0.79998168889431442"/>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0" tint="-0.34998626667073579"/>
        </patternFill>
      </fill>
    </dxf>
    <dxf>
      <fill>
        <patternFill>
          <bgColor rgb="FFFF0000"/>
        </patternFill>
      </fill>
    </dxf>
    <dxf>
      <fill>
        <patternFill>
          <bgColor rgb="FFFFC000"/>
        </patternFill>
      </fill>
    </dxf>
    <dxf>
      <fill>
        <patternFill>
          <bgColor theme="7" tint="0.39994506668294322"/>
        </patternFill>
      </fill>
    </dxf>
    <dxf>
      <fill>
        <patternFill>
          <bgColor rgb="FF66FF66"/>
        </patternFill>
      </fill>
    </dxf>
    <dxf>
      <fill>
        <patternFill>
          <bgColor theme="8"/>
        </patternFill>
      </fill>
    </dxf>
    <dxf>
      <fill>
        <patternFill>
          <bgColor rgb="FFFF9999"/>
        </patternFill>
      </fill>
    </dxf>
    <dxf>
      <fill>
        <patternFill>
          <bgColor rgb="FF00B050"/>
        </patternFill>
      </fill>
    </dxf>
    <dxf>
      <fill>
        <patternFill>
          <bgColor rgb="FFFF9999"/>
        </patternFill>
      </fill>
    </dxf>
    <dxf>
      <fill>
        <patternFill>
          <bgColor rgb="FFFFC000"/>
        </patternFill>
      </fill>
    </dxf>
    <dxf>
      <fill>
        <patternFill>
          <bgColor theme="0" tint="-0.34998626667073579"/>
        </patternFill>
      </fill>
    </dxf>
    <dxf>
      <fill>
        <patternFill>
          <bgColor theme="7" tint="0.39994506668294322"/>
        </patternFill>
      </fill>
    </dxf>
    <dxf>
      <fill>
        <patternFill>
          <bgColor theme="8"/>
        </patternFill>
      </fill>
    </dxf>
    <dxf>
      <fill>
        <patternFill>
          <bgColor theme="4" tint="0.79998168889431442"/>
        </patternFill>
      </fill>
    </dxf>
    <dxf>
      <fill>
        <patternFill>
          <bgColor rgb="FFFF0000"/>
        </patternFill>
      </fill>
    </dxf>
    <dxf>
      <fill>
        <patternFill>
          <bgColor rgb="FF00B050"/>
        </patternFill>
      </fill>
    </dxf>
    <dxf>
      <fill>
        <patternFill>
          <bgColor theme="7" tint="-0.24994659260841701"/>
        </patternFill>
      </fill>
    </dxf>
    <dxf>
      <fill>
        <patternFill>
          <bgColor rgb="FF66FF66"/>
        </patternFill>
      </fill>
    </dxf>
    <dxf>
      <fill>
        <patternFill>
          <bgColor rgb="FFFFC000"/>
        </patternFill>
      </fill>
    </dxf>
    <dxf>
      <fill>
        <patternFill>
          <bgColor rgb="FF66FF66"/>
        </patternFill>
      </fill>
    </dxf>
    <dxf>
      <fill>
        <patternFill>
          <bgColor theme="0" tint="-0.34998626667073579"/>
        </patternFill>
      </fill>
    </dxf>
    <dxf>
      <fill>
        <patternFill>
          <bgColor theme="7" tint="-0.24994659260841701"/>
        </patternFill>
      </fill>
    </dxf>
    <dxf>
      <fill>
        <patternFill>
          <bgColor rgb="FFFF9999"/>
        </patternFill>
      </fill>
    </dxf>
    <dxf>
      <fill>
        <patternFill>
          <bgColor theme="4" tint="0.79998168889431442"/>
        </patternFill>
      </fill>
    </dxf>
    <dxf>
      <fill>
        <patternFill>
          <bgColor rgb="FF00B050"/>
        </patternFill>
      </fill>
    </dxf>
    <dxf>
      <fill>
        <patternFill>
          <bgColor theme="7" tint="0.39994506668294322"/>
        </patternFill>
      </fill>
    </dxf>
    <dxf>
      <fill>
        <patternFill>
          <bgColor rgb="FFFF0000"/>
        </patternFill>
      </fill>
    </dxf>
    <dxf>
      <fill>
        <patternFill>
          <bgColor theme="8"/>
        </patternFill>
      </fill>
    </dxf>
    <dxf>
      <fill>
        <patternFill>
          <bgColor theme="7" tint="0.39994506668294322"/>
        </patternFill>
      </fill>
    </dxf>
    <dxf>
      <fill>
        <patternFill>
          <bgColor theme="4" tint="0.79998168889431442"/>
        </patternFill>
      </fill>
    </dxf>
    <dxf>
      <fill>
        <patternFill>
          <bgColor theme="8"/>
        </patternFill>
      </fill>
    </dxf>
    <dxf>
      <fill>
        <patternFill>
          <bgColor rgb="FFFF9999"/>
        </patternFill>
      </fill>
    </dxf>
    <dxf>
      <fill>
        <patternFill>
          <bgColor theme="7" tint="-0.24994659260841701"/>
        </patternFill>
      </fill>
    </dxf>
    <dxf>
      <fill>
        <patternFill>
          <bgColor rgb="FFFF0000"/>
        </patternFill>
      </fill>
    </dxf>
    <dxf>
      <fill>
        <patternFill>
          <bgColor rgb="FF00B050"/>
        </patternFill>
      </fill>
    </dxf>
    <dxf>
      <fill>
        <patternFill>
          <bgColor rgb="FFFFC000"/>
        </patternFill>
      </fill>
    </dxf>
    <dxf>
      <fill>
        <patternFill>
          <bgColor theme="0" tint="-0.34998626667073579"/>
        </patternFill>
      </fill>
    </dxf>
    <dxf>
      <fill>
        <patternFill>
          <bgColor rgb="FF66FF66"/>
        </patternFill>
      </fill>
    </dxf>
    <dxf>
      <fill>
        <patternFill>
          <bgColor theme="0" tint="-0.34998626667073579"/>
        </patternFill>
      </fill>
    </dxf>
    <dxf>
      <fill>
        <patternFill>
          <bgColor theme="4" tint="0.79998168889431442"/>
        </patternFill>
      </fill>
    </dxf>
    <dxf>
      <fill>
        <patternFill>
          <bgColor rgb="FFFFC000"/>
        </patternFill>
      </fill>
    </dxf>
    <dxf>
      <fill>
        <patternFill>
          <bgColor rgb="FF66FF66"/>
        </patternFill>
      </fill>
    </dxf>
    <dxf>
      <fill>
        <patternFill>
          <bgColor theme="8"/>
        </patternFill>
      </fill>
    </dxf>
    <dxf>
      <fill>
        <patternFill>
          <bgColor theme="7" tint="0.39994506668294322"/>
        </patternFill>
      </fill>
    </dxf>
    <dxf>
      <fill>
        <patternFill>
          <bgColor theme="7" tint="-0.24994659260841701"/>
        </patternFill>
      </fill>
    </dxf>
    <dxf>
      <fill>
        <patternFill>
          <bgColor rgb="FF00B050"/>
        </patternFill>
      </fill>
    </dxf>
    <dxf>
      <fill>
        <patternFill>
          <bgColor rgb="FFFF9999"/>
        </patternFill>
      </fill>
    </dxf>
    <dxf>
      <fill>
        <patternFill>
          <bgColor rgb="FFFF0000"/>
        </patternFill>
      </fill>
    </dxf>
    <dxf>
      <fill>
        <patternFill>
          <bgColor rgb="FFFF9999"/>
        </patternFill>
      </fill>
    </dxf>
    <dxf>
      <fill>
        <patternFill>
          <bgColor rgb="FF66FF66"/>
        </patternFill>
      </fill>
    </dxf>
    <dxf>
      <fill>
        <patternFill>
          <bgColor theme="4" tint="0.79998168889431442"/>
        </patternFill>
      </fill>
    </dxf>
    <dxf>
      <fill>
        <patternFill>
          <bgColor theme="8"/>
        </patternFill>
      </fill>
    </dxf>
    <dxf>
      <fill>
        <patternFill>
          <bgColor theme="7" tint="0.39994506668294322"/>
        </patternFill>
      </fill>
    </dxf>
    <dxf>
      <fill>
        <patternFill>
          <bgColor theme="7" tint="-0.24994659260841701"/>
        </patternFill>
      </fill>
    </dxf>
    <dxf>
      <fill>
        <patternFill>
          <bgColor theme="0" tint="-0.34998626667073579"/>
        </patternFill>
      </fill>
    </dxf>
    <dxf>
      <fill>
        <patternFill>
          <bgColor rgb="FFFFC000"/>
        </patternFill>
      </fill>
    </dxf>
    <dxf>
      <fill>
        <patternFill>
          <bgColor rgb="FFFF0000"/>
        </patternFill>
      </fill>
    </dxf>
    <dxf>
      <fill>
        <patternFill>
          <bgColor rgb="FFFF9999"/>
        </patternFill>
      </fill>
    </dxf>
    <dxf>
      <fill>
        <patternFill>
          <bgColor rgb="FF66FF66"/>
        </patternFill>
      </fill>
    </dxf>
    <dxf>
      <fill>
        <patternFill>
          <bgColor theme="4" tint="0.79998168889431442"/>
        </patternFill>
      </fill>
    </dxf>
    <dxf>
      <fill>
        <patternFill>
          <bgColor rgb="FFFF0000"/>
        </patternFill>
      </fill>
    </dxf>
    <dxf>
      <fill>
        <patternFill>
          <bgColor theme="8"/>
        </patternFill>
      </fill>
    </dxf>
    <dxf>
      <fill>
        <patternFill>
          <bgColor theme="7" tint="-0.24994659260841701"/>
        </patternFill>
      </fill>
    </dxf>
    <dxf>
      <fill>
        <patternFill>
          <bgColor theme="0" tint="-0.34998626667073579"/>
        </patternFill>
      </fill>
    </dxf>
    <dxf>
      <fill>
        <patternFill>
          <bgColor rgb="FFFFC000"/>
        </patternFill>
      </fill>
    </dxf>
    <dxf>
      <fill>
        <patternFill>
          <bgColor theme="7" tint="0.39994506668294322"/>
        </patternFill>
      </fill>
    </dxf>
    <dxf>
      <fill>
        <patternFill>
          <bgColor theme="4" tint="0.79998168889431442"/>
        </patternFill>
      </fill>
    </dxf>
    <dxf>
      <fill>
        <patternFill>
          <bgColor theme="7" tint="-0.24994659260841701"/>
        </patternFill>
      </fill>
    </dxf>
    <dxf>
      <fill>
        <patternFill>
          <bgColor theme="8"/>
        </patternFill>
      </fill>
    </dxf>
    <dxf>
      <fill>
        <patternFill>
          <bgColor theme="7" tint="0.39994506668294322"/>
        </patternFill>
      </fill>
    </dxf>
    <dxf>
      <fill>
        <patternFill>
          <bgColor rgb="FFFF9999"/>
        </patternFill>
      </fill>
    </dxf>
    <dxf>
      <fill>
        <patternFill>
          <bgColor theme="0" tint="-0.34998626667073579"/>
        </patternFill>
      </fill>
    </dxf>
    <dxf>
      <fill>
        <patternFill>
          <bgColor rgb="FFFFC000"/>
        </patternFill>
      </fill>
    </dxf>
    <dxf>
      <fill>
        <patternFill>
          <bgColor rgb="FFFF0000"/>
        </patternFill>
      </fill>
    </dxf>
    <dxf>
      <fill>
        <patternFill>
          <bgColor rgb="FF66FF66"/>
        </patternFill>
      </fill>
    </dxf>
    <dxf>
      <fill>
        <patternFill>
          <bgColor rgb="FFFF0000"/>
        </patternFill>
      </fill>
    </dxf>
    <dxf>
      <fill>
        <patternFill>
          <bgColor theme="7" tint="0.39994506668294322"/>
        </patternFill>
      </fill>
    </dxf>
    <dxf>
      <fill>
        <patternFill>
          <bgColor theme="8"/>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4" tint="0.79998168889431442"/>
        </patternFill>
      </fill>
    </dxf>
    <dxf>
      <fill>
        <patternFill>
          <bgColor theme="7" tint="-0.24994659260841701"/>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theme="8"/>
        </patternFill>
      </fill>
    </dxf>
    <dxf>
      <fill>
        <patternFill>
          <bgColor theme="7" tint="0.39994506668294322"/>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rgb="FFFF0000"/>
        </patternFill>
      </fill>
    </dxf>
    <dxf>
      <fill>
        <patternFill>
          <bgColor rgb="FFFF0000"/>
        </patternFill>
      </fill>
    </dxf>
    <dxf>
      <fill>
        <patternFill>
          <bgColor theme="7" tint="0.39994506668294322"/>
        </patternFill>
      </fill>
    </dxf>
    <dxf>
      <fill>
        <patternFill>
          <bgColor rgb="FFFF9999"/>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theme="0" tint="-0.34998626667073579"/>
        </patternFill>
      </fill>
    </dxf>
    <dxf>
      <fill>
        <patternFill>
          <bgColor rgb="FFFF999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rgb="FF66FF66"/>
        </patternFill>
      </fill>
    </dxf>
    <dxf>
      <fill>
        <patternFill>
          <bgColor rgb="FFFFC000"/>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rgb="FFFF9999"/>
        </patternFill>
      </fill>
    </dxf>
    <dxf>
      <fill>
        <patternFill>
          <bgColor rgb="FF66FF66"/>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FF9999"/>
        </patternFill>
      </fill>
    </dxf>
    <dxf>
      <fill>
        <patternFill>
          <bgColor rgb="FF66FF66"/>
        </patternFill>
      </fill>
    </dxf>
    <dxf>
      <fill>
        <patternFill>
          <bgColor rgb="FFFF0000"/>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66FF66"/>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9999"/>
        </patternFill>
      </fill>
    </dxf>
    <dxf>
      <fill>
        <patternFill>
          <bgColor rgb="FFFFC000"/>
        </patternFill>
      </fill>
    </dxf>
    <dxf>
      <fill>
        <patternFill>
          <bgColor rgb="FFFFC000"/>
        </patternFill>
      </fill>
    </dxf>
    <dxf>
      <fill>
        <patternFill>
          <bgColor rgb="FF66FF66"/>
        </patternFill>
      </fill>
    </dxf>
    <dxf>
      <fill>
        <patternFill>
          <bgColor rgb="FFFF9999"/>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0000"/>
        </patternFill>
      </fill>
    </dxf>
    <dxf>
      <fill>
        <patternFill>
          <bgColor theme="7" tint="0.39994506668294322"/>
        </patternFill>
      </fill>
    </dxf>
    <dxf>
      <fill>
        <patternFill>
          <bgColor rgb="FFFF0000"/>
        </patternFill>
      </fill>
    </dxf>
    <dxf>
      <fill>
        <patternFill>
          <bgColor theme="4" tint="0.79998168889431442"/>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theme="7" tint="-0.24994659260841701"/>
        </patternFill>
      </fill>
    </dxf>
    <dxf>
      <fill>
        <patternFill>
          <bgColor theme="8"/>
        </patternFill>
      </fill>
    </dxf>
    <dxf>
      <fill>
        <patternFill>
          <bgColor theme="7" tint="0.39994506668294322"/>
        </patternFill>
      </fill>
    </dxf>
    <dxf>
      <fill>
        <patternFill>
          <bgColor theme="8"/>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rgb="FFFF0000"/>
        </patternFill>
      </fill>
    </dxf>
    <dxf>
      <fill>
        <patternFill>
          <bgColor theme="4" tint="0.79998168889431442"/>
        </patternFill>
      </fill>
    </dxf>
    <dxf>
      <fill>
        <patternFill>
          <bgColor theme="7" tint="0.39994506668294322"/>
        </patternFill>
      </fill>
    </dxf>
    <dxf>
      <fill>
        <patternFill>
          <bgColor theme="8"/>
        </patternFill>
      </fill>
    </dxf>
    <dxf>
      <fill>
        <patternFill>
          <bgColor theme="4" tint="0.79998168889431442"/>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rgb="FFFF0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7" tint="0.39994506668294322"/>
        </patternFill>
      </fill>
    </dxf>
    <dxf>
      <fill>
        <patternFill>
          <bgColor rgb="FF66FF66"/>
        </patternFill>
      </fill>
    </dxf>
    <dxf>
      <fill>
        <patternFill>
          <bgColor theme="8"/>
        </patternFill>
      </fill>
    </dxf>
    <dxf>
      <fill>
        <patternFill>
          <bgColor rgb="FFFF0000"/>
        </patternFill>
      </fill>
    </dxf>
    <dxf>
      <fill>
        <patternFill>
          <bgColor rgb="FFFFC000"/>
        </patternFill>
      </fill>
    </dxf>
    <dxf>
      <fill>
        <patternFill>
          <bgColor rgb="FFFF9999"/>
        </patternFill>
      </fill>
    </dxf>
    <dxf>
      <fill>
        <patternFill>
          <bgColor theme="7" tint="-0.24994659260841701"/>
        </patternFill>
      </fill>
    </dxf>
    <dxf>
      <fill>
        <patternFill>
          <bgColor rgb="FFFFC000"/>
        </patternFill>
      </fill>
    </dxf>
    <dxf>
      <fill>
        <patternFill>
          <bgColor rgb="FF66FF66"/>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theme="0" tint="-0.34998626667073579"/>
        </patternFill>
      </fill>
    </dxf>
    <dxf>
      <fill>
        <patternFill>
          <bgColor rgb="FFFF9999"/>
        </patternFill>
      </fill>
    </dxf>
    <dxf>
      <fill>
        <patternFill>
          <bgColor theme="7" tint="0.39994506668294322"/>
        </patternFill>
      </fill>
    </dxf>
    <dxf>
      <fill>
        <patternFill>
          <bgColor rgb="FFFF9999"/>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rgb="FFFF0000"/>
        </patternFill>
      </fill>
    </dxf>
    <dxf>
      <fill>
        <patternFill>
          <bgColor rgb="FFFF0000"/>
        </patternFill>
      </fill>
    </dxf>
    <dxf>
      <fill>
        <patternFill>
          <bgColor theme="0" tint="-0.34998626667073579"/>
        </patternFill>
      </fill>
    </dxf>
    <dxf>
      <fill>
        <patternFill>
          <bgColor rgb="FFFFC000"/>
        </patternFill>
      </fill>
    </dxf>
    <dxf>
      <fill>
        <patternFill>
          <bgColor rgb="FFFF9999"/>
        </patternFill>
      </fill>
    </dxf>
    <dxf>
      <fill>
        <patternFill>
          <bgColor theme="4" tint="0.79998168889431442"/>
        </patternFill>
      </fill>
    </dxf>
    <dxf>
      <fill>
        <patternFill>
          <bgColor rgb="FF66FF66"/>
        </patternFill>
      </fill>
    </dxf>
    <dxf>
      <fill>
        <patternFill>
          <bgColor theme="7" tint="0.39994506668294322"/>
        </patternFill>
      </fill>
    </dxf>
    <dxf>
      <fill>
        <patternFill>
          <bgColor theme="8"/>
        </patternFill>
      </fill>
    </dxf>
    <dxf>
      <fill>
        <patternFill>
          <bgColor theme="7" tint="-0.24994659260841701"/>
        </patternFill>
      </fill>
    </dxf>
    <dxf>
      <fill>
        <patternFill>
          <bgColor theme="8"/>
        </patternFill>
      </fill>
    </dxf>
    <dxf>
      <fill>
        <patternFill>
          <bgColor rgb="FFFF0000"/>
        </patternFill>
      </fill>
    </dxf>
    <dxf>
      <fill>
        <patternFill>
          <bgColor rgb="FFFF9999"/>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theme="7" tint="0.39994506668294322"/>
        </patternFill>
      </fill>
    </dxf>
    <dxf>
      <fill>
        <patternFill>
          <bgColor rgb="FFFF0000"/>
        </patternFill>
      </fill>
    </dxf>
    <dxf>
      <fill>
        <patternFill>
          <bgColor theme="8"/>
        </patternFill>
      </fill>
    </dxf>
    <dxf>
      <fill>
        <patternFill>
          <bgColor rgb="FF66FF66"/>
        </patternFill>
      </fill>
    </dxf>
    <dxf>
      <fill>
        <patternFill>
          <bgColor rgb="FFFFC000"/>
        </patternFill>
      </fill>
    </dxf>
    <dxf>
      <fill>
        <patternFill>
          <bgColor theme="7" tint="0.39994506668294322"/>
        </patternFill>
      </fill>
    </dxf>
    <dxf>
      <fill>
        <patternFill>
          <bgColor theme="0" tint="-0.34998626667073579"/>
        </patternFill>
      </fill>
    </dxf>
    <dxf>
      <fill>
        <patternFill>
          <bgColor theme="4" tint="0.79998168889431442"/>
        </patternFill>
      </fill>
    </dxf>
    <dxf>
      <fill>
        <patternFill>
          <bgColor theme="7" tint="-0.24994659260841701"/>
        </patternFill>
      </fill>
    </dxf>
    <dxf>
      <fill>
        <patternFill>
          <bgColor rgb="FFFF9999"/>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rgb="FF66FF66"/>
        </patternFill>
      </fill>
    </dxf>
    <dxf>
      <fill>
        <patternFill>
          <bgColor theme="8"/>
        </patternFill>
      </fill>
    </dxf>
    <dxf>
      <fill>
        <patternFill>
          <bgColor theme="7" tint="0.39994506668294322"/>
        </patternFill>
      </fill>
    </dxf>
    <dxf>
      <fill>
        <patternFill>
          <bgColor rgb="FFFF0000"/>
        </patternFill>
      </fill>
    </dxf>
    <dxf>
      <fill>
        <patternFill>
          <bgColor rgb="FFFFC000"/>
        </patternFill>
      </fill>
    </dxf>
    <dxf>
      <fill>
        <patternFill>
          <bgColor rgb="FFFF9999"/>
        </patternFill>
      </fill>
    </dxf>
    <dxf>
      <fill>
        <patternFill>
          <bgColor theme="4" tint="0.79998168889431442"/>
        </patternFill>
      </fill>
    </dxf>
    <dxf>
      <fill>
        <patternFill>
          <bgColor theme="7" tint="0.39994506668294322"/>
        </patternFill>
      </fill>
    </dxf>
    <dxf>
      <fill>
        <patternFill>
          <bgColor rgb="FF66FF66"/>
        </patternFill>
      </fill>
    </dxf>
    <dxf>
      <fill>
        <patternFill>
          <bgColor theme="0" tint="-0.34998626667073579"/>
        </patternFill>
      </fill>
    </dxf>
    <dxf>
      <fill>
        <patternFill>
          <bgColor rgb="FFFF0000"/>
        </patternFill>
      </fill>
    </dxf>
    <dxf>
      <fill>
        <patternFill>
          <bgColor rgb="FFFF9999"/>
        </patternFill>
      </fill>
    </dxf>
    <dxf>
      <fill>
        <patternFill>
          <bgColor theme="7" tint="-0.24994659260841701"/>
        </patternFill>
      </fill>
    </dxf>
    <dxf>
      <fill>
        <patternFill>
          <bgColor theme="8"/>
        </patternFill>
      </fill>
    </dxf>
    <dxf>
      <fill>
        <patternFill>
          <bgColor rgb="FFFFC000"/>
        </patternFill>
      </fill>
    </dxf>
    <dxf>
      <fill>
        <patternFill>
          <bgColor rgb="FFFF0000"/>
        </patternFill>
      </fill>
    </dxf>
    <dxf>
      <fill>
        <patternFill>
          <bgColor theme="8"/>
        </patternFill>
      </fill>
    </dxf>
    <dxf>
      <fill>
        <patternFill>
          <bgColor rgb="FFFFC000"/>
        </patternFill>
      </fill>
    </dxf>
    <dxf>
      <fill>
        <patternFill>
          <bgColor theme="0" tint="-0.34998626667073579"/>
        </patternFill>
      </fill>
    </dxf>
    <dxf>
      <fill>
        <patternFill>
          <bgColor rgb="FF66FF66"/>
        </patternFill>
      </fill>
    </dxf>
    <dxf>
      <fill>
        <patternFill>
          <bgColor theme="7" tint="-0.24994659260841701"/>
        </patternFill>
      </fill>
    </dxf>
    <dxf>
      <fill>
        <patternFill>
          <bgColor theme="4" tint="0.79998168889431442"/>
        </patternFill>
      </fill>
    </dxf>
    <dxf>
      <fill>
        <patternFill>
          <bgColor rgb="FFFF9999"/>
        </patternFill>
      </fill>
    </dxf>
    <dxf>
      <fill>
        <patternFill>
          <bgColor theme="7" tint="0.39994506668294322"/>
        </patternFill>
      </fill>
    </dxf>
    <dxf>
      <fill>
        <patternFill>
          <bgColor theme="8"/>
        </patternFill>
      </fill>
    </dxf>
    <dxf>
      <fill>
        <patternFill>
          <bgColor theme="0" tint="-0.34998626667073579"/>
        </patternFill>
      </fill>
    </dxf>
    <dxf>
      <fill>
        <patternFill>
          <bgColor theme="4" tint="0.79998168889431442"/>
        </patternFill>
      </fill>
    </dxf>
    <dxf>
      <fill>
        <patternFill>
          <bgColor theme="7" tint="-0.24994659260841701"/>
        </patternFill>
      </fill>
    </dxf>
    <dxf>
      <fill>
        <patternFill>
          <bgColor rgb="FFFF9999"/>
        </patternFill>
      </fill>
    </dxf>
    <dxf>
      <fill>
        <patternFill>
          <bgColor rgb="FF66FF66"/>
        </patternFill>
      </fill>
    </dxf>
    <dxf>
      <fill>
        <patternFill>
          <bgColor rgb="FFFFC000"/>
        </patternFill>
      </fill>
    </dxf>
    <dxf>
      <fill>
        <patternFill>
          <bgColor theme="7" tint="0.39994506668294322"/>
        </patternFill>
      </fill>
    </dxf>
    <dxf>
      <fill>
        <patternFill>
          <bgColor rgb="FFFF0000"/>
        </patternFill>
      </fill>
    </dxf>
    <dxf>
      <fill>
        <patternFill>
          <bgColor rgb="FFFFC000"/>
        </patternFill>
      </fill>
    </dxf>
    <dxf>
      <fill>
        <patternFill>
          <bgColor theme="0" tint="-0.34998626667073579"/>
        </patternFill>
      </fill>
    </dxf>
    <dxf>
      <fill>
        <patternFill>
          <bgColor theme="7" tint="-0.24994659260841701"/>
        </patternFill>
      </fill>
    </dxf>
    <dxf>
      <fill>
        <patternFill>
          <bgColor theme="8"/>
        </patternFill>
      </fill>
    </dxf>
    <dxf>
      <fill>
        <patternFill>
          <bgColor rgb="FF66FF66"/>
        </patternFill>
      </fill>
    </dxf>
    <dxf>
      <fill>
        <patternFill>
          <bgColor rgb="FFFF0000"/>
        </patternFill>
      </fill>
    </dxf>
    <dxf>
      <fill>
        <patternFill>
          <bgColor theme="7" tint="0.39994506668294322"/>
        </patternFill>
      </fill>
    </dxf>
    <dxf>
      <fill>
        <patternFill>
          <bgColor theme="4" tint="0.79998168889431442"/>
        </patternFill>
      </fill>
    </dxf>
    <dxf>
      <fill>
        <patternFill>
          <bgColor rgb="FFFF9999"/>
        </patternFill>
      </fill>
    </dxf>
    <dxf>
      <fill>
        <patternFill>
          <bgColor theme="0" tint="-0.34998626667073579"/>
        </patternFill>
      </fill>
    </dxf>
    <dxf>
      <fill>
        <patternFill>
          <bgColor rgb="FFFFC000"/>
        </patternFill>
      </fill>
    </dxf>
    <dxf>
      <fill>
        <patternFill>
          <bgColor theme="7" tint="-0.24994659260841701"/>
        </patternFill>
      </fill>
    </dxf>
    <dxf>
      <fill>
        <patternFill>
          <bgColor rgb="FF66FF66"/>
        </patternFill>
      </fill>
    </dxf>
    <dxf>
      <fill>
        <patternFill>
          <bgColor rgb="FFFF9999"/>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rgb="FFFF0000"/>
        </patternFill>
      </fill>
    </dxf>
    <dxf>
      <fill>
        <patternFill>
          <bgColor theme="7" tint="-0.24994659260841701"/>
        </patternFill>
      </fill>
    </dxf>
    <dxf>
      <fill>
        <patternFill>
          <bgColor theme="0" tint="-0.34998626667073579"/>
        </patternFill>
      </fill>
    </dxf>
    <dxf>
      <fill>
        <patternFill>
          <bgColor rgb="FFFFC000"/>
        </patternFill>
      </fill>
    </dxf>
    <dxf>
      <fill>
        <patternFill>
          <bgColor rgb="FFFF9999"/>
        </patternFill>
      </fill>
    </dxf>
    <dxf>
      <fill>
        <patternFill>
          <bgColor theme="4" tint="0.79998168889431442"/>
        </patternFill>
      </fill>
    </dxf>
    <dxf>
      <fill>
        <patternFill>
          <bgColor rgb="FF66FF66"/>
        </patternFill>
      </fill>
    </dxf>
    <dxf>
      <fill>
        <patternFill>
          <bgColor theme="7" tint="0.39994506668294322"/>
        </patternFill>
      </fill>
    </dxf>
    <dxf>
      <fill>
        <patternFill>
          <bgColor theme="8"/>
        </patternFill>
      </fill>
    </dxf>
    <dxf>
      <fill>
        <patternFill>
          <bgColor rgb="FFFFC000"/>
        </patternFill>
      </fill>
    </dxf>
    <dxf>
      <fill>
        <patternFill>
          <bgColor rgb="FFFF999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theme="0" tint="-0.34998626667073579"/>
        </patternFill>
      </fill>
    </dxf>
    <dxf>
      <fill>
        <patternFill>
          <bgColor rgb="FF66FF66"/>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rgb="FFFF0000"/>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rgb="FFFF9999"/>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theme="7" tint="-0.24994659260841701"/>
        </patternFill>
      </fill>
    </dxf>
    <dxf>
      <fill>
        <patternFill>
          <bgColor theme="0" tint="-0.34998626667073579"/>
        </patternFill>
      </fill>
    </dxf>
    <dxf>
      <fill>
        <patternFill>
          <bgColor theme="4" tint="0.79998168889431442"/>
        </patternFill>
      </fill>
    </dxf>
    <dxf>
      <fill>
        <patternFill>
          <bgColor theme="8"/>
        </patternFill>
      </fill>
    </dxf>
    <dxf>
      <fill>
        <patternFill>
          <bgColor theme="7" tint="0.39994506668294322"/>
        </patternFill>
      </fill>
    </dxf>
    <dxf>
      <fill>
        <patternFill>
          <bgColor rgb="FFFFC000"/>
        </patternFill>
      </fill>
    </dxf>
    <dxf>
      <fill>
        <patternFill>
          <bgColor rgb="FFFF0000"/>
        </patternFill>
      </fill>
    </dxf>
    <dxf>
      <fill>
        <patternFill>
          <bgColor rgb="FF66FF66"/>
        </patternFill>
      </fill>
    </dxf>
    <dxf>
      <fill>
        <patternFill>
          <bgColor theme="7" tint="-0.24994659260841701"/>
        </patternFill>
      </fill>
    </dxf>
    <dxf>
      <fill>
        <patternFill>
          <bgColor theme="4" tint="0.79998168889431442"/>
        </patternFill>
      </fill>
    </dxf>
    <dxf>
      <fill>
        <patternFill>
          <bgColor theme="0" tint="-0.34998626667073579"/>
        </patternFill>
      </fill>
    </dxf>
    <dxf>
      <fill>
        <patternFill>
          <bgColor theme="7" tint="0.39994506668294322"/>
        </patternFill>
      </fill>
    </dxf>
    <dxf>
      <fill>
        <patternFill>
          <bgColor rgb="FFFFC000"/>
        </patternFill>
      </fill>
    </dxf>
    <dxf>
      <fill>
        <patternFill>
          <bgColor rgb="FF66FF66"/>
        </patternFill>
      </fill>
    </dxf>
    <dxf>
      <fill>
        <patternFill>
          <bgColor rgb="FFFF9999"/>
        </patternFill>
      </fill>
    </dxf>
    <dxf>
      <fill>
        <patternFill>
          <bgColor rgb="FFFF0000"/>
        </patternFill>
      </fill>
    </dxf>
    <dxf>
      <fill>
        <patternFill>
          <bgColor theme="8"/>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theme="4" tint="0.79998168889431442"/>
        </patternFill>
      </fill>
    </dxf>
    <dxf>
      <fill>
        <patternFill>
          <bgColor theme="7" tint="-0.24994659260841701"/>
        </patternFill>
      </fill>
    </dxf>
    <dxf>
      <fill>
        <patternFill>
          <bgColor theme="8"/>
        </patternFill>
      </fill>
    </dxf>
    <dxf>
      <fill>
        <patternFill>
          <bgColor theme="7" tint="0.39994506668294322"/>
        </patternFill>
      </fill>
    </dxf>
    <dxf>
      <fill>
        <patternFill>
          <bgColor rgb="FFFF0000"/>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rgb="FFFF9999"/>
        </patternFill>
      </fill>
    </dxf>
    <dxf>
      <fill>
        <patternFill>
          <bgColor theme="4" tint="0.79998168889431442"/>
        </patternFill>
      </fill>
    </dxf>
    <dxf>
      <fill>
        <patternFill>
          <bgColor theme="8"/>
        </patternFill>
      </fill>
    </dxf>
    <dxf>
      <fill>
        <patternFill>
          <bgColor theme="7" tint="0.39994506668294322"/>
        </patternFill>
      </fill>
    </dxf>
    <dxf>
      <fill>
        <patternFill>
          <bgColor rgb="FF66FF66"/>
        </patternFill>
      </fill>
    </dxf>
    <dxf>
      <fill>
        <patternFill>
          <bgColor rgb="FFFFC000"/>
        </patternFill>
      </fill>
    </dxf>
    <dxf>
      <fill>
        <patternFill>
          <bgColor theme="7" tint="-0.24994659260841701"/>
        </patternFill>
      </fill>
    </dxf>
    <dxf>
      <fill>
        <patternFill>
          <bgColor theme="0" tint="-0.34998626667073579"/>
        </patternFill>
      </fill>
    </dxf>
    <dxf>
      <fill>
        <patternFill>
          <bgColor rgb="FFFF0000"/>
        </patternFill>
      </fill>
    </dxf>
    <dxf>
      <fill>
        <patternFill>
          <bgColor theme="0" tint="-0.34998626667073579"/>
        </patternFill>
      </fill>
    </dxf>
    <dxf>
      <fill>
        <patternFill>
          <bgColor theme="7" tint="0.39994506668294322"/>
        </patternFill>
      </fill>
    </dxf>
    <dxf>
      <fill>
        <patternFill>
          <bgColor theme="8"/>
        </patternFill>
      </fill>
    </dxf>
    <dxf>
      <fill>
        <patternFill>
          <bgColor theme="4" tint="0.79998168889431442"/>
        </patternFill>
      </fill>
    </dxf>
    <dxf>
      <fill>
        <patternFill>
          <bgColor rgb="FFFF9999"/>
        </patternFill>
      </fill>
    </dxf>
    <dxf>
      <fill>
        <patternFill>
          <bgColor rgb="FF66FF66"/>
        </patternFill>
      </fill>
    </dxf>
    <dxf>
      <fill>
        <patternFill>
          <bgColor rgb="FFFFC000"/>
        </patternFill>
      </fill>
    </dxf>
    <dxf>
      <fill>
        <patternFill>
          <bgColor theme="7" tint="-0.24994659260841701"/>
        </patternFill>
      </fill>
    </dxf>
    <dxf>
      <fill>
        <patternFill>
          <bgColor rgb="FFFF0000"/>
        </patternFill>
      </fill>
    </dxf>
    <dxf>
      <fill>
        <patternFill>
          <bgColor theme="0" tint="-0.34998626667073579"/>
        </patternFill>
      </fill>
    </dxf>
    <dxf>
      <fill>
        <patternFill>
          <bgColor rgb="FFFF0000"/>
        </patternFill>
      </fill>
    </dxf>
    <dxf>
      <fill>
        <patternFill>
          <bgColor theme="7" tint="0.39994506668294322"/>
        </patternFill>
      </fill>
    </dxf>
    <dxf>
      <fill>
        <patternFill>
          <bgColor rgb="FFFFC000"/>
        </patternFill>
      </fill>
    </dxf>
    <dxf>
      <fill>
        <patternFill>
          <bgColor theme="8"/>
        </patternFill>
      </fill>
    </dxf>
    <dxf>
      <fill>
        <patternFill>
          <bgColor rgb="FF66FF66"/>
        </patternFill>
      </fill>
    </dxf>
    <dxf>
      <fill>
        <patternFill>
          <bgColor rgb="FFFF9999"/>
        </patternFill>
      </fill>
    </dxf>
    <dxf>
      <fill>
        <patternFill>
          <bgColor theme="7" tint="-0.24994659260841701"/>
        </patternFill>
      </fill>
    </dxf>
    <dxf>
      <fill>
        <patternFill>
          <bgColor theme="4" tint="0.79998168889431442"/>
        </patternFill>
      </fill>
    </dxf>
    <dxf>
      <fill>
        <patternFill>
          <bgColor rgb="FFFF0000"/>
        </patternFill>
      </fill>
    </dxf>
    <dxf>
      <fill>
        <patternFill>
          <bgColor rgb="FFFF9999"/>
        </patternFill>
      </fill>
    </dxf>
    <dxf>
      <fill>
        <patternFill>
          <bgColor theme="7" tint="0.39994506668294322"/>
        </patternFill>
      </fill>
    </dxf>
    <dxf>
      <fill>
        <patternFill>
          <bgColor theme="8"/>
        </patternFill>
      </fill>
    </dxf>
    <dxf>
      <fill>
        <patternFill>
          <bgColor theme="4" tint="0.79998168889431442"/>
        </patternFill>
      </fill>
    </dxf>
    <dxf>
      <fill>
        <patternFill>
          <bgColor rgb="FFFFC000"/>
        </patternFill>
      </fill>
    </dxf>
    <dxf>
      <fill>
        <patternFill>
          <bgColor rgb="FF66FF66"/>
        </patternFill>
      </fill>
    </dxf>
    <dxf>
      <fill>
        <patternFill>
          <bgColor theme="0" tint="-0.34998626667073579"/>
        </patternFill>
      </fill>
    </dxf>
    <dxf>
      <fill>
        <patternFill>
          <bgColor theme="7" tint="-0.24994659260841701"/>
        </patternFill>
      </fill>
    </dxf>
    <dxf>
      <fill>
        <patternFill>
          <bgColor theme="8"/>
        </patternFill>
      </fill>
    </dxf>
    <dxf>
      <fill>
        <patternFill>
          <bgColor theme="7" tint="-0.24994659260841701"/>
        </patternFill>
      </fill>
    </dxf>
    <dxf>
      <fill>
        <patternFill>
          <bgColor theme="4" tint="0.79998168889431442"/>
        </patternFill>
      </fill>
    </dxf>
    <dxf>
      <fill>
        <patternFill>
          <bgColor rgb="FF66FF66"/>
        </patternFill>
      </fill>
    </dxf>
    <dxf>
      <fill>
        <patternFill>
          <bgColor rgb="FFFF0000"/>
        </patternFill>
      </fill>
    </dxf>
    <dxf>
      <fill>
        <patternFill>
          <bgColor theme="0" tint="-0.34998626667073579"/>
        </patternFill>
      </fill>
    </dxf>
    <dxf>
      <fill>
        <patternFill>
          <bgColor rgb="FFFFC000"/>
        </patternFill>
      </fill>
    </dxf>
    <dxf>
      <fill>
        <patternFill>
          <bgColor theme="7" tint="0.39994506668294322"/>
        </patternFill>
      </fill>
    </dxf>
    <dxf>
      <fill>
        <patternFill>
          <bgColor rgb="FFFF9999"/>
        </patternFill>
      </fill>
    </dxf>
    <dxf>
      <fill>
        <patternFill>
          <bgColor theme="0" tint="-0.34998626667073579"/>
        </patternFill>
      </fill>
    </dxf>
    <dxf>
      <fill>
        <patternFill>
          <bgColor rgb="FFFFC000"/>
        </patternFill>
      </fill>
    </dxf>
    <dxf>
      <fill>
        <patternFill>
          <bgColor rgb="FFFF9999"/>
        </patternFill>
      </fill>
    </dxf>
    <dxf>
      <fill>
        <patternFill>
          <bgColor theme="4" tint="0.79998168889431442"/>
        </patternFill>
      </fill>
    </dxf>
    <dxf>
      <fill>
        <patternFill>
          <bgColor rgb="FFFF0000"/>
        </patternFill>
      </fill>
    </dxf>
    <dxf>
      <fill>
        <patternFill>
          <bgColor theme="7" tint="-0.24994659260841701"/>
        </patternFill>
      </fill>
    </dxf>
    <dxf>
      <fill>
        <patternFill>
          <bgColor rgb="FF66FF66"/>
        </patternFill>
      </fill>
    </dxf>
    <dxf>
      <fill>
        <patternFill>
          <bgColor theme="8"/>
        </patternFill>
      </fill>
    </dxf>
    <dxf>
      <fill>
        <patternFill>
          <bgColor theme="7" tint="0.39994506668294322"/>
        </patternFill>
      </fill>
    </dxf>
    <dxf>
      <fill>
        <patternFill>
          <bgColor rgb="FF66FF66"/>
        </patternFill>
      </fill>
    </dxf>
    <dxf>
      <fill>
        <patternFill>
          <bgColor rgb="FFFF9999"/>
        </patternFill>
      </fill>
    </dxf>
    <dxf>
      <fill>
        <patternFill>
          <bgColor rgb="FFFFC000"/>
        </patternFill>
      </fill>
    </dxf>
    <dxf>
      <fill>
        <patternFill>
          <bgColor theme="0" tint="-0.34998626667073579"/>
        </patternFill>
      </fill>
    </dxf>
    <dxf>
      <fill>
        <patternFill>
          <bgColor theme="7" tint="-0.24994659260841701"/>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rgb="FFFF9999"/>
        </patternFill>
      </fill>
    </dxf>
    <dxf>
      <fill>
        <patternFill>
          <bgColor theme="7" tint="0.39994506668294322"/>
        </patternFill>
      </fill>
    </dxf>
    <dxf>
      <fill>
        <patternFill>
          <bgColor rgb="FFFF0000"/>
        </patternFill>
      </fill>
    </dxf>
    <dxf>
      <fill>
        <patternFill>
          <bgColor rgb="FF66FF66"/>
        </patternFill>
      </fill>
    </dxf>
    <dxf>
      <fill>
        <patternFill>
          <bgColor theme="7" tint="-0.24994659260841701"/>
        </patternFill>
      </fill>
    </dxf>
    <dxf>
      <fill>
        <patternFill>
          <bgColor theme="0" tint="-0.34998626667073579"/>
        </patternFill>
      </fill>
    </dxf>
    <dxf>
      <fill>
        <patternFill>
          <bgColor rgb="FFFFC000"/>
        </patternFill>
      </fill>
    </dxf>
    <dxf>
      <fill>
        <patternFill>
          <bgColor theme="8"/>
        </patternFill>
      </fill>
    </dxf>
    <dxf>
      <fill>
        <patternFill>
          <bgColor theme="4" tint="0.79998168889431442"/>
        </patternFill>
      </fill>
    </dxf>
    <dxf>
      <fill>
        <patternFill>
          <bgColor theme="7" tint="-0.24994659260841701"/>
        </patternFill>
      </fill>
    </dxf>
    <dxf>
      <fill>
        <patternFill>
          <bgColor theme="4" tint="0.79998168889431442"/>
        </patternFill>
      </fill>
    </dxf>
    <dxf>
      <fill>
        <patternFill>
          <bgColor rgb="FFFF0000"/>
        </patternFill>
      </fill>
    </dxf>
    <dxf>
      <fill>
        <patternFill>
          <bgColor theme="0" tint="-0.34998626667073579"/>
        </patternFill>
      </fill>
    </dxf>
    <dxf>
      <fill>
        <patternFill>
          <bgColor rgb="FFFFC000"/>
        </patternFill>
      </fill>
    </dxf>
    <dxf>
      <fill>
        <patternFill>
          <bgColor rgb="FF66FF66"/>
        </patternFill>
      </fill>
    </dxf>
    <dxf>
      <fill>
        <patternFill>
          <bgColor theme="8"/>
        </patternFill>
      </fill>
    </dxf>
    <dxf>
      <fill>
        <patternFill>
          <bgColor theme="7" tint="0.39994506668294322"/>
        </patternFill>
      </fill>
    </dxf>
    <dxf>
      <fill>
        <patternFill>
          <bgColor rgb="FFFF9999"/>
        </patternFill>
      </fill>
    </dxf>
    <dxf>
      <fill>
        <patternFill>
          <bgColor rgb="FFFF9999"/>
        </patternFill>
      </fill>
    </dxf>
    <dxf>
      <fill>
        <patternFill>
          <bgColor rgb="FF66FF66"/>
        </patternFill>
      </fill>
    </dxf>
    <dxf>
      <fill>
        <patternFill>
          <bgColor theme="0" tint="-0.34998626667073579"/>
        </patternFill>
      </fill>
    </dxf>
    <dxf>
      <fill>
        <patternFill>
          <bgColor rgb="FFFF0000"/>
        </patternFill>
      </fill>
    </dxf>
    <dxf>
      <fill>
        <patternFill>
          <bgColor rgb="FFFFC00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rgb="FFFF0000"/>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rgb="FFFF9999"/>
        </patternFill>
      </fill>
    </dxf>
    <dxf>
      <fill>
        <patternFill>
          <bgColor rgb="FF66FF66"/>
        </patternFill>
      </fill>
    </dxf>
    <dxf>
      <fill>
        <patternFill>
          <bgColor theme="7" tint="0.39994506668294322"/>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theme="8"/>
        </patternFill>
      </fill>
    </dxf>
    <dxf>
      <fill>
        <patternFill>
          <bgColor rgb="FFFF9999"/>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theme="7" tint="0.39994506668294322"/>
        </patternFill>
      </fill>
    </dxf>
    <dxf>
      <fill>
        <patternFill>
          <bgColor theme="8"/>
        </patternFill>
      </fill>
    </dxf>
    <dxf>
      <fill>
        <patternFill>
          <bgColor rgb="FFFF9999"/>
        </patternFill>
      </fill>
    </dxf>
    <dxf>
      <fill>
        <patternFill>
          <bgColor rgb="FF66FF66"/>
        </patternFill>
      </fill>
    </dxf>
    <dxf>
      <fill>
        <patternFill>
          <bgColor theme="4" tint="0.79998168889431442"/>
        </patternFill>
      </fill>
    </dxf>
    <dxf>
      <fill>
        <patternFill>
          <bgColor theme="7" tint="-0.24994659260841701"/>
        </patternFill>
      </fill>
    </dxf>
    <dxf>
      <fill>
        <patternFill>
          <bgColor rgb="FFFFC000"/>
        </patternFill>
      </fill>
    </dxf>
    <dxf>
      <fill>
        <patternFill>
          <bgColor theme="0" tint="-0.34998626667073579"/>
        </patternFill>
      </fill>
    </dxf>
    <dxf>
      <fill>
        <patternFill>
          <bgColor rgb="FFFF0000"/>
        </patternFill>
      </fill>
    </dxf>
    <dxf>
      <fill>
        <patternFill>
          <bgColor rgb="FFFFC000"/>
        </patternFill>
      </fill>
    </dxf>
    <dxf>
      <fill>
        <patternFill>
          <bgColor rgb="FFFF9999"/>
        </patternFill>
      </fill>
    </dxf>
    <dxf>
      <fill>
        <patternFill>
          <bgColor rgb="FFFF0000"/>
        </patternFill>
      </fill>
    </dxf>
    <dxf>
      <fill>
        <patternFill>
          <bgColor theme="7" tint="0.39994506668294322"/>
        </patternFill>
      </fill>
    </dxf>
    <dxf>
      <fill>
        <patternFill>
          <bgColor rgb="FF66FF66"/>
        </patternFill>
      </fill>
    </dxf>
    <dxf>
      <fill>
        <patternFill>
          <bgColor theme="8"/>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7" tint="-0.24994659260841701"/>
        </patternFill>
      </fill>
    </dxf>
    <dxf>
      <fill>
        <patternFill>
          <bgColor rgb="FFFF9999"/>
        </patternFill>
      </fill>
    </dxf>
    <dxf>
      <fill>
        <patternFill>
          <bgColor theme="4" tint="0.79998168889431442"/>
        </patternFill>
      </fill>
    </dxf>
    <dxf>
      <fill>
        <patternFill>
          <bgColor theme="8"/>
        </patternFill>
      </fill>
    </dxf>
    <dxf>
      <fill>
        <patternFill>
          <bgColor rgb="FFFF0000"/>
        </patternFill>
      </fill>
    </dxf>
    <dxf>
      <fill>
        <patternFill>
          <bgColor theme="0" tint="-0.34998626667073579"/>
        </patternFill>
      </fill>
    </dxf>
    <dxf>
      <fill>
        <patternFill>
          <bgColor rgb="FFFFC000"/>
        </patternFill>
      </fill>
    </dxf>
    <dxf>
      <fill>
        <patternFill>
          <bgColor theme="7" tint="0.39994506668294322"/>
        </patternFill>
      </fill>
    </dxf>
    <dxf>
      <fill>
        <patternFill>
          <bgColor rgb="FF66FF66"/>
        </patternFill>
      </fill>
    </dxf>
    <dxf>
      <fill>
        <patternFill>
          <bgColor theme="0" tint="-0.34998626667073579"/>
        </patternFill>
      </fill>
    </dxf>
    <dxf>
      <fill>
        <patternFill>
          <bgColor rgb="FFFFC000"/>
        </patternFill>
      </fill>
    </dxf>
    <dxf>
      <fill>
        <patternFill>
          <bgColor rgb="FF66FF66"/>
        </patternFill>
      </fill>
    </dxf>
    <dxf>
      <fill>
        <patternFill>
          <bgColor theme="8"/>
        </patternFill>
      </fill>
    </dxf>
    <dxf>
      <fill>
        <patternFill>
          <bgColor rgb="FFFF0000"/>
        </patternFill>
      </fill>
    </dxf>
    <dxf>
      <fill>
        <patternFill>
          <bgColor rgb="FFFF9999"/>
        </patternFill>
      </fill>
    </dxf>
    <dxf>
      <fill>
        <patternFill>
          <bgColor theme="4" tint="0.79998168889431442"/>
        </patternFill>
      </fill>
    </dxf>
    <dxf>
      <fill>
        <patternFill>
          <bgColor theme="7" tint="-0.24994659260841701"/>
        </patternFill>
      </fill>
    </dxf>
    <dxf>
      <fill>
        <patternFill>
          <bgColor theme="7" tint="0.39994506668294322"/>
        </patternFill>
      </fill>
    </dxf>
    <dxf>
      <fill>
        <patternFill>
          <bgColor theme="4" tint="0.79998168889431442"/>
        </patternFill>
      </fill>
    </dxf>
    <dxf>
      <fill>
        <patternFill>
          <bgColor rgb="FF66FF66"/>
        </patternFill>
      </fill>
    </dxf>
    <dxf>
      <fill>
        <patternFill>
          <bgColor rgb="FFFFC000"/>
        </patternFill>
      </fill>
    </dxf>
    <dxf>
      <fill>
        <patternFill>
          <bgColor theme="0" tint="-0.34998626667073579"/>
        </patternFill>
      </fill>
    </dxf>
    <dxf>
      <fill>
        <patternFill>
          <bgColor rgb="FFFF0000"/>
        </patternFill>
      </fill>
    </dxf>
    <dxf>
      <fill>
        <patternFill>
          <bgColor theme="7" tint="0.39994506668294322"/>
        </patternFill>
      </fill>
    </dxf>
    <dxf>
      <fill>
        <patternFill>
          <bgColor theme="8"/>
        </patternFill>
      </fill>
    </dxf>
    <dxf>
      <fill>
        <patternFill>
          <bgColor rgb="FFFF9999"/>
        </patternFill>
      </fill>
    </dxf>
    <dxf>
      <fill>
        <patternFill>
          <bgColor theme="7" tint="-0.24994659260841701"/>
        </patternFill>
      </fill>
    </dxf>
    <dxf>
      <fill>
        <patternFill>
          <bgColor rgb="FFFFC000"/>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9999"/>
        </patternFill>
      </fill>
    </dxf>
    <dxf>
      <fill>
        <patternFill>
          <bgColor rgb="FF66FF66"/>
        </patternFill>
      </fill>
    </dxf>
    <dxf>
      <fill>
        <patternFill>
          <bgColor theme="7" tint="0.39994506668294322"/>
        </patternFill>
      </fill>
    </dxf>
    <dxf>
      <fill>
        <patternFill>
          <bgColor rgb="FFFF9999"/>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rgb="FF66FF66"/>
        </patternFill>
      </fill>
    </dxf>
    <dxf>
      <fill>
        <patternFill>
          <bgColor rgb="FFFF0000"/>
        </patternFill>
      </fill>
    </dxf>
    <dxf>
      <fill>
        <patternFill>
          <bgColor rgb="FFFF0000"/>
        </patternFill>
      </fill>
    </dxf>
    <dxf>
      <fill>
        <patternFill>
          <bgColor theme="4" tint="0.79998168889431442"/>
        </patternFill>
      </fill>
    </dxf>
    <dxf>
      <fill>
        <patternFill>
          <bgColor theme="7" tint="-0.24994659260841701"/>
        </patternFill>
      </fill>
    </dxf>
    <dxf>
      <fill>
        <patternFill>
          <bgColor theme="7" tint="0.39994506668294322"/>
        </patternFill>
      </fill>
    </dxf>
    <dxf>
      <fill>
        <patternFill>
          <bgColor theme="8"/>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39994506668294322"/>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rgb="FFFF0000"/>
        </patternFill>
      </fill>
    </dxf>
    <dxf>
      <fill>
        <patternFill>
          <bgColor theme="8"/>
        </patternFill>
      </fill>
    </dxf>
    <dxf>
      <fill>
        <patternFill>
          <bgColor rgb="FF66FF66"/>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9999"/>
        </patternFill>
      </fill>
    </dxf>
    <dxf>
      <fill>
        <patternFill>
          <bgColor rgb="FFFF0000"/>
        </patternFill>
      </fill>
    </dxf>
    <dxf>
      <fill>
        <patternFill>
          <bgColor theme="7" tint="0.39994506668294322"/>
        </patternFill>
      </fill>
    </dxf>
    <dxf>
      <fill>
        <patternFill>
          <bgColor rgb="FFFF0000"/>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8"/>
        </patternFill>
      </fill>
    </dxf>
    <dxf>
      <fill>
        <patternFill>
          <bgColor theme="4" tint="0.79998168889431442"/>
        </patternFill>
      </fill>
    </dxf>
    <dxf>
      <fill>
        <patternFill>
          <bgColor theme="7" tint="-0.24994659260841701"/>
        </patternFill>
      </fill>
    </dxf>
    <dxf>
      <fill>
        <patternFill>
          <bgColor rgb="FF00B050"/>
        </patternFill>
      </fill>
    </dxf>
    <dxf>
      <fill>
        <patternFill>
          <bgColor rgb="FFFFC000"/>
        </patternFill>
      </fill>
    </dxf>
    <dxf>
      <fill>
        <patternFill>
          <bgColor rgb="FF66FF66"/>
        </patternFill>
      </fill>
    </dxf>
    <dxf>
      <fill>
        <patternFill>
          <bgColor theme="8"/>
        </patternFill>
      </fill>
    </dxf>
    <dxf>
      <fill>
        <patternFill>
          <bgColor rgb="FFFF9999"/>
        </patternFill>
      </fill>
    </dxf>
    <dxf>
      <fill>
        <patternFill>
          <bgColor theme="7" tint="0.39994506668294322"/>
        </patternFill>
      </fill>
    </dxf>
    <dxf>
      <fill>
        <patternFill>
          <bgColor theme="4" tint="0.79998168889431442"/>
        </patternFill>
      </fill>
    </dxf>
    <dxf>
      <fill>
        <patternFill>
          <bgColor rgb="FFFF0000"/>
        </patternFill>
      </fill>
    </dxf>
    <dxf>
      <fill>
        <patternFill>
          <bgColor theme="0" tint="-0.34998626667073579"/>
        </patternFill>
      </fill>
    </dxf>
    <dxf>
      <fill>
        <patternFill>
          <bgColor theme="7" tint="0.39994506668294322"/>
        </patternFill>
      </fill>
    </dxf>
    <dxf>
      <fill>
        <patternFill>
          <bgColor rgb="FFFF0000"/>
        </patternFill>
      </fill>
    </dxf>
    <dxf>
      <fill>
        <patternFill>
          <bgColor theme="8"/>
        </patternFill>
      </fill>
    </dxf>
    <dxf>
      <fill>
        <patternFill>
          <bgColor rgb="FF00B050"/>
        </patternFill>
      </fill>
    </dxf>
    <dxf>
      <fill>
        <patternFill>
          <bgColor rgb="FF66FF66"/>
        </patternFill>
      </fill>
    </dxf>
    <dxf>
      <fill>
        <patternFill>
          <bgColor rgb="FFFF9999"/>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00B050"/>
        </patternFill>
      </fill>
    </dxf>
    <dxf>
      <fill>
        <patternFill>
          <bgColor theme="4" tint="0.79998168889431442"/>
        </patternFill>
      </fill>
    </dxf>
    <dxf>
      <fill>
        <patternFill>
          <bgColor rgb="FFFF0000"/>
        </patternFill>
      </fill>
    </dxf>
    <dxf>
      <fill>
        <patternFill>
          <bgColor rgb="FFFF9999"/>
        </patternFill>
      </fill>
    </dxf>
    <dxf>
      <fill>
        <patternFill>
          <bgColor rgb="FF66FF66"/>
        </patternFill>
      </fill>
    </dxf>
    <dxf>
      <fill>
        <patternFill>
          <bgColor theme="8"/>
        </patternFill>
      </fill>
    </dxf>
    <dxf>
      <fill>
        <patternFill>
          <bgColor theme="7" tint="0.39994506668294322"/>
        </patternFill>
      </fill>
    </dxf>
    <dxf>
      <fill>
        <patternFill>
          <bgColor rgb="FFFFC000"/>
        </patternFill>
      </fill>
    </dxf>
    <dxf>
      <fill>
        <patternFill>
          <bgColor theme="0" tint="-0.34998626667073579"/>
        </patternFill>
      </fill>
    </dxf>
    <dxf>
      <fill>
        <patternFill>
          <bgColor theme="7" tint="-0.24994659260841701"/>
        </patternFill>
      </fill>
    </dxf>
    <dxf>
      <fill>
        <patternFill>
          <bgColor theme="0" tint="-0.34998626667073579"/>
        </patternFill>
      </fill>
    </dxf>
    <dxf>
      <fill>
        <patternFill>
          <bgColor rgb="FFFF9999"/>
        </patternFill>
      </fill>
    </dxf>
    <dxf>
      <fill>
        <patternFill>
          <bgColor rgb="FF66FF66"/>
        </patternFill>
      </fill>
    </dxf>
    <dxf>
      <fill>
        <patternFill>
          <bgColor rgb="FFFFC000"/>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rgb="FF00B050"/>
        </patternFill>
      </fill>
    </dxf>
    <dxf>
      <fill>
        <patternFill>
          <bgColor theme="4" tint="0.79998168889431442"/>
        </patternFill>
      </fill>
    </dxf>
    <dxf>
      <fill>
        <patternFill>
          <bgColor rgb="FFFF0000"/>
        </patternFill>
      </fill>
    </dxf>
    <dxf>
      <fill>
        <patternFill>
          <bgColor theme="7" tint="0.39994506668294322"/>
        </patternFill>
      </fill>
    </dxf>
    <dxf>
      <fill>
        <patternFill>
          <bgColor rgb="FFFF9999"/>
        </patternFill>
      </fill>
    </dxf>
    <dxf>
      <fill>
        <patternFill>
          <bgColor theme="8"/>
        </patternFill>
      </fill>
    </dxf>
    <dxf>
      <fill>
        <patternFill>
          <bgColor theme="8"/>
        </patternFill>
      </fill>
    </dxf>
    <dxf>
      <fill>
        <patternFill>
          <bgColor rgb="FFFF0000"/>
        </patternFill>
      </fill>
    </dxf>
    <dxf>
      <fill>
        <patternFill>
          <bgColor theme="4" tint="0.79998168889431442"/>
        </patternFill>
      </fill>
    </dxf>
    <dxf>
      <fill>
        <patternFill>
          <bgColor theme="0" tint="-0.34998626667073579"/>
        </patternFill>
      </fill>
    </dxf>
    <dxf>
      <fill>
        <patternFill>
          <bgColor rgb="FFFF9999"/>
        </patternFill>
      </fill>
    </dxf>
    <dxf>
      <fill>
        <patternFill>
          <bgColor rgb="FF66FF66"/>
        </patternFill>
      </fill>
    </dxf>
    <dxf>
      <fill>
        <patternFill>
          <bgColor rgb="FF00B050"/>
        </patternFill>
      </fill>
    </dxf>
    <dxf>
      <fill>
        <patternFill>
          <bgColor theme="7" tint="0.39994506668294322"/>
        </patternFill>
      </fill>
    </dxf>
    <dxf>
      <fill>
        <patternFill>
          <bgColor rgb="FFFFC000"/>
        </patternFill>
      </fill>
    </dxf>
    <dxf>
      <fill>
        <patternFill>
          <bgColor theme="7" tint="-0.24994659260841701"/>
        </patternFill>
      </fill>
    </dxf>
    <dxf>
      <fill>
        <patternFill>
          <bgColor theme="8"/>
        </patternFill>
      </fill>
    </dxf>
    <dxf>
      <fill>
        <patternFill>
          <bgColor rgb="FF66FF66"/>
        </patternFill>
      </fill>
    </dxf>
    <dxf>
      <fill>
        <patternFill>
          <bgColor rgb="FFFF9999"/>
        </patternFill>
      </fill>
    </dxf>
    <dxf>
      <fill>
        <patternFill>
          <bgColor theme="7" tint="0.39994506668294322"/>
        </patternFill>
      </fill>
    </dxf>
    <dxf>
      <fill>
        <patternFill>
          <bgColor rgb="FFFF0000"/>
        </patternFill>
      </fill>
    </dxf>
    <dxf>
      <fill>
        <patternFill>
          <bgColor theme="0" tint="-0.34998626667073579"/>
        </patternFill>
      </fill>
    </dxf>
    <dxf>
      <fill>
        <patternFill>
          <bgColor theme="4" tint="0.79998168889431442"/>
        </patternFill>
      </fill>
    </dxf>
    <dxf>
      <fill>
        <patternFill>
          <bgColor theme="7" tint="-0.24994659260841701"/>
        </patternFill>
      </fill>
    </dxf>
    <dxf>
      <fill>
        <patternFill>
          <bgColor rgb="FFFFC000"/>
        </patternFill>
      </fill>
    </dxf>
    <dxf>
      <fill>
        <patternFill>
          <bgColor rgb="FFFF9999"/>
        </patternFill>
      </fill>
    </dxf>
    <dxf>
      <fill>
        <patternFill>
          <bgColor theme="0" tint="-0.34998626667073579"/>
        </patternFill>
      </fill>
    </dxf>
    <dxf>
      <fill>
        <patternFill>
          <bgColor theme="7" tint="-0.24994659260841701"/>
        </patternFill>
      </fill>
    </dxf>
    <dxf>
      <fill>
        <patternFill>
          <bgColor theme="7" tint="0.39994506668294322"/>
        </patternFill>
      </fill>
    </dxf>
    <dxf>
      <fill>
        <patternFill>
          <bgColor rgb="FF00B050"/>
        </patternFill>
      </fill>
    </dxf>
    <dxf>
      <fill>
        <patternFill>
          <bgColor rgb="FFFFC000"/>
        </patternFill>
      </fill>
    </dxf>
    <dxf>
      <fill>
        <patternFill>
          <bgColor rgb="FF66FF66"/>
        </patternFill>
      </fill>
    </dxf>
    <dxf>
      <fill>
        <patternFill>
          <bgColor theme="4" tint="0.79998168889431442"/>
        </patternFill>
      </fill>
    </dxf>
    <dxf>
      <fill>
        <patternFill>
          <bgColor theme="8"/>
        </patternFill>
      </fill>
    </dxf>
    <dxf>
      <fill>
        <patternFill>
          <bgColor rgb="FFFF0000"/>
        </patternFill>
      </fill>
    </dxf>
    <dxf>
      <fill>
        <patternFill>
          <bgColor theme="8"/>
        </patternFill>
      </fill>
    </dxf>
    <dxf>
      <fill>
        <patternFill>
          <bgColor rgb="FF00B050"/>
        </patternFill>
      </fill>
    </dxf>
    <dxf>
      <fill>
        <patternFill>
          <bgColor theme="0" tint="-0.34998626667073579"/>
        </patternFill>
      </fill>
    </dxf>
    <dxf>
      <fill>
        <patternFill>
          <bgColor rgb="FFFFC000"/>
        </patternFill>
      </fill>
    </dxf>
    <dxf>
      <fill>
        <patternFill>
          <bgColor theme="7" tint="-0.24994659260841701"/>
        </patternFill>
      </fill>
    </dxf>
    <dxf>
      <fill>
        <patternFill>
          <bgColor rgb="FFFF0000"/>
        </patternFill>
      </fill>
    </dxf>
    <dxf>
      <fill>
        <patternFill>
          <bgColor rgb="FFFF9999"/>
        </patternFill>
      </fill>
    </dxf>
    <dxf>
      <fill>
        <patternFill>
          <bgColor rgb="FF66FF66"/>
        </patternFill>
      </fill>
    </dxf>
    <dxf>
      <fill>
        <patternFill>
          <bgColor theme="4" tint="0.79998168889431442"/>
        </patternFill>
      </fill>
    </dxf>
    <dxf>
      <fill>
        <patternFill>
          <bgColor theme="7" tint="0.39994506668294322"/>
        </patternFill>
      </fill>
    </dxf>
    <dxf>
      <fill>
        <patternFill>
          <bgColor rgb="FFFFC000"/>
        </patternFill>
      </fill>
    </dxf>
    <dxf>
      <fill>
        <patternFill>
          <bgColor theme="0" tint="-0.34998626667073579"/>
        </patternFill>
      </fill>
    </dxf>
    <dxf>
      <fill>
        <patternFill>
          <bgColor theme="7" tint="0.39994506668294322"/>
        </patternFill>
      </fill>
    </dxf>
    <dxf>
      <fill>
        <patternFill>
          <bgColor rgb="FFFF0000"/>
        </patternFill>
      </fill>
    </dxf>
    <dxf>
      <fill>
        <patternFill>
          <bgColor rgb="FF00B050"/>
        </patternFill>
      </fill>
    </dxf>
    <dxf>
      <fill>
        <patternFill>
          <bgColor theme="7" tint="-0.24994659260841701"/>
        </patternFill>
      </fill>
    </dxf>
    <dxf>
      <fill>
        <patternFill>
          <bgColor rgb="FFFF9999"/>
        </patternFill>
      </fill>
    </dxf>
    <dxf>
      <fill>
        <patternFill>
          <bgColor theme="4" tint="0.79998168889431442"/>
        </patternFill>
      </fill>
    </dxf>
    <dxf>
      <fill>
        <patternFill>
          <bgColor rgb="FF66FF66"/>
        </patternFill>
      </fill>
    </dxf>
    <dxf>
      <fill>
        <patternFill>
          <bgColor theme="8"/>
        </patternFill>
      </fill>
    </dxf>
    <dxf>
      <fill>
        <patternFill>
          <bgColor theme="4" tint="0.79998168889431442"/>
        </patternFill>
      </fill>
    </dxf>
    <dxf>
      <fill>
        <patternFill>
          <bgColor theme="7" tint="0.39994506668294322"/>
        </patternFill>
      </fill>
    </dxf>
    <dxf>
      <fill>
        <patternFill>
          <bgColor theme="7" tint="-0.24994659260841701"/>
        </patternFill>
      </fill>
    </dxf>
    <dxf>
      <fill>
        <patternFill>
          <bgColor rgb="FF00B050"/>
        </patternFill>
      </fill>
    </dxf>
    <dxf>
      <fill>
        <patternFill>
          <bgColor theme="8"/>
        </patternFill>
      </fill>
    </dxf>
    <dxf>
      <fill>
        <patternFill>
          <bgColor rgb="FF66FF66"/>
        </patternFill>
      </fill>
    </dxf>
    <dxf>
      <fill>
        <patternFill>
          <bgColor rgb="FFFF0000"/>
        </patternFill>
      </fill>
    </dxf>
    <dxf>
      <fill>
        <patternFill>
          <bgColor rgb="FFFFC000"/>
        </patternFill>
      </fill>
    </dxf>
    <dxf>
      <fill>
        <patternFill>
          <bgColor rgb="FFFF9999"/>
        </patternFill>
      </fill>
    </dxf>
    <dxf>
      <fill>
        <patternFill>
          <bgColor theme="0" tint="-0.34998626667073579"/>
        </patternFill>
      </fill>
    </dxf>
    <dxf>
      <fill>
        <patternFill>
          <bgColor rgb="FF66FF66"/>
        </patternFill>
      </fill>
    </dxf>
    <dxf>
      <fill>
        <patternFill>
          <bgColor theme="7" tint="0.39994506668294322"/>
        </patternFill>
      </fill>
    </dxf>
    <dxf>
      <fill>
        <patternFill>
          <bgColor theme="8"/>
        </patternFill>
      </fill>
    </dxf>
    <dxf>
      <fill>
        <patternFill>
          <bgColor theme="4" tint="0.79998168889431442"/>
        </patternFill>
      </fill>
    </dxf>
    <dxf>
      <fill>
        <patternFill>
          <bgColor rgb="FFFF9999"/>
        </patternFill>
      </fill>
    </dxf>
    <dxf>
      <fill>
        <patternFill>
          <bgColor rgb="FF00B050"/>
        </patternFill>
      </fill>
    </dxf>
    <dxf>
      <fill>
        <patternFill>
          <bgColor rgb="FFFFC000"/>
        </patternFill>
      </fill>
    </dxf>
    <dxf>
      <fill>
        <patternFill>
          <bgColor rgb="FFFF0000"/>
        </patternFill>
      </fill>
    </dxf>
    <dxf>
      <fill>
        <patternFill>
          <bgColor theme="7" tint="-0.24994659260841701"/>
        </patternFill>
      </fill>
    </dxf>
    <dxf>
      <fill>
        <patternFill>
          <bgColor theme="0" tint="-0.34998626667073579"/>
        </patternFill>
      </fill>
    </dxf>
    <dxf>
      <fill>
        <patternFill>
          <bgColor rgb="FFFF9999"/>
        </patternFill>
      </fill>
    </dxf>
    <dxf>
      <fill>
        <patternFill>
          <bgColor theme="7" tint="-0.24994659260841701"/>
        </patternFill>
      </fill>
    </dxf>
    <dxf>
      <fill>
        <patternFill>
          <bgColor theme="4" tint="0.79998168889431442"/>
        </patternFill>
      </fill>
    </dxf>
    <dxf>
      <fill>
        <patternFill>
          <bgColor rgb="FFFFC000"/>
        </patternFill>
      </fill>
    </dxf>
    <dxf>
      <fill>
        <patternFill>
          <bgColor theme="8"/>
        </patternFill>
      </fill>
    </dxf>
    <dxf>
      <fill>
        <patternFill>
          <bgColor rgb="FFFF0000"/>
        </patternFill>
      </fill>
    </dxf>
    <dxf>
      <fill>
        <patternFill>
          <bgColor rgb="FF00B050"/>
        </patternFill>
      </fill>
    </dxf>
    <dxf>
      <fill>
        <patternFill>
          <bgColor theme="7" tint="0.39994506668294322"/>
        </patternFill>
      </fill>
    </dxf>
    <dxf>
      <fill>
        <patternFill>
          <bgColor rgb="FF66FF66"/>
        </patternFill>
      </fill>
    </dxf>
    <dxf>
      <fill>
        <patternFill>
          <bgColor theme="0" tint="-0.34998626667073579"/>
        </patternFill>
      </fill>
    </dxf>
    <dxf>
      <fill>
        <patternFill>
          <bgColor rgb="FFFF9999"/>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00B050"/>
        </patternFill>
      </fill>
    </dxf>
    <dxf>
      <fill>
        <patternFill>
          <bgColor rgb="FFFF0000"/>
        </patternFill>
      </fill>
    </dxf>
    <dxf>
      <fill>
        <patternFill>
          <bgColor rgb="FF66FF66"/>
        </patternFill>
      </fill>
    </dxf>
    <dxf>
      <fill>
        <patternFill>
          <bgColor theme="8"/>
        </patternFill>
      </fill>
    </dxf>
    <dxf>
      <fill>
        <patternFill>
          <bgColor theme="4" tint="0.79998168889431442"/>
        </patternFill>
      </fill>
    </dxf>
    <dxf>
      <fill>
        <patternFill>
          <bgColor rgb="FFFF0000"/>
        </patternFill>
      </fill>
    </dxf>
    <dxf>
      <fill>
        <patternFill>
          <bgColor rgb="FF00B050"/>
        </patternFill>
      </fill>
    </dxf>
    <dxf>
      <fill>
        <patternFill>
          <bgColor theme="7" tint="-0.24994659260841701"/>
        </patternFill>
      </fill>
    </dxf>
    <dxf>
      <fill>
        <patternFill>
          <bgColor rgb="FFFF9999"/>
        </patternFill>
      </fill>
    </dxf>
    <dxf>
      <fill>
        <patternFill>
          <bgColor rgb="FF66FF66"/>
        </patternFill>
      </fill>
    </dxf>
    <dxf>
      <fill>
        <patternFill>
          <bgColor rgb="FFFFC000"/>
        </patternFill>
      </fill>
    </dxf>
    <dxf>
      <fill>
        <patternFill>
          <bgColor theme="7" tint="0.39994506668294322"/>
        </patternFill>
      </fill>
    </dxf>
    <dxf>
      <fill>
        <patternFill>
          <bgColor theme="0" tint="-0.34998626667073579"/>
        </patternFill>
      </fill>
    </dxf>
    <dxf>
      <fill>
        <patternFill>
          <bgColor rgb="FFFFC000"/>
        </patternFill>
      </fill>
    </dxf>
    <dxf>
      <fill>
        <patternFill>
          <bgColor rgb="FFFF0000"/>
        </patternFill>
      </fill>
    </dxf>
    <dxf>
      <fill>
        <patternFill>
          <bgColor rgb="FFFF9999"/>
        </patternFill>
      </fill>
    </dxf>
    <dxf>
      <fill>
        <patternFill>
          <bgColor theme="8"/>
        </patternFill>
      </fill>
    </dxf>
    <dxf>
      <fill>
        <patternFill>
          <bgColor theme="4" tint="0.79998168889431442"/>
        </patternFill>
      </fill>
    </dxf>
    <dxf>
      <fill>
        <patternFill>
          <bgColor theme="7" tint="0.39994506668294322"/>
        </patternFill>
      </fill>
    </dxf>
    <dxf>
      <fill>
        <patternFill>
          <bgColor theme="0" tint="-0.34998626667073579"/>
        </patternFill>
      </fill>
    </dxf>
    <dxf>
      <fill>
        <patternFill>
          <bgColor theme="7" tint="-0.24994659260841701"/>
        </patternFill>
      </fill>
    </dxf>
    <dxf>
      <fill>
        <patternFill>
          <bgColor rgb="FF66FF66"/>
        </patternFill>
      </fill>
    </dxf>
    <dxf>
      <fill>
        <patternFill>
          <bgColor theme="4" tint="0.79998168889431442"/>
        </patternFill>
      </fill>
    </dxf>
    <dxf>
      <fill>
        <patternFill>
          <bgColor theme="8"/>
        </patternFill>
      </fill>
    </dxf>
    <dxf>
      <fill>
        <patternFill>
          <bgColor rgb="FFFF0000"/>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rgb="FF00B050"/>
        </patternFill>
      </fill>
    </dxf>
    <dxf>
      <fill>
        <patternFill>
          <bgColor theme="7" tint="-0.24994659260841701"/>
        </patternFill>
      </fill>
    </dxf>
    <dxf>
      <fill>
        <patternFill>
          <bgColor theme="7" tint="0.39994506668294322"/>
        </patternFill>
      </fill>
    </dxf>
    <dxf>
      <fill>
        <patternFill>
          <bgColor theme="7" tint="0.39994506668294322"/>
        </patternFill>
      </fill>
    </dxf>
    <dxf>
      <fill>
        <patternFill>
          <bgColor rgb="FF66FF66"/>
        </patternFill>
      </fill>
    </dxf>
    <dxf>
      <fill>
        <patternFill>
          <bgColor rgb="FFFFC000"/>
        </patternFill>
      </fill>
    </dxf>
    <dxf>
      <fill>
        <patternFill>
          <bgColor theme="0" tint="-0.34998626667073579"/>
        </patternFill>
      </fill>
    </dxf>
    <dxf>
      <fill>
        <patternFill>
          <bgColor rgb="FF00B050"/>
        </patternFill>
      </fill>
    </dxf>
    <dxf>
      <fill>
        <patternFill>
          <bgColor theme="7" tint="-0.24994659260841701"/>
        </patternFill>
      </fill>
    </dxf>
    <dxf>
      <fill>
        <patternFill>
          <bgColor rgb="FFFF0000"/>
        </patternFill>
      </fill>
    </dxf>
    <dxf>
      <fill>
        <patternFill>
          <bgColor theme="4" tint="0.79998168889431442"/>
        </patternFill>
      </fill>
    </dxf>
    <dxf>
      <fill>
        <patternFill>
          <bgColor theme="8"/>
        </patternFill>
      </fill>
    </dxf>
    <dxf>
      <fill>
        <patternFill>
          <bgColor rgb="FFFF9999"/>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rgb="FFFF9999"/>
        </patternFill>
      </fill>
    </dxf>
    <dxf>
      <fill>
        <patternFill>
          <bgColor rgb="FF66FF66"/>
        </patternFill>
      </fill>
    </dxf>
    <dxf>
      <fill>
        <patternFill>
          <bgColor theme="0" tint="-0.34998626667073579"/>
        </patternFill>
      </fill>
    </dxf>
    <dxf>
      <fill>
        <patternFill>
          <bgColor rgb="FF00B050"/>
        </patternFill>
      </fill>
    </dxf>
    <dxf>
      <fill>
        <patternFill>
          <bgColor theme="7" tint="-0.24994659260841701"/>
        </patternFill>
      </fill>
    </dxf>
    <dxf>
      <fill>
        <patternFill>
          <bgColor rgb="FFFFC000"/>
        </patternFill>
      </fill>
    </dxf>
    <dxf>
      <fill>
        <patternFill>
          <bgColor rgb="FFFF0000"/>
        </patternFill>
      </fill>
    </dxf>
    <dxf>
      <fill>
        <patternFill>
          <bgColor rgb="FFFFC000"/>
        </patternFill>
      </fill>
    </dxf>
    <dxf>
      <fill>
        <patternFill>
          <bgColor theme="7" tint="0.39994506668294322"/>
        </patternFill>
      </fill>
    </dxf>
    <dxf>
      <fill>
        <patternFill>
          <bgColor theme="8"/>
        </patternFill>
      </fill>
    </dxf>
    <dxf>
      <fill>
        <patternFill>
          <bgColor theme="0" tint="-0.34998626667073579"/>
        </patternFill>
      </fill>
    </dxf>
    <dxf>
      <fill>
        <patternFill>
          <bgColor theme="7" tint="-0.24994659260841701"/>
        </patternFill>
      </fill>
    </dxf>
    <dxf>
      <fill>
        <patternFill>
          <bgColor rgb="FFFF9999"/>
        </patternFill>
      </fill>
    </dxf>
    <dxf>
      <fill>
        <patternFill>
          <bgColor theme="4" tint="0.79998168889431442"/>
        </patternFill>
      </fill>
    </dxf>
    <dxf>
      <fill>
        <patternFill>
          <bgColor rgb="FF66FF66"/>
        </patternFill>
      </fill>
    </dxf>
    <dxf>
      <fill>
        <patternFill>
          <bgColor theme="0" tint="-0.34998626667073579"/>
        </patternFill>
      </fill>
    </dxf>
    <dxf>
      <fill>
        <patternFill>
          <bgColor theme="7" tint="-0.24994659260841701"/>
        </patternFill>
      </fill>
    </dxf>
    <dxf>
      <fill>
        <patternFill>
          <bgColor rgb="FFFF0000"/>
        </patternFill>
      </fill>
    </dxf>
    <dxf>
      <fill>
        <patternFill>
          <bgColor rgb="FFFFC000"/>
        </patternFill>
      </fill>
    </dxf>
    <dxf>
      <fill>
        <patternFill>
          <bgColor theme="7" tint="0.39994506668294322"/>
        </patternFill>
      </fill>
    </dxf>
    <dxf>
      <fill>
        <patternFill>
          <bgColor rgb="FFFF9999"/>
        </patternFill>
      </fill>
    </dxf>
    <dxf>
      <fill>
        <patternFill>
          <bgColor rgb="FF00B050"/>
        </patternFill>
      </fill>
    </dxf>
    <dxf>
      <fill>
        <patternFill>
          <bgColor rgb="FF66FF66"/>
        </patternFill>
      </fill>
    </dxf>
    <dxf>
      <fill>
        <patternFill>
          <bgColor theme="4" tint="0.79998168889431442"/>
        </patternFill>
      </fill>
    </dxf>
    <dxf>
      <fill>
        <patternFill>
          <bgColor theme="8"/>
        </patternFill>
      </fill>
    </dxf>
    <dxf>
      <fill>
        <patternFill>
          <bgColor rgb="FFFFC000"/>
        </patternFill>
      </fill>
    </dxf>
    <dxf>
      <fill>
        <patternFill>
          <bgColor rgb="FF66FF66"/>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rgb="FF00B050"/>
        </patternFill>
      </fill>
    </dxf>
    <dxf>
      <fill>
        <patternFill>
          <bgColor rgb="FFFF9999"/>
        </patternFill>
      </fill>
    </dxf>
    <dxf>
      <fill>
        <patternFill>
          <bgColor rgb="FFFFC000"/>
        </patternFill>
      </fill>
    </dxf>
    <dxf>
      <fill>
        <patternFill>
          <bgColor rgb="FF00B050"/>
        </patternFill>
      </fill>
    </dxf>
    <dxf>
      <fill>
        <patternFill>
          <bgColor theme="0" tint="-0.34998626667073579"/>
        </patternFill>
      </fill>
    </dxf>
    <dxf>
      <fill>
        <patternFill>
          <bgColor rgb="FFFF0000"/>
        </patternFill>
      </fill>
    </dxf>
    <dxf>
      <fill>
        <patternFill>
          <bgColor rgb="FF66FF66"/>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rgb="FFFF9999"/>
        </patternFill>
      </fill>
    </dxf>
    <dxf>
      <fill>
        <patternFill>
          <bgColor theme="8"/>
        </patternFill>
      </fill>
    </dxf>
    <dxf>
      <fill>
        <patternFill>
          <bgColor rgb="FFFF0000"/>
        </patternFill>
      </fill>
    </dxf>
    <dxf>
      <fill>
        <patternFill>
          <bgColor theme="7" tint="0.39994506668294322"/>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4" tint="0.79998168889431442"/>
        </patternFill>
      </fill>
    </dxf>
    <dxf>
      <fill>
        <patternFill>
          <bgColor theme="7" tint="-0.24994659260841701"/>
        </patternFill>
      </fill>
    </dxf>
    <dxf>
      <fill>
        <patternFill>
          <bgColor theme="8"/>
        </patternFill>
      </fill>
    </dxf>
    <dxf>
      <fill>
        <patternFill>
          <bgColor theme="7" tint="0.39994506668294322"/>
        </patternFill>
      </fill>
    </dxf>
    <dxf>
      <fill>
        <patternFill>
          <bgColor rgb="FFFF0000"/>
        </patternFill>
      </fill>
    </dxf>
    <dxf>
      <fill>
        <patternFill>
          <bgColor theme="7" tint="-0.24994659260841701"/>
        </patternFill>
      </fill>
    </dxf>
    <dxf>
      <fill>
        <patternFill>
          <bgColor rgb="FF00B050"/>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4" tint="0.79998168889431442"/>
        </patternFill>
      </fill>
    </dxf>
    <dxf>
      <fill>
        <patternFill>
          <bgColor theme="0" tint="-0.34998626667073579"/>
        </patternFill>
      </fill>
    </dxf>
    <dxf>
      <fill>
        <patternFill>
          <bgColor rgb="FFFFC000"/>
        </patternFill>
      </fill>
    </dxf>
    <dxf>
      <fill>
        <patternFill>
          <bgColor theme="4" tint="0.79998168889431442"/>
        </patternFill>
      </fill>
    </dxf>
    <dxf>
      <fill>
        <patternFill>
          <bgColor rgb="FF66FF66"/>
        </patternFill>
      </fill>
    </dxf>
    <dxf>
      <fill>
        <patternFill>
          <bgColor theme="8"/>
        </patternFill>
      </fill>
    </dxf>
    <dxf>
      <fill>
        <patternFill>
          <bgColor theme="7" tint="0.39994506668294322"/>
        </patternFill>
      </fill>
    </dxf>
    <dxf>
      <fill>
        <patternFill>
          <bgColor rgb="FFFF0000"/>
        </patternFill>
      </fill>
    </dxf>
    <dxf>
      <fill>
        <patternFill>
          <bgColor rgb="FFFF9999"/>
        </patternFill>
      </fill>
    </dxf>
    <dxf>
      <fill>
        <patternFill>
          <bgColor rgb="FF00B050"/>
        </patternFill>
      </fill>
    </dxf>
    <dxf>
      <fill>
        <patternFill>
          <bgColor theme="7" tint="-0.24994659260841701"/>
        </patternFill>
      </fill>
    </dxf>
    <dxf>
      <fill>
        <patternFill>
          <bgColor theme="8"/>
        </patternFill>
      </fill>
    </dxf>
    <dxf>
      <fill>
        <patternFill>
          <bgColor theme="4" tint="0.79998168889431442"/>
        </patternFill>
      </fill>
    </dxf>
    <dxf>
      <fill>
        <patternFill>
          <bgColor rgb="FFFFC000"/>
        </patternFill>
      </fill>
    </dxf>
    <dxf>
      <fill>
        <patternFill>
          <bgColor rgb="FF00B050"/>
        </patternFill>
      </fill>
    </dxf>
    <dxf>
      <fill>
        <patternFill>
          <bgColor theme="7" tint="-0.24994659260841701"/>
        </patternFill>
      </fill>
    </dxf>
    <dxf>
      <fill>
        <patternFill>
          <bgColor theme="0" tint="-0.34998626667073579"/>
        </patternFill>
      </fill>
    </dxf>
    <dxf>
      <fill>
        <patternFill>
          <bgColor rgb="FFFF0000"/>
        </patternFill>
      </fill>
    </dxf>
    <dxf>
      <fill>
        <patternFill>
          <bgColor rgb="FFFF9999"/>
        </patternFill>
      </fill>
    </dxf>
    <dxf>
      <fill>
        <patternFill>
          <bgColor rgb="FF66FF66"/>
        </patternFill>
      </fill>
    </dxf>
    <dxf>
      <fill>
        <patternFill>
          <bgColor theme="7" tint="0.39994506668294322"/>
        </patternFill>
      </fill>
    </dxf>
    <dxf>
      <fill>
        <patternFill>
          <bgColor rgb="FF00B050"/>
        </patternFill>
      </fill>
    </dxf>
    <dxf>
      <fill>
        <patternFill>
          <bgColor rgb="FFFF0000"/>
        </patternFill>
      </fill>
    </dxf>
    <dxf>
      <fill>
        <patternFill>
          <bgColor theme="7" tint="0.39994506668294322"/>
        </patternFill>
      </fill>
    </dxf>
    <dxf>
      <fill>
        <patternFill>
          <bgColor theme="0" tint="-0.34998626667073579"/>
        </patternFill>
      </fill>
    </dxf>
    <dxf>
      <fill>
        <patternFill>
          <bgColor rgb="FFFFC000"/>
        </patternFill>
      </fill>
    </dxf>
    <dxf>
      <fill>
        <patternFill>
          <bgColor theme="7" tint="-0.24994659260841701"/>
        </patternFill>
      </fill>
    </dxf>
    <dxf>
      <fill>
        <patternFill>
          <bgColor theme="4" tint="0.79998168889431442"/>
        </patternFill>
      </fill>
    </dxf>
    <dxf>
      <fill>
        <patternFill>
          <bgColor rgb="FF66FF66"/>
        </patternFill>
      </fill>
    </dxf>
    <dxf>
      <fill>
        <patternFill>
          <bgColor theme="8"/>
        </patternFill>
      </fill>
    </dxf>
    <dxf>
      <fill>
        <patternFill>
          <bgColor rgb="FFFF9999"/>
        </patternFill>
      </fill>
    </dxf>
    <dxf>
      <fill>
        <patternFill>
          <bgColor theme="7" tint="0.39994506668294322"/>
        </patternFill>
      </fill>
    </dxf>
    <dxf>
      <fill>
        <patternFill>
          <bgColor rgb="FF00B050"/>
        </patternFill>
      </fill>
    </dxf>
    <dxf>
      <fill>
        <patternFill>
          <bgColor rgb="FFFF0000"/>
        </patternFill>
      </fill>
    </dxf>
    <dxf>
      <fill>
        <patternFill>
          <bgColor rgb="FFFF9999"/>
        </patternFill>
      </fill>
    </dxf>
    <dxf>
      <fill>
        <patternFill>
          <bgColor rgb="FF66FF66"/>
        </patternFill>
      </fill>
    </dxf>
    <dxf>
      <fill>
        <patternFill>
          <bgColor theme="8"/>
        </patternFill>
      </fill>
    </dxf>
    <dxf>
      <fill>
        <patternFill>
          <bgColor theme="4" tint="0.79998168889431442"/>
        </patternFill>
      </fill>
    </dxf>
    <dxf>
      <fill>
        <patternFill>
          <bgColor rgb="FFFFC000"/>
        </patternFill>
      </fill>
    </dxf>
    <dxf>
      <fill>
        <patternFill>
          <bgColor theme="0" tint="-0.34998626667073579"/>
        </patternFill>
      </fill>
    </dxf>
    <dxf>
      <fill>
        <patternFill>
          <bgColor theme="7" tint="-0.24994659260841701"/>
        </patternFill>
      </fill>
    </dxf>
    <dxf>
      <fill>
        <patternFill>
          <bgColor rgb="FF66FF66"/>
        </patternFill>
      </fill>
    </dxf>
    <dxf>
      <fill>
        <patternFill>
          <bgColor theme="8"/>
        </patternFill>
      </fill>
    </dxf>
    <dxf>
      <fill>
        <patternFill>
          <bgColor rgb="FFFF9999"/>
        </patternFill>
      </fill>
    </dxf>
    <dxf>
      <fill>
        <patternFill>
          <bgColor theme="4" tint="0.79998168889431442"/>
        </patternFill>
      </fill>
    </dxf>
    <dxf>
      <fill>
        <patternFill>
          <bgColor theme="7" tint="-0.24994659260841701"/>
        </patternFill>
      </fill>
    </dxf>
    <dxf>
      <fill>
        <patternFill>
          <bgColor theme="7" tint="0.39994506668294322"/>
        </patternFill>
      </fill>
    </dxf>
    <dxf>
      <fill>
        <patternFill>
          <bgColor theme="0" tint="-0.34998626667073579"/>
        </patternFill>
      </fill>
    </dxf>
    <dxf>
      <fill>
        <patternFill>
          <bgColor rgb="FFFFC000"/>
        </patternFill>
      </fill>
    </dxf>
    <dxf>
      <fill>
        <patternFill>
          <bgColor rgb="FFFF0000"/>
        </patternFill>
      </fill>
    </dxf>
    <dxf>
      <fill>
        <patternFill>
          <bgColor rgb="FF00B050"/>
        </patternFill>
      </fill>
    </dxf>
    <dxf>
      <fill>
        <patternFill>
          <bgColor rgb="FFFF9999"/>
        </patternFill>
      </fill>
    </dxf>
    <dxf>
      <fill>
        <patternFill>
          <bgColor rgb="FF66FF66"/>
        </patternFill>
      </fill>
    </dxf>
    <dxf>
      <fill>
        <patternFill>
          <bgColor rgb="FFFFC000"/>
        </patternFill>
      </fill>
    </dxf>
    <dxf>
      <fill>
        <patternFill>
          <bgColor rgb="FFFF0000"/>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rgb="FFFF0000"/>
        </patternFill>
      </fill>
    </dxf>
    <dxf>
      <fill>
        <patternFill>
          <bgColor theme="0" tint="-0.34998626667073579"/>
        </patternFill>
      </fill>
    </dxf>
    <dxf>
      <fill>
        <patternFill>
          <bgColor rgb="FFFFC000"/>
        </patternFill>
      </fill>
    </dxf>
    <dxf>
      <fill>
        <patternFill>
          <bgColor rgb="FF66FF66"/>
        </patternFill>
      </fill>
    </dxf>
    <dxf>
      <fill>
        <patternFill>
          <bgColor rgb="FF00B050"/>
        </patternFill>
      </fill>
    </dxf>
    <dxf>
      <fill>
        <patternFill>
          <bgColor rgb="FFFF9999"/>
        </patternFill>
      </fill>
    </dxf>
    <dxf>
      <fill>
        <patternFill>
          <bgColor theme="8"/>
        </patternFill>
      </fill>
    </dxf>
    <dxf>
      <fill>
        <patternFill>
          <bgColor theme="7" tint="0.39994506668294322"/>
        </patternFill>
      </fill>
    </dxf>
    <dxf>
      <fill>
        <patternFill>
          <bgColor rgb="FF00B050"/>
        </patternFill>
      </fill>
    </dxf>
    <dxf>
      <fill>
        <patternFill>
          <bgColor rgb="FFFFC000"/>
        </patternFill>
      </fill>
    </dxf>
    <dxf>
      <fill>
        <patternFill>
          <bgColor rgb="FFFF0000"/>
        </patternFill>
      </fill>
    </dxf>
    <dxf>
      <fill>
        <patternFill>
          <bgColor theme="7" tint="0.39994506668294322"/>
        </patternFill>
      </fill>
    </dxf>
    <dxf>
      <fill>
        <patternFill>
          <bgColor theme="4" tint="0.79998168889431442"/>
        </patternFill>
      </fill>
    </dxf>
    <dxf>
      <fill>
        <patternFill>
          <bgColor theme="7" tint="-0.24994659260841701"/>
        </patternFill>
      </fill>
    </dxf>
    <dxf>
      <fill>
        <patternFill>
          <bgColor theme="8"/>
        </patternFill>
      </fill>
    </dxf>
    <dxf>
      <fill>
        <patternFill>
          <bgColor theme="0" tint="-0.34998626667073579"/>
        </patternFill>
      </fill>
    </dxf>
    <dxf>
      <fill>
        <patternFill>
          <bgColor rgb="FFFF9999"/>
        </patternFill>
      </fill>
    </dxf>
    <dxf>
      <fill>
        <patternFill>
          <bgColor rgb="FF66FF66"/>
        </patternFill>
      </fill>
    </dxf>
    <dxf>
      <fill>
        <patternFill>
          <bgColor rgb="FFFF0000"/>
        </patternFill>
      </fill>
    </dxf>
    <dxf>
      <fill>
        <patternFill>
          <bgColor rgb="FFFF9999"/>
        </patternFill>
      </fill>
    </dxf>
    <dxf>
      <fill>
        <patternFill>
          <bgColor theme="8"/>
        </patternFill>
      </fill>
    </dxf>
    <dxf>
      <fill>
        <patternFill>
          <bgColor rgb="FF00B050"/>
        </patternFill>
      </fill>
    </dxf>
    <dxf>
      <fill>
        <patternFill>
          <bgColor rgb="FFFFC000"/>
        </patternFill>
      </fill>
    </dxf>
    <dxf>
      <fill>
        <patternFill>
          <bgColor theme="7" tint="0.39994506668294322"/>
        </patternFill>
      </fill>
    </dxf>
    <dxf>
      <fill>
        <patternFill>
          <bgColor theme="0" tint="-0.34998626667073579"/>
        </patternFill>
      </fill>
    </dxf>
    <dxf>
      <fill>
        <patternFill>
          <bgColor rgb="FF66FF66"/>
        </patternFill>
      </fill>
    </dxf>
    <dxf>
      <fill>
        <patternFill>
          <bgColor theme="4" tint="0.79998168889431442"/>
        </patternFill>
      </fill>
    </dxf>
    <dxf>
      <fill>
        <patternFill>
          <bgColor theme="7" tint="-0.24994659260841701"/>
        </patternFill>
      </fill>
    </dxf>
    <dxf>
      <fill>
        <patternFill>
          <bgColor theme="8"/>
        </patternFill>
      </fill>
    </dxf>
    <dxf>
      <fill>
        <patternFill>
          <bgColor rgb="FFFFC000"/>
        </patternFill>
      </fill>
    </dxf>
    <dxf>
      <fill>
        <patternFill>
          <bgColor theme="4" tint="0.79998168889431442"/>
        </patternFill>
      </fill>
    </dxf>
    <dxf>
      <fill>
        <patternFill>
          <bgColor rgb="FF66FF66"/>
        </patternFill>
      </fill>
    </dxf>
    <dxf>
      <fill>
        <patternFill>
          <bgColor theme="7" tint="-0.24994659260841701"/>
        </patternFill>
      </fill>
    </dxf>
    <dxf>
      <fill>
        <patternFill>
          <bgColor rgb="FF00B050"/>
        </patternFill>
      </fill>
    </dxf>
    <dxf>
      <fill>
        <patternFill>
          <bgColor theme="7" tint="0.39994506668294322"/>
        </patternFill>
      </fill>
    </dxf>
    <dxf>
      <fill>
        <patternFill>
          <bgColor rgb="FFFF0000"/>
        </patternFill>
      </fill>
    </dxf>
    <dxf>
      <fill>
        <patternFill>
          <bgColor theme="0" tint="-0.34998626667073579"/>
        </patternFill>
      </fill>
    </dxf>
    <dxf>
      <fill>
        <patternFill>
          <bgColor rgb="FFFF9999"/>
        </patternFill>
      </fill>
    </dxf>
    <dxf>
      <fill>
        <patternFill>
          <bgColor theme="7" tint="0.39994506668294322"/>
        </patternFill>
      </fill>
    </dxf>
    <dxf>
      <fill>
        <patternFill>
          <bgColor theme="7" tint="-0.24994659260841701"/>
        </patternFill>
      </fill>
    </dxf>
    <dxf>
      <fill>
        <patternFill>
          <bgColor rgb="FFFF9999"/>
        </patternFill>
      </fill>
    </dxf>
    <dxf>
      <fill>
        <patternFill>
          <bgColor rgb="FFFF0000"/>
        </patternFill>
      </fill>
    </dxf>
    <dxf>
      <fill>
        <patternFill>
          <bgColor theme="8"/>
        </patternFill>
      </fill>
    </dxf>
    <dxf>
      <fill>
        <patternFill>
          <bgColor theme="4" tint="0.79998168889431442"/>
        </patternFill>
      </fill>
    </dxf>
    <dxf>
      <fill>
        <patternFill>
          <bgColor rgb="FF66FF66"/>
        </patternFill>
      </fill>
    </dxf>
    <dxf>
      <fill>
        <patternFill>
          <bgColor rgb="FFFFC000"/>
        </patternFill>
      </fill>
    </dxf>
    <dxf>
      <fill>
        <patternFill>
          <bgColor theme="0" tint="-0.34998626667073579"/>
        </patternFill>
      </fill>
    </dxf>
    <dxf>
      <fill>
        <patternFill>
          <bgColor rgb="FF00B050"/>
        </patternFill>
      </fill>
    </dxf>
    <dxf>
      <fill>
        <patternFill>
          <bgColor rgb="FFFFC000"/>
        </patternFill>
      </fill>
    </dxf>
    <dxf>
      <fill>
        <patternFill>
          <bgColor rgb="FFFF0000"/>
        </patternFill>
      </fill>
    </dxf>
    <dxf>
      <fill>
        <patternFill>
          <bgColor theme="0" tint="-0.34998626667073579"/>
        </patternFill>
      </fill>
    </dxf>
    <dxf>
      <fill>
        <patternFill>
          <bgColor theme="7" tint="0.39994506668294322"/>
        </patternFill>
      </fill>
    </dxf>
    <dxf>
      <fill>
        <patternFill>
          <bgColor theme="8"/>
        </patternFill>
      </fill>
    </dxf>
    <dxf>
      <fill>
        <patternFill>
          <bgColor rgb="FFFF9999"/>
        </patternFill>
      </fill>
    </dxf>
    <dxf>
      <fill>
        <patternFill>
          <bgColor rgb="FF66FF66"/>
        </patternFill>
      </fill>
    </dxf>
    <dxf>
      <fill>
        <patternFill>
          <bgColor theme="4" tint="0.79998168889431442"/>
        </patternFill>
      </fill>
    </dxf>
    <dxf>
      <fill>
        <patternFill>
          <bgColor theme="7" tint="-0.24994659260841701"/>
        </patternFill>
      </fill>
    </dxf>
    <dxf>
      <fill>
        <patternFill>
          <bgColor rgb="FF00B050"/>
        </patternFill>
      </fill>
    </dxf>
    <dxf>
      <fill>
        <patternFill>
          <bgColor rgb="FFFF0000"/>
        </patternFill>
      </fill>
    </dxf>
    <dxf>
      <fill>
        <patternFill>
          <bgColor theme="8"/>
        </patternFill>
      </fill>
    </dxf>
    <dxf>
      <fill>
        <patternFill>
          <bgColor theme="4" tint="0.79998168889431442"/>
        </patternFill>
      </fill>
    </dxf>
    <dxf>
      <fill>
        <patternFill>
          <bgColor theme="7" tint="0.39994506668294322"/>
        </patternFill>
      </fill>
    </dxf>
    <dxf>
      <fill>
        <patternFill>
          <bgColor rgb="FFFFC000"/>
        </patternFill>
      </fill>
    </dxf>
    <dxf>
      <fill>
        <patternFill>
          <bgColor theme="0" tint="-0.34998626667073579"/>
        </patternFill>
      </fill>
    </dxf>
    <dxf>
      <fill>
        <patternFill>
          <bgColor rgb="FFFF9999"/>
        </patternFill>
      </fill>
    </dxf>
    <dxf>
      <fill>
        <patternFill>
          <bgColor theme="7" tint="-0.24994659260841701"/>
        </patternFill>
      </fill>
    </dxf>
    <dxf>
      <fill>
        <patternFill>
          <bgColor rgb="FF66FF66"/>
        </patternFill>
      </fill>
    </dxf>
    <dxf>
      <fill>
        <patternFill>
          <bgColor theme="7" tint="-0.24994659260841701"/>
        </patternFill>
      </fill>
    </dxf>
    <dxf>
      <fill>
        <patternFill>
          <bgColor rgb="FF66FF66"/>
        </patternFill>
      </fill>
    </dxf>
    <dxf>
      <fill>
        <patternFill>
          <bgColor theme="0" tint="-0.34998626667073579"/>
        </patternFill>
      </fill>
    </dxf>
    <dxf>
      <fill>
        <patternFill>
          <bgColor rgb="FF00B050"/>
        </patternFill>
      </fill>
    </dxf>
    <dxf>
      <fill>
        <patternFill>
          <bgColor rgb="FFFF0000"/>
        </patternFill>
      </fill>
    </dxf>
    <dxf>
      <fill>
        <patternFill>
          <bgColor theme="7" tint="0.39994506668294322"/>
        </patternFill>
      </fill>
    </dxf>
    <dxf>
      <fill>
        <patternFill>
          <bgColor rgb="FFFFC000"/>
        </patternFill>
      </fill>
    </dxf>
    <dxf>
      <fill>
        <patternFill>
          <bgColor theme="4" tint="0.79998168889431442"/>
        </patternFill>
      </fill>
    </dxf>
    <dxf>
      <fill>
        <patternFill>
          <bgColor theme="8"/>
        </patternFill>
      </fill>
    </dxf>
    <dxf>
      <fill>
        <patternFill>
          <bgColor rgb="FFFF9999"/>
        </patternFill>
      </fill>
    </dxf>
    <dxf>
      <fill>
        <patternFill>
          <bgColor theme="4" tint="0.79998168889431442"/>
        </patternFill>
      </fill>
    </dxf>
    <dxf>
      <fill>
        <patternFill>
          <bgColor rgb="FFFF0000"/>
        </patternFill>
      </fill>
    </dxf>
    <dxf>
      <fill>
        <patternFill>
          <bgColor rgb="FF66FF66"/>
        </patternFill>
      </fill>
    </dxf>
    <dxf>
      <fill>
        <patternFill>
          <bgColor theme="0" tint="-0.34998626667073579"/>
        </patternFill>
      </fill>
    </dxf>
    <dxf>
      <fill>
        <patternFill>
          <bgColor rgb="FF00B050"/>
        </patternFill>
      </fill>
    </dxf>
    <dxf>
      <fill>
        <patternFill>
          <bgColor rgb="FFFF9999"/>
        </patternFill>
      </fill>
    </dxf>
    <dxf>
      <fill>
        <patternFill>
          <bgColor theme="8"/>
        </patternFill>
      </fill>
    </dxf>
    <dxf>
      <fill>
        <patternFill>
          <bgColor theme="7" tint="0.39994506668294322"/>
        </patternFill>
      </fill>
    </dxf>
    <dxf>
      <fill>
        <patternFill>
          <bgColor rgb="FFFFC000"/>
        </patternFill>
      </fill>
    </dxf>
    <dxf>
      <fill>
        <patternFill>
          <bgColor theme="7" tint="-0.24994659260841701"/>
        </patternFill>
      </fill>
    </dxf>
    <dxf>
      <fill>
        <patternFill>
          <bgColor theme="7" tint="-0.24994659260841701"/>
        </patternFill>
      </fill>
    </dxf>
    <dxf>
      <fill>
        <patternFill>
          <bgColor rgb="FF66FF66"/>
        </patternFill>
      </fill>
    </dxf>
    <dxf>
      <fill>
        <patternFill>
          <bgColor rgb="FFFF0000"/>
        </patternFill>
      </fill>
    </dxf>
    <dxf>
      <fill>
        <patternFill>
          <bgColor rgb="FF00B050"/>
        </patternFill>
      </fill>
    </dxf>
    <dxf>
      <fill>
        <patternFill>
          <bgColor rgb="FFFF9999"/>
        </patternFill>
      </fill>
    </dxf>
    <dxf>
      <fill>
        <patternFill>
          <bgColor theme="7" tint="0.39994506668294322"/>
        </patternFill>
      </fill>
    </dxf>
    <dxf>
      <fill>
        <patternFill>
          <bgColor theme="8"/>
        </patternFill>
      </fill>
    </dxf>
    <dxf>
      <fill>
        <patternFill>
          <bgColor theme="0" tint="-0.34998626667073579"/>
        </patternFill>
      </fill>
    </dxf>
    <dxf>
      <fill>
        <patternFill>
          <bgColor rgb="FFFFC000"/>
        </patternFill>
      </fill>
    </dxf>
    <dxf>
      <fill>
        <patternFill>
          <bgColor theme="4" tint="0.79998168889431442"/>
        </patternFill>
      </fill>
    </dxf>
    <dxf>
      <fill>
        <patternFill>
          <bgColor theme="8"/>
        </patternFill>
      </fill>
    </dxf>
    <dxf>
      <fill>
        <patternFill>
          <bgColor rgb="FF66FF66"/>
        </patternFill>
      </fill>
    </dxf>
    <dxf>
      <fill>
        <patternFill>
          <bgColor theme="0" tint="-0.34998626667073579"/>
        </patternFill>
      </fill>
    </dxf>
    <dxf>
      <fill>
        <patternFill>
          <bgColor rgb="FFFF0000"/>
        </patternFill>
      </fill>
    </dxf>
    <dxf>
      <fill>
        <patternFill>
          <bgColor theme="7" tint="-0.24994659260841701"/>
        </patternFill>
      </fill>
    </dxf>
    <dxf>
      <fill>
        <patternFill>
          <bgColor theme="4" tint="0.79998168889431442"/>
        </patternFill>
      </fill>
    </dxf>
    <dxf>
      <fill>
        <patternFill>
          <bgColor rgb="FFFF9999"/>
        </patternFill>
      </fill>
    </dxf>
    <dxf>
      <fill>
        <patternFill>
          <bgColor rgb="FF00B050"/>
        </patternFill>
      </fill>
    </dxf>
    <dxf>
      <fill>
        <patternFill>
          <bgColor theme="7" tint="0.39994506668294322"/>
        </patternFill>
      </fill>
    </dxf>
    <dxf>
      <fill>
        <patternFill>
          <bgColor rgb="FFFFC000"/>
        </patternFill>
      </fill>
    </dxf>
    <dxf>
      <fill>
        <patternFill>
          <bgColor rgb="FFFFC000"/>
        </patternFill>
      </fill>
    </dxf>
    <dxf>
      <fill>
        <patternFill>
          <bgColor theme="0" tint="-0.34998626667073579"/>
        </patternFill>
      </fill>
    </dxf>
    <dxf>
      <fill>
        <patternFill>
          <bgColor theme="7" tint="-0.24994659260841701"/>
        </patternFill>
      </fill>
    </dxf>
    <dxf>
      <fill>
        <patternFill>
          <bgColor theme="7" tint="0.39994506668294322"/>
        </patternFill>
      </fill>
    </dxf>
    <dxf>
      <fill>
        <patternFill>
          <bgColor rgb="FF66FF66"/>
        </patternFill>
      </fill>
    </dxf>
    <dxf>
      <fill>
        <patternFill>
          <bgColor rgb="FFFF0000"/>
        </patternFill>
      </fill>
    </dxf>
    <dxf>
      <fill>
        <patternFill>
          <bgColor rgb="FF00B050"/>
        </patternFill>
      </fill>
    </dxf>
    <dxf>
      <fill>
        <patternFill>
          <bgColor rgb="FFFF9999"/>
        </patternFill>
      </fill>
    </dxf>
    <dxf>
      <fill>
        <patternFill>
          <bgColor theme="8"/>
        </patternFill>
      </fill>
    </dxf>
    <dxf>
      <fill>
        <patternFill>
          <bgColor theme="4" tint="0.79998168889431442"/>
        </patternFill>
      </fill>
    </dxf>
    <dxf>
      <fill>
        <patternFill>
          <bgColor rgb="FFFF9999"/>
        </patternFill>
      </fill>
    </dxf>
    <dxf>
      <fill>
        <patternFill>
          <bgColor theme="0" tint="-0.34998626667073579"/>
        </patternFill>
      </fill>
    </dxf>
    <dxf>
      <fill>
        <patternFill>
          <bgColor rgb="FF00B050"/>
        </patternFill>
      </fill>
    </dxf>
    <dxf>
      <fill>
        <patternFill>
          <bgColor theme="4" tint="0.79998168889431442"/>
        </patternFill>
      </fill>
    </dxf>
    <dxf>
      <fill>
        <patternFill>
          <bgColor theme="7" tint="0.39994506668294322"/>
        </patternFill>
      </fill>
    </dxf>
    <dxf>
      <fill>
        <patternFill>
          <bgColor theme="8"/>
        </patternFill>
      </fill>
    </dxf>
    <dxf>
      <fill>
        <patternFill>
          <bgColor rgb="FFFFC000"/>
        </patternFill>
      </fill>
    </dxf>
    <dxf>
      <fill>
        <patternFill>
          <bgColor rgb="FFFF0000"/>
        </patternFill>
      </fill>
    </dxf>
    <dxf>
      <fill>
        <patternFill>
          <bgColor rgb="FF66FF66"/>
        </patternFill>
      </fill>
    </dxf>
    <dxf>
      <fill>
        <patternFill>
          <bgColor theme="7" tint="-0.24994659260841701"/>
        </patternFill>
      </fill>
    </dxf>
    <dxf>
      <fill>
        <patternFill>
          <bgColor rgb="FFFF0000"/>
        </patternFill>
      </fill>
    </dxf>
    <dxf>
      <fill>
        <patternFill>
          <bgColor theme="0" tint="-0.34998626667073579"/>
        </patternFill>
      </fill>
    </dxf>
    <dxf>
      <fill>
        <patternFill>
          <bgColor rgb="FF66FF66"/>
        </patternFill>
      </fill>
    </dxf>
    <dxf>
      <fill>
        <patternFill>
          <bgColor theme="7" tint="-0.24994659260841701"/>
        </patternFill>
      </fill>
    </dxf>
    <dxf>
      <fill>
        <patternFill>
          <bgColor theme="4" tint="0.79998168889431442"/>
        </patternFill>
      </fill>
    </dxf>
    <dxf>
      <fill>
        <patternFill>
          <bgColor rgb="FFFF9999"/>
        </patternFill>
      </fill>
    </dxf>
    <dxf>
      <fill>
        <patternFill>
          <bgColor theme="8"/>
        </patternFill>
      </fill>
    </dxf>
    <dxf>
      <fill>
        <patternFill>
          <bgColor theme="7" tint="0.39994506668294322"/>
        </patternFill>
      </fill>
    </dxf>
    <dxf>
      <fill>
        <patternFill>
          <bgColor rgb="FFFFC000"/>
        </patternFill>
      </fill>
    </dxf>
    <dxf>
      <fill>
        <patternFill>
          <bgColor rgb="FF00B050"/>
        </patternFill>
      </fill>
    </dxf>
    <dxf>
      <fill>
        <patternFill>
          <bgColor rgb="FFFF0000"/>
        </patternFill>
      </fill>
    </dxf>
    <dxf>
      <fill>
        <patternFill>
          <bgColor theme="7" tint="0.39994506668294322"/>
        </patternFill>
      </fill>
    </dxf>
    <dxf>
      <fill>
        <patternFill>
          <bgColor rgb="FF66FF66"/>
        </patternFill>
      </fill>
    </dxf>
    <dxf>
      <fill>
        <patternFill>
          <bgColor theme="4" tint="0.79998168889431442"/>
        </patternFill>
      </fill>
    </dxf>
    <dxf>
      <fill>
        <patternFill>
          <bgColor theme="7" tint="-0.24994659260841701"/>
        </patternFill>
      </fill>
    </dxf>
    <dxf>
      <fill>
        <patternFill>
          <bgColor rgb="FF00B050"/>
        </patternFill>
      </fill>
    </dxf>
    <dxf>
      <fill>
        <patternFill>
          <bgColor rgb="FFFFC000"/>
        </patternFill>
      </fill>
    </dxf>
    <dxf>
      <fill>
        <patternFill>
          <bgColor theme="8"/>
        </patternFill>
      </fill>
    </dxf>
    <dxf>
      <fill>
        <patternFill>
          <bgColor theme="0" tint="-0.34998626667073579"/>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rgb="FFFF9999"/>
        </patternFill>
      </fill>
    </dxf>
    <dxf>
      <fill>
        <patternFill>
          <bgColor theme="7" tint="0.39994506668294322"/>
        </patternFill>
      </fill>
    </dxf>
    <dxf>
      <fill>
        <patternFill>
          <bgColor theme="7" tint="-0.24994659260841701"/>
        </patternFill>
      </fill>
    </dxf>
    <dxf>
      <fill>
        <patternFill>
          <bgColor theme="8"/>
        </patternFill>
      </fill>
    </dxf>
    <dxf>
      <fill>
        <patternFill>
          <bgColor theme="4" tint="0.79998168889431442"/>
        </patternFill>
      </fill>
    </dxf>
    <dxf>
      <fill>
        <patternFill>
          <bgColor rgb="FFFF0000"/>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rgb="FFFF0000"/>
        </patternFill>
      </fill>
    </dxf>
    <dxf>
      <fill>
        <patternFill>
          <bgColor rgb="FFFF9999"/>
        </patternFill>
      </fill>
    </dxf>
    <dxf>
      <fill>
        <patternFill>
          <bgColor theme="8"/>
        </patternFill>
      </fill>
    </dxf>
    <dxf>
      <fill>
        <patternFill>
          <bgColor rgb="FF00B050"/>
        </patternFill>
      </fill>
    </dxf>
    <dxf>
      <fill>
        <patternFill>
          <bgColor theme="7" tint="0.39994506668294322"/>
        </patternFill>
      </fill>
    </dxf>
    <dxf>
      <fill>
        <patternFill>
          <bgColor theme="4" tint="0.79998168889431442"/>
        </patternFill>
      </fill>
    </dxf>
    <dxf>
      <fill>
        <patternFill>
          <bgColor rgb="FF66FF66"/>
        </patternFill>
      </fill>
    </dxf>
    <dxf>
      <fill>
        <patternFill>
          <bgColor rgb="FFFFC000"/>
        </patternFill>
      </fill>
    </dxf>
    <dxf>
      <fill>
        <patternFill>
          <bgColor theme="7" tint="0.39994506668294322"/>
        </patternFill>
      </fill>
    </dxf>
    <dxf>
      <fill>
        <patternFill>
          <bgColor theme="4" tint="0.79998168889431442"/>
        </patternFill>
      </fill>
    </dxf>
    <dxf>
      <fill>
        <patternFill>
          <bgColor rgb="FF00B050"/>
        </patternFill>
      </fill>
    </dxf>
    <dxf>
      <fill>
        <patternFill>
          <bgColor rgb="FFFF9999"/>
        </patternFill>
      </fill>
    </dxf>
    <dxf>
      <fill>
        <patternFill>
          <bgColor theme="8"/>
        </patternFill>
      </fill>
    </dxf>
    <dxf>
      <fill>
        <patternFill>
          <bgColor theme="7" tint="-0.24994659260841701"/>
        </patternFill>
      </fill>
    </dxf>
    <dxf>
      <fill>
        <patternFill>
          <bgColor rgb="FFFF0000"/>
        </patternFill>
      </fill>
    </dxf>
    <dxf>
      <fill>
        <patternFill>
          <bgColor theme="0" tint="-0.34998626667073579"/>
        </patternFill>
      </fill>
    </dxf>
    <dxf>
      <fill>
        <patternFill>
          <bgColor rgb="FFFF9999"/>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rgb="FFFF0000"/>
        </patternFill>
      </fill>
    </dxf>
    <dxf>
      <fill>
        <patternFill>
          <bgColor rgb="FF66FF66"/>
        </patternFill>
      </fill>
    </dxf>
    <dxf>
      <fill>
        <patternFill>
          <bgColor theme="7" tint="0.39994506668294322"/>
        </patternFill>
      </fill>
    </dxf>
    <dxf>
      <fill>
        <patternFill>
          <bgColor rgb="FFFF9999"/>
        </patternFill>
      </fill>
    </dxf>
    <dxf>
      <fill>
        <patternFill>
          <bgColor rgb="FF00B050"/>
        </patternFill>
      </fill>
    </dxf>
    <dxf>
      <fill>
        <patternFill>
          <bgColor rgb="FFFF0000"/>
        </patternFill>
      </fill>
    </dxf>
    <dxf>
      <fill>
        <patternFill>
          <bgColor theme="7" tint="0.39994506668294322"/>
        </patternFill>
      </fill>
    </dxf>
    <dxf>
      <fill>
        <patternFill>
          <bgColor rgb="FF66FF66"/>
        </patternFill>
      </fill>
    </dxf>
    <dxf>
      <fill>
        <patternFill>
          <bgColor theme="0" tint="-0.34998626667073579"/>
        </patternFill>
      </fill>
    </dxf>
    <dxf>
      <fill>
        <patternFill>
          <bgColor theme="8"/>
        </patternFill>
      </fill>
    </dxf>
    <dxf>
      <fill>
        <patternFill>
          <bgColor theme="4" tint="0.79998168889431442"/>
        </patternFill>
      </fill>
    </dxf>
    <dxf>
      <fill>
        <patternFill>
          <bgColor rgb="FFFFC000"/>
        </patternFill>
      </fill>
    </dxf>
    <dxf>
      <fill>
        <patternFill>
          <bgColor theme="7" tint="-0.24994659260841701"/>
        </patternFill>
      </fill>
    </dxf>
    <dxf>
      <fill>
        <patternFill>
          <bgColor theme="4" tint="0.79998168889431442"/>
        </patternFill>
      </fill>
    </dxf>
    <dxf>
      <fill>
        <patternFill>
          <bgColor rgb="FFFF0000"/>
        </patternFill>
      </fill>
    </dxf>
    <dxf>
      <fill>
        <patternFill>
          <bgColor rgb="FFFFC000"/>
        </patternFill>
      </fill>
    </dxf>
    <dxf>
      <fill>
        <patternFill>
          <bgColor theme="7" tint="0.39994506668294322"/>
        </patternFill>
      </fill>
    </dxf>
    <dxf>
      <fill>
        <patternFill>
          <bgColor rgb="FFFF9999"/>
        </patternFill>
      </fill>
    </dxf>
    <dxf>
      <fill>
        <patternFill>
          <bgColor theme="7" tint="-0.24994659260841701"/>
        </patternFill>
      </fill>
    </dxf>
    <dxf>
      <fill>
        <patternFill>
          <bgColor rgb="FF00B050"/>
        </patternFill>
      </fill>
    </dxf>
    <dxf>
      <fill>
        <patternFill>
          <bgColor rgb="FF66FF66"/>
        </patternFill>
      </fill>
    </dxf>
    <dxf>
      <fill>
        <patternFill>
          <bgColor theme="8"/>
        </patternFill>
      </fill>
    </dxf>
    <dxf>
      <fill>
        <patternFill>
          <bgColor theme="0" tint="-0.34998626667073579"/>
        </patternFill>
      </fill>
    </dxf>
    <dxf>
      <fill>
        <patternFill>
          <bgColor rgb="FFFF0000"/>
        </patternFill>
      </fill>
    </dxf>
    <dxf>
      <fill>
        <patternFill>
          <bgColor theme="4" tint="0.79998168889431442"/>
        </patternFill>
      </fill>
    </dxf>
    <dxf>
      <fill>
        <patternFill>
          <bgColor theme="7" tint="0.39994506668294322"/>
        </patternFill>
      </fill>
    </dxf>
    <dxf>
      <fill>
        <patternFill>
          <bgColor rgb="FF00B050"/>
        </patternFill>
      </fill>
    </dxf>
    <dxf>
      <fill>
        <patternFill>
          <bgColor rgb="FFFF9999"/>
        </patternFill>
      </fill>
    </dxf>
    <dxf>
      <fill>
        <patternFill>
          <bgColor rgb="FFFFC000"/>
        </patternFill>
      </fill>
    </dxf>
    <dxf>
      <fill>
        <patternFill>
          <bgColor theme="7" tint="-0.24994659260841701"/>
        </patternFill>
      </fill>
    </dxf>
    <dxf>
      <fill>
        <patternFill>
          <bgColor rgb="FF66FF66"/>
        </patternFill>
      </fill>
    </dxf>
    <dxf>
      <fill>
        <patternFill>
          <bgColor theme="0" tint="-0.34998626667073579"/>
        </patternFill>
      </fill>
    </dxf>
    <dxf>
      <fill>
        <patternFill>
          <bgColor theme="8"/>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rgb="FF00B050"/>
        </patternFill>
      </fill>
    </dxf>
    <dxf>
      <fill>
        <patternFill>
          <bgColor theme="7" tint="-0.24994659260841701"/>
        </patternFill>
      </fill>
    </dxf>
    <dxf>
      <fill>
        <patternFill>
          <bgColor theme="0" tint="-0.34998626667073579"/>
        </patternFill>
      </fill>
    </dxf>
    <dxf>
      <fill>
        <patternFill>
          <bgColor rgb="FFFF9999"/>
        </patternFill>
      </fill>
    </dxf>
    <dxf>
      <fill>
        <patternFill>
          <bgColor theme="8"/>
        </patternFill>
      </fill>
    </dxf>
    <dxf>
      <fill>
        <patternFill>
          <bgColor theme="7" tint="0.39994506668294322"/>
        </patternFill>
      </fill>
    </dxf>
    <dxf>
      <fill>
        <patternFill>
          <bgColor rgb="FF66FF66"/>
        </patternFill>
      </fill>
    </dxf>
    <dxf>
      <fill>
        <patternFill>
          <bgColor rgb="FF00B050"/>
        </patternFill>
      </fill>
    </dxf>
    <dxf>
      <fill>
        <patternFill>
          <bgColor rgb="FFFFC000"/>
        </patternFill>
      </fill>
    </dxf>
    <dxf>
      <fill>
        <patternFill>
          <bgColor theme="4" tint="0.79998168889431442"/>
        </patternFill>
      </fill>
    </dxf>
    <dxf>
      <fill>
        <patternFill>
          <bgColor rgb="FFFF0000"/>
        </patternFill>
      </fill>
    </dxf>
    <dxf>
      <fill>
        <patternFill>
          <bgColor theme="4" tint="0.79998168889431442"/>
        </patternFill>
      </fill>
    </dxf>
    <dxf>
      <fill>
        <patternFill>
          <bgColor theme="0" tint="-0.34998626667073579"/>
        </patternFill>
      </fill>
    </dxf>
    <dxf>
      <fill>
        <patternFill>
          <bgColor rgb="FFFF0000"/>
        </patternFill>
      </fill>
    </dxf>
    <dxf>
      <fill>
        <patternFill>
          <bgColor theme="8"/>
        </patternFill>
      </fill>
    </dxf>
    <dxf>
      <fill>
        <patternFill>
          <bgColor theme="7" tint="0.39994506668294322"/>
        </patternFill>
      </fill>
    </dxf>
    <dxf>
      <fill>
        <patternFill>
          <bgColor rgb="FF66FF66"/>
        </patternFill>
      </fill>
    </dxf>
    <dxf>
      <fill>
        <patternFill>
          <bgColor theme="7" tint="-0.24994659260841701"/>
        </patternFill>
      </fill>
    </dxf>
    <dxf>
      <fill>
        <patternFill>
          <bgColor rgb="FFFF9999"/>
        </patternFill>
      </fill>
    </dxf>
    <dxf>
      <fill>
        <patternFill>
          <bgColor rgb="FFFFC000"/>
        </patternFill>
      </fill>
    </dxf>
    <dxf>
      <fill>
        <patternFill>
          <bgColor rgb="FF00B050"/>
        </patternFill>
      </fill>
    </dxf>
    <dxf>
      <fill>
        <patternFill>
          <bgColor rgb="FFFFC000"/>
        </patternFill>
      </fill>
    </dxf>
    <dxf>
      <fill>
        <patternFill>
          <bgColor theme="4" tint="0.79998168889431442"/>
        </patternFill>
      </fill>
    </dxf>
    <dxf>
      <fill>
        <patternFill>
          <bgColor rgb="FFFF9999"/>
        </patternFill>
      </fill>
    </dxf>
    <dxf>
      <fill>
        <patternFill>
          <bgColor theme="0" tint="-0.34998626667073579"/>
        </patternFill>
      </fill>
    </dxf>
    <dxf>
      <fill>
        <patternFill>
          <bgColor rgb="FF00B050"/>
        </patternFill>
      </fill>
    </dxf>
    <dxf>
      <fill>
        <patternFill>
          <bgColor theme="8"/>
        </patternFill>
      </fill>
    </dxf>
    <dxf>
      <fill>
        <patternFill>
          <bgColor theme="7" tint="0.39994506668294322"/>
        </patternFill>
      </fill>
    </dxf>
    <dxf>
      <fill>
        <patternFill>
          <bgColor rgb="FFFF0000"/>
        </patternFill>
      </fill>
    </dxf>
    <dxf>
      <fill>
        <patternFill>
          <bgColor rgb="FF66FF66"/>
        </patternFill>
      </fill>
    </dxf>
    <dxf>
      <fill>
        <patternFill>
          <bgColor theme="7" tint="-0.24994659260841701"/>
        </patternFill>
      </fill>
    </dxf>
    <dxf>
      <fill>
        <patternFill>
          <bgColor rgb="FF00B050"/>
        </patternFill>
      </fill>
    </dxf>
    <dxf>
      <fill>
        <patternFill>
          <bgColor rgb="FFFF9999"/>
        </patternFill>
      </fill>
    </dxf>
    <dxf>
      <fill>
        <patternFill>
          <bgColor rgb="FF66FF66"/>
        </patternFill>
      </fill>
    </dxf>
    <dxf>
      <fill>
        <patternFill>
          <bgColor theme="8"/>
        </patternFill>
      </fill>
    </dxf>
    <dxf>
      <fill>
        <patternFill>
          <bgColor rgb="FFFFC000"/>
        </patternFill>
      </fill>
    </dxf>
    <dxf>
      <fill>
        <patternFill>
          <bgColor theme="0" tint="-0.34998626667073579"/>
        </patternFill>
      </fill>
    </dxf>
    <dxf>
      <fill>
        <patternFill>
          <bgColor theme="7" tint="-0.24994659260841701"/>
        </patternFill>
      </fill>
    </dxf>
    <dxf>
      <fill>
        <patternFill>
          <bgColor rgb="FFFF0000"/>
        </patternFill>
      </fill>
    </dxf>
    <dxf>
      <fill>
        <patternFill>
          <bgColor theme="4" tint="0.79998168889431442"/>
        </patternFill>
      </fill>
    </dxf>
    <dxf>
      <fill>
        <patternFill>
          <bgColor theme="7" tint="0.39994506668294322"/>
        </patternFill>
      </fill>
    </dxf>
    <dxf>
      <fill>
        <patternFill>
          <bgColor theme="7" tint="0.39994506668294322"/>
        </patternFill>
      </fill>
    </dxf>
    <dxf>
      <fill>
        <patternFill>
          <bgColor theme="8"/>
        </patternFill>
      </fill>
    </dxf>
    <dxf>
      <fill>
        <patternFill>
          <bgColor theme="7" tint="-0.24994659260841701"/>
        </patternFill>
      </fill>
    </dxf>
    <dxf>
      <fill>
        <patternFill>
          <bgColor rgb="FFFF0000"/>
        </patternFill>
      </fill>
    </dxf>
    <dxf>
      <fill>
        <patternFill>
          <bgColor theme="4" tint="0.79998168889431442"/>
        </patternFill>
      </fill>
    </dxf>
    <dxf>
      <fill>
        <patternFill>
          <bgColor theme="0" tint="-0.34998626667073579"/>
        </patternFill>
      </fill>
    </dxf>
    <dxf>
      <fill>
        <patternFill>
          <bgColor rgb="FFFFC000"/>
        </patternFill>
      </fill>
    </dxf>
    <dxf>
      <fill>
        <patternFill>
          <bgColor rgb="FFFF9999"/>
        </patternFill>
      </fill>
    </dxf>
    <dxf>
      <fill>
        <patternFill>
          <bgColor rgb="FF66FF66"/>
        </patternFill>
      </fill>
    </dxf>
    <dxf>
      <fill>
        <patternFill>
          <bgColor theme="4" tint="0.79998168889431442"/>
        </patternFill>
      </fill>
    </dxf>
    <dxf>
      <fill>
        <patternFill>
          <bgColor rgb="FF00B050"/>
        </patternFill>
      </fill>
    </dxf>
    <dxf>
      <fill>
        <patternFill>
          <bgColor rgb="FFFF9999"/>
        </patternFill>
      </fill>
    </dxf>
    <dxf>
      <fill>
        <patternFill>
          <bgColor theme="8"/>
        </patternFill>
      </fill>
    </dxf>
    <dxf>
      <fill>
        <patternFill>
          <bgColor theme="7" tint="0.39994506668294322"/>
        </patternFill>
      </fill>
    </dxf>
    <dxf>
      <fill>
        <patternFill>
          <bgColor rgb="FFFF0000"/>
        </patternFill>
      </fill>
    </dxf>
    <dxf>
      <fill>
        <patternFill>
          <bgColor rgb="FF66FF66"/>
        </patternFill>
      </fill>
    </dxf>
    <dxf>
      <fill>
        <patternFill>
          <bgColor rgb="FFFFC000"/>
        </patternFill>
      </fill>
    </dxf>
    <dxf>
      <fill>
        <patternFill>
          <bgColor theme="7" tint="-0.24994659260841701"/>
        </patternFill>
      </fill>
    </dxf>
    <dxf>
      <fill>
        <patternFill>
          <bgColor theme="0" tint="-0.34998626667073579"/>
        </patternFill>
      </fill>
    </dxf>
    <dxf>
      <fill>
        <patternFill>
          <bgColor rgb="FF66FF66"/>
        </patternFill>
      </fill>
    </dxf>
    <dxf>
      <fill>
        <patternFill>
          <bgColor theme="7" tint="0.39994506668294322"/>
        </patternFill>
      </fill>
    </dxf>
    <dxf>
      <fill>
        <patternFill>
          <bgColor rgb="FFFF0000"/>
        </patternFill>
      </fill>
    </dxf>
    <dxf>
      <fill>
        <patternFill>
          <bgColor theme="0" tint="-0.34998626667073579"/>
        </patternFill>
      </fill>
    </dxf>
    <dxf>
      <fill>
        <patternFill>
          <bgColor theme="4" tint="0.79998168889431442"/>
        </patternFill>
      </fill>
    </dxf>
    <dxf>
      <fill>
        <patternFill>
          <bgColor rgb="FF00B050"/>
        </patternFill>
      </fill>
    </dxf>
    <dxf>
      <fill>
        <patternFill>
          <bgColor rgb="FFFFC000"/>
        </patternFill>
      </fill>
    </dxf>
    <dxf>
      <fill>
        <patternFill>
          <bgColor theme="8"/>
        </patternFill>
      </fill>
    </dxf>
    <dxf>
      <fill>
        <patternFill>
          <bgColor rgb="FFFF9999"/>
        </patternFill>
      </fill>
    </dxf>
    <dxf>
      <fill>
        <patternFill>
          <bgColor theme="7" tint="-0.24994659260841701"/>
        </patternFill>
      </fill>
    </dxf>
    <dxf>
      <fill>
        <patternFill>
          <bgColor rgb="FFFF9999"/>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rgb="FFFF0000"/>
        </patternFill>
      </fill>
    </dxf>
    <dxf>
      <fill>
        <patternFill>
          <bgColor theme="7" tint="0.39994506668294322"/>
        </patternFill>
      </fill>
    </dxf>
    <dxf>
      <fill>
        <patternFill>
          <bgColor theme="8"/>
        </patternFill>
      </fill>
    </dxf>
    <dxf>
      <fill>
        <patternFill>
          <bgColor rgb="FF66FF66"/>
        </patternFill>
      </fill>
    </dxf>
    <dxf>
      <fill>
        <patternFill>
          <bgColor rgb="FFFFC000"/>
        </patternFill>
      </fill>
    </dxf>
    <dxf>
      <fill>
        <patternFill>
          <bgColor theme="8"/>
        </patternFill>
      </fill>
    </dxf>
    <dxf>
      <fill>
        <patternFill>
          <bgColor theme="0" tint="-0.34998626667073579"/>
        </patternFill>
      </fill>
    </dxf>
    <dxf>
      <fill>
        <patternFill>
          <bgColor theme="7" tint="-0.24994659260841701"/>
        </patternFill>
      </fill>
    </dxf>
    <dxf>
      <fill>
        <patternFill>
          <bgColor theme="7" tint="0.39994506668294322"/>
        </patternFill>
      </fill>
    </dxf>
    <dxf>
      <fill>
        <patternFill>
          <bgColor rgb="FFFF0000"/>
        </patternFill>
      </fill>
    </dxf>
    <dxf>
      <fill>
        <patternFill>
          <bgColor rgb="FFFF9999"/>
        </patternFill>
      </fill>
    </dxf>
    <dxf>
      <fill>
        <patternFill>
          <bgColor rgb="FF00B050"/>
        </patternFill>
      </fill>
    </dxf>
    <dxf>
      <fill>
        <patternFill>
          <bgColor rgb="FF66FF66"/>
        </patternFill>
      </fill>
    </dxf>
    <dxf>
      <fill>
        <patternFill>
          <bgColor theme="4" tint="0.79998168889431442"/>
        </patternFill>
      </fill>
    </dxf>
    <dxf>
      <fill>
        <patternFill>
          <bgColor theme="4" tint="0.79998168889431442"/>
        </patternFill>
      </fill>
    </dxf>
    <dxf>
      <fill>
        <patternFill>
          <bgColor theme="7" tint="-0.24994659260841701"/>
        </patternFill>
      </fill>
    </dxf>
    <dxf>
      <fill>
        <patternFill>
          <bgColor rgb="FF00B050"/>
        </patternFill>
      </fill>
    </dxf>
    <dxf>
      <fill>
        <patternFill>
          <bgColor rgb="FFFF9999"/>
        </patternFill>
      </fill>
    </dxf>
    <dxf>
      <fill>
        <patternFill>
          <bgColor rgb="FFFF0000"/>
        </patternFill>
      </fill>
    </dxf>
    <dxf>
      <fill>
        <patternFill>
          <bgColor theme="0" tint="-0.34998626667073579"/>
        </patternFill>
      </fill>
    </dxf>
    <dxf>
      <fill>
        <patternFill>
          <bgColor rgb="FF66FF66"/>
        </patternFill>
      </fill>
    </dxf>
    <dxf>
      <fill>
        <patternFill>
          <bgColor theme="8"/>
        </patternFill>
      </fill>
    </dxf>
    <dxf>
      <fill>
        <patternFill>
          <bgColor theme="7" tint="0.39994506668294322"/>
        </patternFill>
      </fill>
    </dxf>
    <dxf>
      <fill>
        <patternFill>
          <bgColor rgb="FFFFC000"/>
        </patternFill>
      </fill>
    </dxf>
    <dxf>
      <fill>
        <patternFill>
          <bgColor theme="7" tint="0.39994506668294322"/>
        </patternFill>
      </fill>
    </dxf>
    <dxf>
      <fill>
        <patternFill>
          <bgColor theme="8"/>
        </patternFill>
      </fill>
    </dxf>
    <dxf>
      <fill>
        <patternFill>
          <bgColor rgb="FFFF9999"/>
        </patternFill>
      </fill>
    </dxf>
    <dxf>
      <fill>
        <patternFill>
          <bgColor theme="4" tint="0.79998168889431442"/>
        </patternFill>
      </fill>
    </dxf>
    <dxf>
      <fill>
        <patternFill>
          <bgColor rgb="FF66FF66"/>
        </patternFill>
      </fill>
    </dxf>
    <dxf>
      <fill>
        <patternFill>
          <bgColor rgb="FF00B050"/>
        </patternFill>
      </fill>
    </dxf>
    <dxf>
      <fill>
        <patternFill>
          <bgColor theme="7" tint="-0.24994659260841701"/>
        </patternFill>
      </fill>
    </dxf>
    <dxf>
      <fill>
        <patternFill>
          <bgColor rgb="FFFF0000"/>
        </patternFill>
      </fill>
    </dxf>
    <dxf>
      <fill>
        <patternFill>
          <bgColor rgb="FFFFC000"/>
        </patternFill>
      </fill>
    </dxf>
    <dxf>
      <fill>
        <patternFill>
          <bgColor theme="0" tint="-0.34998626667073579"/>
        </patternFill>
      </fill>
    </dxf>
    <dxf>
      <fill>
        <patternFill>
          <bgColor rgb="FFFF0000"/>
        </patternFill>
      </fill>
    </dxf>
    <dxf>
      <fill>
        <patternFill>
          <bgColor theme="0" tint="-0.34998626667073579"/>
        </patternFill>
      </fill>
    </dxf>
    <dxf>
      <fill>
        <patternFill>
          <bgColor theme="4" tint="0.79998168889431442"/>
        </patternFill>
      </fill>
    </dxf>
    <dxf>
      <fill>
        <patternFill>
          <bgColor theme="7" tint="0.39994506668294322"/>
        </patternFill>
      </fill>
    </dxf>
    <dxf>
      <fill>
        <patternFill>
          <bgColor rgb="FFFFC000"/>
        </patternFill>
      </fill>
    </dxf>
    <dxf>
      <fill>
        <patternFill>
          <bgColor rgb="FF66FF66"/>
        </patternFill>
      </fill>
    </dxf>
    <dxf>
      <fill>
        <patternFill>
          <bgColor theme="8"/>
        </patternFill>
      </fill>
    </dxf>
    <dxf>
      <fill>
        <patternFill>
          <bgColor rgb="FFFF9999"/>
        </patternFill>
      </fill>
    </dxf>
    <dxf>
      <fill>
        <patternFill>
          <bgColor rgb="FF00B050"/>
        </patternFill>
      </fill>
    </dxf>
    <dxf>
      <fill>
        <patternFill>
          <bgColor theme="7" tint="-0.24994659260841701"/>
        </patternFill>
      </fill>
    </dxf>
    <dxf>
      <fill>
        <patternFill>
          <bgColor rgb="FF66FF66"/>
        </patternFill>
      </fill>
    </dxf>
    <dxf>
      <fill>
        <patternFill>
          <bgColor theme="8"/>
        </patternFill>
      </fill>
    </dxf>
    <dxf>
      <fill>
        <patternFill>
          <bgColor rgb="FFFF9999"/>
        </patternFill>
      </fill>
    </dxf>
    <dxf>
      <fill>
        <patternFill>
          <bgColor theme="7" tint="0.39994506668294322"/>
        </patternFill>
      </fill>
    </dxf>
    <dxf>
      <fill>
        <patternFill>
          <bgColor rgb="FFFFC000"/>
        </patternFill>
      </fill>
    </dxf>
    <dxf>
      <fill>
        <patternFill>
          <bgColor theme="0" tint="-0.34998626667073579"/>
        </patternFill>
      </fill>
    </dxf>
    <dxf>
      <fill>
        <patternFill>
          <bgColor rgb="FF00B050"/>
        </patternFill>
      </fill>
    </dxf>
    <dxf>
      <fill>
        <patternFill>
          <bgColor rgb="FFFF0000"/>
        </patternFill>
      </fill>
    </dxf>
    <dxf>
      <fill>
        <patternFill>
          <bgColor theme="4" tint="0.79998168889431442"/>
        </patternFill>
      </fill>
    </dxf>
    <dxf>
      <fill>
        <patternFill>
          <bgColor theme="7" tint="-0.24994659260841701"/>
        </patternFill>
      </fill>
    </dxf>
    <dxf>
      <fill>
        <patternFill>
          <bgColor rgb="FFFF9999"/>
        </patternFill>
      </fill>
    </dxf>
    <dxf>
      <fill>
        <patternFill>
          <bgColor rgb="FFFFC000"/>
        </patternFill>
      </fill>
    </dxf>
    <dxf>
      <fill>
        <patternFill>
          <bgColor theme="8"/>
        </patternFill>
      </fill>
    </dxf>
    <dxf>
      <fill>
        <patternFill>
          <bgColor theme="4" tint="0.79998168889431442"/>
        </patternFill>
      </fill>
    </dxf>
    <dxf>
      <fill>
        <patternFill>
          <bgColor theme="7" tint="-0.24994659260841701"/>
        </patternFill>
      </fill>
    </dxf>
    <dxf>
      <fill>
        <patternFill>
          <bgColor rgb="FF66FF66"/>
        </patternFill>
      </fill>
    </dxf>
    <dxf>
      <fill>
        <patternFill>
          <bgColor theme="7" tint="0.39994506668294322"/>
        </patternFill>
      </fill>
    </dxf>
    <dxf>
      <fill>
        <patternFill>
          <bgColor rgb="FF00B050"/>
        </patternFill>
      </fill>
    </dxf>
    <dxf>
      <fill>
        <patternFill>
          <bgColor theme="0" tint="-0.34998626667073579"/>
        </patternFill>
      </fill>
    </dxf>
    <dxf>
      <fill>
        <patternFill>
          <bgColor rgb="FFFF0000"/>
        </patternFill>
      </fill>
    </dxf>
    <dxf>
      <fill>
        <patternFill>
          <bgColor rgb="FF00B050"/>
        </patternFill>
      </fill>
    </dxf>
    <dxf>
      <fill>
        <patternFill>
          <bgColor theme="7" tint="0.39994506668294322"/>
        </patternFill>
      </fill>
    </dxf>
    <dxf>
      <fill>
        <patternFill>
          <bgColor rgb="FFFF9999"/>
        </patternFill>
      </fill>
    </dxf>
    <dxf>
      <fill>
        <patternFill>
          <bgColor rgb="FFFF0000"/>
        </patternFill>
      </fill>
    </dxf>
    <dxf>
      <fill>
        <patternFill>
          <bgColor rgb="FF66FF66"/>
        </patternFill>
      </fill>
    </dxf>
    <dxf>
      <fill>
        <patternFill>
          <bgColor rgb="FFFFC000"/>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theme="4" tint="0.79998168889431442"/>
        </patternFill>
      </fill>
    </dxf>
    <dxf>
      <fill>
        <patternFill>
          <bgColor rgb="FFFF9999"/>
        </patternFill>
      </fill>
    </dxf>
    <dxf>
      <fill>
        <patternFill>
          <bgColor rgb="FF00B050"/>
        </patternFill>
      </fill>
    </dxf>
    <dxf>
      <fill>
        <patternFill>
          <bgColor theme="0" tint="-0.34998626667073579"/>
        </patternFill>
      </fill>
    </dxf>
    <dxf>
      <fill>
        <patternFill>
          <bgColor rgb="FFFFC000"/>
        </patternFill>
      </fill>
    </dxf>
    <dxf>
      <fill>
        <patternFill>
          <bgColor rgb="FF66FF66"/>
        </patternFill>
      </fill>
    </dxf>
    <dxf>
      <fill>
        <patternFill>
          <bgColor theme="7" tint="0.39994506668294322"/>
        </patternFill>
      </fill>
    </dxf>
    <dxf>
      <fill>
        <patternFill>
          <bgColor rgb="FFFF0000"/>
        </patternFill>
      </fill>
    </dxf>
    <dxf>
      <fill>
        <patternFill>
          <bgColor theme="7" tint="-0.24994659260841701"/>
        </patternFill>
      </fill>
    </dxf>
    <dxf>
      <fill>
        <patternFill>
          <bgColor theme="8"/>
        </patternFill>
      </fill>
    </dxf>
    <dxf>
      <fill>
        <patternFill>
          <bgColor theme="8"/>
        </patternFill>
      </fill>
    </dxf>
    <dxf>
      <fill>
        <patternFill>
          <bgColor rgb="FF00B050"/>
        </patternFill>
      </fill>
    </dxf>
    <dxf>
      <fill>
        <patternFill>
          <bgColor rgb="FFFF0000"/>
        </patternFill>
      </fill>
    </dxf>
    <dxf>
      <fill>
        <patternFill>
          <bgColor theme="7" tint="0.39994506668294322"/>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FF9999"/>
        </patternFill>
      </fill>
    </dxf>
    <dxf>
      <fill>
        <patternFill>
          <bgColor rgb="FF66FF66"/>
        </patternFill>
      </fill>
    </dxf>
    <dxf>
      <fill>
        <patternFill>
          <bgColor theme="8"/>
        </patternFill>
      </fill>
    </dxf>
    <dxf>
      <fill>
        <patternFill>
          <bgColor theme="7" tint="0.39994506668294322"/>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FF0000"/>
        </patternFill>
      </fill>
    </dxf>
    <dxf>
      <fill>
        <patternFill>
          <bgColor rgb="FFFF9999"/>
        </patternFill>
      </fill>
    </dxf>
    <dxf>
      <fill>
        <patternFill>
          <bgColor rgb="FF66FF66"/>
        </patternFill>
      </fill>
    </dxf>
    <dxf>
      <fill>
        <patternFill>
          <bgColor rgb="FFFF9999"/>
        </patternFill>
      </fill>
    </dxf>
    <dxf>
      <fill>
        <patternFill>
          <bgColor rgb="FFFF0000"/>
        </patternFill>
      </fill>
    </dxf>
    <dxf>
      <fill>
        <patternFill>
          <bgColor rgb="FF00B050"/>
        </patternFill>
      </fill>
    </dxf>
    <dxf>
      <fill>
        <patternFill>
          <bgColor theme="7" tint="0.39994506668294322"/>
        </patternFill>
      </fill>
    </dxf>
    <dxf>
      <fill>
        <patternFill>
          <bgColor theme="8"/>
        </patternFill>
      </fill>
    </dxf>
    <dxf>
      <fill>
        <patternFill>
          <bgColor theme="4" tint="0.79998168889431442"/>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7" tint="-0.24994659260841701"/>
        </patternFill>
      </fill>
    </dxf>
    <dxf>
      <fill>
        <patternFill>
          <bgColor rgb="FF66FF66"/>
        </patternFill>
      </fill>
    </dxf>
    <dxf>
      <fill>
        <patternFill>
          <bgColor theme="4" tint="0.79998168889431442"/>
        </patternFill>
      </fill>
    </dxf>
    <dxf>
      <fill>
        <patternFill>
          <bgColor theme="8"/>
        </patternFill>
      </fill>
    </dxf>
    <dxf>
      <fill>
        <patternFill>
          <bgColor theme="0" tint="-0.34998626667073579"/>
        </patternFill>
      </fill>
    </dxf>
    <dxf>
      <fill>
        <patternFill>
          <bgColor rgb="FFFFC000"/>
        </patternFill>
      </fill>
    </dxf>
    <dxf>
      <fill>
        <patternFill>
          <bgColor rgb="FFFF9999"/>
        </patternFill>
      </fill>
    </dxf>
    <dxf>
      <fill>
        <patternFill>
          <bgColor theme="7" tint="0.39994506668294322"/>
        </patternFill>
      </fill>
    </dxf>
    <dxf>
      <fill>
        <patternFill>
          <bgColor rgb="FFFF0000"/>
        </patternFill>
      </fill>
    </dxf>
    <dxf>
      <fill>
        <patternFill>
          <bgColor rgb="FF00B050"/>
        </patternFill>
      </fill>
    </dxf>
    <dxf>
      <fill>
        <patternFill>
          <bgColor rgb="FFFF9999"/>
        </patternFill>
      </fill>
    </dxf>
    <dxf>
      <fill>
        <patternFill>
          <bgColor rgb="FF66FF66"/>
        </patternFill>
      </fill>
    </dxf>
    <dxf>
      <fill>
        <patternFill>
          <bgColor rgb="FFFFC000"/>
        </patternFill>
      </fill>
    </dxf>
    <dxf>
      <fill>
        <patternFill>
          <bgColor rgb="FF00B050"/>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theme="0" tint="-0.34998626667073579"/>
        </patternFill>
      </fill>
    </dxf>
    <dxf>
      <fill>
        <patternFill>
          <bgColor rgb="FFFF0000"/>
        </patternFill>
      </fill>
    </dxf>
    <dxf>
      <fill>
        <patternFill>
          <bgColor rgb="FFFF9999"/>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rgb="FF00B050"/>
        </patternFill>
      </fill>
    </dxf>
    <dxf>
      <fill>
        <patternFill>
          <bgColor rgb="FF66FF66"/>
        </patternFill>
      </fill>
    </dxf>
    <dxf>
      <fill>
        <patternFill>
          <bgColor rgb="FFFF9999"/>
        </patternFill>
      </fill>
    </dxf>
    <dxf>
      <fill>
        <patternFill>
          <bgColor rgb="FF66FF66"/>
        </patternFill>
      </fill>
    </dxf>
    <dxf>
      <fill>
        <patternFill>
          <bgColor rgb="FF00B050"/>
        </patternFill>
      </fill>
    </dxf>
    <dxf>
      <fill>
        <patternFill>
          <bgColor rgb="FFFF0000"/>
        </patternFill>
      </fill>
    </dxf>
    <dxf>
      <fill>
        <patternFill>
          <bgColor theme="7" tint="0.39994506668294322"/>
        </patternFill>
      </fill>
    </dxf>
    <dxf>
      <fill>
        <patternFill>
          <bgColor theme="8"/>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4" tint="0.79998168889431442"/>
        </patternFill>
      </fill>
    </dxf>
    <dxf>
      <fill>
        <patternFill>
          <bgColor rgb="FF00B050"/>
        </patternFill>
      </fill>
    </dxf>
    <dxf>
      <fill>
        <patternFill>
          <bgColor theme="7" tint="0.39994506668294322"/>
        </patternFill>
      </fill>
    </dxf>
    <dxf>
      <fill>
        <patternFill>
          <bgColor rgb="FFFF0000"/>
        </patternFill>
      </fill>
    </dxf>
    <dxf>
      <fill>
        <patternFill>
          <bgColor theme="7" tint="-0.24994659260841701"/>
        </patternFill>
      </fill>
    </dxf>
    <dxf>
      <fill>
        <patternFill>
          <bgColor theme="0" tint="-0.34998626667073579"/>
        </patternFill>
      </fill>
    </dxf>
    <dxf>
      <fill>
        <patternFill>
          <bgColor rgb="FFFFC000"/>
        </patternFill>
      </fill>
    </dxf>
    <dxf>
      <fill>
        <patternFill>
          <bgColor rgb="FFFF9999"/>
        </patternFill>
      </fill>
    </dxf>
    <dxf>
      <fill>
        <patternFill>
          <bgColor theme="8"/>
        </patternFill>
      </fill>
    </dxf>
    <dxf>
      <fill>
        <patternFill>
          <bgColor rgb="FF66FF66"/>
        </patternFill>
      </fill>
    </dxf>
    <dxf>
      <fill>
        <patternFill>
          <bgColor theme="7" tint="0.39994506668294322"/>
        </patternFill>
      </fill>
    </dxf>
    <dxf>
      <fill>
        <patternFill>
          <bgColor theme="0" tint="-0.34998626667073579"/>
        </patternFill>
      </fill>
    </dxf>
    <dxf>
      <fill>
        <patternFill>
          <bgColor rgb="FFFFC000"/>
        </patternFill>
      </fill>
    </dxf>
    <dxf>
      <fill>
        <patternFill>
          <bgColor theme="8"/>
        </patternFill>
      </fill>
    </dxf>
    <dxf>
      <fill>
        <patternFill>
          <bgColor rgb="FFFF9999"/>
        </patternFill>
      </fill>
    </dxf>
    <dxf>
      <fill>
        <patternFill>
          <bgColor rgb="FFFF0000"/>
        </patternFill>
      </fill>
    </dxf>
    <dxf>
      <fill>
        <patternFill>
          <bgColor rgb="FF00B050"/>
        </patternFill>
      </fill>
    </dxf>
    <dxf>
      <fill>
        <patternFill>
          <bgColor theme="7" tint="-0.24994659260841701"/>
        </patternFill>
      </fill>
    </dxf>
    <dxf>
      <fill>
        <patternFill>
          <bgColor rgb="FF66FF66"/>
        </patternFill>
      </fill>
    </dxf>
    <dxf>
      <fill>
        <patternFill>
          <bgColor theme="4" tint="0.79998168889431442"/>
        </patternFill>
      </fill>
    </dxf>
    <dxf>
      <fill>
        <patternFill>
          <bgColor theme="7" tint="0.39994506668294322"/>
        </patternFill>
      </fill>
    </dxf>
    <dxf>
      <fill>
        <patternFill>
          <bgColor theme="0" tint="-0.34998626667073579"/>
        </patternFill>
      </fill>
    </dxf>
    <dxf>
      <fill>
        <patternFill>
          <bgColor rgb="FFFFC000"/>
        </patternFill>
      </fill>
    </dxf>
    <dxf>
      <fill>
        <patternFill>
          <bgColor theme="7" tint="-0.24994659260841701"/>
        </patternFill>
      </fill>
    </dxf>
    <dxf>
      <fill>
        <patternFill>
          <bgColor theme="8"/>
        </patternFill>
      </fill>
    </dxf>
    <dxf>
      <fill>
        <patternFill>
          <bgColor rgb="FFFF0000"/>
        </patternFill>
      </fill>
    </dxf>
    <dxf>
      <fill>
        <patternFill>
          <bgColor rgb="FF00B050"/>
        </patternFill>
      </fill>
    </dxf>
    <dxf>
      <fill>
        <patternFill>
          <bgColor rgb="FFFF9999"/>
        </patternFill>
      </fill>
    </dxf>
    <dxf>
      <fill>
        <patternFill>
          <bgColor theme="4" tint="0.79998168889431442"/>
        </patternFill>
      </fill>
    </dxf>
    <dxf>
      <fill>
        <patternFill>
          <bgColor rgb="FF66FF66"/>
        </patternFill>
      </fill>
    </dxf>
    <dxf>
      <fill>
        <patternFill>
          <bgColor rgb="FFFF0000"/>
        </patternFill>
      </fill>
    </dxf>
    <dxf>
      <fill>
        <patternFill>
          <bgColor rgb="FFFFC000"/>
        </patternFill>
      </fill>
    </dxf>
    <dxf>
      <fill>
        <patternFill>
          <bgColor theme="0" tint="-0.34998626667073579"/>
        </patternFill>
      </fill>
    </dxf>
    <dxf>
      <fill>
        <patternFill>
          <bgColor rgb="FF66FF66"/>
        </patternFill>
      </fill>
    </dxf>
    <dxf>
      <fill>
        <patternFill>
          <bgColor rgb="FFFF999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theme="4" tint="0.79998168889431442"/>
        </patternFill>
      </fill>
    </dxf>
    <dxf>
      <fill>
        <patternFill>
          <bgColor theme="8"/>
        </patternFill>
      </fill>
    </dxf>
    <dxf>
      <fill>
        <patternFill>
          <bgColor rgb="FFFF9999"/>
        </patternFill>
      </fill>
    </dxf>
    <dxf>
      <fill>
        <patternFill>
          <bgColor theme="7" tint="0.39994506668294322"/>
        </patternFill>
      </fill>
    </dxf>
    <dxf>
      <fill>
        <patternFill>
          <bgColor rgb="FF66FF66"/>
        </patternFill>
      </fill>
    </dxf>
    <dxf>
      <fill>
        <patternFill>
          <bgColor rgb="FFFF0000"/>
        </patternFill>
      </fill>
    </dxf>
    <dxf>
      <fill>
        <patternFill>
          <bgColor rgb="FFFFC000"/>
        </patternFill>
      </fill>
    </dxf>
    <dxf>
      <fill>
        <patternFill>
          <bgColor theme="0" tint="-0.34998626667073579"/>
        </patternFill>
      </fill>
    </dxf>
    <dxf>
      <fill>
        <patternFill>
          <bgColor theme="7" tint="-0.24994659260841701"/>
        </patternFill>
      </fill>
    </dxf>
    <dxf>
      <fill>
        <patternFill>
          <bgColor rgb="FFFF0000"/>
        </patternFill>
      </fill>
    </dxf>
    <dxf>
      <fill>
        <patternFill>
          <bgColor theme="7" tint="0.39994506668294322"/>
        </patternFill>
      </fill>
    </dxf>
    <dxf>
      <fill>
        <patternFill>
          <bgColor rgb="FFFFC000"/>
        </patternFill>
      </fill>
    </dxf>
    <dxf>
      <fill>
        <patternFill>
          <bgColor theme="4" tint="0.79998168889431442"/>
        </patternFill>
      </fill>
    </dxf>
    <dxf>
      <fill>
        <patternFill>
          <bgColor theme="7" tint="-0.24994659260841701"/>
        </patternFill>
      </fill>
    </dxf>
    <dxf>
      <fill>
        <patternFill>
          <bgColor rgb="FF00B050"/>
        </patternFill>
      </fill>
    </dxf>
    <dxf>
      <fill>
        <patternFill>
          <bgColor theme="0" tint="-0.34998626667073579"/>
        </patternFill>
      </fill>
    </dxf>
    <dxf>
      <fill>
        <patternFill>
          <bgColor rgb="FFFF9999"/>
        </patternFill>
      </fill>
    </dxf>
    <dxf>
      <fill>
        <patternFill>
          <bgColor theme="8"/>
        </patternFill>
      </fill>
    </dxf>
    <dxf>
      <fill>
        <patternFill>
          <bgColor rgb="FF66FF66"/>
        </patternFill>
      </fill>
    </dxf>
    <dxf>
      <fill>
        <patternFill>
          <bgColor rgb="FFFFC000"/>
        </patternFill>
      </fill>
    </dxf>
    <dxf>
      <fill>
        <patternFill>
          <bgColor theme="8"/>
        </patternFill>
      </fill>
    </dxf>
    <dxf>
      <fill>
        <patternFill>
          <bgColor theme="7" tint="0.39994506668294322"/>
        </patternFill>
      </fill>
    </dxf>
    <dxf>
      <fill>
        <patternFill>
          <bgColor rgb="FF66FF66"/>
        </patternFill>
      </fill>
    </dxf>
    <dxf>
      <fill>
        <patternFill>
          <bgColor theme="0" tint="-0.34998626667073579"/>
        </patternFill>
      </fill>
    </dxf>
    <dxf>
      <fill>
        <patternFill>
          <bgColor theme="7" tint="-0.24994659260841701"/>
        </patternFill>
      </fill>
    </dxf>
    <dxf>
      <fill>
        <patternFill>
          <bgColor rgb="FFFF0000"/>
        </patternFill>
      </fill>
    </dxf>
    <dxf>
      <fill>
        <patternFill>
          <bgColor theme="4" tint="0.79998168889431442"/>
        </patternFill>
      </fill>
    </dxf>
    <dxf>
      <fill>
        <patternFill>
          <bgColor rgb="FFFF9999"/>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66FF66"/>
        </patternFill>
      </fill>
    </dxf>
    <dxf>
      <fill>
        <patternFill>
          <bgColor rgb="FFFFC000"/>
        </patternFill>
      </fill>
    </dxf>
    <dxf>
      <fill>
        <patternFill>
          <bgColor theme="7" tint="0.39994506668294322"/>
        </patternFill>
      </fill>
    </dxf>
    <dxf>
      <fill>
        <patternFill>
          <bgColor rgb="FFFF0000"/>
        </patternFill>
      </fill>
    </dxf>
    <dxf>
      <fill>
        <patternFill>
          <bgColor rgb="FF00B050"/>
        </patternFill>
      </fill>
    </dxf>
    <dxf>
      <fill>
        <patternFill>
          <bgColor rgb="FFFF9999"/>
        </patternFill>
      </fill>
    </dxf>
    <dxf>
      <fill>
        <patternFill>
          <bgColor rgb="FF66FF66"/>
        </patternFill>
      </fill>
    </dxf>
    <dxf>
      <fill>
        <patternFill>
          <bgColor rgb="FFFF9999"/>
        </patternFill>
      </fill>
    </dxf>
    <dxf>
      <fill>
        <patternFill>
          <bgColor rgb="FFFF0000"/>
        </patternFill>
      </fill>
    </dxf>
    <dxf>
      <fill>
        <patternFill>
          <bgColor rgb="FFFFC000"/>
        </patternFill>
      </fill>
    </dxf>
    <dxf>
      <fill>
        <patternFill>
          <bgColor theme="0" tint="-0.34998626667073579"/>
        </patternFill>
      </fill>
    </dxf>
    <dxf>
      <fill>
        <patternFill>
          <bgColor theme="4" tint="0.79998168889431442"/>
        </patternFill>
      </fill>
    </dxf>
    <dxf>
      <fill>
        <patternFill>
          <bgColor theme="8"/>
        </patternFill>
      </fill>
    </dxf>
    <dxf>
      <fill>
        <patternFill>
          <bgColor theme="7" tint="0.39994506668294322"/>
        </patternFill>
      </fill>
    </dxf>
    <dxf>
      <fill>
        <patternFill>
          <bgColor theme="7" tint="-0.24994659260841701"/>
        </patternFill>
      </fill>
    </dxf>
    <dxf>
      <fill>
        <patternFill>
          <bgColor theme="0" tint="-0.34998626667073579"/>
        </patternFill>
      </fill>
    </dxf>
    <dxf>
      <fill>
        <patternFill>
          <bgColor rgb="FFFFC000"/>
        </patternFill>
      </fill>
    </dxf>
    <dxf>
      <fill>
        <patternFill>
          <bgColor rgb="FF00B050"/>
        </patternFill>
      </fill>
    </dxf>
    <dxf>
      <fill>
        <patternFill>
          <bgColor rgb="FFFF0000"/>
        </patternFill>
      </fill>
    </dxf>
    <dxf>
      <fill>
        <patternFill>
          <bgColor theme="7" tint="0.39994506668294322"/>
        </patternFill>
      </fill>
    </dxf>
    <dxf>
      <fill>
        <patternFill>
          <bgColor theme="8"/>
        </patternFill>
      </fill>
    </dxf>
    <dxf>
      <fill>
        <patternFill>
          <bgColor theme="7" tint="-0.24994659260841701"/>
        </patternFill>
      </fill>
    </dxf>
    <dxf>
      <fill>
        <patternFill>
          <bgColor rgb="FF66FF66"/>
        </patternFill>
      </fill>
    </dxf>
    <dxf>
      <fill>
        <patternFill>
          <bgColor theme="4" tint="0.79998168889431442"/>
        </patternFill>
      </fill>
    </dxf>
    <dxf>
      <fill>
        <patternFill>
          <bgColor rgb="FFFF9999"/>
        </patternFill>
      </fill>
    </dxf>
    <dxf>
      <fill>
        <patternFill>
          <bgColor theme="0" tint="-0.34998626667073579"/>
        </patternFill>
      </fill>
    </dxf>
    <dxf>
      <fill>
        <patternFill>
          <bgColor theme="4" tint="0.79998168889431442"/>
        </patternFill>
      </fill>
    </dxf>
    <dxf>
      <fill>
        <patternFill>
          <bgColor rgb="FF66FF66"/>
        </patternFill>
      </fill>
    </dxf>
    <dxf>
      <fill>
        <patternFill>
          <bgColor theme="8"/>
        </patternFill>
      </fill>
    </dxf>
    <dxf>
      <fill>
        <patternFill>
          <bgColor theme="7" tint="0.39994506668294322"/>
        </patternFill>
      </fill>
    </dxf>
    <dxf>
      <fill>
        <patternFill>
          <bgColor rgb="FFFF0000"/>
        </patternFill>
      </fill>
    </dxf>
    <dxf>
      <fill>
        <patternFill>
          <bgColor theme="7" tint="-0.24994659260841701"/>
        </patternFill>
      </fill>
    </dxf>
    <dxf>
      <fill>
        <patternFill>
          <bgColor rgb="FF00B050"/>
        </patternFill>
      </fill>
    </dxf>
    <dxf>
      <fill>
        <patternFill>
          <bgColor rgb="FFFFC000"/>
        </patternFill>
      </fill>
    </dxf>
    <dxf>
      <fill>
        <patternFill>
          <bgColor rgb="FFFF9999"/>
        </patternFill>
      </fill>
    </dxf>
    <dxf>
      <fill>
        <patternFill>
          <bgColor theme="4" tint="0.79998168889431442"/>
        </patternFill>
      </fill>
    </dxf>
    <dxf>
      <fill>
        <patternFill>
          <bgColor rgb="FFFFC000"/>
        </patternFill>
      </fill>
    </dxf>
    <dxf>
      <fill>
        <patternFill>
          <bgColor theme="8"/>
        </patternFill>
      </fill>
    </dxf>
    <dxf>
      <fill>
        <patternFill>
          <bgColor rgb="FFFF9999"/>
        </patternFill>
      </fill>
    </dxf>
    <dxf>
      <fill>
        <patternFill>
          <bgColor rgb="FFFF0000"/>
        </patternFill>
      </fill>
    </dxf>
    <dxf>
      <fill>
        <patternFill>
          <bgColor rgb="FF00B050"/>
        </patternFill>
      </fill>
    </dxf>
    <dxf>
      <fill>
        <patternFill>
          <bgColor theme="7" tint="0.39994506668294322"/>
        </patternFill>
      </fill>
    </dxf>
    <dxf>
      <fill>
        <patternFill>
          <bgColor theme="0" tint="-0.34998626667073579"/>
        </patternFill>
      </fill>
    </dxf>
    <dxf>
      <fill>
        <patternFill>
          <bgColor rgb="FF66FF66"/>
        </patternFill>
      </fill>
    </dxf>
    <dxf>
      <fill>
        <patternFill>
          <bgColor theme="7" tint="-0.24994659260841701"/>
        </patternFill>
      </fill>
    </dxf>
    <dxf>
      <fill>
        <patternFill>
          <bgColor rgb="FFFF0000"/>
        </patternFill>
      </fill>
    </dxf>
    <dxf>
      <fill>
        <patternFill>
          <bgColor theme="4" tint="0.79998168889431442"/>
        </patternFill>
      </fill>
    </dxf>
    <dxf>
      <fill>
        <patternFill>
          <bgColor theme="7" tint="-0.24994659260841701"/>
        </patternFill>
      </fill>
    </dxf>
    <dxf>
      <fill>
        <patternFill>
          <bgColor rgb="FF00B050"/>
        </patternFill>
      </fill>
    </dxf>
    <dxf>
      <fill>
        <patternFill>
          <bgColor rgb="FFFFC000"/>
        </patternFill>
      </fill>
    </dxf>
    <dxf>
      <fill>
        <patternFill>
          <bgColor theme="0" tint="-0.34998626667073579"/>
        </patternFill>
      </fill>
    </dxf>
    <dxf>
      <fill>
        <patternFill>
          <bgColor rgb="FFFF9999"/>
        </patternFill>
      </fill>
    </dxf>
    <dxf>
      <fill>
        <patternFill>
          <bgColor theme="7" tint="0.39994506668294322"/>
        </patternFill>
      </fill>
    </dxf>
    <dxf>
      <fill>
        <patternFill>
          <bgColor rgb="FF66FF66"/>
        </patternFill>
      </fill>
    </dxf>
    <dxf>
      <fill>
        <patternFill>
          <bgColor theme="8"/>
        </patternFill>
      </fill>
    </dxf>
    <dxf>
      <fill>
        <patternFill>
          <bgColor theme="7" tint="0.39994506668294322"/>
        </patternFill>
      </fill>
    </dxf>
    <dxf>
      <fill>
        <patternFill>
          <bgColor rgb="FF00B050"/>
        </patternFill>
      </fill>
    </dxf>
    <dxf>
      <fill>
        <patternFill>
          <bgColor theme="7" tint="-0.24994659260841701"/>
        </patternFill>
      </fill>
    </dxf>
    <dxf>
      <fill>
        <patternFill>
          <bgColor theme="4" tint="0.79998168889431442"/>
        </patternFill>
      </fill>
    </dxf>
    <dxf>
      <fill>
        <patternFill>
          <bgColor theme="0" tint="-0.34998626667073579"/>
        </patternFill>
      </fill>
    </dxf>
    <dxf>
      <fill>
        <patternFill>
          <bgColor rgb="FF66FF66"/>
        </patternFill>
      </fill>
    </dxf>
    <dxf>
      <fill>
        <patternFill>
          <bgColor theme="8"/>
        </patternFill>
      </fill>
    </dxf>
    <dxf>
      <fill>
        <patternFill>
          <bgColor rgb="FFFFC000"/>
        </patternFill>
      </fill>
    </dxf>
    <dxf>
      <fill>
        <patternFill>
          <bgColor rgb="FFFF9999"/>
        </patternFill>
      </fill>
    </dxf>
    <dxf>
      <fill>
        <patternFill>
          <bgColor rgb="FFFF0000"/>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rgb="FFFF9999"/>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rgb="FF00B050"/>
        </patternFill>
      </fill>
    </dxf>
    <dxf>
      <fill>
        <patternFill>
          <bgColor theme="4" tint="0.79998168889431442"/>
        </patternFill>
      </fill>
    </dxf>
    <dxf>
      <fill>
        <patternFill>
          <bgColor rgb="FF66FF66"/>
        </patternFill>
      </fill>
    </dxf>
    <dxf>
      <fill>
        <patternFill>
          <bgColor theme="8"/>
        </patternFill>
      </fill>
    </dxf>
    <dxf>
      <fill>
        <patternFill>
          <bgColor theme="7" tint="0.39994506668294322"/>
        </patternFill>
      </fill>
    </dxf>
    <dxf>
      <fill>
        <patternFill>
          <bgColor theme="0" tint="-0.34998626667073579"/>
        </patternFill>
      </fill>
    </dxf>
    <dxf>
      <fill>
        <patternFill>
          <bgColor rgb="FFFF0000"/>
        </patternFill>
      </fill>
    </dxf>
    <dxf>
      <fill>
        <patternFill>
          <bgColor rgb="FFFFC000"/>
        </patternFill>
      </fill>
    </dxf>
    <dxf>
      <fill>
        <patternFill>
          <bgColor rgb="FFFF9999"/>
        </patternFill>
      </fill>
    </dxf>
    <dxf>
      <fill>
        <patternFill>
          <bgColor theme="7" tint="-0.24994659260841701"/>
        </patternFill>
      </fill>
    </dxf>
    <dxf>
      <fill>
        <patternFill>
          <bgColor theme="0" tint="-0.34998626667073579"/>
        </patternFill>
      </fill>
    </dxf>
    <dxf>
      <fill>
        <patternFill>
          <bgColor rgb="FF00B050"/>
        </patternFill>
      </fill>
    </dxf>
    <dxf>
      <fill>
        <patternFill>
          <bgColor rgb="FF66FF66"/>
        </patternFill>
      </fill>
    </dxf>
    <dxf>
      <fill>
        <patternFill>
          <bgColor rgb="FFFF9999"/>
        </patternFill>
      </fill>
    </dxf>
    <dxf>
      <fill>
        <patternFill>
          <bgColor theme="7" tint="-0.24994659260841701"/>
        </patternFill>
      </fill>
    </dxf>
    <dxf>
      <fill>
        <patternFill>
          <bgColor rgb="FFFF0000"/>
        </patternFill>
      </fill>
    </dxf>
    <dxf>
      <fill>
        <patternFill>
          <bgColor theme="7" tint="0.39994506668294322"/>
        </patternFill>
      </fill>
    </dxf>
    <dxf>
      <fill>
        <patternFill>
          <bgColor theme="4" tint="0.79998168889431442"/>
        </patternFill>
      </fill>
    </dxf>
    <dxf>
      <fill>
        <patternFill>
          <bgColor theme="8"/>
        </patternFill>
      </fill>
    </dxf>
    <dxf>
      <fill>
        <patternFill>
          <bgColor rgb="FFFFC000"/>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rgb="FFFF9999"/>
        </patternFill>
      </fill>
    </dxf>
    <dxf>
      <fill>
        <patternFill>
          <bgColor theme="0" tint="-0.34998626667073579"/>
        </patternFill>
      </fill>
    </dxf>
    <dxf>
      <fill>
        <patternFill>
          <bgColor rgb="FFFFC000"/>
        </patternFill>
      </fill>
    </dxf>
    <dxf>
      <fill>
        <patternFill>
          <bgColor rgb="FF66FF66"/>
        </patternFill>
      </fill>
    </dxf>
    <dxf>
      <fill>
        <patternFill>
          <bgColor theme="7" tint="-0.24994659260841701"/>
        </patternFill>
      </fill>
    </dxf>
    <dxf>
      <fill>
        <patternFill>
          <bgColor rgb="FF00B050"/>
        </patternFill>
      </fill>
    </dxf>
    <dxf>
      <fill>
        <patternFill>
          <bgColor rgb="FFFFC000"/>
        </patternFill>
      </fill>
    </dxf>
    <dxf>
      <fill>
        <patternFill>
          <bgColor theme="0" tint="-0.34998626667073579"/>
        </patternFill>
      </fill>
    </dxf>
    <dxf>
      <fill>
        <patternFill>
          <bgColor rgb="FF66FF66"/>
        </patternFill>
      </fill>
    </dxf>
    <dxf>
      <fill>
        <patternFill>
          <bgColor rgb="FFFF9999"/>
        </patternFill>
      </fill>
    </dxf>
    <dxf>
      <fill>
        <patternFill>
          <bgColor theme="7" tint="-0.24994659260841701"/>
        </patternFill>
      </fill>
    </dxf>
    <dxf>
      <fill>
        <patternFill>
          <bgColor rgb="FF00B050"/>
        </patternFill>
      </fill>
    </dxf>
    <dxf>
      <fill>
        <patternFill>
          <bgColor theme="7" tint="0.39994506668294322"/>
        </patternFill>
      </fill>
    </dxf>
    <dxf>
      <fill>
        <patternFill>
          <bgColor theme="4" tint="0.79998168889431442"/>
        </patternFill>
      </fill>
    </dxf>
    <dxf>
      <fill>
        <patternFill>
          <bgColor theme="8"/>
        </patternFill>
      </fill>
    </dxf>
    <dxf>
      <fill>
        <patternFill>
          <bgColor rgb="FFFF0000"/>
        </patternFill>
      </fill>
    </dxf>
    <dxf>
      <fill>
        <patternFill>
          <bgColor rgb="FFFFC000"/>
        </patternFill>
      </fill>
    </dxf>
    <dxf>
      <fill>
        <patternFill>
          <bgColor theme="7" tint="-0.24994659260841701"/>
        </patternFill>
      </fill>
    </dxf>
    <dxf>
      <fill>
        <patternFill>
          <bgColor theme="4" tint="0.79998168889431442"/>
        </patternFill>
      </fill>
    </dxf>
    <dxf>
      <fill>
        <patternFill>
          <bgColor theme="8"/>
        </patternFill>
      </fill>
    </dxf>
    <dxf>
      <fill>
        <patternFill>
          <bgColor rgb="FFFF9999"/>
        </patternFill>
      </fill>
    </dxf>
    <dxf>
      <fill>
        <patternFill>
          <bgColor theme="7" tint="0.39994506668294322"/>
        </patternFill>
      </fill>
    </dxf>
    <dxf>
      <fill>
        <patternFill>
          <bgColor rgb="FFFF0000"/>
        </patternFill>
      </fill>
    </dxf>
    <dxf>
      <fill>
        <patternFill>
          <bgColor rgb="FF00B050"/>
        </patternFill>
      </fill>
    </dxf>
    <dxf>
      <fill>
        <patternFill>
          <bgColor theme="0" tint="-0.34998626667073579"/>
        </patternFill>
      </fill>
    </dxf>
    <dxf>
      <fill>
        <patternFill>
          <bgColor rgb="FF66FF66"/>
        </patternFill>
      </fill>
    </dxf>
    <dxf>
      <fill>
        <patternFill>
          <bgColor rgb="FFFFC000"/>
        </patternFill>
      </fill>
    </dxf>
    <dxf>
      <fill>
        <patternFill>
          <bgColor rgb="FF66FF66"/>
        </patternFill>
      </fill>
    </dxf>
    <dxf>
      <fill>
        <patternFill>
          <bgColor theme="0" tint="-0.34998626667073579"/>
        </patternFill>
      </fill>
    </dxf>
    <dxf>
      <fill>
        <patternFill>
          <bgColor rgb="FFFF999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rgb="FF00B050"/>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rgb="FF00B050"/>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rgb="FFFFC000"/>
        </patternFill>
      </fill>
    </dxf>
    <dxf>
      <fill>
        <patternFill>
          <bgColor rgb="FF66FF66"/>
        </patternFill>
      </fill>
    </dxf>
    <dxf>
      <fill>
        <patternFill>
          <bgColor theme="0" tint="-0.34998626667073579"/>
        </patternFill>
      </fill>
    </dxf>
    <dxf>
      <fill>
        <patternFill>
          <bgColor rgb="FFFF9999"/>
        </patternFill>
      </fill>
    </dxf>
    <dxf>
      <fill>
        <patternFill>
          <bgColor rgb="FFFF9999"/>
        </patternFill>
      </fill>
    </dxf>
    <dxf>
      <fill>
        <patternFill>
          <bgColor theme="0" tint="-0.34998626667073579"/>
        </patternFill>
      </fill>
    </dxf>
    <dxf>
      <fill>
        <patternFill>
          <bgColor rgb="FFFFC000"/>
        </patternFill>
      </fill>
    </dxf>
    <dxf>
      <fill>
        <patternFill>
          <bgColor rgb="FF00B050"/>
        </patternFill>
      </fill>
    </dxf>
    <dxf>
      <fill>
        <patternFill>
          <bgColor rgb="FF66FF66"/>
        </patternFill>
      </fill>
    </dxf>
    <dxf>
      <fill>
        <patternFill>
          <bgColor theme="4" tint="0.79998168889431442"/>
        </patternFill>
      </fill>
    </dxf>
    <dxf>
      <fill>
        <patternFill>
          <bgColor theme="8"/>
        </patternFill>
      </fill>
    </dxf>
    <dxf>
      <fill>
        <patternFill>
          <bgColor theme="7" tint="0.39994506668294322"/>
        </patternFill>
      </fill>
    </dxf>
    <dxf>
      <fill>
        <patternFill>
          <bgColor theme="7" tint="-0.24994659260841701"/>
        </patternFill>
      </fill>
    </dxf>
    <dxf>
      <fill>
        <patternFill>
          <bgColor rgb="FFFF0000"/>
        </patternFill>
      </fill>
    </dxf>
    <dxf>
      <fill>
        <patternFill>
          <bgColor rgb="FFFF9999"/>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rgb="FFFF0000"/>
        </patternFill>
      </fill>
    </dxf>
    <dxf>
      <fill>
        <patternFill>
          <bgColor rgb="FF66FF66"/>
        </patternFill>
      </fill>
    </dxf>
    <dxf>
      <fill>
        <patternFill>
          <bgColor theme="7" tint="0.39994506668294322"/>
        </patternFill>
      </fill>
    </dxf>
    <dxf>
      <fill>
        <patternFill>
          <bgColor theme="7" tint="0.39994506668294322"/>
        </patternFill>
      </fill>
    </dxf>
    <dxf>
      <fill>
        <patternFill>
          <bgColor rgb="FFFF0000"/>
        </patternFill>
      </fill>
    </dxf>
    <dxf>
      <fill>
        <patternFill>
          <bgColor theme="8"/>
        </patternFill>
      </fill>
    </dxf>
    <dxf>
      <fill>
        <patternFill>
          <bgColor theme="7" tint="-0.24994659260841701"/>
        </patternFill>
      </fill>
    </dxf>
    <dxf>
      <fill>
        <patternFill>
          <bgColor theme="0" tint="-0.34998626667073579"/>
        </patternFill>
      </fill>
    </dxf>
    <dxf>
      <fill>
        <patternFill>
          <bgColor rgb="FF66FF66"/>
        </patternFill>
      </fill>
    </dxf>
    <dxf>
      <fill>
        <patternFill>
          <bgColor rgb="FFFFC000"/>
        </patternFill>
      </fill>
    </dxf>
    <dxf>
      <fill>
        <patternFill>
          <bgColor rgb="FFFF9999"/>
        </patternFill>
      </fill>
    </dxf>
    <dxf>
      <fill>
        <patternFill>
          <bgColor theme="4" tint="0.79998168889431442"/>
        </patternFill>
      </fill>
    </dxf>
    <dxf>
      <fill>
        <patternFill>
          <bgColor theme="7" tint="0.39994506668294322"/>
        </patternFill>
      </fill>
    </dxf>
    <dxf>
      <fill>
        <patternFill>
          <bgColor rgb="FFFF9999"/>
        </patternFill>
      </fill>
    </dxf>
    <dxf>
      <fill>
        <patternFill>
          <bgColor rgb="FF66FF66"/>
        </patternFill>
      </fill>
    </dxf>
    <dxf>
      <fill>
        <patternFill>
          <bgColor rgb="FFFFC000"/>
        </patternFill>
      </fill>
    </dxf>
    <dxf>
      <fill>
        <patternFill>
          <bgColor rgb="FFFF0000"/>
        </patternFill>
      </fill>
    </dxf>
    <dxf>
      <fill>
        <patternFill>
          <bgColor rgb="FF00B050"/>
        </patternFill>
      </fill>
    </dxf>
    <dxf>
      <fill>
        <patternFill>
          <bgColor theme="8"/>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rgb="FF66FF66"/>
        </patternFill>
      </fill>
    </dxf>
    <dxf>
      <fill>
        <patternFill>
          <bgColor rgb="FFFF9999"/>
        </patternFill>
      </fill>
    </dxf>
    <dxf>
      <fill>
        <patternFill>
          <bgColor rgb="FFFFC000"/>
        </patternFill>
      </fill>
    </dxf>
    <dxf>
      <fill>
        <patternFill>
          <bgColor theme="7" tint="0.39994506668294322"/>
        </patternFill>
      </fill>
    </dxf>
    <dxf>
      <fill>
        <patternFill>
          <bgColor theme="8"/>
        </patternFill>
      </fill>
    </dxf>
    <dxf>
      <fill>
        <patternFill>
          <bgColor rgb="FFFF0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0" tint="-0.34998626667073579"/>
        </patternFill>
      </fill>
    </dxf>
    <dxf>
      <fill>
        <patternFill>
          <bgColor rgb="FFFF9999"/>
        </patternFill>
      </fill>
    </dxf>
    <dxf>
      <fill>
        <patternFill>
          <bgColor rgb="FF66FF66"/>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rgb="FFFFC000"/>
        </patternFill>
      </fill>
    </dxf>
    <dxf>
      <fill>
        <patternFill>
          <bgColor rgb="FFFF0000"/>
        </patternFill>
      </fill>
    </dxf>
    <dxf>
      <fill>
        <patternFill>
          <bgColor rgb="FFFFC000"/>
        </patternFill>
      </fill>
    </dxf>
    <dxf>
      <fill>
        <patternFill>
          <bgColor rgb="FF66FF66"/>
        </patternFill>
      </fill>
    </dxf>
    <dxf>
      <fill>
        <patternFill>
          <bgColor rgb="FF00B05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9999"/>
        </patternFill>
      </fill>
    </dxf>
    <dxf>
      <fill>
        <patternFill>
          <bgColor rgb="FF66FF66"/>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FF9999"/>
        </patternFill>
      </fill>
    </dxf>
    <dxf>
      <fill>
        <patternFill>
          <bgColor theme="8"/>
        </patternFill>
      </fill>
    </dxf>
    <dxf>
      <fill>
        <patternFill>
          <bgColor rgb="FF00B050"/>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theme="7" tint="0.39994506668294322"/>
        </patternFill>
      </fill>
    </dxf>
    <dxf>
      <fill>
        <patternFill>
          <bgColor rgb="FFFF0000"/>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rgb="FF00B050"/>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9999"/>
        </patternFill>
      </fill>
    </dxf>
    <dxf>
      <fill>
        <patternFill>
          <bgColor rgb="FFFF0000"/>
        </patternFill>
      </fill>
    </dxf>
    <dxf>
      <fill>
        <patternFill>
          <bgColor rgb="FFFF0000"/>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rgb="FF00B050"/>
        </patternFill>
      </fill>
    </dxf>
    <dxf>
      <fill>
        <patternFill>
          <bgColor theme="7" tint="0.39994506668294322"/>
        </patternFill>
      </fill>
    </dxf>
    <dxf>
      <fill>
        <patternFill>
          <bgColor rgb="FFFF0000"/>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00B050"/>
        </patternFill>
      </fill>
    </dxf>
    <dxf>
      <fill>
        <patternFill>
          <bgColor theme="7" tint="-0.24994659260841701"/>
        </patternFill>
      </fill>
    </dxf>
    <dxf>
      <fill>
        <patternFill>
          <bgColor theme="4" tint="0.79998168889431442"/>
        </patternFill>
      </fill>
    </dxf>
    <dxf>
      <fill>
        <patternFill>
          <bgColor theme="0" tint="-0.34998626667073579"/>
        </patternFill>
      </fill>
    </dxf>
    <dxf>
      <fill>
        <patternFill>
          <bgColor theme="8"/>
        </patternFill>
      </fill>
    </dxf>
    <dxf>
      <fill>
        <patternFill>
          <bgColor theme="7" tint="0.39994506668294322"/>
        </patternFill>
      </fill>
    </dxf>
    <dxf>
      <fill>
        <patternFill>
          <bgColor rgb="FFFF0000"/>
        </patternFill>
      </fill>
    </dxf>
    <dxf>
      <fill>
        <patternFill>
          <bgColor rgb="FFFF9999"/>
        </patternFill>
      </fill>
    </dxf>
    <dxf>
      <fill>
        <patternFill>
          <bgColor rgb="FF66FF66"/>
        </patternFill>
      </fill>
    </dxf>
    <dxf>
      <fill>
        <patternFill>
          <bgColor rgb="FFFFC000"/>
        </patternFill>
      </fill>
    </dxf>
    <dxf>
      <fill>
        <patternFill>
          <bgColor rgb="FF00B050"/>
        </patternFill>
      </fill>
    </dxf>
    <dxf>
      <fill>
        <patternFill>
          <bgColor rgb="FFFF9999"/>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rgb="FF66FF66"/>
        </patternFill>
      </fill>
    </dxf>
    <dxf>
      <fill>
        <patternFill>
          <bgColor rgb="FF00B050"/>
        </patternFill>
      </fill>
    </dxf>
    <dxf>
      <fill>
        <patternFill>
          <bgColor theme="0" tint="-0.34998626667073579"/>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theme="7" tint="0.39994506668294322"/>
        </patternFill>
      </fill>
    </dxf>
    <dxf>
      <fill>
        <patternFill>
          <bgColor theme="0" tint="-0.34998626667073579"/>
        </patternFill>
      </fill>
    </dxf>
    <dxf>
      <fill>
        <patternFill>
          <bgColor rgb="FFFF9999"/>
        </patternFill>
      </fill>
    </dxf>
    <dxf>
      <fill>
        <patternFill>
          <bgColor rgb="FF66FF66"/>
        </patternFill>
      </fill>
    </dxf>
    <dxf>
      <fill>
        <patternFill>
          <bgColor rgb="FFFFC000"/>
        </patternFill>
      </fill>
    </dxf>
    <dxf>
      <fill>
        <patternFill>
          <bgColor theme="8"/>
        </patternFill>
      </fill>
    </dxf>
    <dxf>
      <fill>
        <patternFill>
          <bgColor theme="4" tint="0.79998168889431442"/>
        </patternFill>
      </fill>
    </dxf>
    <dxf>
      <fill>
        <patternFill>
          <bgColor theme="7" tint="-0.24994659260841701"/>
        </patternFill>
      </fill>
    </dxf>
    <dxf>
      <fill>
        <patternFill>
          <bgColor rgb="FF66FF66"/>
        </patternFill>
      </fill>
    </dxf>
    <dxf>
      <fill>
        <patternFill>
          <bgColor rgb="FFFFC000"/>
        </patternFill>
      </fill>
    </dxf>
    <dxf>
      <fill>
        <patternFill>
          <bgColor rgb="FFFF9999"/>
        </patternFill>
      </fill>
    </dxf>
    <dxf>
      <fill>
        <patternFill>
          <bgColor rgb="FFFF0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theme="7" tint="0.39994506668294322"/>
        </patternFill>
      </fill>
    </dxf>
    <dxf>
      <fill>
        <patternFill>
          <bgColor theme="8"/>
        </patternFill>
      </fill>
    </dxf>
    <dxf>
      <fill>
        <patternFill>
          <bgColor rgb="FF66FF66"/>
        </patternFill>
      </fill>
    </dxf>
    <dxf>
      <fill>
        <patternFill>
          <bgColor theme="7" tint="-0.24994659260841701"/>
        </patternFill>
      </fill>
    </dxf>
    <dxf>
      <fill>
        <patternFill>
          <bgColor rgb="FFFF9999"/>
        </patternFill>
      </fill>
    </dxf>
    <dxf>
      <fill>
        <patternFill>
          <bgColor theme="0" tint="-0.34998626667073579"/>
        </patternFill>
      </fill>
    </dxf>
    <dxf>
      <fill>
        <patternFill>
          <bgColor rgb="FFFFC000"/>
        </patternFill>
      </fill>
    </dxf>
    <dxf>
      <fill>
        <patternFill>
          <bgColor rgb="FFFF0000"/>
        </patternFill>
      </fill>
    </dxf>
    <dxf>
      <fill>
        <patternFill>
          <bgColor theme="4" tint="0.79998168889431442"/>
        </patternFill>
      </fill>
    </dxf>
    <dxf>
      <fill>
        <patternFill>
          <bgColor rgb="FF00B050"/>
        </patternFill>
      </fill>
    </dxf>
    <dxf>
      <fill>
        <patternFill>
          <bgColor theme="0" tint="-0.34998626667073579"/>
        </patternFill>
      </fill>
    </dxf>
    <dxf>
      <fill>
        <patternFill>
          <bgColor rgb="FFFF9999"/>
        </patternFill>
      </fill>
    </dxf>
    <dxf>
      <fill>
        <patternFill>
          <bgColor rgb="FF66FF66"/>
        </patternFill>
      </fill>
    </dxf>
    <dxf>
      <fill>
        <patternFill>
          <bgColor rgb="FFFFC000"/>
        </patternFill>
      </fill>
    </dxf>
    <dxf>
      <fill>
        <patternFill>
          <bgColor theme="7" tint="-0.24994659260841701"/>
        </patternFill>
      </fill>
    </dxf>
    <dxf>
      <fill>
        <patternFill>
          <bgColor theme="4" tint="0.79998168889431442"/>
        </patternFill>
      </fill>
    </dxf>
    <dxf>
      <fill>
        <patternFill>
          <bgColor rgb="FFFF0000"/>
        </patternFill>
      </fill>
    </dxf>
    <dxf>
      <fill>
        <patternFill>
          <bgColor theme="7" tint="0.39994506668294322"/>
        </patternFill>
      </fill>
    </dxf>
    <dxf>
      <fill>
        <patternFill>
          <bgColor theme="8"/>
        </patternFill>
      </fill>
    </dxf>
    <dxf>
      <fill>
        <patternFill>
          <bgColor theme="0" tint="-0.34998626667073579"/>
        </patternFill>
      </fill>
    </dxf>
    <dxf>
      <fill>
        <patternFill>
          <bgColor rgb="FFFFC000"/>
        </patternFill>
      </fill>
    </dxf>
    <dxf>
      <fill>
        <patternFill>
          <bgColor theme="7" tint="0.39994506668294322"/>
        </patternFill>
      </fill>
    </dxf>
    <dxf>
      <fill>
        <patternFill>
          <bgColor theme="7" tint="-0.24994659260841701"/>
        </patternFill>
      </fill>
    </dxf>
    <dxf>
      <fill>
        <patternFill>
          <bgColor theme="4" tint="0.79998168889431442"/>
        </patternFill>
      </fill>
    </dxf>
    <dxf>
      <fill>
        <patternFill>
          <bgColor rgb="FF66FF66"/>
        </patternFill>
      </fill>
    </dxf>
    <dxf>
      <fill>
        <patternFill>
          <bgColor rgb="FFFF9999"/>
        </patternFill>
      </fill>
    </dxf>
    <dxf>
      <fill>
        <patternFill>
          <bgColor theme="8"/>
        </patternFill>
      </fill>
    </dxf>
    <dxf>
      <fill>
        <patternFill>
          <bgColor rgb="FFFF0000"/>
        </patternFill>
      </fill>
    </dxf>
    <dxf>
      <fill>
        <patternFill>
          <bgColor rgb="FF00B050"/>
        </patternFill>
      </fill>
    </dxf>
    <dxf>
      <fill>
        <patternFill>
          <bgColor theme="4" tint="0.79998168889431442"/>
        </patternFill>
      </fill>
    </dxf>
    <dxf>
      <fill>
        <patternFill>
          <bgColor rgb="FF66FF66"/>
        </patternFill>
      </fill>
    </dxf>
    <dxf>
      <fill>
        <patternFill>
          <bgColor rgb="FFFFC000"/>
        </patternFill>
      </fill>
    </dxf>
    <dxf>
      <fill>
        <patternFill>
          <bgColor theme="7" tint="-0.24994659260841701"/>
        </patternFill>
      </fill>
    </dxf>
    <dxf>
      <fill>
        <patternFill>
          <bgColor rgb="FFFF9999"/>
        </patternFill>
      </fill>
    </dxf>
    <dxf>
      <fill>
        <patternFill>
          <bgColor rgb="FFFF0000"/>
        </patternFill>
      </fill>
    </dxf>
    <dxf>
      <fill>
        <patternFill>
          <bgColor theme="8"/>
        </patternFill>
      </fill>
    </dxf>
    <dxf>
      <fill>
        <patternFill>
          <bgColor theme="7" tint="0.39994506668294322"/>
        </patternFill>
      </fill>
    </dxf>
    <dxf>
      <fill>
        <patternFill>
          <bgColor theme="0" tint="-0.34998626667073579"/>
        </patternFill>
      </fill>
    </dxf>
    <dxf>
      <fill>
        <patternFill>
          <bgColor rgb="FFFF0000"/>
        </patternFill>
      </fill>
    </dxf>
    <dxf>
      <fill>
        <patternFill>
          <bgColor theme="4" tint="0.79998168889431442"/>
        </patternFill>
      </fill>
    </dxf>
    <dxf>
      <fill>
        <patternFill>
          <bgColor theme="7" tint="-0.24994659260841701"/>
        </patternFill>
      </fill>
    </dxf>
    <dxf>
      <fill>
        <patternFill>
          <bgColor theme="7" tint="0.39994506668294322"/>
        </patternFill>
      </fill>
    </dxf>
    <dxf>
      <fill>
        <patternFill>
          <bgColor rgb="FFFFC000"/>
        </patternFill>
      </fill>
    </dxf>
    <dxf>
      <fill>
        <patternFill>
          <bgColor theme="8"/>
        </patternFill>
      </fill>
    </dxf>
    <dxf>
      <fill>
        <patternFill>
          <bgColor rgb="FFFF9999"/>
        </patternFill>
      </fill>
    </dxf>
    <dxf>
      <fill>
        <patternFill>
          <bgColor theme="0" tint="-0.34998626667073579"/>
        </patternFill>
      </fill>
    </dxf>
    <dxf>
      <fill>
        <patternFill>
          <bgColor rgb="FF66FF66"/>
        </patternFill>
      </fill>
    </dxf>
    <dxf>
      <fill>
        <patternFill>
          <bgColor theme="4" tint="0.79998168889431442"/>
        </patternFill>
      </fill>
    </dxf>
    <dxf>
      <fill>
        <patternFill>
          <bgColor theme="8"/>
        </patternFill>
      </fill>
    </dxf>
    <dxf>
      <fill>
        <patternFill>
          <bgColor theme="7" tint="0.39994506668294322"/>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rgb="FF00B050"/>
        </patternFill>
      </fill>
    </dxf>
    <dxf>
      <fill>
        <patternFill>
          <bgColor rgb="FFFF0000"/>
        </patternFill>
      </fill>
    </dxf>
    <dxf>
      <fill>
        <patternFill>
          <bgColor rgb="FFFF9999"/>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rgb="FFFF0000"/>
        </patternFill>
      </fill>
    </dxf>
    <dxf>
      <fill>
        <patternFill>
          <bgColor theme="7" tint="0.39994506668294322"/>
        </patternFill>
      </fill>
    </dxf>
    <dxf>
      <fill>
        <patternFill>
          <bgColor theme="8"/>
        </patternFill>
      </fill>
    </dxf>
    <dxf>
      <fill>
        <patternFill>
          <bgColor rgb="FF00B050"/>
        </patternFill>
      </fill>
    </dxf>
    <dxf>
      <fill>
        <patternFill>
          <bgColor theme="4" tint="0.79998168889431442"/>
        </patternFill>
      </fill>
    </dxf>
    <dxf>
      <fill>
        <patternFill>
          <bgColor rgb="FFFF0000"/>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theme="7" tint="-0.24994659260841701"/>
        </patternFill>
      </fill>
    </dxf>
    <dxf>
      <fill>
        <patternFill>
          <bgColor theme="4" tint="0.79998168889431442"/>
        </patternFill>
      </fill>
    </dxf>
    <dxf>
      <fill>
        <patternFill>
          <bgColor theme="0" tint="-0.34998626667073579"/>
        </patternFill>
      </fill>
    </dxf>
    <dxf>
      <fill>
        <patternFill>
          <bgColor theme="7" tint="0.39994506668294322"/>
        </patternFill>
      </fill>
    </dxf>
    <dxf>
      <fill>
        <patternFill>
          <bgColor theme="8"/>
        </patternFill>
      </fill>
    </dxf>
    <dxf>
      <fill>
        <patternFill>
          <bgColor rgb="FFFFC000"/>
        </patternFill>
      </fill>
    </dxf>
    <dxf>
      <fill>
        <patternFill>
          <bgColor rgb="FF66FF66"/>
        </patternFill>
      </fill>
    </dxf>
    <dxf>
      <fill>
        <patternFill>
          <bgColor rgb="FFFF9999"/>
        </patternFill>
      </fill>
    </dxf>
    <dxf>
      <fill>
        <patternFill>
          <bgColor rgb="FFFF0000"/>
        </patternFill>
      </fill>
    </dxf>
    <dxf>
      <fill>
        <patternFill>
          <bgColor rgb="FFFF9999"/>
        </patternFill>
      </fill>
    </dxf>
    <dxf>
      <fill>
        <patternFill>
          <bgColor rgb="FF00B050"/>
        </patternFill>
      </fill>
    </dxf>
    <dxf>
      <fill>
        <patternFill>
          <bgColor rgb="FFFF0000"/>
        </patternFill>
      </fill>
    </dxf>
    <dxf>
      <fill>
        <patternFill>
          <bgColor theme="7" tint="0.39994506668294322"/>
        </patternFill>
      </fill>
    </dxf>
    <dxf>
      <fill>
        <patternFill>
          <bgColor theme="8"/>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7" tint="0.39994506668294322"/>
        </patternFill>
      </fill>
    </dxf>
    <dxf>
      <fill>
        <patternFill>
          <bgColor rgb="FFFF9999"/>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0000"/>
        </patternFill>
      </fill>
    </dxf>
    <dxf>
      <fill>
        <patternFill>
          <bgColor rgb="FFFFC000"/>
        </patternFill>
      </fill>
    </dxf>
    <dxf>
      <fill>
        <patternFill>
          <bgColor rgb="FF66FF66"/>
        </patternFill>
      </fill>
    </dxf>
    <dxf>
      <fill>
        <patternFill>
          <bgColor theme="8"/>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theme="4" tint="0.79998168889431442"/>
        </patternFill>
      </fill>
    </dxf>
    <dxf>
      <fill>
        <patternFill>
          <bgColor rgb="FF00B050"/>
        </patternFill>
      </fill>
    </dxf>
    <dxf>
      <fill>
        <patternFill>
          <bgColor rgb="FFFF0000"/>
        </patternFill>
      </fill>
    </dxf>
    <dxf>
      <fill>
        <patternFill>
          <bgColor theme="8"/>
        </patternFill>
      </fill>
    </dxf>
    <dxf>
      <fill>
        <patternFill>
          <bgColor theme="7" tint="0.39994506668294322"/>
        </patternFill>
      </fill>
    </dxf>
    <dxf>
      <fill>
        <patternFill>
          <bgColor theme="7" tint="-0.24994659260841701"/>
        </patternFill>
      </fill>
    </dxf>
    <dxf>
      <fill>
        <patternFill>
          <bgColor theme="8"/>
        </patternFill>
      </fill>
    </dxf>
    <dxf>
      <fill>
        <patternFill>
          <bgColor rgb="FFFF0000"/>
        </patternFill>
      </fill>
    </dxf>
    <dxf>
      <fill>
        <patternFill>
          <bgColor rgb="FF00B050"/>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theme="7" tint="0.39994506668294322"/>
        </patternFill>
      </fill>
    </dxf>
    <dxf>
      <fill>
        <patternFill>
          <bgColor rgb="FFFF9999"/>
        </patternFill>
      </fill>
    </dxf>
    <dxf>
      <fill>
        <patternFill>
          <bgColor rgb="FFFF9999"/>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rgb="FF66FF66"/>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rgb="FFFF0000"/>
        </patternFill>
      </fill>
    </dxf>
    <dxf>
      <fill>
        <patternFill>
          <bgColor rgb="FFFF9999"/>
        </patternFill>
      </fill>
    </dxf>
    <dxf>
      <fill>
        <patternFill>
          <bgColor rgb="FFFF0000"/>
        </patternFill>
      </fill>
    </dxf>
    <dxf>
      <fill>
        <patternFill>
          <bgColor theme="8"/>
        </patternFill>
      </fill>
    </dxf>
    <dxf>
      <fill>
        <patternFill>
          <bgColor rgb="FFFF9999"/>
        </patternFill>
      </fill>
    </dxf>
    <dxf>
      <fill>
        <patternFill>
          <bgColor rgb="FF66FF66"/>
        </patternFill>
      </fill>
    </dxf>
    <dxf>
      <fill>
        <patternFill>
          <bgColor theme="4" tint="0.79998168889431442"/>
        </patternFill>
      </fill>
    </dxf>
    <dxf>
      <fill>
        <patternFill>
          <bgColor theme="7" tint="0.39994506668294322"/>
        </patternFill>
      </fill>
    </dxf>
    <dxf>
      <fill>
        <patternFill>
          <bgColor theme="7" tint="-0.24994659260841701"/>
        </patternFill>
      </fill>
    </dxf>
    <dxf>
      <fill>
        <patternFill>
          <bgColor rgb="FFFFC000"/>
        </patternFill>
      </fill>
    </dxf>
    <dxf>
      <fill>
        <patternFill>
          <bgColor theme="0" tint="-0.34998626667073579"/>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theme="4" tint="0.79998168889431442"/>
        </patternFill>
      </fill>
    </dxf>
    <dxf>
      <fill>
        <patternFill>
          <bgColor theme="8"/>
        </patternFill>
      </fill>
    </dxf>
    <dxf>
      <fill>
        <patternFill>
          <bgColor rgb="FFFF0000"/>
        </patternFill>
      </fill>
    </dxf>
    <dxf>
      <fill>
        <patternFill>
          <bgColor theme="7" tint="0.39994506668294322"/>
        </patternFill>
      </fill>
    </dxf>
    <dxf>
      <fill>
        <patternFill>
          <bgColor theme="7" tint="0.39994506668294322"/>
        </patternFill>
      </fill>
    </dxf>
    <dxf>
      <fill>
        <patternFill>
          <bgColor rgb="FFFFC000"/>
        </patternFill>
      </fill>
    </dxf>
    <dxf>
      <fill>
        <patternFill>
          <bgColor rgb="FF00B050"/>
        </patternFill>
      </fill>
    </dxf>
    <dxf>
      <fill>
        <patternFill>
          <bgColor rgb="FFFF0000"/>
        </patternFill>
      </fill>
    </dxf>
    <dxf>
      <fill>
        <patternFill>
          <bgColor theme="8"/>
        </patternFill>
      </fill>
    </dxf>
    <dxf>
      <fill>
        <patternFill>
          <bgColor theme="4" tint="0.79998168889431442"/>
        </patternFill>
      </fill>
    </dxf>
    <dxf>
      <fill>
        <patternFill>
          <bgColor theme="7" tint="-0.24994659260841701"/>
        </patternFill>
      </fill>
    </dxf>
    <dxf>
      <fill>
        <patternFill>
          <bgColor rgb="FF66FF66"/>
        </patternFill>
      </fill>
    </dxf>
    <dxf>
      <fill>
        <patternFill>
          <bgColor rgb="FFFF9999"/>
        </patternFill>
      </fill>
    </dxf>
    <dxf>
      <fill>
        <patternFill>
          <bgColor theme="0" tint="-0.34998626667073579"/>
        </patternFill>
      </fill>
    </dxf>
    <dxf>
      <fill>
        <patternFill>
          <bgColor theme="8"/>
        </patternFill>
      </fill>
    </dxf>
    <dxf>
      <fill>
        <patternFill>
          <bgColor theme="7" tint="0.39994506668294322"/>
        </patternFill>
      </fill>
    </dxf>
    <dxf>
      <fill>
        <patternFill>
          <bgColor theme="4" tint="0.79998168889431442"/>
        </patternFill>
      </fill>
    </dxf>
    <dxf>
      <fill>
        <patternFill>
          <bgColor rgb="FFFF0000"/>
        </patternFill>
      </fill>
    </dxf>
    <dxf>
      <fill>
        <patternFill>
          <bgColor rgb="FFFF9999"/>
        </patternFill>
      </fill>
    </dxf>
    <dxf>
      <fill>
        <patternFill>
          <bgColor rgb="FF66FF66"/>
        </patternFill>
      </fill>
    </dxf>
    <dxf>
      <fill>
        <patternFill>
          <bgColor rgb="FFFFC000"/>
        </patternFill>
      </fill>
    </dxf>
    <dxf>
      <fill>
        <patternFill>
          <bgColor rgb="FF00B050"/>
        </patternFill>
      </fill>
    </dxf>
    <dxf>
      <fill>
        <patternFill>
          <bgColor theme="0" tint="-0.34998626667073579"/>
        </patternFill>
      </fill>
    </dxf>
    <dxf>
      <fill>
        <patternFill>
          <bgColor theme="7" tint="-0.24994659260841701"/>
        </patternFill>
      </fill>
    </dxf>
    <dxf>
      <fill>
        <patternFill>
          <bgColor rgb="FF66FF66"/>
        </patternFill>
      </fill>
    </dxf>
    <dxf>
      <fill>
        <patternFill>
          <bgColor theme="8"/>
        </patternFill>
      </fill>
    </dxf>
    <dxf>
      <fill>
        <patternFill>
          <bgColor rgb="FFFF0000"/>
        </patternFill>
      </fill>
    </dxf>
    <dxf>
      <fill>
        <patternFill>
          <bgColor rgb="FFFF9999"/>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theme="7" tint="0.39994506668294322"/>
        </patternFill>
      </fill>
    </dxf>
    <dxf>
      <fill>
        <patternFill>
          <bgColor theme="7" tint="0.39994506668294322"/>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9999"/>
        </patternFill>
      </fill>
    </dxf>
    <dxf>
      <fill>
        <patternFill>
          <bgColor rgb="FF66FF66"/>
        </patternFill>
      </fill>
    </dxf>
    <dxf>
      <fill>
        <patternFill>
          <bgColor theme="8"/>
        </patternFill>
      </fill>
    </dxf>
    <dxf>
      <fill>
        <patternFill>
          <bgColor rgb="FFFF0000"/>
        </patternFill>
      </fill>
    </dxf>
    <dxf>
      <fill>
        <patternFill>
          <bgColor rgb="FF00B050"/>
        </patternFill>
      </fill>
    </dxf>
    <dxf>
      <fill>
        <patternFill>
          <bgColor rgb="FFFFC000"/>
        </patternFill>
      </fill>
    </dxf>
    <dxf>
      <fill>
        <patternFill>
          <bgColor rgb="FF66FF66"/>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rgb="FFFFC000"/>
        </patternFill>
      </fill>
    </dxf>
    <dxf>
      <fill>
        <patternFill>
          <bgColor theme="0" tint="-0.34998626667073579"/>
        </patternFill>
      </fill>
    </dxf>
    <dxf>
      <fill>
        <patternFill>
          <bgColor rgb="FFFF9999"/>
        </patternFill>
      </fill>
    </dxf>
    <dxf>
      <fill>
        <patternFill>
          <bgColor rgb="FFFF0000"/>
        </patternFill>
      </fill>
    </dxf>
    <dxf>
      <fill>
        <patternFill>
          <bgColor rgb="FF00B050"/>
        </patternFill>
      </fill>
    </dxf>
    <dxf>
      <fill>
        <patternFill>
          <bgColor rgb="FFFFC000"/>
        </patternFill>
      </fill>
    </dxf>
    <dxf>
      <fill>
        <patternFill>
          <bgColor theme="0" tint="-0.34998626667073579"/>
        </patternFill>
      </fill>
    </dxf>
    <dxf>
      <fill>
        <patternFill>
          <bgColor theme="7" tint="-0.24994659260841701"/>
        </patternFill>
      </fill>
    </dxf>
    <dxf>
      <fill>
        <patternFill>
          <bgColor theme="8"/>
        </patternFill>
      </fill>
    </dxf>
    <dxf>
      <fill>
        <patternFill>
          <bgColor theme="4" tint="0.79998168889431442"/>
        </patternFill>
      </fill>
    </dxf>
    <dxf>
      <fill>
        <patternFill>
          <bgColor theme="7" tint="0.39994506668294322"/>
        </patternFill>
      </fill>
    </dxf>
    <dxf>
      <fill>
        <patternFill>
          <bgColor rgb="FF00B050"/>
        </patternFill>
      </fill>
    </dxf>
    <dxf>
      <fill>
        <patternFill>
          <bgColor rgb="FFFF9999"/>
        </patternFill>
      </fill>
    </dxf>
    <dxf>
      <fill>
        <patternFill>
          <bgColor rgb="FF66FF66"/>
        </patternFill>
      </fill>
    </dxf>
    <dxf>
      <fill>
        <patternFill>
          <bgColor rgb="FFFF0000"/>
        </patternFill>
      </fill>
    </dxf>
    <dxf>
      <fill>
        <patternFill>
          <bgColor rgb="FFFFC000"/>
        </patternFill>
      </fill>
    </dxf>
    <dxf>
      <fill>
        <patternFill>
          <bgColor theme="8"/>
        </patternFill>
      </fill>
    </dxf>
    <dxf>
      <fill>
        <patternFill>
          <bgColor theme="7" tint="0.39994506668294322"/>
        </patternFill>
      </fill>
    </dxf>
    <dxf>
      <fill>
        <patternFill>
          <bgColor rgb="FFFF9999"/>
        </patternFill>
      </fill>
    </dxf>
    <dxf>
      <fill>
        <patternFill>
          <bgColor rgb="FF66FF66"/>
        </patternFill>
      </fill>
    </dxf>
    <dxf>
      <fill>
        <patternFill>
          <bgColor rgb="FF00B050"/>
        </patternFill>
      </fill>
    </dxf>
    <dxf>
      <fill>
        <patternFill>
          <bgColor rgb="FFFF0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rgb="FF66FF66"/>
        </patternFill>
      </fill>
    </dxf>
    <dxf>
      <fill>
        <patternFill>
          <bgColor rgb="FFFFC000"/>
        </patternFill>
      </fill>
    </dxf>
    <dxf>
      <fill>
        <patternFill>
          <bgColor theme="0" tint="-0.34998626667073579"/>
        </patternFill>
      </fill>
    </dxf>
    <dxf>
      <fill>
        <patternFill>
          <bgColor rgb="FF00B050"/>
        </patternFill>
      </fill>
    </dxf>
    <dxf>
      <fill>
        <patternFill>
          <bgColor rgb="FFFF9999"/>
        </patternFill>
      </fill>
    </dxf>
    <dxf>
      <fill>
        <patternFill>
          <bgColor theme="7" tint="-0.24994659260841701"/>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theme="8"/>
        </patternFill>
      </fill>
    </dxf>
    <dxf>
      <fill>
        <patternFill>
          <bgColor theme="7" tint="0.39994506668294322"/>
        </patternFill>
      </fill>
    </dxf>
    <dxf>
      <fill>
        <patternFill>
          <bgColor rgb="FF66FF66"/>
        </patternFill>
      </fill>
    </dxf>
    <dxf>
      <fill>
        <patternFill>
          <bgColor rgb="FFFF0000"/>
        </patternFill>
      </fill>
    </dxf>
    <dxf>
      <fill>
        <patternFill>
          <bgColor rgb="FF00B050"/>
        </patternFill>
      </fill>
    </dxf>
    <dxf>
      <fill>
        <patternFill>
          <bgColor theme="4" tint="0.79998168889431442"/>
        </patternFill>
      </fill>
    </dxf>
    <dxf>
      <fill>
        <patternFill>
          <bgColor rgb="FFFF9999"/>
        </patternFill>
      </fill>
    </dxf>
    <dxf>
      <fill>
        <patternFill>
          <bgColor theme="7" tint="-0.24994659260841701"/>
        </patternFill>
      </fill>
    </dxf>
    <dxf>
      <fill>
        <patternFill>
          <bgColor theme="0" tint="-0.34998626667073579"/>
        </patternFill>
      </fill>
    </dxf>
    <dxf>
      <fill>
        <patternFill>
          <bgColor rgb="FFFFC000"/>
        </patternFill>
      </fill>
    </dxf>
    <dxf>
      <fill>
        <patternFill>
          <bgColor theme="7" tint="0.39994506668294322"/>
        </patternFill>
      </fill>
    </dxf>
    <dxf>
      <fill>
        <patternFill>
          <bgColor theme="7" tint="-0.24994659260841701"/>
        </patternFill>
      </fill>
    </dxf>
    <dxf>
      <fill>
        <patternFill>
          <bgColor theme="4" tint="0.79998168889431442"/>
        </patternFill>
      </fill>
    </dxf>
    <dxf>
      <fill>
        <patternFill>
          <bgColor rgb="FF00B050"/>
        </patternFill>
      </fill>
    </dxf>
    <dxf>
      <fill>
        <patternFill>
          <bgColor theme="8"/>
        </patternFill>
      </fill>
    </dxf>
    <dxf>
      <fill>
        <patternFill>
          <bgColor rgb="FFFFC000"/>
        </patternFill>
      </fill>
    </dxf>
    <dxf>
      <fill>
        <patternFill>
          <bgColor rgb="FF66FF66"/>
        </patternFill>
      </fill>
    </dxf>
    <dxf>
      <fill>
        <patternFill>
          <bgColor rgb="FFFF9999"/>
        </patternFill>
      </fill>
    </dxf>
    <dxf>
      <fill>
        <patternFill>
          <bgColor theme="0" tint="-0.34998626667073579"/>
        </patternFill>
      </fill>
    </dxf>
    <dxf>
      <fill>
        <patternFill>
          <bgColor rgb="FFFF0000"/>
        </patternFill>
      </fill>
    </dxf>
    <dxf>
      <fill>
        <patternFill>
          <bgColor rgb="FFFFC000"/>
        </patternFill>
      </fill>
    </dxf>
    <dxf>
      <fill>
        <patternFill>
          <bgColor rgb="FF66FF66"/>
        </patternFill>
      </fill>
    </dxf>
    <dxf>
      <fill>
        <patternFill>
          <bgColor rgb="FFFF9999"/>
        </patternFill>
      </fill>
    </dxf>
    <dxf>
      <fill>
        <patternFill>
          <bgColor theme="7" tint="-0.24994659260841701"/>
        </patternFill>
      </fill>
    </dxf>
    <dxf>
      <fill>
        <patternFill>
          <bgColor rgb="FF00B050"/>
        </patternFill>
      </fill>
    </dxf>
    <dxf>
      <fill>
        <patternFill>
          <bgColor theme="7" tint="0.39994506668294322"/>
        </patternFill>
      </fill>
    </dxf>
    <dxf>
      <fill>
        <patternFill>
          <bgColor theme="8"/>
        </patternFill>
      </fill>
    </dxf>
    <dxf>
      <fill>
        <patternFill>
          <bgColor theme="4" tint="0.79998168889431442"/>
        </patternFill>
      </fill>
    </dxf>
    <dxf>
      <fill>
        <patternFill>
          <bgColor rgb="FFFF0000"/>
        </patternFill>
      </fill>
    </dxf>
    <dxf>
      <fill>
        <patternFill>
          <bgColor theme="0" tint="-0.34998626667073579"/>
        </patternFill>
      </fill>
    </dxf>
    <dxf>
      <fill>
        <patternFill>
          <bgColor rgb="FF66FF66"/>
        </patternFill>
      </fill>
    </dxf>
    <dxf>
      <fill>
        <patternFill>
          <bgColor theme="7" tint="0.39994506668294322"/>
        </patternFill>
      </fill>
    </dxf>
    <dxf>
      <fill>
        <patternFill>
          <bgColor rgb="FFFF9999"/>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0000"/>
        </patternFill>
      </fill>
    </dxf>
    <dxf>
      <fill>
        <patternFill>
          <bgColor rgb="FF00B050"/>
        </patternFill>
      </fill>
    </dxf>
    <dxf>
      <fill>
        <patternFill>
          <bgColor rgb="FFFFC000"/>
        </patternFill>
      </fill>
    </dxf>
    <dxf>
      <fill>
        <patternFill>
          <bgColor rgb="FFFF9999"/>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66FF66"/>
        </patternFill>
      </fill>
    </dxf>
    <dxf>
      <fill>
        <patternFill>
          <bgColor rgb="FFFFC000"/>
        </patternFill>
      </fill>
    </dxf>
    <dxf>
      <fill>
        <patternFill>
          <bgColor rgb="FF00B050"/>
        </patternFill>
      </fill>
    </dxf>
    <dxf>
      <fill>
        <patternFill>
          <bgColor rgb="FFFF0000"/>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theme="8"/>
        </patternFill>
      </fill>
    </dxf>
    <dxf>
      <fill>
        <patternFill>
          <bgColor rgb="FFFF0000"/>
        </patternFill>
      </fill>
    </dxf>
    <dxf>
      <fill>
        <patternFill>
          <bgColor theme="7" tint="0.39994506668294322"/>
        </patternFill>
      </fill>
    </dxf>
    <dxf>
      <fill>
        <patternFill>
          <bgColor rgb="FF00B050"/>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theme="7" tint="0.39994506668294322"/>
        </patternFill>
      </fill>
    </dxf>
    <dxf>
      <fill>
        <patternFill>
          <bgColor rgb="FFFF0000"/>
        </patternFill>
      </fill>
    </dxf>
    <dxf>
      <fill>
        <patternFill>
          <bgColor rgb="FF66FF66"/>
        </patternFill>
      </fill>
    </dxf>
    <dxf>
      <fill>
        <patternFill>
          <bgColor rgb="FF00B050"/>
        </patternFill>
      </fill>
    </dxf>
    <dxf>
      <fill>
        <patternFill>
          <bgColor theme="8"/>
        </patternFill>
      </fill>
    </dxf>
    <dxf>
      <fill>
        <patternFill>
          <bgColor rgb="FFFF9999"/>
        </patternFill>
      </fill>
    </dxf>
    <dxf>
      <fill>
        <patternFill>
          <bgColor theme="7" tint="-0.24994659260841701"/>
        </patternFill>
      </fill>
    </dxf>
    <dxf>
      <fill>
        <patternFill>
          <bgColor theme="0" tint="-0.34998626667073579"/>
        </patternFill>
      </fill>
    </dxf>
    <dxf>
      <fill>
        <patternFill>
          <bgColor theme="4" tint="0.79998168889431442"/>
        </patternFill>
      </fill>
    </dxf>
    <dxf>
      <fill>
        <patternFill>
          <bgColor theme="8"/>
        </patternFill>
      </fill>
    </dxf>
    <dxf>
      <fill>
        <patternFill>
          <bgColor rgb="FFFFC000"/>
        </patternFill>
      </fill>
    </dxf>
    <dxf>
      <fill>
        <patternFill>
          <bgColor theme="7" tint="0.39994506668294322"/>
        </patternFill>
      </fill>
    </dxf>
    <dxf>
      <fill>
        <patternFill>
          <bgColor rgb="FFFF0000"/>
        </patternFill>
      </fill>
    </dxf>
    <dxf>
      <fill>
        <patternFill>
          <bgColor rgb="FF66FF66"/>
        </patternFill>
      </fill>
    </dxf>
    <dxf>
      <fill>
        <patternFill>
          <bgColor rgb="FF00B050"/>
        </patternFill>
      </fill>
    </dxf>
    <dxf>
      <fill>
        <patternFill>
          <bgColor rgb="FFFF9999"/>
        </patternFill>
      </fill>
    </dxf>
    <dxf>
      <fill>
        <patternFill>
          <bgColor theme="4" tint="0.79998168889431442"/>
        </patternFill>
      </fill>
    </dxf>
    <dxf>
      <fill>
        <patternFill>
          <bgColor rgb="FF66FF66"/>
        </patternFill>
      </fill>
    </dxf>
    <dxf>
      <fill>
        <patternFill>
          <bgColor theme="7" tint="0.39994506668294322"/>
        </patternFill>
      </fill>
    </dxf>
    <dxf>
      <fill>
        <patternFill>
          <bgColor rgb="FFFF0000"/>
        </patternFill>
      </fill>
    </dxf>
    <dxf>
      <fill>
        <patternFill>
          <bgColor theme="7" tint="-0.24994659260841701"/>
        </patternFill>
      </fill>
    </dxf>
    <dxf>
      <fill>
        <patternFill>
          <bgColor rgb="FF00B050"/>
        </patternFill>
      </fill>
    </dxf>
    <dxf>
      <fill>
        <patternFill>
          <bgColor theme="8"/>
        </patternFill>
      </fill>
    </dxf>
    <dxf>
      <fill>
        <patternFill>
          <bgColor theme="0" tint="-0.34998626667073579"/>
        </patternFill>
      </fill>
    </dxf>
    <dxf>
      <fill>
        <patternFill>
          <bgColor rgb="FFFF9999"/>
        </patternFill>
      </fill>
    </dxf>
    <dxf>
      <fill>
        <patternFill>
          <bgColor rgb="FFFFC000"/>
        </patternFill>
      </fill>
    </dxf>
    <dxf>
      <fill>
        <patternFill>
          <bgColor theme="7" tint="-0.24994659260841701"/>
        </patternFill>
      </fill>
    </dxf>
    <dxf>
      <fill>
        <patternFill>
          <bgColor theme="8"/>
        </patternFill>
      </fill>
    </dxf>
    <dxf>
      <fill>
        <patternFill>
          <bgColor theme="7" tint="0.39994506668294322"/>
        </patternFill>
      </fill>
    </dxf>
    <dxf>
      <fill>
        <patternFill>
          <bgColor theme="0" tint="-0.34998626667073579"/>
        </patternFill>
      </fill>
    </dxf>
    <dxf>
      <fill>
        <patternFill>
          <bgColor rgb="FF00B050"/>
        </patternFill>
      </fill>
    </dxf>
    <dxf>
      <fill>
        <patternFill>
          <bgColor rgb="FFFF0000"/>
        </patternFill>
      </fill>
    </dxf>
    <dxf>
      <fill>
        <patternFill>
          <bgColor theme="4" tint="0.79998168889431442"/>
        </patternFill>
      </fill>
    </dxf>
    <dxf>
      <fill>
        <patternFill>
          <bgColor rgb="FF66FF66"/>
        </patternFill>
      </fill>
    </dxf>
    <dxf>
      <fill>
        <patternFill>
          <bgColor rgb="FFFF9999"/>
        </patternFill>
      </fill>
    </dxf>
    <dxf>
      <fill>
        <patternFill>
          <bgColor rgb="FFFFC000"/>
        </patternFill>
      </fill>
    </dxf>
    <dxf>
      <fill>
        <patternFill>
          <bgColor rgb="FFFF0000"/>
        </patternFill>
      </fill>
    </dxf>
    <dxf>
      <fill>
        <patternFill>
          <bgColor rgb="FFFFC000"/>
        </patternFill>
      </fill>
    </dxf>
    <dxf>
      <fill>
        <patternFill>
          <bgColor theme="0" tint="-0.34998626667073579"/>
        </patternFill>
      </fill>
    </dxf>
    <dxf>
      <fill>
        <patternFill>
          <bgColor theme="8"/>
        </patternFill>
      </fill>
    </dxf>
    <dxf>
      <fill>
        <patternFill>
          <bgColor rgb="FF66FF66"/>
        </patternFill>
      </fill>
    </dxf>
    <dxf>
      <fill>
        <patternFill>
          <bgColor rgb="FFFF9999"/>
        </patternFill>
      </fill>
    </dxf>
    <dxf>
      <fill>
        <patternFill>
          <bgColor theme="7" tint="0.39994506668294322"/>
        </patternFill>
      </fill>
    </dxf>
    <dxf>
      <fill>
        <patternFill>
          <bgColor theme="7" tint="-0.24994659260841701"/>
        </patternFill>
      </fill>
    </dxf>
    <dxf>
      <fill>
        <patternFill>
          <bgColor rgb="FF00B050"/>
        </patternFill>
      </fill>
    </dxf>
    <dxf>
      <fill>
        <patternFill>
          <bgColor theme="4" tint="0.79998168889431442"/>
        </patternFill>
      </fill>
    </dxf>
    <dxf>
      <fill>
        <patternFill>
          <bgColor rgb="FF00B050"/>
        </patternFill>
      </fill>
    </dxf>
    <dxf>
      <fill>
        <patternFill>
          <bgColor rgb="FFFF0000"/>
        </patternFill>
      </fill>
    </dxf>
    <dxf>
      <fill>
        <patternFill>
          <bgColor theme="7" tint="0.39994506668294322"/>
        </patternFill>
      </fill>
    </dxf>
    <dxf>
      <fill>
        <patternFill>
          <bgColor theme="8"/>
        </patternFill>
      </fill>
    </dxf>
    <dxf>
      <fill>
        <patternFill>
          <bgColor rgb="FFFF9999"/>
        </patternFill>
      </fill>
    </dxf>
    <dxf>
      <fill>
        <patternFill>
          <bgColor rgb="FF66FF66"/>
        </patternFill>
      </fill>
    </dxf>
    <dxf>
      <fill>
        <patternFill>
          <bgColor rgb="FFFFC000"/>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theme="4" tint="0.79998168889431442"/>
        </patternFill>
      </fill>
    </dxf>
    <dxf>
      <fill>
        <patternFill>
          <bgColor rgb="FFFFC000"/>
        </patternFill>
      </fill>
    </dxf>
    <dxf>
      <fill>
        <patternFill>
          <bgColor theme="7" tint="0.39994506668294322"/>
        </patternFill>
      </fill>
    </dxf>
    <dxf>
      <fill>
        <patternFill>
          <bgColor rgb="FFFF9999"/>
        </patternFill>
      </fill>
    </dxf>
    <dxf>
      <fill>
        <patternFill>
          <bgColor rgb="FF66FF66"/>
        </patternFill>
      </fill>
    </dxf>
    <dxf>
      <fill>
        <patternFill>
          <bgColor theme="7" tint="-0.24994659260841701"/>
        </patternFill>
      </fill>
    </dxf>
    <dxf>
      <fill>
        <patternFill>
          <bgColor theme="8"/>
        </patternFill>
      </fill>
    </dxf>
    <dxf>
      <fill>
        <patternFill>
          <bgColor rgb="FFFF0000"/>
        </patternFill>
      </fill>
    </dxf>
    <dxf>
      <fill>
        <patternFill>
          <bgColor theme="0" tint="-0.34998626667073579"/>
        </patternFill>
      </fill>
    </dxf>
    <dxf>
      <fill>
        <patternFill>
          <bgColor rgb="FFFF9999"/>
        </patternFill>
      </fill>
    </dxf>
    <dxf>
      <fill>
        <patternFill>
          <bgColor rgb="FF66FF66"/>
        </patternFill>
      </fill>
    </dxf>
    <dxf>
      <fill>
        <patternFill>
          <bgColor rgb="FFFFC000"/>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theme="0" tint="-0.34998626667073579"/>
        </patternFill>
      </fill>
    </dxf>
    <dxf>
      <fill>
        <patternFill>
          <bgColor rgb="FFFF0000"/>
        </patternFill>
      </fill>
    </dxf>
    <dxf>
      <fill>
        <patternFill>
          <bgColor theme="7" tint="-0.24994659260841701"/>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4" tint="0.79998168889431442"/>
        </patternFill>
      </fill>
    </dxf>
    <dxf>
      <fill>
        <patternFill>
          <bgColor theme="8"/>
        </patternFill>
      </fill>
    </dxf>
    <dxf>
      <fill>
        <patternFill>
          <bgColor rgb="FFFF0000"/>
        </patternFill>
      </fill>
    </dxf>
    <dxf>
      <fill>
        <patternFill>
          <bgColor theme="7" tint="0.39994506668294322"/>
        </patternFill>
      </fill>
    </dxf>
    <dxf>
      <fill>
        <patternFill>
          <bgColor rgb="FFFF0000"/>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7" tint="0.39994506668294322"/>
        </patternFill>
      </fill>
    </dxf>
    <dxf>
      <fill>
        <patternFill>
          <bgColor theme="8"/>
        </patternFill>
      </fill>
    </dxf>
    <dxf>
      <fill>
        <patternFill>
          <bgColor rgb="FFFF9999"/>
        </patternFill>
      </fill>
    </dxf>
    <dxf>
      <fill>
        <patternFill>
          <bgColor rgb="FF66FF66"/>
        </patternFill>
      </fill>
    </dxf>
    <dxf>
      <fill>
        <patternFill>
          <bgColor rgb="FFFF0000"/>
        </patternFill>
      </fill>
    </dxf>
    <dxf>
      <fill>
        <patternFill>
          <bgColor theme="7" tint="0.39994506668294322"/>
        </patternFill>
      </fill>
    </dxf>
    <dxf>
      <fill>
        <patternFill>
          <bgColor theme="8"/>
        </patternFill>
      </fill>
    </dxf>
    <dxf>
      <fill>
        <patternFill>
          <bgColor rgb="FFFFC000"/>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9999"/>
        </patternFill>
      </fill>
    </dxf>
    <dxf>
      <fill>
        <patternFill>
          <bgColor rgb="FF66FF66"/>
        </patternFill>
      </fill>
    </dxf>
    <dxf>
      <fill>
        <patternFill>
          <bgColor rgb="FFFFC000"/>
        </patternFill>
      </fill>
    </dxf>
    <dxf>
      <fill>
        <patternFill>
          <bgColor rgb="FFFF0000"/>
        </patternFill>
      </fill>
    </dxf>
    <dxf>
      <fill>
        <patternFill>
          <bgColor theme="0" tint="-0.34998626667073579"/>
        </patternFill>
      </fill>
    </dxf>
    <dxf>
      <fill>
        <patternFill>
          <bgColor rgb="FFFFC000"/>
        </patternFill>
      </fill>
    </dxf>
    <dxf>
      <fill>
        <patternFill>
          <bgColor rgb="FF66FF66"/>
        </patternFill>
      </fill>
    </dxf>
    <dxf>
      <fill>
        <patternFill>
          <bgColor theme="0" tint="-0.34998626667073579"/>
        </patternFill>
      </fill>
    </dxf>
    <dxf>
      <fill>
        <patternFill>
          <bgColor rgb="FFFF9999"/>
        </patternFill>
      </fill>
    </dxf>
    <dxf>
      <fill>
        <patternFill>
          <bgColor theme="8"/>
        </patternFill>
      </fill>
    </dxf>
    <dxf>
      <fill>
        <patternFill>
          <bgColor theme="7" tint="0.39994506668294322"/>
        </patternFill>
      </fill>
    </dxf>
    <dxf>
      <fill>
        <patternFill>
          <bgColor rgb="FFFF0000"/>
        </patternFill>
      </fill>
    </dxf>
    <dxf>
      <fill>
        <patternFill>
          <bgColor theme="7" tint="-0.24994659260841701"/>
        </patternFill>
      </fill>
    </dxf>
    <dxf>
      <fill>
        <patternFill>
          <bgColor theme="4" tint="0.79998168889431442"/>
        </patternFill>
      </fill>
    </dxf>
    <dxf>
      <fill>
        <patternFill>
          <bgColor theme="7" tint="-0.24994659260841701"/>
        </patternFill>
      </fill>
    </dxf>
    <dxf>
      <fill>
        <patternFill>
          <bgColor rgb="FFFFC000"/>
        </patternFill>
      </fill>
    </dxf>
    <dxf>
      <fill>
        <patternFill>
          <bgColor theme="8"/>
        </patternFill>
      </fill>
    </dxf>
    <dxf>
      <fill>
        <patternFill>
          <bgColor theme="7" tint="0.39994506668294322"/>
        </patternFill>
      </fill>
    </dxf>
    <dxf>
      <fill>
        <patternFill>
          <bgColor rgb="FFFF0000"/>
        </patternFill>
      </fill>
    </dxf>
    <dxf>
      <fill>
        <patternFill>
          <bgColor theme="0" tint="-0.34998626667073579"/>
        </patternFill>
      </fill>
    </dxf>
    <dxf>
      <fill>
        <patternFill>
          <bgColor rgb="FF66FF66"/>
        </patternFill>
      </fill>
    </dxf>
    <dxf>
      <fill>
        <patternFill>
          <bgColor rgb="FFFF9999"/>
        </patternFill>
      </fill>
    </dxf>
    <dxf>
      <fill>
        <patternFill>
          <bgColor theme="4" tint="0.79998168889431442"/>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rgb="FFFF9999"/>
        </patternFill>
      </fill>
    </dxf>
    <dxf>
      <fill>
        <patternFill>
          <bgColor theme="0" tint="-0.34998626667073579"/>
        </patternFill>
      </fill>
    </dxf>
    <dxf>
      <fill>
        <patternFill>
          <bgColor rgb="FFFFC000"/>
        </patternFill>
      </fill>
    </dxf>
    <dxf>
      <fill>
        <patternFill>
          <bgColor rgb="FF66FF66"/>
        </patternFill>
      </fill>
    </dxf>
    <dxf>
      <fill>
        <patternFill>
          <bgColor theme="7" tint="-0.24994659260841701"/>
        </patternFill>
      </fill>
    </dxf>
    <dxf>
      <fill>
        <patternFill>
          <bgColor theme="8"/>
        </patternFill>
      </fill>
    </dxf>
    <dxf>
      <fill>
        <patternFill>
          <bgColor theme="4" tint="0.79998168889431442"/>
        </patternFill>
      </fill>
    </dxf>
    <dxf>
      <fill>
        <patternFill>
          <bgColor theme="7" tint="-0.24994659260841701"/>
        </patternFill>
      </fill>
    </dxf>
    <dxf>
      <fill>
        <patternFill>
          <bgColor rgb="FFFF0000"/>
        </patternFill>
      </fill>
    </dxf>
    <dxf>
      <fill>
        <patternFill>
          <bgColor theme="0" tint="-0.34998626667073579"/>
        </patternFill>
      </fill>
    </dxf>
    <dxf>
      <fill>
        <patternFill>
          <bgColor rgb="FFFFC000"/>
        </patternFill>
      </fill>
    </dxf>
    <dxf>
      <fill>
        <patternFill>
          <bgColor rgb="FFFF9999"/>
        </patternFill>
      </fill>
    </dxf>
    <dxf>
      <fill>
        <patternFill>
          <bgColor theme="7" tint="0.39994506668294322"/>
        </patternFill>
      </fill>
    </dxf>
    <dxf>
      <fill>
        <patternFill>
          <bgColor rgb="FF66FF66"/>
        </patternFill>
      </fill>
    </dxf>
    <dxf>
      <fill>
        <patternFill>
          <bgColor rgb="FFFF9999"/>
        </patternFill>
      </fill>
    </dxf>
    <dxf>
      <fill>
        <patternFill>
          <bgColor theme="8"/>
        </patternFill>
      </fill>
    </dxf>
    <dxf>
      <fill>
        <patternFill>
          <bgColor rgb="FF66FF66"/>
        </patternFill>
      </fill>
    </dxf>
    <dxf>
      <fill>
        <patternFill>
          <bgColor theme="7" tint="0.39994506668294322"/>
        </patternFill>
      </fill>
    </dxf>
    <dxf>
      <fill>
        <patternFill>
          <bgColor rgb="FFFFC000"/>
        </patternFill>
      </fill>
    </dxf>
    <dxf>
      <fill>
        <patternFill>
          <bgColor rgb="FFFF0000"/>
        </patternFill>
      </fill>
    </dxf>
    <dxf>
      <fill>
        <patternFill>
          <bgColor theme="7" tint="-0.24994659260841701"/>
        </patternFill>
      </fill>
    </dxf>
    <dxf>
      <fill>
        <patternFill>
          <bgColor theme="0" tint="-0.34998626667073579"/>
        </patternFill>
      </fill>
    </dxf>
    <dxf>
      <fill>
        <patternFill>
          <bgColor theme="4" tint="0.79998168889431442"/>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rgb="FFFFC000"/>
        </patternFill>
      </fill>
    </dxf>
    <dxf>
      <fill>
        <patternFill>
          <bgColor rgb="FFFF9999"/>
        </patternFill>
      </fill>
    </dxf>
    <dxf>
      <fill>
        <patternFill>
          <bgColor rgb="FFFF0000"/>
        </patternFill>
      </fill>
    </dxf>
    <dxf>
      <fill>
        <patternFill>
          <bgColor rgb="FF66FF66"/>
        </patternFill>
      </fill>
    </dxf>
    <dxf>
      <fill>
        <patternFill>
          <bgColor theme="7" tint="0.39994506668294322"/>
        </patternFill>
      </fill>
    </dxf>
    <dxf>
      <fill>
        <patternFill>
          <bgColor theme="7" tint="-0.24994659260841701"/>
        </patternFill>
      </fill>
    </dxf>
    <dxf>
      <fill>
        <patternFill>
          <bgColor theme="7" tint="0.39994506668294322"/>
        </patternFill>
      </fill>
    </dxf>
    <dxf>
      <fill>
        <patternFill>
          <bgColor theme="0" tint="-0.34998626667073579"/>
        </patternFill>
      </fill>
    </dxf>
    <dxf>
      <fill>
        <patternFill>
          <bgColor rgb="FFFF0000"/>
        </patternFill>
      </fill>
    </dxf>
    <dxf>
      <fill>
        <patternFill>
          <bgColor rgb="FFFF9999"/>
        </patternFill>
      </fill>
    </dxf>
    <dxf>
      <fill>
        <patternFill>
          <bgColor theme="4" tint="0.79998168889431442"/>
        </patternFill>
      </fill>
    </dxf>
    <dxf>
      <fill>
        <patternFill>
          <bgColor rgb="FF66FF66"/>
        </patternFill>
      </fill>
    </dxf>
    <dxf>
      <fill>
        <patternFill>
          <bgColor rgb="FFFFC000"/>
        </patternFill>
      </fill>
    </dxf>
    <dxf>
      <fill>
        <patternFill>
          <bgColor theme="8"/>
        </patternFill>
      </fill>
    </dxf>
    <dxf>
      <fill>
        <patternFill>
          <bgColor theme="7" tint="0.39994506668294322"/>
        </patternFill>
      </fill>
    </dxf>
    <dxf>
      <fill>
        <patternFill>
          <bgColor theme="8"/>
        </patternFill>
      </fill>
    </dxf>
    <dxf>
      <fill>
        <patternFill>
          <bgColor rgb="FFFF0000"/>
        </patternFill>
      </fill>
    </dxf>
    <dxf>
      <fill>
        <patternFill>
          <bgColor theme="7" tint="-0.24994659260841701"/>
        </patternFill>
      </fill>
    </dxf>
    <dxf>
      <fill>
        <patternFill>
          <bgColor theme="0" tint="-0.34998626667073579"/>
        </patternFill>
      </fill>
    </dxf>
    <dxf>
      <fill>
        <patternFill>
          <bgColor rgb="FFFF9999"/>
        </patternFill>
      </fill>
    </dxf>
    <dxf>
      <fill>
        <patternFill>
          <bgColor rgb="FFFFC000"/>
        </patternFill>
      </fill>
    </dxf>
    <dxf>
      <fill>
        <patternFill>
          <bgColor rgb="FF66FF66"/>
        </patternFill>
      </fill>
    </dxf>
    <dxf>
      <fill>
        <patternFill>
          <bgColor theme="4" tint="0.79998168889431442"/>
        </patternFill>
      </fill>
    </dxf>
    <dxf>
      <fill>
        <patternFill>
          <bgColor theme="8"/>
        </patternFill>
      </fill>
    </dxf>
    <dxf>
      <fill>
        <patternFill>
          <bgColor rgb="FFFF9999"/>
        </patternFill>
      </fill>
    </dxf>
    <dxf>
      <fill>
        <patternFill>
          <bgColor rgb="FFFFC000"/>
        </patternFill>
      </fill>
    </dxf>
    <dxf>
      <fill>
        <patternFill>
          <bgColor theme="7" tint="0.39994506668294322"/>
        </patternFill>
      </fill>
    </dxf>
    <dxf>
      <fill>
        <patternFill>
          <bgColor theme="0" tint="-0.34998626667073579"/>
        </patternFill>
      </fill>
    </dxf>
    <dxf>
      <fill>
        <patternFill>
          <bgColor rgb="FF66FF66"/>
        </patternFill>
      </fill>
    </dxf>
    <dxf>
      <fill>
        <patternFill>
          <bgColor rgb="FFFF0000"/>
        </patternFill>
      </fill>
    </dxf>
    <dxf>
      <fill>
        <patternFill>
          <bgColor theme="4" tint="0.79998168889431442"/>
        </patternFill>
      </fill>
    </dxf>
    <dxf>
      <fill>
        <patternFill>
          <bgColor theme="7" tint="-0.24994659260841701"/>
        </patternFill>
      </fill>
    </dxf>
    <dxf>
      <fill>
        <patternFill>
          <bgColor rgb="FF66FF66"/>
        </patternFill>
      </fill>
    </dxf>
    <dxf>
      <fill>
        <patternFill>
          <bgColor rgb="FFFFC000"/>
        </patternFill>
      </fill>
    </dxf>
    <dxf>
      <fill>
        <patternFill>
          <bgColor theme="0" tint="-0.34998626667073579"/>
        </patternFill>
      </fill>
    </dxf>
    <dxf>
      <fill>
        <patternFill>
          <bgColor rgb="FFFF9999"/>
        </patternFill>
      </fill>
    </dxf>
    <dxf>
      <fill>
        <patternFill>
          <bgColor theme="8"/>
        </patternFill>
      </fill>
    </dxf>
    <dxf>
      <fill>
        <patternFill>
          <bgColor theme="7" tint="0.39994506668294322"/>
        </patternFill>
      </fill>
    </dxf>
    <dxf>
      <fill>
        <patternFill>
          <bgColor theme="4" tint="0.79998168889431442"/>
        </patternFill>
      </fill>
    </dxf>
    <dxf>
      <fill>
        <patternFill>
          <bgColor rgb="FFFF0000"/>
        </patternFill>
      </fill>
    </dxf>
    <dxf>
      <fill>
        <patternFill>
          <bgColor theme="7" tint="-0.24994659260841701"/>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theme="4" tint="0.79998168889431442"/>
        </patternFill>
      </fill>
    </dxf>
    <dxf>
      <fill>
        <patternFill>
          <bgColor theme="7" tint="-0.24994659260841701"/>
        </patternFill>
      </fill>
    </dxf>
    <dxf>
      <fill>
        <patternFill>
          <bgColor rgb="FFFF9999"/>
        </patternFill>
      </fill>
    </dxf>
    <dxf>
      <fill>
        <patternFill>
          <bgColor theme="0" tint="-0.34998626667073579"/>
        </patternFill>
      </fill>
    </dxf>
    <dxf>
      <fill>
        <patternFill>
          <bgColor rgb="FF66FF66"/>
        </patternFill>
      </fill>
    </dxf>
    <dxf>
      <fill>
        <patternFill>
          <bgColor theme="8"/>
        </patternFill>
      </fill>
    </dxf>
    <dxf>
      <fill>
        <patternFill>
          <bgColor theme="7" tint="0.39994506668294322"/>
        </patternFill>
      </fill>
    </dxf>
    <dxf>
      <fill>
        <patternFill>
          <bgColor rgb="FFFF0000"/>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rgb="FFFFC000"/>
        </patternFill>
      </fill>
    </dxf>
    <dxf>
      <fill>
        <patternFill>
          <bgColor rgb="FF66FF66"/>
        </patternFill>
      </fill>
    </dxf>
    <dxf>
      <fill>
        <patternFill>
          <bgColor theme="8"/>
        </patternFill>
      </fill>
    </dxf>
    <dxf>
      <fill>
        <patternFill>
          <bgColor theme="7" tint="0.39994506668294322"/>
        </patternFill>
      </fill>
    </dxf>
    <dxf>
      <fill>
        <patternFill>
          <bgColor rgb="FFFF0000"/>
        </patternFill>
      </fill>
    </dxf>
    <dxf>
      <fill>
        <patternFill>
          <bgColor rgb="FFFF9999"/>
        </patternFill>
      </fill>
    </dxf>
    <dxf>
      <fill>
        <patternFill>
          <bgColor theme="8"/>
        </patternFill>
      </fill>
    </dxf>
    <dxf>
      <fill>
        <patternFill>
          <bgColor theme="4" tint="0.79998168889431442"/>
        </patternFill>
      </fill>
    </dxf>
    <dxf>
      <fill>
        <patternFill>
          <bgColor theme="7" tint="0.39994506668294322"/>
        </patternFill>
      </fill>
    </dxf>
    <dxf>
      <fill>
        <patternFill>
          <bgColor rgb="FFFF0000"/>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rgb="FFFF9999"/>
        </patternFill>
      </fill>
    </dxf>
    <dxf>
      <fill>
        <patternFill>
          <bgColor theme="8"/>
        </patternFill>
      </fill>
    </dxf>
    <dxf>
      <fill>
        <patternFill>
          <bgColor theme="7" tint="0.39994506668294322"/>
        </patternFill>
      </fill>
    </dxf>
    <dxf>
      <fill>
        <patternFill>
          <bgColor theme="7" tint="-0.24994659260841701"/>
        </patternFill>
      </fill>
    </dxf>
    <dxf>
      <fill>
        <patternFill>
          <bgColor rgb="FFFF0000"/>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rgb="FF66FF66"/>
        </patternFill>
      </fill>
    </dxf>
    <dxf>
      <fill>
        <patternFill>
          <bgColor rgb="FFFFC000"/>
        </patternFill>
      </fill>
    </dxf>
    <dxf>
      <fill>
        <patternFill>
          <bgColor rgb="FFFF0000"/>
        </patternFill>
      </fill>
    </dxf>
    <dxf>
      <fill>
        <patternFill>
          <bgColor theme="7" tint="-0.24994659260841701"/>
        </patternFill>
      </fill>
    </dxf>
    <dxf>
      <fill>
        <patternFill>
          <bgColor theme="4" tint="0.79998168889431442"/>
        </patternFill>
      </fill>
    </dxf>
    <dxf>
      <fill>
        <patternFill>
          <bgColor theme="7" tint="0.39994506668294322"/>
        </patternFill>
      </fill>
    </dxf>
    <dxf>
      <fill>
        <patternFill>
          <bgColor theme="0" tint="-0.34998626667073579"/>
        </patternFill>
      </fill>
    </dxf>
    <dxf>
      <fill>
        <patternFill>
          <bgColor theme="8"/>
        </patternFill>
      </fill>
    </dxf>
    <dxf>
      <fill>
        <patternFill>
          <bgColor rgb="FFFF9999"/>
        </patternFill>
      </fill>
    </dxf>
    <dxf>
      <fill>
        <patternFill>
          <bgColor theme="4" tint="0.79998168889431442"/>
        </patternFill>
      </fill>
    </dxf>
    <dxf>
      <fill>
        <patternFill>
          <bgColor rgb="FF66FF66"/>
        </patternFill>
      </fill>
    </dxf>
    <dxf>
      <fill>
        <patternFill>
          <bgColor rgb="FFFF0000"/>
        </patternFill>
      </fill>
    </dxf>
    <dxf>
      <fill>
        <patternFill>
          <bgColor rgb="FFFFC000"/>
        </patternFill>
      </fill>
    </dxf>
    <dxf>
      <fill>
        <patternFill>
          <bgColor theme="7" tint="0.39994506668294322"/>
        </patternFill>
      </fill>
    </dxf>
    <dxf>
      <fill>
        <patternFill>
          <bgColor theme="8"/>
        </patternFill>
      </fill>
    </dxf>
    <dxf>
      <fill>
        <patternFill>
          <bgColor theme="7" tint="-0.24994659260841701"/>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rgb="FFFF0000"/>
        </patternFill>
      </fill>
    </dxf>
    <dxf>
      <fill>
        <patternFill>
          <bgColor theme="0" tint="-0.34998626667073579"/>
        </patternFill>
      </fill>
    </dxf>
    <dxf>
      <fill>
        <patternFill>
          <bgColor theme="8"/>
        </patternFill>
      </fill>
    </dxf>
    <dxf>
      <fill>
        <patternFill>
          <bgColor rgb="FFFFC000"/>
        </patternFill>
      </fill>
    </dxf>
    <dxf>
      <fill>
        <patternFill>
          <bgColor rgb="FF66FF66"/>
        </patternFill>
      </fill>
    </dxf>
    <dxf>
      <fill>
        <patternFill>
          <bgColor rgb="FFFF9999"/>
        </patternFill>
      </fill>
    </dxf>
    <dxf>
      <fill>
        <patternFill>
          <bgColor theme="7" tint="0.39994506668294322"/>
        </patternFill>
      </fill>
    </dxf>
    <dxf>
      <fill>
        <patternFill>
          <bgColor theme="8"/>
        </patternFill>
      </fill>
    </dxf>
    <dxf>
      <fill>
        <patternFill>
          <bgColor rgb="FF66FF66"/>
        </patternFill>
      </fill>
    </dxf>
    <dxf>
      <fill>
        <patternFill>
          <bgColor theme="4" tint="0.79998168889431442"/>
        </patternFill>
      </fill>
    </dxf>
    <dxf>
      <fill>
        <patternFill>
          <bgColor theme="7" tint="0.39994506668294322"/>
        </patternFill>
      </fill>
    </dxf>
    <dxf>
      <fill>
        <patternFill>
          <bgColor rgb="FFFF9999"/>
        </patternFill>
      </fill>
    </dxf>
    <dxf>
      <fill>
        <patternFill>
          <bgColor rgb="FFFFC000"/>
        </patternFill>
      </fill>
    </dxf>
    <dxf>
      <fill>
        <patternFill>
          <bgColor theme="0" tint="-0.34998626667073579"/>
        </patternFill>
      </fill>
    </dxf>
    <dxf>
      <fill>
        <patternFill>
          <bgColor theme="7" tint="-0.24994659260841701"/>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66FF66"/>
        </patternFill>
      </fill>
    </dxf>
    <dxf>
      <fill>
        <patternFill>
          <bgColor rgb="FFFF9999"/>
        </patternFill>
      </fill>
    </dxf>
    <dxf>
      <fill>
        <patternFill>
          <bgColor rgb="FFFFC000"/>
        </patternFill>
      </fill>
    </dxf>
    <dxf>
      <fill>
        <patternFill>
          <bgColor rgb="FFFF0000"/>
        </patternFill>
      </fill>
    </dxf>
    <dxf>
      <fill>
        <patternFill>
          <bgColor theme="7" tint="-0.24994659260841701"/>
        </patternFill>
      </fill>
    </dxf>
    <dxf>
      <fill>
        <patternFill>
          <bgColor theme="4" tint="0.79998168889431442"/>
        </patternFill>
      </fill>
    </dxf>
    <dxf>
      <fill>
        <patternFill>
          <bgColor theme="0" tint="-0.34998626667073579"/>
        </patternFill>
      </fill>
    </dxf>
    <dxf>
      <fill>
        <patternFill>
          <bgColor rgb="FFFF0000"/>
        </patternFill>
      </fill>
    </dxf>
    <dxf>
      <fill>
        <patternFill>
          <bgColor rgb="FFFFC000"/>
        </patternFill>
      </fill>
    </dxf>
    <dxf>
      <fill>
        <patternFill>
          <bgColor rgb="FF66FF66"/>
        </patternFill>
      </fill>
    </dxf>
    <dxf>
      <fill>
        <patternFill>
          <bgColor theme="7" tint="0.39994506668294322"/>
        </patternFill>
      </fill>
    </dxf>
    <dxf>
      <fill>
        <patternFill>
          <bgColor theme="8"/>
        </patternFill>
      </fill>
    </dxf>
    <dxf>
      <fill>
        <patternFill>
          <bgColor rgb="FFFF9999"/>
        </patternFill>
      </fill>
    </dxf>
    <dxf>
      <fill>
        <patternFill>
          <bgColor rgb="FFFFC000"/>
        </patternFill>
      </fill>
    </dxf>
    <dxf>
      <fill>
        <patternFill>
          <bgColor theme="8"/>
        </patternFill>
      </fill>
    </dxf>
    <dxf>
      <fill>
        <patternFill>
          <bgColor rgb="FFFF0000"/>
        </patternFill>
      </fill>
    </dxf>
    <dxf>
      <fill>
        <patternFill>
          <bgColor theme="7" tint="0.39994506668294322"/>
        </patternFill>
      </fill>
    </dxf>
    <dxf>
      <fill>
        <patternFill>
          <bgColor rgb="FFFF9999"/>
        </patternFill>
      </fill>
    </dxf>
    <dxf>
      <fill>
        <patternFill>
          <bgColor rgb="FF66FF66"/>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0" tint="-0.34998626667073579"/>
        </patternFill>
      </fill>
    </dxf>
    <dxf>
      <fill>
        <patternFill>
          <bgColor theme="7" tint="0.39994506668294322"/>
        </patternFill>
      </fill>
    </dxf>
    <dxf>
      <fill>
        <patternFill>
          <bgColor rgb="FFFFC000"/>
        </patternFill>
      </fill>
    </dxf>
    <dxf>
      <fill>
        <patternFill>
          <bgColor theme="4" tint="0.79998168889431442"/>
        </patternFill>
      </fill>
    </dxf>
    <dxf>
      <fill>
        <patternFill>
          <bgColor rgb="FFFF9999"/>
        </patternFill>
      </fill>
    </dxf>
    <dxf>
      <fill>
        <patternFill>
          <bgColor theme="7" tint="-0.24994659260841701"/>
        </patternFill>
      </fill>
    </dxf>
    <dxf>
      <fill>
        <patternFill>
          <bgColor rgb="FFFF0000"/>
        </patternFill>
      </fill>
    </dxf>
    <dxf>
      <fill>
        <patternFill>
          <bgColor rgb="FF66FF66"/>
        </patternFill>
      </fill>
    </dxf>
    <dxf>
      <fill>
        <patternFill>
          <bgColor theme="4" tint="0.79998168889431442"/>
        </patternFill>
      </fill>
    </dxf>
    <dxf>
      <fill>
        <patternFill>
          <bgColor theme="7" tint="0.39994506668294322"/>
        </patternFill>
      </fill>
    </dxf>
    <dxf>
      <fill>
        <patternFill>
          <bgColor rgb="FFFF9999"/>
        </patternFill>
      </fill>
    </dxf>
    <dxf>
      <fill>
        <patternFill>
          <bgColor theme="7" tint="-0.24994659260841701"/>
        </patternFill>
      </fill>
    </dxf>
    <dxf>
      <fill>
        <patternFill>
          <bgColor rgb="FF66FF66"/>
        </patternFill>
      </fill>
    </dxf>
    <dxf>
      <fill>
        <patternFill>
          <bgColor rgb="FFFFC000"/>
        </patternFill>
      </fill>
    </dxf>
    <dxf>
      <fill>
        <patternFill>
          <bgColor rgb="FFFF0000"/>
        </patternFill>
      </fill>
    </dxf>
    <dxf>
      <fill>
        <patternFill>
          <bgColor theme="8"/>
        </patternFill>
      </fill>
    </dxf>
    <dxf>
      <fill>
        <patternFill>
          <bgColor theme="0" tint="-0.34998626667073579"/>
        </patternFill>
      </fill>
    </dxf>
    <dxf>
      <fill>
        <patternFill>
          <bgColor rgb="FFFF9999"/>
        </patternFill>
      </fill>
    </dxf>
    <dxf>
      <fill>
        <patternFill>
          <bgColor theme="8"/>
        </patternFill>
      </fill>
    </dxf>
    <dxf>
      <fill>
        <patternFill>
          <bgColor rgb="FF66FF66"/>
        </patternFill>
      </fill>
    </dxf>
    <dxf>
      <fill>
        <patternFill>
          <bgColor rgb="FFFFC000"/>
        </patternFill>
      </fill>
    </dxf>
    <dxf>
      <fill>
        <patternFill>
          <bgColor rgb="FFFF0000"/>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theme="7" tint="0.39994506668294322"/>
        </patternFill>
      </fill>
    </dxf>
    <dxf>
      <fill>
        <patternFill>
          <bgColor theme="8"/>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theme="7" tint="0.39994506668294322"/>
        </patternFill>
      </fill>
    </dxf>
    <dxf>
      <fill>
        <patternFill>
          <bgColor rgb="FFFF0000"/>
        </patternFill>
      </fill>
    </dxf>
    <dxf>
      <fill>
        <patternFill>
          <bgColor theme="7" tint="-0.24994659260841701"/>
        </patternFill>
      </fill>
    </dxf>
    <dxf>
      <fill>
        <patternFill>
          <bgColor theme="4" tint="0.79998168889431442"/>
        </patternFill>
      </fill>
    </dxf>
    <dxf>
      <fill>
        <patternFill>
          <bgColor theme="4" tint="0.79998168889431442"/>
        </patternFill>
      </fill>
    </dxf>
    <dxf>
      <fill>
        <patternFill>
          <bgColor theme="7" tint="-0.24994659260841701"/>
        </patternFill>
      </fill>
    </dxf>
    <dxf>
      <fill>
        <patternFill>
          <bgColor rgb="FF66FF66"/>
        </patternFill>
      </fill>
    </dxf>
    <dxf>
      <fill>
        <patternFill>
          <bgColor theme="0" tint="-0.34998626667073579"/>
        </patternFill>
      </fill>
    </dxf>
    <dxf>
      <fill>
        <patternFill>
          <bgColor theme="8"/>
        </patternFill>
      </fill>
    </dxf>
    <dxf>
      <fill>
        <patternFill>
          <bgColor rgb="FFFF9999"/>
        </patternFill>
      </fill>
    </dxf>
    <dxf>
      <fill>
        <patternFill>
          <bgColor rgb="FFFF0000"/>
        </patternFill>
      </fill>
    </dxf>
    <dxf>
      <fill>
        <patternFill>
          <bgColor theme="7" tint="0.39994506668294322"/>
        </patternFill>
      </fill>
    </dxf>
    <dxf>
      <fill>
        <patternFill>
          <bgColor rgb="FFFFC000"/>
        </patternFill>
      </fill>
    </dxf>
    <dxf>
      <fill>
        <patternFill>
          <bgColor theme="7" tint="-0.24994659260841701"/>
        </patternFill>
      </fill>
    </dxf>
    <dxf>
      <fill>
        <patternFill>
          <bgColor theme="4" tint="0.79998168889431442"/>
        </patternFill>
      </fill>
    </dxf>
    <dxf>
      <fill>
        <patternFill>
          <bgColor theme="8"/>
        </patternFill>
      </fill>
    </dxf>
    <dxf>
      <fill>
        <patternFill>
          <bgColor rgb="FFFF9999"/>
        </patternFill>
      </fill>
    </dxf>
    <dxf>
      <fill>
        <patternFill>
          <bgColor rgb="FFFFC000"/>
        </patternFill>
      </fill>
    </dxf>
    <dxf>
      <fill>
        <patternFill>
          <bgColor theme="7" tint="0.39994506668294322"/>
        </patternFill>
      </fill>
    </dxf>
    <dxf>
      <fill>
        <patternFill>
          <bgColor rgb="FF66FF66"/>
        </patternFill>
      </fill>
    </dxf>
    <dxf>
      <fill>
        <patternFill>
          <bgColor rgb="FFFF0000"/>
        </patternFill>
      </fill>
    </dxf>
    <dxf>
      <fill>
        <patternFill>
          <bgColor theme="0" tint="-0.34998626667073579"/>
        </patternFill>
      </fill>
    </dxf>
    <dxf>
      <fill>
        <patternFill>
          <bgColor rgb="FFFFC000"/>
        </patternFill>
      </fill>
    </dxf>
    <dxf>
      <fill>
        <patternFill>
          <bgColor theme="0" tint="-0.34998626667073579"/>
        </patternFill>
      </fill>
    </dxf>
    <dxf>
      <fill>
        <patternFill>
          <bgColor rgb="FFFF9999"/>
        </patternFill>
      </fill>
    </dxf>
    <dxf>
      <fill>
        <patternFill>
          <bgColor theme="7" tint="0.39994506668294322"/>
        </patternFill>
      </fill>
    </dxf>
    <dxf>
      <fill>
        <patternFill>
          <bgColor rgb="FF66FF66"/>
        </patternFill>
      </fill>
    </dxf>
    <dxf>
      <fill>
        <patternFill>
          <bgColor theme="8"/>
        </patternFill>
      </fill>
    </dxf>
    <dxf>
      <fill>
        <patternFill>
          <bgColor rgb="FFFF0000"/>
        </patternFill>
      </fill>
    </dxf>
    <dxf>
      <fill>
        <patternFill>
          <bgColor theme="4" tint="0.79998168889431442"/>
        </patternFill>
      </fill>
    </dxf>
    <dxf>
      <fill>
        <patternFill>
          <bgColor theme="7" tint="-0.24994659260841701"/>
        </patternFill>
      </fill>
    </dxf>
    <dxf>
      <fill>
        <patternFill>
          <bgColor rgb="FFFF0000"/>
        </patternFill>
      </fill>
    </dxf>
    <dxf>
      <fill>
        <patternFill>
          <bgColor rgb="FFFFC000"/>
        </patternFill>
      </fill>
    </dxf>
    <dxf>
      <fill>
        <patternFill>
          <bgColor rgb="FF66FF66"/>
        </patternFill>
      </fill>
    </dxf>
    <dxf>
      <fill>
        <patternFill>
          <bgColor theme="8"/>
        </patternFill>
      </fill>
    </dxf>
    <dxf>
      <fill>
        <patternFill>
          <bgColor rgb="FFFF9999"/>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7" tint="0.39994506668294322"/>
        </patternFill>
      </fill>
    </dxf>
    <dxf>
      <fill>
        <patternFill>
          <bgColor rgb="FFFF0000"/>
        </patternFill>
      </fill>
    </dxf>
    <dxf>
      <fill>
        <patternFill>
          <bgColor theme="7" tint="0.39994506668294322"/>
        </patternFill>
      </fill>
    </dxf>
    <dxf>
      <fill>
        <patternFill>
          <bgColor rgb="FF66FF66"/>
        </patternFill>
      </fill>
    </dxf>
    <dxf>
      <fill>
        <patternFill>
          <bgColor theme="4" tint="0.79998168889431442"/>
        </patternFill>
      </fill>
    </dxf>
    <dxf>
      <fill>
        <patternFill>
          <bgColor theme="7" tint="-0.24994659260841701"/>
        </patternFill>
      </fill>
    </dxf>
    <dxf>
      <fill>
        <patternFill>
          <bgColor rgb="FFFF9999"/>
        </patternFill>
      </fill>
    </dxf>
    <dxf>
      <fill>
        <patternFill>
          <bgColor rgb="FFFFC000"/>
        </patternFill>
      </fill>
    </dxf>
    <dxf>
      <fill>
        <patternFill>
          <bgColor theme="8"/>
        </patternFill>
      </fill>
    </dxf>
    <dxf>
      <fill>
        <patternFill>
          <bgColor theme="0" tint="-0.34998626667073579"/>
        </patternFill>
      </fill>
    </dxf>
    <dxf>
      <fill>
        <patternFill>
          <bgColor theme="7" tint="-0.24994659260841701"/>
        </patternFill>
      </fill>
    </dxf>
    <dxf>
      <fill>
        <patternFill>
          <bgColor theme="8"/>
        </patternFill>
      </fill>
    </dxf>
    <dxf>
      <fill>
        <patternFill>
          <bgColor theme="4" tint="0.79998168889431442"/>
        </patternFill>
      </fill>
    </dxf>
    <dxf>
      <fill>
        <patternFill>
          <bgColor rgb="FFFF0000"/>
        </patternFill>
      </fill>
    </dxf>
    <dxf>
      <fill>
        <patternFill>
          <bgColor theme="0" tint="-0.34998626667073579"/>
        </patternFill>
      </fill>
    </dxf>
    <dxf>
      <fill>
        <patternFill>
          <bgColor rgb="FFFF9999"/>
        </patternFill>
      </fill>
    </dxf>
    <dxf>
      <fill>
        <patternFill>
          <bgColor rgb="FFFFC000"/>
        </patternFill>
      </fill>
    </dxf>
    <dxf>
      <fill>
        <patternFill>
          <bgColor rgb="FF66FF66"/>
        </patternFill>
      </fill>
    </dxf>
    <dxf>
      <fill>
        <patternFill>
          <bgColor theme="7" tint="0.39994506668294322"/>
        </patternFill>
      </fill>
    </dxf>
    <dxf>
      <fill>
        <patternFill>
          <bgColor theme="7" tint="0.39994506668294322"/>
        </patternFill>
      </fill>
    </dxf>
    <dxf>
      <fill>
        <patternFill>
          <bgColor rgb="FFFF0000"/>
        </patternFill>
      </fill>
    </dxf>
    <dxf>
      <fill>
        <patternFill>
          <bgColor theme="8"/>
        </patternFill>
      </fill>
    </dxf>
    <dxf>
      <fill>
        <patternFill>
          <bgColor theme="4" tint="0.79998168889431442"/>
        </patternFill>
      </fill>
    </dxf>
    <dxf>
      <fill>
        <patternFill>
          <bgColor rgb="FFFF9999"/>
        </patternFill>
      </fill>
    </dxf>
    <dxf>
      <fill>
        <patternFill>
          <bgColor rgb="FF66FF66"/>
        </patternFill>
      </fill>
    </dxf>
    <dxf>
      <fill>
        <patternFill>
          <bgColor theme="7" tint="-0.24994659260841701"/>
        </patternFill>
      </fill>
    </dxf>
    <dxf>
      <fill>
        <patternFill>
          <bgColor rgb="FFFFC000"/>
        </patternFill>
      </fill>
    </dxf>
    <dxf>
      <fill>
        <patternFill>
          <bgColor theme="0" tint="-0.34998626667073579"/>
        </patternFill>
      </fill>
    </dxf>
    <dxf>
      <fill>
        <patternFill>
          <bgColor theme="8"/>
        </patternFill>
      </fill>
    </dxf>
    <dxf>
      <fill>
        <patternFill>
          <bgColor theme="7" tint="0.39994506668294322"/>
        </patternFill>
      </fill>
    </dxf>
    <dxf>
      <fill>
        <patternFill>
          <bgColor theme="0" tint="-0.34998626667073579"/>
        </patternFill>
      </fill>
    </dxf>
    <dxf>
      <fill>
        <patternFill>
          <bgColor theme="7" tint="-0.24994659260841701"/>
        </patternFill>
      </fill>
    </dxf>
    <dxf>
      <fill>
        <patternFill>
          <bgColor rgb="FFFF0000"/>
        </patternFill>
      </fill>
    </dxf>
    <dxf>
      <fill>
        <patternFill>
          <bgColor theme="4" tint="0.79998168889431442"/>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8"/>
        </patternFill>
      </fill>
    </dxf>
    <dxf>
      <fill>
        <patternFill>
          <bgColor theme="7" tint="0.39994506668294322"/>
        </patternFill>
      </fill>
    </dxf>
    <dxf>
      <fill>
        <patternFill>
          <bgColor theme="4" tint="0.79998168889431442"/>
        </patternFill>
      </fill>
    </dxf>
    <dxf>
      <fill>
        <patternFill>
          <bgColor theme="7" tint="-0.24994659260841701"/>
        </patternFill>
      </fill>
    </dxf>
    <dxf>
      <fill>
        <patternFill>
          <bgColor rgb="FFFFC000"/>
        </patternFill>
      </fill>
    </dxf>
    <dxf>
      <fill>
        <patternFill>
          <bgColor rgb="FF66FF66"/>
        </patternFill>
      </fill>
    </dxf>
    <dxf>
      <fill>
        <patternFill>
          <bgColor rgb="FFFF9999"/>
        </patternFill>
      </fill>
    </dxf>
    <dxf>
      <fill>
        <patternFill>
          <bgColor rgb="FFFF0000"/>
        </patternFill>
      </fill>
    </dxf>
    <dxf>
      <fill>
        <patternFill>
          <bgColor theme="7" tint="0.39994506668294322"/>
        </patternFill>
      </fill>
    </dxf>
    <dxf>
      <fill>
        <patternFill>
          <bgColor rgb="FFFFC000"/>
        </patternFill>
      </fill>
    </dxf>
    <dxf>
      <fill>
        <patternFill>
          <bgColor theme="0" tint="-0.34998626667073579"/>
        </patternFill>
      </fill>
    </dxf>
    <dxf>
      <fill>
        <patternFill>
          <bgColor rgb="FFFF9999"/>
        </patternFill>
      </fill>
    </dxf>
    <dxf>
      <fill>
        <patternFill>
          <bgColor rgb="FF66FF66"/>
        </patternFill>
      </fill>
    </dxf>
    <dxf>
      <fill>
        <patternFill>
          <bgColor rgb="FFFF0000"/>
        </patternFill>
      </fill>
    </dxf>
    <dxf>
      <fill>
        <patternFill>
          <bgColor theme="8"/>
        </patternFill>
      </fill>
    </dxf>
    <dxf>
      <fill>
        <patternFill>
          <bgColor theme="4" tint="0.79998168889431442"/>
        </patternFill>
      </fill>
    </dxf>
    <dxf>
      <fill>
        <patternFill>
          <bgColor theme="7" tint="-0.24994659260841701"/>
        </patternFill>
      </fill>
    </dxf>
    <dxf>
      <fill>
        <patternFill>
          <bgColor rgb="FFFFC000"/>
        </patternFill>
      </fill>
    </dxf>
    <dxf>
      <fill>
        <patternFill>
          <bgColor theme="0" tint="-0.34998626667073579"/>
        </patternFill>
      </fill>
    </dxf>
    <dxf>
      <fill>
        <patternFill>
          <bgColor theme="7" tint="-0.24994659260841701"/>
        </patternFill>
      </fill>
    </dxf>
    <dxf>
      <fill>
        <patternFill>
          <bgColor rgb="FF66FF66"/>
        </patternFill>
      </fill>
    </dxf>
    <dxf>
      <fill>
        <patternFill>
          <bgColor theme="4" tint="0.79998168889431442"/>
        </patternFill>
      </fill>
    </dxf>
    <dxf>
      <fill>
        <patternFill>
          <bgColor rgb="FFFF9999"/>
        </patternFill>
      </fill>
    </dxf>
    <dxf>
      <fill>
        <patternFill>
          <bgColor theme="8"/>
        </patternFill>
      </fill>
    </dxf>
    <dxf>
      <fill>
        <patternFill>
          <bgColor rgb="FFFF0000"/>
        </patternFill>
      </fill>
    </dxf>
    <dxf>
      <fill>
        <patternFill>
          <bgColor theme="7" tint="0.39994506668294322"/>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theme="7" tint="0.39994506668294322"/>
        </patternFill>
      </fill>
    </dxf>
    <dxf>
      <fill>
        <patternFill>
          <bgColor rgb="FFFF0000"/>
        </patternFill>
      </fill>
    </dxf>
    <dxf>
      <fill>
        <patternFill>
          <bgColor rgb="FF66FF66"/>
        </patternFill>
      </fill>
    </dxf>
    <dxf>
      <fill>
        <patternFill>
          <bgColor rgb="FFFFC000"/>
        </patternFill>
      </fill>
    </dxf>
    <dxf>
      <fill>
        <patternFill>
          <bgColor rgb="FFFF9999"/>
        </patternFill>
      </fill>
    </dxf>
    <dxf>
      <fill>
        <patternFill>
          <bgColor theme="8"/>
        </patternFill>
      </fill>
    </dxf>
    <dxf>
      <fill>
        <patternFill>
          <bgColor theme="7" tint="-0.24994659260841701"/>
        </patternFill>
      </fill>
    </dxf>
    <dxf>
      <fill>
        <patternFill>
          <bgColor rgb="FFFF0000"/>
        </patternFill>
      </fill>
    </dxf>
    <dxf>
      <fill>
        <patternFill>
          <bgColor rgb="FFFF9999"/>
        </patternFill>
      </fill>
    </dxf>
    <dxf>
      <fill>
        <patternFill>
          <bgColor theme="7" tint="0.39994506668294322"/>
        </patternFill>
      </fill>
    </dxf>
    <dxf>
      <fill>
        <patternFill>
          <bgColor rgb="FF66FF66"/>
        </patternFill>
      </fill>
    </dxf>
    <dxf>
      <fill>
        <patternFill>
          <bgColor theme="8"/>
        </patternFill>
      </fill>
    </dxf>
    <dxf>
      <fill>
        <patternFill>
          <bgColor rgb="FFFFC000"/>
        </patternFill>
      </fill>
    </dxf>
    <dxf>
      <fill>
        <patternFill>
          <bgColor theme="0" tint="-0.34998626667073579"/>
        </patternFill>
      </fill>
    </dxf>
    <dxf>
      <fill>
        <patternFill>
          <bgColor theme="4" tint="0.79998168889431442"/>
        </patternFill>
      </fill>
    </dxf>
    <dxf>
      <fill>
        <patternFill>
          <bgColor theme="8"/>
        </patternFill>
      </fill>
    </dxf>
    <dxf>
      <fill>
        <patternFill>
          <bgColor theme="7" tint="-0.24994659260841701"/>
        </patternFill>
      </fill>
    </dxf>
    <dxf>
      <fill>
        <patternFill>
          <bgColor theme="4" tint="0.79998168889431442"/>
        </patternFill>
      </fill>
    </dxf>
    <dxf>
      <fill>
        <patternFill>
          <bgColor theme="0" tint="-0.34998626667073579"/>
        </patternFill>
      </fill>
    </dxf>
    <dxf>
      <fill>
        <patternFill>
          <bgColor rgb="FFFF0000"/>
        </patternFill>
      </fill>
    </dxf>
    <dxf>
      <fill>
        <patternFill>
          <bgColor theme="7" tint="0.39994506668294322"/>
        </patternFill>
      </fill>
    </dxf>
    <dxf>
      <fill>
        <patternFill>
          <bgColor rgb="FFFFC000"/>
        </patternFill>
      </fill>
    </dxf>
    <dxf>
      <fill>
        <patternFill>
          <bgColor rgb="FFFF9999"/>
        </patternFill>
      </fill>
    </dxf>
    <dxf>
      <fill>
        <patternFill>
          <bgColor rgb="FF66FF66"/>
        </patternFill>
      </fill>
    </dxf>
    <dxf>
      <fill>
        <patternFill>
          <bgColor rgb="FFFF0000"/>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9999"/>
        </patternFill>
      </fill>
    </dxf>
    <dxf>
      <fill>
        <patternFill>
          <bgColor theme="7" tint="0.39994506668294322"/>
        </patternFill>
      </fill>
    </dxf>
    <dxf>
      <fill>
        <patternFill>
          <bgColor rgb="FF66FF66"/>
        </patternFill>
      </fill>
    </dxf>
    <dxf>
      <fill>
        <patternFill>
          <bgColor rgb="FFFFC000"/>
        </patternFill>
      </fill>
    </dxf>
    <dxf>
      <fill>
        <patternFill>
          <bgColor theme="8"/>
        </patternFill>
      </fill>
    </dxf>
    <dxf>
      <fill>
        <patternFill>
          <bgColor rgb="FFFF9999"/>
        </patternFill>
      </fill>
    </dxf>
    <dxf>
      <fill>
        <patternFill>
          <bgColor theme="4" tint="0.79998168889431442"/>
        </patternFill>
      </fill>
    </dxf>
    <dxf>
      <fill>
        <patternFill>
          <bgColor theme="8"/>
        </patternFill>
      </fill>
    </dxf>
    <dxf>
      <fill>
        <patternFill>
          <bgColor theme="7" tint="0.39994506668294322"/>
        </patternFill>
      </fill>
    </dxf>
    <dxf>
      <fill>
        <patternFill>
          <bgColor theme="0" tint="-0.34998626667073579"/>
        </patternFill>
      </fill>
    </dxf>
    <dxf>
      <fill>
        <patternFill>
          <bgColor rgb="FFFF0000"/>
        </patternFill>
      </fill>
    </dxf>
    <dxf>
      <fill>
        <patternFill>
          <bgColor rgb="FFFFC000"/>
        </patternFill>
      </fill>
    </dxf>
    <dxf>
      <fill>
        <patternFill>
          <bgColor theme="7" tint="-0.24994659260841701"/>
        </patternFill>
      </fill>
    </dxf>
    <dxf>
      <fill>
        <patternFill>
          <bgColor rgb="FF66FF66"/>
        </patternFill>
      </fill>
    </dxf>
    <dxf>
      <fill>
        <patternFill>
          <bgColor rgb="FFFF0000"/>
        </patternFill>
      </fill>
    </dxf>
    <dxf>
      <fill>
        <patternFill>
          <bgColor rgb="FFFF9999"/>
        </patternFill>
      </fill>
    </dxf>
    <dxf>
      <fill>
        <patternFill>
          <bgColor theme="7" tint="0.39994506668294322"/>
        </patternFill>
      </fill>
    </dxf>
    <dxf>
      <fill>
        <patternFill>
          <bgColor theme="8"/>
        </patternFill>
      </fill>
    </dxf>
    <dxf>
      <fill>
        <patternFill>
          <bgColor rgb="FF66FF66"/>
        </patternFill>
      </fill>
    </dxf>
    <dxf>
      <fill>
        <patternFill>
          <bgColor theme="4" tint="0.79998168889431442"/>
        </patternFill>
      </fill>
    </dxf>
    <dxf>
      <fill>
        <patternFill>
          <bgColor rgb="FFFFC000"/>
        </patternFill>
      </fill>
    </dxf>
    <dxf>
      <fill>
        <patternFill>
          <bgColor theme="7" tint="-0.24994659260841701"/>
        </patternFill>
      </fill>
    </dxf>
    <dxf>
      <fill>
        <patternFill>
          <bgColor theme="0" tint="-0.34998626667073579"/>
        </patternFill>
      </fill>
    </dxf>
    <dxf>
      <fill>
        <patternFill>
          <bgColor theme="0" tint="-0.34998626667073579"/>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rgb="FFFFC000"/>
        </patternFill>
      </fill>
    </dxf>
    <dxf>
      <fill>
        <patternFill>
          <bgColor rgb="FFFF9999"/>
        </patternFill>
      </fill>
    </dxf>
    <dxf>
      <fill>
        <patternFill>
          <bgColor rgb="FF66FF66"/>
        </patternFill>
      </fill>
    </dxf>
    <dxf>
      <fill>
        <patternFill>
          <bgColor theme="7" tint="-0.24994659260841701"/>
        </patternFill>
      </fill>
    </dxf>
    <dxf>
      <fill>
        <patternFill>
          <bgColor rgb="FF66FF66"/>
        </patternFill>
      </fill>
    </dxf>
    <dxf>
      <fill>
        <patternFill>
          <bgColor rgb="FFFF9999"/>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rgb="FFFFC000"/>
        </patternFill>
      </fill>
    </dxf>
    <dxf>
      <fill>
        <patternFill>
          <bgColor theme="7" tint="-0.24994659260841701"/>
        </patternFill>
      </fill>
    </dxf>
    <dxf>
      <fill>
        <patternFill>
          <bgColor theme="0" tint="-0.34998626667073579"/>
        </patternFill>
      </fill>
    </dxf>
    <dxf>
      <fill>
        <patternFill>
          <bgColor theme="7" tint="0.39994506668294322"/>
        </patternFill>
      </fill>
    </dxf>
    <dxf>
      <fill>
        <patternFill>
          <bgColor rgb="FFFF9999"/>
        </patternFill>
      </fill>
    </dxf>
    <dxf>
      <fill>
        <patternFill>
          <bgColor rgb="FF66FF66"/>
        </patternFill>
      </fill>
    </dxf>
    <dxf>
      <fill>
        <patternFill>
          <bgColor rgb="FFFF0000"/>
        </patternFill>
      </fill>
    </dxf>
    <dxf>
      <fill>
        <patternFill>
          <bgColor theme="8"/>
        </patternFill>
      </fill>
    </dxf>
    <dxf>
      <fill>
        <patternFill>
          <bgColor rgb="FFFFC000"/>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0000"/>
        </patternFill>
      </fill>
    </dxf>
    <dxf>
      <fill>
        <patternFill>
          <bgColor rgb="FFFF9999"/>
        </patternFill>
      </fill>
    </dxf>
    <dxf>
      <fill>
        <patternFill>
          <bgColor rgb="FFFFC000"/>
        </patternFill>
      </fill>
    </dxf>
    <dxf>
      <fill>
        <patternFill>
          <bgColor theme="0" tint="-0.34998626667073579"/>
        </patternFill>
      </fill>
    </dxf>
    <dxf>
      <fill>
        <patternFill>
          <bgColor theme="7" tint="-0.24994659260841701"/>
        </patternFill>
      </fill>
    </dxf>
    <dxf>
      <fill>
        <patternFill>
          <bgColor theme="8"/>
        </patternFill>
      </fill>
    </dxf>
    <dxf>
      <fill>
        <patternFill>
          <bgColor theme="7" tint="0.39994506668294322"/>
        </patternFill>
      </fill>
    </dxf>
    <dxf>
      <fill>
        <patternFill>
          <bgColor rgb="FF66FF66"/>
        </patternFill>
      </fill>
    </dxf>
    <dxf>
      <fill>
        <patternFill>
          <bgColor theme="4" tint="0.79998168889431442"/>
        </patternFill>
      </fill>
    </dxf>
    <dxf>
      <fill>
        <patternFill>
          <bgColor rgb="FFFF0000"/>
        </patternFill>
      </fill>
    </dxf>
    <dxf>
      <fill>
        <patternFill>
          <bgColor theme="4" tint="0.79998168889431442"/>
        </patternFill>
      </fill>
    </dxf>
    <dxf>
      <fill>
        <patternFill>
          <bgColor rgb="FF66FF66"/>
        </patternFill>
      </fill>
    </dxf>
    <dxf>
      <fill>
        <patternFill>
          <bgColor theme="0" tint="-0.34998626667073579"/>
        </patternFill>
      </fill>
    </dxf>
    <dxf>
      <fill>
        <patternFill>
          <bgColor theme="7" tint="-0.24994659260841701"/>
        </patternFill>
      </fill>
    </dxf>
    <dxf>
      <fill>
        <patternFill>
          <bgColor theme="7" tint="0.39994506668294322"/>
        </patternFill>
      </fill>
    </dxf>
    <dxf>
      <fill>
        <patternFill>
          <bgColor rgb="FFFFC000"/>
        </patternFill>
      </fill>
    </dxf>
    <dxf>
      <fill>
        <patternFill>
          <bgColor rgb="FFFF9999"/>
        </patternFill>
      </fill>
    </dxf>
    <dxf>
      <fill>
        <patternFill>
          <bgColor theme="8"/>
        </patternFill>
      </fill>
    </dxf>
    <dxf>
      <fill>
        <patternFill>
          <bgColor rgb="FFFF0000"/>
        </patternFill>
      </fill>
    </dxf>
    <dxf>
      <fill>
        <patternFill>
          <bgColor rgb="FF66FF66"/>
        </patternFill>
      </fill>
    </dxf>
    <dxf>
      <fill>
        <patternFill>
          <bgColor theme="8"/>
        </patternFill>
      </fill>
    </dxf>
    <dxf>
      <fill>
        <patternFill>
          <bgColor theme="7" tint="-0.24994659260841701"/>
        </patternFill>
      </fill>
    </dxf>
    <dxf>
      <fill>
        <patternFill>
          <bgColor rgb="FFFFC000"/>
        </patternFill>
      </fill>
    </dxf>
    <dxf>
      <fill>
        <patternFill>
          <bgColor theme="7" tint="0.39994506668294322"/>
        </patternFill>
      </fill>
    </dxf>
    <dxf>
      <fill>
        <patternFill>
          <bgColor theme="0" tint="-0.34998626667073579"/>
        </patternFill>
      </fill>
    </dxf>
    <dxf>
      <fill>
        <patternFill>
          <bgColor rgb="FFFF9999"/>
        </patternFill>
      </fill>
    </dxf>
    <dxf>
      <fill>
        <patternFill>
          <bgColor theme="4" tint="0.79998168889431442"/>
        </patternFill>
      </fill>
    </dxf>
    <dxf>
      <fill>
        <patternFill>
          <bgColor rgb="FFFF9999"/>
        </patternFill>
      </fill>
    </dxf>
    <dxf>
      <fill>
        <patternFill>
          <bgColor rgb="FFFFC000"/>
        </patternFill>
      </fill>
    </dxf>
    <dxf>
      <fill>
        <patternFill>
          <bgColor rgb="FFFF0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rgb="FF66FF66"/>
        </patternFill>
      </fill>
    </dxf>
    <dxf>
      <fill>
        <patternFill>
          <bgColor theme="7" tint="0.39994506668294322"/>
        </patternFill>
      </fill>
    </dxf>
    <dxf>
      <fill>
        <patternFill>
          <bgColor theme="4" tint="0.79998168889431442"/>
        </patternFill>
      </fill>
    </dxf>
    <dxf>
      <fill>
        <patternFill>
          <bgColor theme="8"/>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rgb="FFFF0000"/>
        </patternFill>
      </fill>
    </dxf>
    <dxf>
      <fill>
        <patternFill>
          <bgColor theme="7" tint="0.39994506668294322"/>
        </patternFill>
      </fill>
    </dxf>
    <dxf>
      <fill>
        <patternFill>
          <bgColor rgb="FFFF9999"/>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theme="7" tint="0.39994506668294322"/>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rgb="FFFF0000"/>
        </patternFill>
      </fill>
    </dxf>
    <dxf>
      <fill>
        <patternFill>
          <bgColor theme="8"/>
        </patternFill>
      </fill>
    </dxf>
    <dxf>
      <fill>
        <patternFill>
          <bgColor rgb="FFFF0000"/>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theme="7" tint="0.39994506668294322"/>
        </patternFill>
      </fill>
    </dxf>
    <dxf>
      <fill>
        <patternFill>
          <bgColor theme="7" tint="-0.24994659260841701"/>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rgb="FFFF0000"/>
        </patternFill>
      </fill>
    </dxf>
    <dxf>
      <fill>
        <patternFill>
          <bgColor theme="4" tint="0.79998168889431442"/>
        </patternFill>
      </fill>
    </dxf>
    <dxf>
      <fill>
        <patternFill>
          <bgColor theme="8"/>
        </patternFill>
      </fill>
    </dxf>
    <dxf>
      <fill>
        <patternFill>
          <bgColor theme="7" tint="0.39994506668294322"/>
        </patternFill>
      </fill>
    </dxf>
    <dxf>
      <fill>
        <patternFill>
          <bgColor rgb="FFFFC000"/>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9999"/>
        </patternFill>
      </fill>
    </dxf>
    <dxf>
      <fill>
        <patternFill>
          <bgColor rgb="FF66FF66"/>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rgb="FFFFC000"/>
        </patternFill>
      </fill>
    </dxf>
    <dxf>
      <fill>
        <patternFill>
          <bgColor rgb="FFFF9999"/>
        </patternFill>
      </fill>
    </dxf>
    <dxf>
      <fill>
        <patternFill>
          <bgColor rgb="FF66FF66"/>
        </patternFill>
      </fill>
    </dxf>
    <dxf>
      <fill>
        <patternFill>
          <bgColor theme="7" tint="0.39994506668294322"/>
        </patternFill>
      </fill>
    </dxf>
    <dxf>
      <fill>
        <patternFill>
          <bgColor rgb="FFFF0000"/>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theme="8"/>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rgb="FFFF9999"/>
        </patternFill>
      </fill>
    </dxf>
    <dxf>
      <fill>
        <patternFill>
          <bgColor theme="7" tint="0.39994506668294322"/>
        </patternFill>
      </fill>
    </dxf>
    <dxf>
      <fill>
        <patternFill>
          <bgColor rgb="FFFF0000"/>
        </patternFill>
      </fill>
    </dxf>
    <dxf>
      <fill>
        <patternFill>
          <bgColor theme="4" tint="0.79998168889431442"/>
        </patternFill>
      </fill>
    </dxf>
    <dxf>
      <fill>
        <patternFill>
          <bgColor rgb="FF66FF66"/>
        </patternFill>
      </fill>
    </dxf>
    <dxf>
      <fill>
        <patternFill>
          <bgColor rgb="FFFF0000"/>
        </patternFill>
      </fill>
    </dxf>
    <dxf>
      <fill>
        <patternFill>
          <bgColor rgb="FFFFC000"/>
        </patternFill>
      </fill>
    </dxf>
    <dxf>
      <fill>
        <patternFill>
          <bgColor theme="0" tint="-0.34998626667073579"/>
        </patternFill>
      </fill>
    </dxf>
    <dxf>
      <fill>
        <patternFill>
          <bgColor theme="4" tint="0.79998168889431442"/>
        </patternFill>
      </fill>
    </dxf>
    <dxf>
      <fill>
        <patternFill>
          <bgColor theme="8"/>
        </patternFill>
      </fill>
    </dxf>
    <dxf>
      <fill>
        <patternFill>
          <bgColor theme="7" tint="0.39994506668294322"/>
        </patternFill>
      </fill>
    </dxf>
    <dxf>
      <fill>
        <patternFill>
          <bgColor rgb="FFFF9999"/>
        </patternFill>
      </fill>
    </dxf>
    <dxf>
      <fill>
        <patternFill>
          <bgColor theme="7" tint="-0.24994659260841701"/>
        </patternFill>
      </fill>
    </dxf>
    <dxf>
      <fill>
        <patternFill>
          <bgColor theme="7" tint="0.39994506668294322"/>
        </patternFill>
      </fill>
    </dxf>
    <dxf>
      <fill>
        <patternFill>
          <bgColor rgb="FFFF0000"/>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9999"/>
        </patternFill>
      </fill>
    </dxf>
    <dxf>
      <fill>
        <patternFill>
          <bgColor rgb="FF66FF66"/>
        </patternFill>
      </fill>
    </dxf>
    <dxf>
      <fill>
        <patternFill>
          <bgColor rgb="FFFFC000"/>
        </patternFill>
      </fill>
    </dxf>
    <dxf>
      <fill>
        <patternFill>
          <bgColor rgb="FF66FF66"/>
        </patternFill>
      </fill>
    </dxf>
    <dxf>
      <fill>
        <patternFill>
          <bgColor rgb="FFFF9999"/>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rgb="FFFFC000"/>
        </patternFill>
      </fill>
    </dxf>
    <dxf>
      <fill>
        <patternFill>
          <bgColor theme="0" tint="-0.34998626667073579"/>
        </patternFill>
      </fill>
    </dxf>
    <dxf>
      <fill>
        <patternFill>
          <bgColor rgb="FFFF9999"/>
        </patternFill>
      </fill>
    </dxf>
    <dxf>
      <fill>
        <patternFill>
          <bgColor rgb="FF66FF66"/>
        </patternFill>
      </fill>
    </dxf>
    <dxf>
      <fill>
        <patternFill>
          <bgColor rgb="FFFFC000"/>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theme="0" tint="-0.34998626667073579"/>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rgb="FF66FF66"/>
        </patternFill>
      </fill>
    </dxf>
    <dxf>
      <fill>
        <patternFill>
          <bgColor theme="8"/>
        </patternFill>
      </fill>
    </dxf>
    <dxf>
      <fill>
        <patternFill>
          <bgColor theme="7" tint="0.39994506668294322"/>
        </patternFill>
      </fill>
    </dxf>
    <dxf>
      <fill>
        <patternFill>
          <bgColor rgb="FFFF0000"/>
        </patternFill>
      </fill>
    </dxf>
    <dxf>
      <fill>
        <patternFill>
          <bgColor rgb="FFFFC000"/>
        </patternFill>
      </fill>
    </dxf>
    <dxf>
      <fill>
        <patternFill>
          <bgColor rgb="FFFF9999"/>
        </patternFill>
      </fill>
    </dxf>
    <dxf>
      <fill>
        <patternFill>
          <bgColor rgb="FF66FF66"/>
        </patternFill>
      </fill>
    </dxf>
    <dxf>
      <fill>
        <patternFill>
          <bgColor rgb="FFFF9999"/>
        </patternFill>
      </fill>
    </dxf>
    <dxf>
      <fill>
        <patternFill>
          <bgColor rgb="FFFF0000"/>
        </patternFill>
      </fill>
    </dxf>
    <dxf>
      <fill>
        <patternFill>
          <bgColor theme="7" tint="0.39994506668294322"/>
        </patternFill>
      </fill>
    </dxf>
    <dxf>
      <fill>
        <patternFill>
          <bgColor theme="0" tint="-0.34998626667073579"/>
        </patternFill>
      </fill>
    </dxf>
    <dxf>
      <fill>
        <patternFill>
          <bgColor rgb="FFFFC000"/>
        </patternFill>
      </fill>
    </dxf>
    <dxf>
      <fill>
        <patternFill>
          <bgColor theme="4" tint="0.79998168889431442"/>
        </patternFill>
      </fill>
    </dxf>
    <dxf>
      <fill>
        <patternFill>
          <bgColor theme="8"/>
        </patternFill>
      </fill>
    </dxf>
    <dxf>
      <fill>
        <patternFill>
          <bgColor theme="7" tint="-0.24994659260841701"/>
        </patternFill>
      </fill>
    </dxf>
    <dxf>
      <fill>
        <patternFill>
          <bgColor rgb="FF00B050"/>
        </patternFill>
      </fill>
    </dxf>
    <dxf>
      <fill>
        <patternFill>
          <bgColor theme="8"/>
        </patternFill>
      </fill>
    </dxf>
    <dxf>
      <fill>
        <patternFill>
          <bgColor theme="4" tint="0.79998168889431442"/>
        </patternFill>
      </fill>
    </dxf>
    <dxf>
      <fill>
        <patternFill>
          <bgColor rgb="FFFF9999"/>
        </patternFill>
      </fill>
    </dxf>
    <dxf>
      <fill>
        <patternFill>
          <bgColor theme="7" tint="0.39994506668294322"/>
        </patternFill>
      </fill>
    </dxf>
    <dxf>
      <fill>
        <patternFill>
          <bgColor theme="7" tint="-0.24994659260841701"/>
        </patternFill>
      </fill>
    </dxf>
    <dxf>
      <fill>
        <patternFill>
          <bgColor rgb="FF66FF66"/>
        </patternFill>
      </fill>
    </dxf>
    <dxf>
      <fill>
        <patternFill>
          <bgColor rgb="FFFFC000"/>
        </patternFill>
      </fill>
    </dxf>
    <dxf>
      <fill>
        <patternFill>
          <bgColor theme="0" tint="-0.34998626667073579"/>
        </patternFill>
      </fill>
    </dxf>
    <dxf>
      <fill>
        <patternFill>
          <bgColor rgb="FFFF0000"/>
        </patternFill>
      </fill>
    </dxf>
    <dxf>
      <fill>
        <patternFill>
          <bgColor rgb="FF00B050"/>
        </patternFill>
      </fill>
    </dxf>
    <dxf>
      <fill>
        <patternFill>
          <bgColor rgb="FFFF0000"/>
        </patternFill>
      </fill>
    </dxf>
    <dxf>
      <fill>
        <patternFill>
          <bgColor rgb="FFFF9999"/>
        </patternFill>
      </fill>
    </dxf>
    <dxf>
      <fill>
        <patternFill>
          <bgColor rgb="FF00B050"/>
        </patternFill>
      </fill>
    </dxf>
    <dxf>
      <fill>
        <patternFill>
          <bgColor theme="7" tint="0.39994506668294322"/>
        </patternFill>
      </fill>
    </dxf>
    <dxf>
      <fill>
        <patternFill>
          <bgColor theme="8"/>
        </patternFill>
      </fill>
    </dxf>
    <dxf>
      <fill>
        <patternFill>
          <bgColor theme="4" tint="0.79998168889431442"/>
        </patternFill>
      </fill>
    </dxf>
    <dxf>
      <fill>
        <patternFill>
          <bgColor rgb="FFFFC000"/>
        </patternFill>
      </fill>
    </dxf>
    <dxf>
      <fill>
        <patternFill>
          <bgColor theme="7" tint="-0.24994659260841701"/>
        </patternFill>
      </fill>
    </dxf>
    <dxf>
      <fill>
        <patternFill>
          <bgColor rgb="FF66FF66"/>
        </patternFill>
      </fill>
    </dxf>
    <dxf>
      <fill>
        <patternFill>
          <bgColor theme="0" tint="-0.34998626667073579"/>
        </patternFill>
      </fill>
    </dxf>
    <dxf>
      <fill>
        <patternFill>
          <bgColor rgb="FF00B050"/>
        </patternFill>
      </fill>
    </dxf>
    <dxf>
      <fill>
        <patternFill>
          <bgColor theme="4" tint="0.79998168889431442"/>
        </patternFill>
      </fill>
    </dxf>
    <dxf>
      <fill>
        <patternFill>
          <bgColor theme="8"/>
        </patternFill>
      </fill>
    </dxf>
    <dxf>
      <fill>
        <patternFill>
          <bgColor rgb="FFFF9999"/>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theme="7" tint="0.39994506668294322"/>
        </patternFill>
      </fill>
    </dxf>
    <dxf>
      <fill>
        <patternFill>
          <bgColor rgb="FFFF0000"/>
        </patternFill>
      </fill>
    </dxf>
    <dxf>
      <fill>
        <patternFill>
          <bgColor rgb="FF00B050"/>
        </patternFill>
      </fill>
    </dxf>
    <dxf>
      <fill>
        <patternFill>
          <bgColor theme="0" tint="-0.34998626667073579"/>
        </patternFill>
      </fill>
    </dxf>
    <dxf>
      <fill>
        <patternFill>
          <bgColor rgb="FFFFC000"/>
        </patternFill>
      </fill>
    </dxf>
    <dxf>
      <fill>
        <patternFill>
          <bgColor rgb="FF00B050"/>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rgb="FF66FF66"/>
        </patternFill>
      </fill>
    </dxf>
    <dxf>
      <fill>
        <patternFill>
          <bgColor theme="7" tint="-0.24994659260841701"/>
        </patternFill>
      </fill>
    </dxf>
    <dxf>
      <fill>
        <patternFill>
          <bgColor rgb="FFFF9999"/>
        </patternFill>
      </fill>
    </dxf>
    <dxf>
      <fill>
        <patternFill>
          <bgColor rgb="FF00B050"/>
        </patternFill>
      </fill>
    </dxf>
    <dxf>
      <fill>
        <patternFill>
          <bgColor rgb="FFFF0000"/>
        </patternFill>
      </fill>
    </dxf>
    <dxf>
      <fill>
        <patternFill>
          <bgColor rgb="FF00B050"/>
        </patternFill>
      </fill>
    </dxf>
    <dxf>
      <fill>
        <patternFill>
          <bgColor theme="4" tint="0.79998168889431442"/>
        </patternFill>
      </fill>
    </dxf>
    <dxf>
      <fill>
        <patternFill>
          <bgColor rgb="FF66FF66"/>
        </patternFill>
      </fill>
    </dxf>
    <dxf>
      <fill>
        <patternFill>
          <bgColor rgb="FFFFC000"/>
        </patternFill>
      </fill>
    </dxf>
    <dxf>
      <fill>
        <patternFill>
          <bgColor theme="0" tint="-0.34998626667073579"/>
        </patternFill>
      </fill>
    </dxf>
    <dxf>
      <fill>
        <patternFill>
          <bgColor theme="8"/>
        </patternFill>
      </fill>
    </dxf>
    <dxf>
      <fill>
        <patternFill>
          <bgColor theme="7" tint="-0.24994659260841701"/>
        </patternFill>
      </fill>
    </dxf>
    <dxf>
      <fill>
        <patternFill>
          <bgColor rgb="FFFF9999"/>
        </patternFill>
      </fill>
    </dxf>
    <dxf>
      <fill>
        <patternFill>
          <bgColor theme="7" tint="0.39994506668294322"/>
        </patternFill>
      </fill>
    </dxf>
    <dxf>
      <fill>
        <patternFill>
          <bgColor theme="4" tint="0.79998168889431442"/>
        </patternFill>
      </fill>
    </dxf>
    <dxf>
      <fill>
        <patternFill>
          <bgColor theme="8"/>
        </patternFill>
      </fill>
    </dxf>
    <dxf>
      <fill>
        <patternFill>
          <bgColor theme="7" tint="0.39994506668294322"/>
        </patternFill>
      </fill>
    </dxf>
    <dxf>
      <fill>
        <patternFill>
          <bgColor theme="0" tint="-0.34998626667073579"/>
        </patternFill>
      </fill>
    </dxf>
    <dxf>
      <fill>
        <patternFill>
          <bgColor rgb="FFFF0000"/>
        </patternFill>
      </fill>
    </dxf>
    <dxf>
      <fill>
        <patternFill>
          <bgColor rgb="FFFF9999"/>
        </patternFill>
      </fill>
    </dxf>
    <dxf>
      <fill>
        <patternFill>
          <bgColor rgb="FF00B050"/>
        </patternFill>
      </fill>
    </dxf>
    <dxf>
      <fill>
        <patternFill>
          <bgColor theme="7" tint="-0.24994659260841701"/>
        </patternFill>
      </fill>
    </dxf>
    <dxf>
      <fill>
        <patternFill>
          <bgColor rgb="FFFFC000"/>
        </patternFill>
      </fill>
    </dxf>
    <dxf>
      <fill>
        <patternFill>
          <bgColor rgb="FF66FF66"/>
        </patternFill>
      </fill>
    </dxf>
    <dxf>
      <fill>
        <patternFill>
          <bgColor theme="8"/>
        </patternFill>
      </fill>
    </dxf>
    <dxf>
      <fill>
        <patternFill>
          <bgColor rgb="FFFF0000"/>
        </patternFill>
      </fill>
    </dxf>
    <dxf>
      <fill>
        <patternFill>
          <bgColor rgb="FFFF9999"/>
        </patternFill>
      </fill>
    </dxf>
    <dxf>
      <fill>
        <patternFill>
          <bgColor theme="7" tint="0.39994506668294322"/>
        </patternFill>
      </fill>
    </dxf>
    <dxf>
      <fill>
        <patternFill>
          <bgColor rgb="FF66FF66"/>
        </patternFill>
      </fill>
    </dxf>
    <dxf>
      <fill>
        <patternFill>
          <bgColor rgb="FF00B050"/>
        </patternFill>
      </fill>
    </dxf>
    <dxf>
      <fill>
        <patternFill>
          <bgColor rgb="FFFFC000"/>
        </patternFill>
      </fill>
    </dxf>
    <dxf>
      <fill>
        <patternFill>
          <bgColor theme="7" tint="-0.24994659260841701"/>
        </patternFill>
      </fill>
    </dxf>
    <dxf>
      <fill>
        <patternFill>
          <bgColor theme="4" tint="0.79998168889431442"/>
        </patternFill>
      </fill>
    </dxf>
    <dxf>
      <fill>
        <patternFill>
          <bgColor theme="0" tint="-0.34998626667073579"/>
        </patternFill>
      </fill>
    </dxf>
    <dxf>
      <fill>
        <patternFill>
          <bgColor rgb="FFFF0000"/>
        </patternFill>
      </fill>
    </dxf>
    <dxf>
      <fill>
        <patternFill>
          <bgColor theme="7" tint="-0.24994659260841701"/>
        </patternFill>
      </fill>
    </dxf>
    <dxf>
      <fill>
        <patternFill>
          <bgColor theme="8"/>
        </patternFill>
      </fill>
    </dxf>
    <dxf>
      <fill>
        <patternFill>
          <bgColor theme="0" tint="-0.34998626667073579"/>
        </patternFill>
      </fill>
    </dxf>
    <dxf>
      <fill>
        <patternFill>
          <bgColor rgb="FFFF9999"/>
        </patternFill>
      </fill>
    </dxf>
    <dxf>
      <fill>
        <patternFill>
          <bgColor theme="7" tint="0.39994506668294322"/>
        </patternFill>
      </fill>
    </dxf>
    <dxf>
      <fill>
        <patternFill>
          <bgColor rgb="FFFFC000"/>
        </patternFill>
      </fill>
    </dxf>
    <dxf>
      <fill>
        <patternFill>
          <bgColor rgb="FF66FF66"/>
        </patternFill>
      </fill>
    </dxf>
    <dxf>
      <fill>
        <patternFill>
          <bgColor rgb="FF00B050"/>
        </patternFill>
      </fill>
    </dxf>
    <dxf>
      <fill>
        <patternFill>
          <bgColor theme="4" tint="0.79998168889431442"/>
        </patternFill>
      </fill>
    </dxf>
    <dxf>
      <fill>
        <patternFill>
          <bgColor rgb="FF00B050"/>
        </patternFill>
      </fill>
    </dxf>
    <dxf>
      <fill>
        <patternFill>
          <bgColor rgb="FF00B050"/>
        </patternFill>
      </fill>
    </dxf>
    <dxf>
      <fill>
        <patternFill>
          <bgColor rgb="FF00B050"/>
        </patternFill>
      </fill>
    </dxf>
    <dxf>
      <fill>
        <patternFill>
          <bgColor theme="0" tint="-0.34998626667073579"/>
        </patternFill>
      </fill>
    </dxf>
    <dxf>
      <fill>
        <patternFill>
          <bgColor theme="7" tint="-0.24994659260841701"/>
        </patternFill>
      </fill>
    </dxf>
    <dxf>
      <fill>
        <patternFill>
          <bgColor rgb="FF66FF66"/>
        </patternFill>
      </fill>
    </dxf>
    <dxf>
      <fill>
        <patternFill>
          <bgColor rgb="FFFFC000"/>
        </patternFill>
      </fill>
    </dxf>
    <dxf>
      <fill>
        <patternFill>
          <bgColor rgb="FF00B050"/>
        </patternFill>
      </fill>
    </dxf>
    <dxf>
      <fill>
        <patternFill>
          <bgColor rgb="FFFF0000"/>
        </patternFill>
      </fill>
    </dxf>
    <dxf>
      <fill>
        <patternFill>
          <bgColor rgb="FFFF9999"/>
        </patternFill>
      </fill>
    </dxf>
    <dxf>
      <fill>
        <patternFill>
          <bgColor theme="7" tint="0.39994506668294322"/>
        </patternFill>
      </fill>
    </dxf>
    <dxf>
      <fill>
        <patternFill>
          <bgColor theme="4" tint="0.79998168889431442"/>
        </patternFill>
      </fill>
    </dxf>
    <dxf>
      <fill>
        <patternFill>
          <bgColor theme="8"/>
        </patternFill>
      </fill>
    </dxf>
    <dxf>
      <fill>
        <patternFill>
          <bgColor rgb="FF00B050"/>
        </patternFill>
      </fill>
    </dxf>
    <dxf>
      <fill>
        <patternFill>
          <bgColor theme="7" tint="0.39994506668294322"/>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00B050"/>
        </patternFill>
      </fill>
    </dxf>
    <dxf>
      <fill>
        <patternFill>
          <bgColor theme="8"/>
        </patternFill>
      </fill>
    </dxf>
    <dxf>
      <fill>
        <patternFill>
          <bgColor rgb="FF66FF66"/>
        </patternFill>
      </fill>
    </dxf>
    <dxf>
      <fill>
        <patternFill>
          <bgColor rgb="FFFF9999"/>
        </patternFill>
      </fill>
    </dxf>
    <dxf>
      <fill>
        <patternFill>
          <bgColor rgb="FFFF0000"/>
        </patternFill>
      </fill>
    </dxf>
    <dxf>
      <fill>
        <patternFill>
          <bgColor rgb="FFFFC000"/>
        </patternFill>
      </fill>
    </dxf>
    <dxf>
      <fill>
        <patternFill>
          <bgColor rgb="FF00B050"/>
        </patternFill>
      </fill>
    </dxf>
    <dxf>
      <fill>
        <patternFill>
          <bgColor rgb="FFFF9999"/>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rgb="FFFFC000"/>
        </patternFill>
      </fill>
    </dxf>
    <dxf>
      <fill>
        <patternFill>
          <bgColor theme="0" tint="-0.34998626667073579"/>
        </patternFill>
      </fill>
    </dxf>
    <dxf>
      <fill>
        <patternFill>
          <bgColor rgb="FF66FF66"/>
        </patternFill>
      </fill>
    </dxf>
    <dxf>
      <fill>
        <patternFill>
          <bgColor rgb="FF00B050"/>
        </patternFill>
      </fill>
    </dxf>
    <dxf>
      <fill>
        <patternFill>
          <bgColor rgb="FFFF9999"/>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rgb="FF66FF66"/>
        </patternFill>
      </fill>
    </dxf>
    <dxf>
      <fill>
        <patternFill>
          <bgColor rgb="FF00B050"/>
        </patternFill>
      </fill>
    </dxf>
    <dxf>
      <fill>
        <patternFill>
          <bgColor theme="7" tint="-0.24994659260841701"/>
        </patternFill>
      </fill>
    </dxf>
    <dxf>
      <fill>
        <patternFill>
          <bgColor theme="8"/>
        </patternFill>
      </fill>
    </dxf>
    <dxf>
      <fill>
        <patternFill>
          <bgColor rgb="FF66FF66"/>
        </patternFill>
      </fill>
    </dxf>
    <dxf>
      <fill>
        <patternFill>
          <bgColor theme="7" tint="0.39994506668294322"/>
        </patternFill>
      </fill>
    </dxf>
    <dxf>
      <fill>
        <patternFill>
          <bgColor theme="0" tint="-0.34998626667073579"/>
        </patternFill>
      </fill>
    </dxf>
    <dxf>
      <fill>
        <patternFill>
          <bgColor rgb="FFFF0000"/>
        </patternFill>
      </fill>
    </dxf>
    <dxf>
      <fill>
        <patternFill>
          <bgColor rgb="FFFFC000"/>
        </patternFill>
      </fill>
    </dxf>
    <dxf>
      <fill>
        <patternFill>
          <bgColor rgb="FFFF9999"/>
        </patternFill>
      </fill>
    </dxf>
    <dxf>
      <fill>
        <patternFill>
          <bgColor theme="4" tint="0.79998168889431442"/>
        </patternFill>
      </fill>
    </dxf>
    <dxf>
      <fill>
        <patternFill>
          <bgColor rgb="FFFF0000"/>
        </patternFill>
      </fill>
    </dxf>
    <dxf>
      <fill>
        <patternFill>
          <bgColor theme="8"/>
        </patternFill>
      </fill>
    </dxf>
    <dxf>
      <fill>
        <patternFill>
          <bgColor rgb="FFFFC000"/>
        </patternFill>
      </fill>
    </dxf>
    <dxf>
      <fill>
        <patternFill>
          <bgColor theme="4" tint="0.79998168889431442"/>
        </patternFill>
      </fill>
    </dxf>
    <dxf>
      <fill>
        <patternFill>
          <bgColor theme="0" tint="-0.34998626667073579"/>
        </patternFill>
      </fill>
    </dxf>
    <dxf>
      <fill>
        <patternFill>
          <bgColor rgb="FF66FF66"/>
        </patternFill>
      </fill>
    </dxf>
    <dxf>
      <fill>
        <patternFill>
          <bgColor rgb="FFFF9999"/>
        </patternFill>
      </fill>
    </dxf>
    <dxf>
      <fill>
        <patternFill>
          <bgColor rgb="FF00B050"/>
        </patternFill>
      </fill>
    </dxf>
    <dxf>
      <fill>
        <patternFill>
          <bgColor theme="7" tint="0.39994506668294322"/>
        </patternFill>
      </fill>
    </dxf>
    <dxf>
      <fill>
        <patternFill>
          <bgColor theme="7" tint="-0.24994659260841701"/>
        </patternFill>
      </fill>
    </dxf>
    <dxf>
      <fill>
        <patternFill>
          <bgColor theme="7" tint="-0.24994659260841701"/>
        </patternFill>
      </fill>
    </dxf>
    <dxf>
      <fill>
        <patternFill>
          <bgColor rgb="FF66FF66"/>
        </patternFill>
      </fill>
    </dxf>
    <dxf>
      <fill>
        <patternFill>
          <bgColor rgb="FFFFC000"/>
        </patternFill>
      </fill>
    </dxf>
    <dxf>
      <fill>
        <patternFill>
          <bgColor theme="0" tint="-0.34998626667073579"/>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rgb="FFFF9999"/>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rgb="FFFF9999"/>
        </patternFill>
      </fill>
    </dxf>
    <dxf>
      <fill>
        <patternFill>
          <bgColor theme="8"/>
        </patternFill>
      </fill>
    </dxf>
    <dxf>
      <fill>
        <patternFill>
          <bgColor theme="7" tint="0.39994506668294322"/>
        </patternFill>
      </fill>
    </dxf>
    <dxf>
      <fill>
        <patternFill>
          <bgColor rgb="FFFF0000"/>
        </patternFill>
      </fill>
    </dxf>
    <dxf>
      <fill>
        <patternFill>
          <bgColor rgb="FF66FF66"/>
        </patternFill>
      </fill>
    </dxf>
    <dxf>
      <fill>
        <patternFill>
          <bgColor rgb="FF00B050"/>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rgb="FF00B050"/>
        </patternFill>
      </fill>
    </dxf>
    <dxf>
      <fill>
        <patternFill>
          <bgColor rgb="FFFF0000"/>
        </patternFill>
      </fill>
    </dxf>
    <dxf>
      <fill>
        <patternFill>
          <bgColor theme="7" tint="0.39994506668294322"/>
        </patternFill>
      </fill>
    </dxf>
    <dxf>
      <fill>
        <patternFill>
          <bgColor theme="8"/>
        </patternFill>
      </fill>
    </dxf>
    <dxf>
      <fill>
        <patternFill>
          <bgColor theme="0" tint="-0.34998626667073579"/>
        </patternFill>
      </fill>
    </dxf>
    <dxf>
      <fill>
        <patternFill>
          <bgColor rgb="FFFF9999"/>
        </patternFill>
      </fill>
    </dxf>
    <dxf>
      <fill>
        <patternFill>
          <bgColor theme="7" tint="-0.24994659260841701"/>
        </patternFill>
      </fill>
    </dxf>
    <dxf>
      <fill>
        <patternFill>
          <bgColor rgb="FFFFC000"/>
        </patternFill>
      </fill>
    </dxf>
    <dxf>
      <fill>
        <patternFill>
          <bgColor theme="7" tint="0.39994506668294322"/>
        </patternFill>
      </fill>
    </dxf>
    <dxf>
      <fill>
        <patternFill>
          <bgColor theme="4" tint="0.79998168889431442"/>
        </patternFill>
      </fill>
    </dxf>
    <dxf>
      <fill>
        <patternFill>
          <bgColor rgb="FF66FF66"/>
        </patternFill>
      </fill>
    </dxf>
    <dxf>
      <fill>
        <patternFill>
          <bgColor rgb="FFFF0000"/>
        </patternFill>
      </fill>
    </dxf>
    <dxf>
      <fill>
        <patternFill>
          <bgColor rgb="FF00B050"/>
        </patternFill>
      </fill>
    </dxf>
    <dxf>
      <fill>
        <patternFill>
          <bgColor theme="7" tint="0.39994506668294322"/>
        </patternFill>
      </fill>
    </dxf>
    <dxf>
      <fill>
        <patternFill>
          <bgColor theme="8"/>
        </patternFill>
      </fill>
    </dxf>
    <dxf>
      <fill>
        <patternFill>
          <bgColor theme="0" tint="-0.34998626667073579"/>
        </patternFill>
      </fill>
    </dxf>
    <dxf>
      <fill>
        <patternFill>
          <bgColor theme="4" tint="0.79998168889431442"/>
        </patternFill>
      </fill>
    </dxf>
    <dxf>
      <fill>
        <patternFill>
          <bgColor rgb="FFFFC000"/>
        </patternFill>
      </fill>
    </dxf>
    <dxf>
      <fill>
        <patternFill>
          <bgColor rgb="FFFF9999"/>
        </patternFill>
      </fill>
    </dxf>
    <dxf>
      <fill>
        <patternFill>
          <bgColor rgb="FF00B050"/>
        </patternFill>
      </fill>
    </dxf>
    <dxf>
      <fill>
        <patternFill>
          <bgColor theme="7" tint="-0.24994659260841701"/>
        </patternFill>
      </fill>
    </dxf>
    <dxf>
      <fill>
        <patternFill>
          <bgColor rgb="FFFF0000"/>
        </patternFill>
      </fill>
    </dxf>
    <dxf>
      <fill>
        <patternFill>
          <bgColor rgb="FF66FF66"/>
        </patternFill>
      </fill>
    </dxf>
    <dxf>
      <fill>
        <patternFill>
          <bgColor rgb="FF00B050"/>
        </patternFill>
      </fill>
    </dxf>
    <dxf>
      <fill>
        <patternFill>
          <bgColor rgb="FFFF9999"/>
        </patternFill>
      </fill>
    </dxf>
    <dxf>
      <fill>
        <patternFill>
          <bgColor theme="0" tint="-0.34998626667073579"/>
        </patternFill>
      </fill>
    </dxf>
    <dxf>
      <fill>
        <patternFill>
          <bgColor rgb="FFFFC000"/>
        </patternFill>
      </fill>
    </dxf>
    <dxf>
      <fill>
        <patternFill>
          <bgColor theme="7" tint="-0.24994659260841701"/>
        </patternFill>
      </fill>
    </dxf>
    <dxf>
      <fill>
        <patternFill>
          <bgColor rgb="FF66FF66"/>
        </patternFill>
      </fill>
    </dxf>
    <dxf>
      <fill>
        <patternFill>
          <bgColor theme="4" tint="0.79998168889431442"/>
        </patternFill>
      </fill>
    </dxf>
    <dxf>
      <fill>
        <patternFill>
          <bgColor theme="8"/>
        </patternFill>
      </fill>
    </dxf>
    <dxf>
      <fill>
        <patternFill>
          <bgColor rgb="FF00B050"/>
        </patternFill>
      </fill>
    </dxf>
    <dxf>
      <fill>
        <patternFill>
          <bgColor rgb="FFFF0000"/>
        </patternFill>
      </fill>
    </dxf>
    <dxf>
      <fill>
        <patternFill>
          <bgColor theme="7" tint="0.39994506668294322"/>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FF0000"/>
        </patternFill>
      </fill>
    </dxf>
    <dxf>
      <fill>
        <patternFill>
          <bgColor rgb="FF66FF66"/>
        </patternFill>
      </fill>
    </dxf>
    <dxf>
      <fill>
        <patternFill>
          <bgColor rgb="FFFF9999"/>
        </patternFill>
      </fill>
    </dxf>
    <dxf>
      <fill>
        <patternFill>
          <bgColor rgb="FF00B050"/>
        </patternFill>
      </fill>
    </dxf>
    <dxf>
      <fill>
        <patternFill>
          <bgColor theme="7" tint="-0.24994659260841701"/>
        </patternFill>
      </fill>
    </dxf>
    <dxf>
      <fill>
        <patternFill>
          <bgColor theme="4" tint="0.79998168889431442"/>
        </patternFill>
      </fill>
    </dxf>
    <dxf>
      <fill>
        <patternFill>
          <bgColor theme="0" tint="-0.34998626667073579"/>
        </patternFill>
      </fill>
    </dxf>
    <dxf>
      <fill>
        <patternFill>
          <bgColor rgb="FF00B050"/>
        </patternFill>
      </fill>
    </dxf>
    <dxf>
      <fill>
        <patternFill>
          <bgColor theme="8"/>
        </patternFill>
      </fill>
    </dxf>
    <dxf>
      <fill>
        <patternFill>
          <bgColor rgb="FFFFC000"/>
        </patternFill>
      </fill>
    </dxf>
    <dxf>
      <fill>
        <patternFill>
          <bgColor rgb="FF66FF66"/>
        </patternFill>
      </fill>
    </dxf>
    <dxf>
      <fill>
        <patternFill>
          <bgColor theme="7" tint="0.39994506668294322"/>
        </patternFill>
      </fill>
    </dxf>
    <dxf>
      <fill>
        <patternFill>
          <bgColor rgb="FFFF0000"/>
        </patternFill>
      </fill>
    </dxf>
    <dxf>
      <fill>
        <patternFill>
          <bgColor rgb="FFFF9999"/>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C000"/>
        </patternFill>
      </fill>
    </dxf>
    <dxf>
      <fill>
        <patternFill>
          <bgColor theme="7" tint="0.39994506668294322"/>
        </patternFill>
      </fill>
    </dxf>
    <dxf>
      <fill>
        <patternFill>
          <bgColor rgb="FFFF0000"/>
        </patternFill>
      </fill>
    </dxf>
    <dxf>
      <fill>
        <patternFill>
          <bgColor theme="8"/>
        </patternFill>
      </fill>
    </dxf>
    <dxf>
      <fill>
        <patternFill>
          <bgColor rgb="FFFF9999"/>
        </patternFill>
      </fill>
    </dxf>
    <dxf>
      <fill>
        <patternFill>
          <bgColor rgb="FF00B050"/>
        </patternFill>
      </fill>
    </dxf>
    <dxf>
      <fill>
        <patternFill>
          <bgColor rgb="FF66FF66"/>
        </patternFill>
      </fill>
    </dxf>
    <dxf>
      <fill>
        <patternFill>
          <bgColor theme="4" tint="0.79998168889431442"/>
        </patternFill>
      </fill>
    </dxf>
    <dxf>
      <fill>
        <patternFill>
          <bgColor theme="7" tint="0.39994506668294322"/>
        </patternFill>
      </fill>
    </dxf>
    <dxf>
      <fill>
        <patternFill>
          <bgColor rgb="FFFF0000"/>
        </patternFill>
      </fill>
    </dxf>
    <dxf>
      <fill>
        <patternFill>
          <bgColor theme="7" tint="-0.24994659260841701"/>
        </patternFill>
      </fill>
    </dxf>
    <dxf>
      <fill>
        <patternFill>
          <bgColor rgb="FF00B050"/>
        </patternFill>
      </fill>
    </dxf>
    <dxf>
      <fill>
        <patternFill>
          <bgColor theme="0" tint="-0.34998626667073579"/>
        </patternFill>
      </fill>
    </dxf>
    <dxf>
      <fill>
        <patternFill>
          <bgColor rgb="FFFFC000"/>
        </patternFill>
      </fill>
    </dxf>
    <dxf>
      <fill>
        <patternFill>
          <bgColor theme="8"/>
        </patternFill>
      </fill>
    </dxf>
    <dxf>
      <fill>
        <patternFill>
          <bgColor rgb="FFFF9999"/>
        </patternFill>
      </fill>
    </dxf>
    <dxf>
      <fill>
        <patternFill>
          <bgColor rgb="FF66FF66"/>
        </patternFill>
      </fill>
    </dxf>
    <dxf>
      <fill>
        <patternFill>
          <bgColor theme="0" tint="-0.34998626667073579"/>
        </patternFill>
      </fill>
    </dxf>
    <dxf>
      <fill>
        <patternFill>
          <bgColor rgb="FFFF0000"/>
        </patternFill>
      </fill>
    </dxf>
    <dxf>
      <fill>
        <patternFill>
          <bgColor rgb="FFFF9999"/>
        </patternFill>
      </fill>
    </dxf>
    <dxf>
      <fill>
        <patternFill>
          <bgColor rgb="FF66FF66"/>
        </patternFill>
      </fill>
    </dxf>
    <dxf>
      <fill>
        <patternFill>
          <bgColor rgb="FFFFC000"/>
        </patternFill>
      </fill>
    </dxf>
    <dxf>
      <fill>
        <patternFill>
          <bgColor theme="7" tint="0.39994506668294322"/>
        </patternFill>
      </fill>
    </dxf>
    <dxf>
      <fill>
        <patternFill>
          <bgColor theme="7" tint="-0.24994659260841701"/>
        </patternFill>
      </fill>
    </dxf>
    <dxf>
      <fill>
        <patternFill>
          <bgColor theme="4" tint="0.79998168889431442"/>
        </patternFill>
      </fill>
    </dxf>
    <dxf>
      <fill>
        <patternFill>
          <bgColor rgb="FF00B050"/>
        </patternFill>
      </fill>
    </dxf>
    <dxf>
      <fill>
        <patternFill>
          <bgColor theme="8"/>
        </patternFill>
      </fill>
    </dxf>
    <dxf>
      <fill>
        <patternFill>
          <bgColor rgb="FF00B050"/>
        </patternFill>
      </fill>
    </dxf>
    <dxf>
      <fill>
        <patternFill>
          <bgColor rgb="FF00B050"/>
        </patternFill>
      </fill>
    </dxf>
    <dxf>
      <fill>
        <patternFill>
          <bgColor rgb="FF00B050"/>
        </patternFill>
      </fill>
    </dxf>
    <dxf>
      <fill>
        <patternFill>
          <bgColor theme="7" tint="-0.24994659260841701"/>
        </patternFill>
      </fill>
    </dxf>
    <dxf>
      <fill>
        <patternFill>
          <bgColor rgb="FFFF9999"/>
        </patternFill>
      </fill>
    </dxf>
    <dxf>
      <fill>
        <patternFill>
          <bgColor theme="4" tint="0.79998168889431442"/>
        </patternFill>
      </fill>
    </dxf>
    <dxf>
      <fill>
        <patternFill>
          <bgColor theme="7" tint="0.39994506668294322"/>
        </patternFill>
      </fill>
    </dxf>
    <dxf>
      <fill>
        <patternFill>
          <bgColor theme="0" tint="-0.34998626667073579"/>
        </patternFill>
      </fill>
    </dxf>
    <dxf>
      <fill>
        <patternFill>
          <bgColor rgb="FF66FF66"/>
        </patternFill>
      </fill>
    </dxf>
    <dxf>
      <fill>
        <patternFill>
          <bgColor rgb="FFFFC000"/>
        </patternFill>
      </fill>
    </dxf>
    <dxf>
      <fill>
        <patternFill>
          <bgColor rgb="FFFF0000"/>
        </patternFill>
      </fill>
    </dxf>
    <dxf>
      <fill>
        <patternFill>
          <bgColor theme="8"/>
        </patternFill>
      </fill>
    </dxf>
    <dxf>
      <fill>
        <patternFill>
          <bgColor rgb="FF00B050"/>
        </patternFill>
      </fill>
    </dxf>
    <dxf>
      <fill>
        <patternFill>
          <bgColor theme="4" tint="0.79998168889431442"/>
        </patternFill>
      </fill>
    </dxf>
    <dxf>
      <fill>
        <patternFill>
          <bgColor theme="7" tint="0.39994506668294322"/>
        </patternFill>
      </fill>
    </dxf>
    <dxf>
      <fill>
        <patternFill>
          <bgColor theme="0" tint="-0.34998626667073579"/>
        </patternFill>
      </fill>
    </dxf>
    <dxf>
      <fill>
        <patternFill>
          <bgColor rgb="FF66FF66"/>
        </patternFill>
      </fill>
    </dxf>
    <dxf>
      <fill>
        <patternFill>
          <bgColor rgb="FFFF9999"/>
        </patternFill>
      </fill>
    </dxf>
    <dxf>
      <fill>
        <patternFill>
          <bgColor rgb="FFFFC000"/>
        </patternFill>
      </fill>
    </dxf>
    <dxf>
      <fill>
        <patternFill>
          <bgColor theme="7" tint="-0.24994659260841701"/>
        </patternFill>
      </fill>
    </dxf>
    <dxf>
      <fill>
        <patternFill>
          <bgColor rgb="FFFF0000"/>
        </patternFill>
      </fill>
    </dxf>
    <dxf>
      <fill>
        <patternFill>
          <bgColor theme="8"/>
        </patternFill>
      </fill>
    </dxf>
    <dxf>
      <fill>
        <patternFill>
          <bgColor theme="7" tint="-0.24994659260841701"/>
        </patternFill>
      </fill>
    </dxf>
    <dxf>
      <fill>
        <patternFill>
          <bgColor theme="8"/>
        </patternFill>
      </fill>
    </dxf>
    <dxf>
      <fill>
        <patternFill>
          <bgColor theme="4" tint="0.79998168889431442"/>
        </patternFill>
      </fill>
    </dxf>
    <dxf>
      <fill>
        <patternFill>
          <bgColor rgb="FFFFC000"/>
        </patternFill>
      </fill>
    </dxf>
    <dxf>
      <fill>
        <patternFill>
          <bgColor rgb="FFFF0000"/>
        </patternFill>
      </fill>
    </dxf>
    <dxf>
      <fill>
        <patternFill>
          <bgColor rgb="FFFF9999"/>
        </patternFill>
      </fill>
    </dxf>
    <dxf>
      <fill>
        <patternFill>
          <bgColor theme="7" tint="0.39994506668294322"/>
        </patternFill>
      </fill>
    </dxf>
    <dxf>
      <fill>
        <patternFill>
          <bgColor rgb="FF66FF66"/>
        </patternFill>
      </fill>
    </dxf>
    <dxf>
      <fill>
        <patternFill>
          <bgColor theme="0" tint="-0.34998626667073579"/>
        </patternFill>
      </fill>
    </dxf>
    <dxf>
      <fill>
        <patternFill>
          <bgColor rgb="FF00B050"/>
        </patternFill>
      </fill>
    </dxf>
    <dxf>
      <fill>
        <patternFill>
          <bgColor theme="7" tint="0.39994506668294322"/>
        </patternFill>
      </fill>
    </dxf>
    <dxf>
      <fill>
        <patternFill>
          <bgColor theme="8"/>
        </patternFill>
      </fill>
    </dxf>
    <dxf>
      <fill>
        <patternFill>
          <bgColor rgb="FF66FF66"/>
        </patternFill>
      </fill>
    </dxf>
    <dxf>
      <fill>
        <patternFill>
          <bgColor theme="4" tint="0.79998168889431442"/>
        </patternFill>
      </fill>
    </dxf>
    <dxf>
      <fill>
        <patternFill>
          <bgColor rgb="FFFF0000"/>
        </patternFill>
      </fill>
    </dxf>
    <dxf>
      <fill>
        <patternFill>
          <bgColor rgb="FFFF9999"/>
        </patternFill>
      </fill>
    </dxf>
    <dxf>
      <fill>
        <patternFill>
          <bgColor rgb="FFFFC000"/>
        </patternFill>
      </fill>
    </dxf>
    <dxf>
      <fill>
        <patternFill>
          <bgColor theme="7" tint="-0.24994659260841701"/>
        </patternFill>
      </fill>
    </dxf>
    <dxf>
      <fill>
        <patternFill>
          <bgColor theme="0" tint="-0.34998626667073579"/>
        </patternFill>
      </fill>
    </dxf>
    <dxf>
      <fill>
        <patternFill>
          <bgColor rgb="FFFFC000"/>
        </patternFill>
      </fill>
    </dxf>
    <dxf>
      <fill>
        <patternFill>
          <bgColor theme="4" tint="0.79998168889431442"/>
        </patternFill>
      </fill>
    </dxf>
    <dxf>
      <fill>
        <patternFill>
          <bgColor theme="0" tint="-0.34998626667073579"/>
        </patternFill>
      </fill>
    </dxf>
    <dxf>
      <fill>
        <patternFill>
          <bgColor rgb="FF66FF66"/>
        </patternFill>
      </fill>
    </dxf>
    <dxf>
      <fill>
        <patternFill>
          <bgColor rgb="FF00B050"/>
        </patternFill>
      </fill>
    </dxf>
    <dxf>
      <fill>
        <patternFill>
          <bgColor theme="7" tint="-0.24994659260841701"/>
        </patternFill>
      </fill>
    </dxf>
    <dxf>
      <fill>
        <patternFill>
          <bgColor theme="7" tint="0.39994506668294322"/>
        </patternFill>
      </fill>
    </dxf>
    <dxf>
      <fill>
        <patternFill>
          <bgColor rgb="FFFF0000"/>
        </patternFill>
      </fill>
    </dxf>
    <dxf>
      <fill>
        <patternFill>
          <bgColor rgb="FFFF9999"/>
        </patternFill>
      </fill>
    </dxf>
    <dxf>
      <fill>
        <patternFill>
          <bgColor theme="8"/>
        </patternFill>
      </fill>
    </dxf>
    <dxf>
      <fill>
        <patternFill>
          <bgColor rgb="FF66FF66"/>
        </patternFill>
      </fill>
    </dxf>
    <dxf>
      <fill>
        <patternFill>
          <bgColor rgb="FFFF0000"/>
        </patternFill>
      </fill>
    </dxf>
    <dxf>
      <fill>
        <patternFill>
          <bgColor theme="0" tint="-0.34998626667073579"/>
        </patternFill>
      </fill>
    </dxf>
    <dxf>
      <fill>
        <patternFill>
          <bgColor theme="4" tint="0.79998168889431442"/>
        </patternFill>
      </fill>
    </dxf>
    <dxf>
      <fill>
        <patternFill>
          <bgColor theme="8"/>
        </patternFill>
      </fill>
    </dxf>
    <dxf>
      <fill>
        <patternFill>
          <bgColor rgb="FFFFC000"/>
        </patternFill>
      </fill>
    </dxf>
    <dxf>
      <fill>
        <patternFill>
          <bgColor rgb="FFFF9999"/>
        </patternFill>
      </fill>
    </dxf>
    <dxf>
      <fill>
        <patternFill>
          <bgColor rgb="FF00B050"/>
        </patternFill>
      </fill>
    </dxf>
    <dxf>
      <fill>
        <patternFill>
          <bgColor theme="7" tint="-0.24994659260841701"/>
        </patternFill>
      </fill>
    </dxf>
    <dxf>
      <fill>
        <patternFill>
          <bgColor theme="7" tint="0.39994506668294322"/>
        </patternFill>
      </fill>
    </dxf>
    <dxf>
      <fill>
        <patternFill>
          <bgColor theme="4" tint="0.79998168889431442"/>
        </patternFill>
      </fill>
    </dxf>
    <dxf>
      <fill>
        <patternFill>
          <bgColor theme="7" tint="-0.24994659260841701"/>
        </patternFill>
      </fill>
    </dxf>
    <dxf>
      <fill>
        <patternFill>
          <bgColor theme="7" tint="0.39994506668294322"/>
        </patternFill>
      </fill>
    </dxf>
    <dxf>
      <fill>
        <patternFill>
          <bgColor rgb="FF00B050"/>
        </patternFill>
      </fill>
    </dxf>
    <dxf>
      <fill>
        <patternFill>
          <bgColor theme="0" tint="-0.34998626667073579"/>
        </patternFill>
      </fill>
    </dxf>
    <dxf>
      <fill>
        <patternFill>
          <bgColor rgb="FFFFC000"/>
        </patternFill>
      </fill>
    </dxf>
    <dxf>
      <fill>
        <patternFill>
          <bgColor rgb="FFFF9999"/>
        </patternFill>
      </fill>
    </dxf>
    <dxf>
      <fill>
        <patternFill>
          <bgColor rgb="FF66FF66"/>
        </patternFill>
      </fill>
    </dxf>
    <dxf>
      <fill>
        <patternFill>
          <bgColor theme="8"/>
        </patternFill>
      </fill>
    </dxf>
    <dxf>
      <fill>
        <patternFill>
          <bgColor rgb="FFFF0000"/>
        </patternFill>
      </fill>
    </dxf>
    <dxf>
      <fill>
        <patternFill>
          <bgColor theme="7" tint="0.39994506668294322"/>
        </patternFill>
      </fill>
    </dxf>
    <dxf>
      <fill>
        <patternFill>
          <bgColor theme="7" tint="-0.24994659260841701"/>
        </patternFill>
      </fill>
    </dxf>
    <dxf>
      <fill>
        <patternFill>
          <bgColor theme="0" tint="-0.34998626667073579"/>
        </patternFill>
      </fill>
    </dxf>
    <dxf>
      <fill>
        <patternFill>
          <bgColor theme="8"/>
        </patternFill>
      </fill>
    </dxf>
    <dxf>
      <fill>
        <patternFill>
          <bgColor theme="4" tint="0.79998168889431442"/>
        </patternFill>
      </fill>
    </dxf>
    <dxf>
      <fill>
        <patternFill>
          <bgColor rgb="FFFFC000"/>
        </patternFill>
      </fill>
    </dxf>
    <dxf>
      <fill>
        <patternFill>
          <bgColor rgb="FF66FF66"/>
        </patternFill>
      </fill>
    </dxf>
    <dxf>
      <fill>
        <patternFill>
          <bgColor rgb="FFFF9999"/>
        </patternFill>
      </fill>
    </dxf>
    <dxf>
      <fill>
        <patternFill>
          <bgColor rgb="FFFF0000"/>
        </patternFill>
      </fill>
    </dxf>
    <dxf>
      <fill>
        <patternFill>
          <bgColor rgb="FF00B050"/>
        </patternFill>
      </fill>
    </dxf>
    <dxf>
      <fill>
        <patternFill>
          <bgColor rgb="FF66FF66"/>
        </patternFill>
      </fill>
    </dxf>
    <dxf>
      <fill>
        <patternFill>
          <bgColor theme="0" tint="-0.34998626667073579"/>
        </patternFill>
      </fill>
    </dxf>
    <dxf>
      <fill>
        <patternFill>
          <bgColor theme="7" tint="-0.24994659260841701"/>
        </patternFill>
      </fill>
    </dxf>
    <dxf>
      <fill>
        <patternFill>
          <bgColor rgb="FFFF9999"/>
        </patternFill>
      </fill>
    </dxf>
    <dxf>
      <fill>
        <patternFill>
          <bgColor theme="8"/>
        </patternFill>
      </fill>
    </dxf>
    <dxf>
      <fill>
        <patternFill>
          <bgColor theme="7" tint="0.39994506668294322"/>
        </patternFill>
      </fill>
    </dxf>
    <dxf>
      <fill>
        <patternFill>
          <bgColor rgb="FFFF0000"/>
        </patternFill>
      </fill>
    </dxf>
    <dxf>
      <fill>
        <patternFill>
          <bgColor theme="4" tint="0.79998168889431442"/>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theme="0" tint="-0.34998626667073579"/>
        </patternFill>
      </fill>
    </dxf>
    <dxf>
      <fill>
        <patternFill>
          <bgColor theme="7" tint="-0.24994659260841701"/>
        </patternFill>
      </fill>
    </dxf>
    <dxf>
      <fill>
        <patternFill>
          <bgColor rgb="FF66FF66"/>
        </patternFill>
      </fill>
    </dxf>
    <dxf>
      <fill>
        <patternFill>
          <bgColor theme="4" tint="0.79998168889431442"/>
        </patternFill>
      </fill>
    </dxf>
    <dxf>
      <fill>
        <patternFill>
          <bgColor theme="8"/>
        </patternFill>
      </fill>
    </dxf>
    <dxf>
      <fill>
        <patternFill>
          <bgColor theme="7" tint="0.39994506668294322"/>
        </patternFill>
      </fill>
    </dxf>
    <dxf>
      <fill>
        <patternFill>
          <bgColor rgb="FFFF9999"/>
        </patternFill>
      </fill>
    </dxf>
    <dxf>
      <fill>
        <patternFill>
          <bgColor rgb="FFFF0000"/>
        </patternFill>
      </fill>
    </dxf>
    <dxf>
      <fill>
        <patternFill>
          <bgColor theme="7" tint="-0.24994659260841701"/>
        </patternFill>
      </fill>
    </dxf>
    <dxf>
      <fill>
        <patternFill>
          <bgColor theme="8"/>
        </patternFill>
      </fill>
    </dxf>
    <dxf>
      <fill>
        <patternFill>
          <bgColor theme="7" tint="0.39994506668294322"/>
        </patternFill>
      </fill>
    </dxf>
    <dxf>
      <fill>
        <patternFill>
          <bgColor rgb="FFFF0000"/>
        </patternFill>
      </fill>
    </dxf>
    <dxf>
      <fill>
        <patternFill>
          <bgColor rgb="FF00B050"/>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theme="4" tint="0.79998168889431442"/>
        </patternFill>
      </fill>
    </dxf>
    <dxf>
      <fill>
        <patternFill>
          <bgColor rgb="FFFF9999"/>
        </patternFill>
      </fill>
    </dxf>
    <dxf>
      <fill>
        <patternFill>
          <bgColor theme="8"/>
        </patternFill>
      </fill>
    </dxf>
    <dxf>
      <fill>
        <patternFill>
          <bgColor theme="7" tint="0.39994506668294322"/>
        </patternFill>
      </fill>
    </dxf>
    <dxf>
      <fill>
        <patternFill>
          <bgColor rgb="FFFF0000"/>
        </patternFill>
      </fill>
    </dxf>
    <dxf>
      <fill>
        <patternFill>
          <bgColor rgb="FF00B050"/>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66FF66"/>
        </patternFill>
      </fill>
    </dxf>
    <dxf>
      <fill>
        <patternFill>
          <bgColor rgb="FFFFC000"/>
        </patternFill>
      </fill>
    </dxf>
    <dxf>
      <fill>
        <patternFill>
          <bgColor theme="7" tint="0.39994506668294322"/>
        </patternFill>
      </fill>
    </dxf>
    <dxf>
      <fill>
        <patternFill>
          <bgColor rgb="FFFFC000"/>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9999"/>
        </patternFill>
      </fill>
    </dxf>
    <dxf>
      <fill>
        <patternFill>
          <bgColor rgb="FF00B050"/>
        </patternFill>
      </fill>
    </dxf>
    <dxf>
      <fill>
        <patternFill>
          <bgColor rgb="FF66FF66"/>
        </patternFill>
      </fill>
    </dxf>
    <dxf>
      <fill>
        <patternFill>
          <bgColor rgb="FFFF0000"/>
        </patternFill>
      </fill>
    </dxf>
    <dxf>
      <fill>
        <patternFill>
          <bgColor theme="8"/>
        </patternFill>
      </fill>
    </dxf>
    <dxf>
      <fill>
        <patternFill>
          <bgColor theme="7" tint="0.39994506668294322"/>
        </patternFill>
      </fill>
    </dxf>
    <dxf>
      <fill>
        <patternFill>
          <bgColor theme="8"/>
        </patternFill>
      </fill>
    </dxf>
    <dxf>
      <fill>
        <patternFill>
          <bgColor rgb="FFFF0000"/>
        </patternFill>
      </fill>
    </dxf>
    <dxf>
      <fill>
        <patternFill>
          <bgColor rgb="FF00B050"/>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FF9999"/>
        </patternFill>
      </fill>
    </dxf>
    <dxf>
      <fill>
        <patternFill>
          <bgColor rgb="FF66FF66"/>
        </patternFill>
      </fill>
    </dxf>
    <dxf>
      <fill>
        <patternFill>
          <bgColor rgb="FFFFC000"/>
        </patternFill>
      </fill>
    </dxf>
    <dxf>
      <fill>
        <patternFill>
          <bgColor theme="4" tint="0.79998168889431442"/>
        </patternFill>
      </fill>
    </dxf>
    <dxf>
      <fill>
        <patternFill>
          <bgColor rgb="FF66FF66"/>
        </patternFill>
      </fill>
    </dxf>
    <dxf>
      <fill>
        <patternFill>
          <bgColor rgb="FF00B050"/>
        </patternFill>
      </fill>
    </dxf>
    <dxf>
      <fill>
        <patternFill>
          <bgColor theme="7" tint="0.39994506668294322"/>
        </patternFill>
      </fill>
    </dxf>
    <dxf>
      <fill>
        <patternFill>
          <bgColor rgb="FFFF0000"/>
        </patternFill>
      </fill>
    </dxf>
    <dxf>
      <fill>
        <patternFill>
          <bgColor rgb="FFFF9999"/>
        </patternFill>
      </fill>
    </dxf>
    <dxf>
      <fill>
        <patternFill>
          <bgColor theme="7" tint="-0.24994659260841701"/>
        </patternFill>
      </fill>
    </dxf>
    <dxf>
      <fill>
        <patternFill>
          <bgColor theme="0" tint="-0.34998626667073579"/>
        </patternFill>
      </fill>
    </dxf>
    <dxf>
      <fill>
        <patternFill>
          <bgColor rgb="FFFFC000"/>
        </patternFill>
      </fill>
    </dxf>
    <dxf>
      <fill>
        <patternFill>
          <bgColor theme="8"/>
        </patternFill>
      </fill>
    </dxf>
    <dxf>
      <fill>
        <patternFill>
          <bgColor theme="8"/>
        </patternFill>
      </fill>
    </dxf>
    <dxf>
      <fill>
        <patternFill>
          <bgColor theme="4" tint="0.79998168889431442"/>
        </patternFill>
      </fill>
    </dxf>
    <dxf>
      <fill>
        <patternFill>
          <bgColor theme="7" tint="-0.24994659260841701"/>
        </patternFill>
      </fill>
    </dxf>
    <dxf>
      <fill>
        <patternFill>
          <bgColor rgb="FF00B050"/>
        </patternFill>
      </fill>
    </dxf>
    <dxf>
      <fill>
        <patternFill>
          <bgColor theme="7" tint="0.39994506668294322"/>
        </patternFill>
      </fill>
    </dxf>
    <dxf>
      <fill>
        <patternFill>
          <bgColor rgb="FFFF9999"/>
        </patternFill>
      </fill>
    </dxf>
    <dxf>
      <fill>
        <patternFill>
          <bgColor rgb="FFFF0000"/>
        </patternFill>
      </fill>
    </dxf>
    <dxf>
      <fill>
        <patternFill>
          <bgColor theme="0" tint="-0.34998626667073579"/>
        </patternFill>
      </fill>
    </dxf>
    <dxf>
      <fill>
        <patternFill>
          <bgColor rgb="FFFFC000"/>
        </patternFill>
      </fill>
    </dxf>
    <dxf>
      <fill>
        <patternFill>
          <bgColor rgb="FF66FF66"/>
        </patternFill>
      </fill>
    </dxf>
    <dxf>
      <fill>
        <patternFill>
          <bgColor rgb="FFFFC000"/>
        </patternFill>
      </fill>
    </dxf>
    <dxf>
      <fill>
        <patternFill>
          <bgColor theme="0" tint="-0.34998626667073579"/>
        </patternFill>
      </fill>
    </dxf>
    <dxf>
      <fill>
        <patternFill>
          <bgColor theme="4" tint="0.79998168889431442"/>
        </patternFill>
      </fill>
    </dxf>
    <dxf>
      <fill>
        <patternFill>
          <bgColor rgb="FF00B050"/>
        </patternFill>
      </fill>
    </dxf>
    <dxf>
      <fill>
        <patternFill>
          <bgColor rgb="FFFF0000"/>
        </patternFill>
      </fill>
    </dxf>
    <dxf>
      <fill>
        <patternFill>
          <bgColor rgb="FF66FF66"/>
        </patternFill>
      </fill>
    </dxf>
    <dxf>
      <fill>
        <patternFill>
          <bgColor theme="7" tint="0.39994506668294322"/>
        </patternFill>
      </fill>
    </dxf>
    <dxf>
      <fill>
        <patternFill>
          <bgColor rgb="FFFF9999"/>
        </patternFill>
      </fill>
    </dxf>
    <dxf>
      <fill>
        <patternFill>
          <bgColor theme="8"/>
        </patternFill>
      </fill>
    </dxf>
    <dxf>
      <fill>
        <patternFill>
          <bgColor theme="7" tint="-0.24994659260841701"/>
        </patternFill>
      </fill>
    </dxf>
    <dxf>
      <fill>
        <patternFill>
          <bgColor rgb="FF00B050"/>
        </patternFill>
      </fill>
    </dxf>
    <dxf>
      <fill>
        <patternFill>
          <bgColor rgb="FFFF9999"/>
        </patternFill>
      </fill>
    </dxf>
    <dxf>
      <fill>
        <patternFill>
          <bgColor rgb="FF66FF66"/>
        </patternFill>
      </fill>
    </dxf>
    <dxf>
      <fill>
        <patternFill>
          <bgColor rgb="FFFF0000"/>
        </patternFill>
      </fill>
    </dxf>
    <dxf>
      <fill>
        <patternFill>
          <bgColor rgb="FF00B050"/>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7" tint="0.39994506668294322"/>
        </patternFill>
      </fill>
    </dxf>
    <dxf>
      <fill>
        <patternFill>
          <bgColor theme="8"/>
        </patternFill>
      </fill>
    </dxf>
    <dxf>
      <fill>
        <patternFill>
          <bgColor rgb="FFFFC000"/>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rgb="FF66FF66"/>
        </patternFill>
      </fill>
    </dxf>
    <dxf>
      <fill>
        <patternFill>
          <bgColor rgb="FFFF0000"/>
        </patternFill>
      </fill>
    </dxf>
    <dxf>
      <fill>
        <patternFill>
          <bgColor theme="7" tint="0.39994506668294322"/>
        </patternFill>
      </fill>
    </dxf>
    <dxf>
      <fill>
        <patternFill>
          <bgColor rgb="FF00B050"/>
        </patternFill>
      </fill>
    </dxf>
    <dxf>
      <fill>
        <patternFill>
          <bgColor rgb="FFFF9999"/>
        </patternFill>
      </fill>
    </dxf>
    <dxf>
      <fill>
        <patternFill>
          <bgColor theme="8"/>
        </patternFill>
      </fill>
    </dxf>
    <dxf>
      <fill>
        <patternFill>
          <bgColor rgb="FF66FF66"/>
        </patternFill>
      </fill>
    </dxf>
    <dxf>
      <fill>
        <patternFill>
          <bgColor theme="4" tint="0.79998168889431442"/>
        </patternFill>
      </fill>
    </dxf>
    <dxf>
      <fill>
        <patternFill>
          <bgColor theme="0" tint="-0.34998626667073579"/>
        </patternFill>
      </fill>
    </dxf>
    <dxf>
      <fill>
        <patternFill>
          <bgColor rgb="FFFF9999"/>
        </patternFill>
      </fill>
    </dxf>
    <dxf>
      <fill>
        <patternFill>
          <bgColor theme="7" tint="-0.24994659260841701"/>
        </patternFill>
      </fill>
    </dxf>
    <dxf>
      <fill>
        <patternFill>
          <bgColor rgb="FF00B050"/>
        </patternFill>
      </fill>
    </dxf>
    <dxf>
      <fill>
        <patternFill>
          <bgColor rgb="FFFFC000"/>
        </patternFill>
      </fill>
    </dxf>
    <dxf>
      <fill>
        <patternFill>
          <bgColor rgb="FFFF0000"/>
        </patternFill>
      </fill>
    </dxf>
    <dxf>
      <fill>
        <patternFill>
          <bgColor theme="7" tint="0.39994506668294322"/>
        </patternFill>
      </fill>
    </dxf>
    <dxf>
      <fill>
        <patternFill>
          <bgColor theme="8"/>
        </patternFill>
      </fill>
    </dxf>
    <dxf>
      <fill>
        <patternFill>
          <bgColor rgb="FF00B050"/>
        </patternFill>
      </fill>
    </dxf>
    <dxf>
      <fill>
        <patternFill>
          <bgColor theme="8"/>
        </patternFill>
      </fill>
    </dxf>
    <dxf>
      <fill>
        <patternFill>
          <bgColor theme="7" tint="0.39994506668294322"/>
        </patternFill>
      </fill>
    </dxf>
    <dxf>
      <fill>
        <patternFill>
          <bgColor rgb="FF66FF66"/>
        </patternFill>
      </fill>
    </dxf>
    <dxf>
      <fill>
        <patternFill>
          <bgColor theme="4" tint="0.79998168889431442"/>
        </patternFill>
      </fill>
    </dxf>
    <dxf>
      <fill>
        <patternFill>
          <bgColor rgb="FFFF9999"/>
        </patternFill>
      </fill>
    </dxf>
    <dxf>
      <fill>
        <patternFill>
          <bgColor rgb="FFFF0000"/>
        </patternFill>
      </fill>
    </dxf>
    <dxf>
      <fill>
        <patternFill>
          <bgColor theme="0" tint="-0.34998626667073579"/>
        </patternFill>
      </fill>
    </dxf>
    <dxf>
      <fill>
        <patternFill>
          <bgColor rgb="FFFFC000"/>
        </patternFill>
      </fill>
    </dxf>
    <dxf>
      <fill>
        <patternFill>
          <bgColor theme="7" tint="-0.24994659260841701"/>
        </patternFill>
      </fill>
    </dxf>
    <dxf>
      <fill>
        <patternFill>
          <bgColor rgb="FF00B050"/>
        </patternFill>
      </fill>
    </dxf>
    <dxf>
      <fill>
        <patternFill>
          <bgColor theme="8"/>
        </patternFill>
      </fill>
    </dxf>
    <dxf>
      <fill>
        <patternFill>
          <bgColor theme="7" tint="0.39994506668294322"/>
        </patternFill>
      </fill>
    </dxf>
    <dxf>
      <fill>
        <patternFill>
          <bgColor theme="4" tint="0.79998168889431442"/>
        </patternFill>
      </fill>
    </dxf>
    <dxf>
      <fill>
        <patternFill>
          <bgColor theme="7" tint="-0.24994659260841701"/>
        </patternFill>
      </fill>
    </dxf>
    <dxf>
      <fill>
        <patternFill>
          <bgColor rgb="FFFF9999"/>
        </patternFill>
      </fill>
    </dxf>
    <dxf>
      <fill>
        <patternFill>
          <bgColor rgb="FF66FF66"/>
        </patternFill>
      </fill>
    </dxf>
    <dxf>
      <fill>
        <patternFill>
          <bgColor rgb="FFFF0000"/>
        </patternFill>
      </fill>
    </dxf>
    <dxf>
      <fill>
        <patternFill>
          <bgColor theme="0" tint="-0.34998626667073579"/>
        </patternFill>
      </fill>
    </dxf>
    <dxf>
      <fill>
        <patternFill>
          <bgColor rgb="FFFFC000"/>
        </patternFill>
      </fill>
    </dxf>
    <dxf>
      <fill>
        <patternFill>
          <bgColor theme="7" tint="-0.24994659260841701"/>
        </patternFill>
      </fill>
    </dxf>
    <dxf>
      <fill>
        <patternFill>
          <bgColor rgb="FFFF0000"/>
        </patternFill>
      </fill>
    </dxf>
    <dxf>
      <fill>
        <patternFill>
          <bgColor theme="4" tint="0.79998168889431442"/>
        </patternFill>
      </fill>
    </dxf>
    <dxf>
      <fill>
        <patternFill>
          <bgColor theme="8"/>
        </patternFill>
      </fill>
    </dxf>
    <dxf>
      <fill>
        <patternFill>
          <bgColor rgb="FFFF9999"/>
        </patternFill>
      </fill>
    </dxf>
    <dxf>
      <fill>
        <patternFill>
          <bgColor theme="7" tint="0.39994506668294322"/>
        </patternFill>
      </fill>
    </dxf>
    <dxf>
      <fill>
        <patternFill>
          <bgColor rgb="FF00B050"/>
        </patternFill>
      </fill>
    </dxf>
    <dxf>
      <fill>
        <patternFill>
          <bgColor rgb="FF66FF66"/>
        </patternFill>
      </fill>
    </dxf>
    <dxf>
      <fill>
        <patternFill>
          <bgColor rgb="FFFFC000"/>
        </patternFill>
      </fill>
    </dxf>
    <dxf>
      <fill>
        <patternFill>
          <bgColor theme="0" tint="-0.34998626667073579"/>
        </patternFill>
      </fill>
    </dxf>
    <dxf>
      <fill>
        <patternFill>
          <bgColor theme="7" tint="0.39994506668294322"/>
        </patternFill>
      </fill>
    </dxf>
    <dxf>
      <fill>
        <patternFill>
          <bgColor rgb="FF00B050"/>
        </patternFill>
      </fill>
    </dxf>
    <dxf>
      <fill>
        <patternFill>
          <bgColor theme="4" tint="0.79998168889431442"/>
        </patternFill>
      </fill>
    </dxf>
    <dxf>
      <fill>
        <patternFill>
          <bgColor theme="8"/>
        </patternFill>
      </fill>
    </dxf>
    <dxf>
      <fill>
        <patternFill>
          <bgColor rgb="FFFF0000"/>
        </patternFill>
      </fill>
    </dxf>
    <dxf>
      <fill>
        <patternFill>
          <bgColor rgb="FFFF9999"/>
        </patternFill>
      </fill>
    </dxf>
    <dxf>
      <fill>
        <patternFill>
          <bgColor rgb="FFFFC000"/>
        </patternFill>
      </fill>
    </dxf>
    <dxf>
      <fill>
        <patternFill>
          <bgColor rgb="FF66FF66"/>
        </patternFill>
      </fill>
    </dxf>
    <dxf>
      <fill>
        <patternFill>
          <bgColor theme="0" tint="-0.34998626667073579"/>
        </patternFill>
      </fill>
    </dxf>
    <dxf>
      <fill>
        <patternFill>
          <bgColor theme="7" tint="-0.24994659260841701"/>
        </patternFill>
      </fill>
    </dxf>
    <dxf>
      <fill>
        <patternFill>
          <bgColor rgb="FFFF0000"/>
        </patternFill>
      </fill>
    </dxf>
    <dxf>
      <fill>
        <patternFill>
          <bgColor rgb="FFFF9999"/>
        </patternFill>
      </fill>
    </dxf>
    <dxf>
      <fill>
        <patternFill>
          <bgColor theme="7" tint="0.39994506668294322"/>
        </patternFill>
      </fill>
    </dxf>
    <dxf>
      <fill>
        <patternFill>
          <bgColor theme="8"/>
        </patternFill>
      </fill>
    </dxf>
    <dxf>
      <fill>
        <patternFill>
          <bgColor theme="7" tint="-0.24994659260841701"/>
        </patternFill>
      </fill>
    </dxf>
    <dxf>
      <fill>
        <patternFill>
          <bgColor rgb="FF66FF66"/>
        </patternFill>
      </fill>
    </dxf>
    <dxf>
      <fill>
        <patternFill>
          <bgColor rgb="FF00B050"/>
        </patternFill>
      </fill>
    </dxf>
    <dxf>
      <fill>
        <patternFill>
          <bgColor theme="4" tint="0.79998168889431442"/>
        </patternFill>
      </fill>
    </dxf>
    <dxf>
      <fill>
        <patternFill>
          <bgColor rgb="FFFFC000"/>
        </patternFill>
      </fill>
    </dxf>
    <dxf>
      <fill>
        <patternFill>
          <bgColor theme="0" tint="-0.34998626667073579"/>
        </patternFill>
      </fill>
    </dxf>
    <dxf>
      <fill>
        <patternFill>
          <bgColor rgb="FF00B050"/>
        </patternFill>
      </fill>
    </dxf>
    <dxf>
      <fill>
        <patternFill>
          <bgColor theme="4" tint="0.79998168889431442"/>
        </patternFill>
      </fill>
    </dxf>
    <dxf>
      <fill>
        <patternFill>
          <bgColor rgb="FFFFC000"/>
        </patternFill>
      </fill>
    </dxf>
    <dxf>
      <fill>
        <patternFill>
          <bgColor rgb="FFFF9999"/>
        </patternFill>
      </fill>
    </dxf>
    <dxf>
      <fill>
        <patternFill>
          <bgColor rgb="FFFF0000"/>
        </patternFill>
      </fill>
    </dxf>
    <dxf>
      <fill>
        <patternFill>
          <bgColor theme="7" tint="-0.24994659260841701"/>
        </patternFill>
      </fill>
    </dxf>
    <dxf>
      <fill>
        <patternFill>
          <bgColor theme="0" tint="-0.34998626667073579"/>
        </patternFill>
      </fill>
    </dxf>
    <dxf>
      <fill>
        <patternFill>
          <bgColor theme="7" tint="0.39994506668294322"/>
        </patternFill>
      </fill>
    </dxf>
    <dxf>
      <fill>
        <patternFill>
          <bgColor theme="8"/>
        </patternFill>
      </fill>
    </dxf>
    <dxf>
      <fill>
        <patternFill>
          <bgColor rgb="FF66FF66"/>
        </patternFill>
      </fill>
    </dxf>
    <dxf>
      <fill>
        <patternFill>
          <bgColor theme="4" tint="0.79998168889431442"/>
        </patternFill>
      </fill>
    </dxf>
    <dxf>
      <fill>
        <patternFill>
          <bgColor rgb="FFFF9999"/>
        </patternFill>
      </fill>
    </dxf>
    <dxf>
      <fill>
        <patternFill>
          <bgColor rgb="FF66FF66"/>
        </patternFill>
      </fill>
    </dxf>
    <dxf>
      <fill>
        <patternFill>
          <bgColor rgb="FFFFC000"/>
        </patternFill>
      </fill>
    </dxf>
    <dxf>
      <fill>
        <patternFill>
          <bgColor theme="0" tint="-0.34998626667073579"/>
        </patternFill>
      </fill>
    </dxf>
    <dxf>
      <fill>
        <patternFill>
          <bgColor rgb="FFFF0000"/>
        </patternFill>
      </fill>
    </dxf>
    <dxf>
      <fill>
        <patternFill>
          <bgColor theme="7" tint="0.39994506668294322"/>
        </patternFill>
      </fill>
    </dxf>
    <dxf>
      <fill>
        <patternFill>
          <bgColor theme="8"/>
        </patternFill>
      </fill>
    </dxf>
    <dxf>
      <fill>
        <patternFill>
          <bgColor theme="7" tint="-0.24994659260841701"/>
        </patternFill>
      </fill>
    </dxf>
    <dxf>
      <fill>
        <patternFill>
          <bgColor rgb="FF00B050"/>
        </patternFill>
      </fill>
    </dxf>
    <dxf>
      <fill>
        <patternFill>
          <bgColor rgb="FF66FF66"/>
        </patternFill>
      </fill>
    </dxf>
    <dxf>
      <fill>
        <patternFill>
          <bgColor theme="4" tint="0.79998168889431442"/>
        </patternFill>
      </fill>
    </dxf>
    <dxf>
      <fill>
        <patternFill>
          <bgColor theme="7" tint="-0.24994659260841701"/>
        </patternFill>
      </fill>
    </dxf>
    <dxf>
      <fill>
        <patternFill>
          <bgColor theme="8"/>
        </patternFill>
      </fill>
    </dxf>
    <dxf>
      <fill>
        <patternFill>
          <bgColor rgb="FF00B050"/>
        </patternFill>
      </fill>
    </dxf>
    <dxf>
      <fill>
        <patternFill>
          <bgColor theme="0" tint="-0.34998626667073579"/>
        </patternFill>
      </fill>
    </dxf>
    <dxf>
      <fill>
        <patternFill>
          <bgColor theme="7" tint="0.39994506668294322"/>
        </patternFill>
      </fill>
    </dxf>
    <dxf>
      <fill>
        <patternFill>
          <bgColor rgb="FFFFC000"/>
        </patternFill>
      </fill>
    </dxf>
    <dxf>
      <fill>
        <patternFill>
          <bgColor rgb="FFFF0000"/>
        </patternFill>
      </fill>
    </dxf>
    <dxf>
      <fill>
        <patternFill>
          <bgColor rgb="FFFF9999"/>
        </patternFill>
      </fill>
    </dxf>
    <dxf>
      <fill>
        <patternFill>
          <bgColor theme="4" tint="0.79998168889431442"/>
        </patternFill>
      </fill>
    </dxf>
    <dxf>
      <fill>
        <patternFill>
          <bgColor rgb="FF66FF66"/>
        </patternFill>
      </fill>
    </dxf>
    <dxf>
      <fill>
        <patternFill>
          <bgColor theme="0" tint="-0.34998626667073579"/>
        </patternFill>
      </fill>
    </dxf>
    <dxf>
      <fill>
        <patternFill>
          <bgColor rgb="FFFF9999"/>
        </patternFill>
      </fill>
    </dxf>
    <dxf>
      <fill>
        <patternFill>
          <bgColor rgb="FFFFC000"/>
        </patternFill>
      </fill>
    </dxf>
    <dxf>
      <fill>
        <patternFill>
          <bgColor rgb="FFFF0000"/>
        </patternFill>
      </fill>
    </dxf>
    <dxf>
      <fill>
        <patternFill>
          <bgColor theme="8"/>
        </patternFill>
      </fill>
    </dxf>
    <dxf>
      <fill>
        <patternFill>
          <bgColor theme="7" tint="-0.24994659260841701"/>
        </patternFill>
      </fill>
    </dxf>
    <dxf>
      <fill>
        <patternFill>
          <bgColor theme="7" tint="0.39994506668294322"/>
        </patternFill>
      </fill>
    </dxf>
    <dxf>
      <fill>
        <patternFill>
          <bgColor rgb="FF00B050"/>
        </patternFill>
      </fill>
    </dxf>
    <dxf>
      <fill>
        <patternFill>
          <bgColor rgb="FF66FF66"/>
        </patternFill>
      </fill>
    </dxf>
    <dxf>
      <fill>
        <patternFill>
          <bgColor theme="8"/>
        </patternFill>
      </fill>
    </dxf>
    <dxf>
      <fill>
        <patternFill>
          <bgColor theme="0" tint="-0.34998626667073579"/>
        </patternFill>
      </fill>
    </dxf>
    <dxf>
      <fill>
        <patternFill>
          <bgColor rgb="FFFF9999"/>
        </patternFill>
      </fill>
    </dxf>
    <dxf>
      <fill>
        <patternFill>
          <bgColor theme="7" tint="0.39994506668294322"/>
        </patternFill>
      </fill>
    </dxf>
    <dxf>
      <fill>
        <patternFill>
          <bgColor theme="7" tint="-0.24994659260841701"/>
        </patternFill>
      </fill>
    </dxf>
    <dxf>
      <fill>
        <patternFill>
          <bgColor rgb="FFFF0000"/>
        </patternFill>
      </fill>
    </dxf>
    <dxf>
      <fill>
        <patternFill>
          <bgColor rgb="FFFFC000"/>
        </patternFill>
      </fill>
    </dxf>
    <dxf>
      <fill>
        <patternFill>
          <bgColor theme="4" tint="0.79998168889431442"/>
        </patternFill>
      </fill>
    </dxf>
    <dxf>
      <fill>
        <patternFill>
          <bgColor rgb="FFFF9999"/>
        </patternFill>
      </fill>
    </dxf>
    <dxf>
      <fill>
        <patternFill>
          <bgColor rgb="FFFFC000"/>
        </patternFill>
      </fill>
    </dxf>
    <dxf>
      <fill>
        <patternFill>
          <bgColor rgb="FF66FF66"/>
        </patternFill>
      </fill>
    </dxf>
    <dxf>
      <fill>
        <patternFill>
          <bgColor theme="4" tint="0.79998168889431442"/>
        </patternFill>
      </fill>
    </dxf>
    <dxf>
      <fill>
        <patternFill>
          <bgColor theme="8"/>
        </patternFill>
      </fill>
    </dxf>
    <dxf>
      <fill>
        <patternFill>
          <bgColor theme="7" tint="-0.24994659260841701"/>
        </patternFill>
      </fill>
    </dxf>
    <dxf>
      <fill>
        <patternFill>
          <bgColor theme="0" tint="-0.34998626667073579"/>
        </patternFill>
      </fill>
    </dxf>
    <dxf>
      <fill>
        <patternFill>
          <bgColor rgb="FFFF0000"/>
        </patternFill>
      </fill>
    </dxf>
    <dxf>
      <fill>
        <patternFill>
          <bgColor rgb="FF00B050"/>
        </patternFill>
      </fill>
    </dxf>
    <dxf>
      <fill>
        <patternFill>
          <bgColor theme="7" tint="0.39994506668294322"/>
        </patternFill>
      </fill>
    </dxf>
    <dxf>
      <fill>
        <patternFill>
          <bgColor theme="0" tint="-0.34998626667073579"/>
        </patternFill>
      </fill>
    </dxf>
    <dxf>
      <fill>
        <patternFill>
          <bgColor rgb="FF00B050"/>
        </patternFill>
      </fill>
    </dxf>
    <dxf>
      <fill>
        <patternFill>
          <bgColor rgb="FFFF0000"/>
        </patternFill>
      </fill>
    </dxf>
    <dxf>
      <fill>
        <patternFill>
          <bgColor theme="7" tint="0.39994506668294322"/>
        </patternFill>
      </fill>
    </dxf>
    <dxf>
      <fill>
        <patternFill>
          <bgColor theme="7" tint="-0.24994659260841701"/>
        </patternFill>
      </fill>
    </dxf>
    <dxf>
      <fill>
        <patternFill>
          <bgColor rgb="FFFF9999"/>
        </patternFill>
      </fill>
    </dxf>
    <dxf>
      <fill>
        <patternFill>
          <bgColor theme="4" tint="0.79998168889431442"/>
        </patternFill>
      </fill>
    </dxf>
    <dxf>
      <fill>
        <patternFill>
          <bgColor theme="8"/>
        </patternFill>
      </fill>
    </dxf>
    <dxf>
      <fill>
        <patternFill>
          <bgColor rgb="FFFFC000"/>
        </patternFill>
      </fill>
    </dxf>
    <dxf>
      <fill>
        <patternFill>
          <bgColor rgb="FF66FF66"/>
        </patternFill>
      </fill>
    </dxf>
    <dxf>
      <fill>
        <patternFill>
          <bgColor theme="7" tint="-0.24994659260841701"/>
        </patternFill>
      </fill>
    </dxf>
    <dxf>
      <fill>
        <patternFill>
          <bgColor theme="4" tint="0.79998168889431442"/>
        </patternFill>
      </fill>
    </dxf>
    <dxf>
      <fill>
        <patternFill>
          <bgColor rgb="FFFFC000"/>
        </patternFill>
      </fill>
    </dxf>
    <dxf>
      <fill>
        <patternFill>
          <bgColor theme="7" tint="0.39994506668294322"/>
        </patternFill>
      </fill>
    </dxf>
    <dxf>
      <fill>
        <patternFill>
          <bgColor rgb="FF66FF66"/>
        </patternFill>
      </fill>
    </dxf>
    <dxf>
      <fill>
        <patternFill>
          <bgColor rgb="FFFF9999"/>
        </patternFill>
      </fill>
    </dxf>
    <dxf>
      <fill>
        <patternFill>
          <bgColor theme="0" tint="-0.34998626667073579"/>
        </patternFill>
      </fill>
    </dxf>
    <dxf>
      <fill>
        <patternFill>
          <bgColor rgb="FFFF0000"/>
        </patternFill>
      </fill>
    </dxf>
    <dxf>
      <fill>
        <patternFill>
          <bgColor theme="8"/>
        </patternFill>
      </fill>
    </dxf>
    <dxf>
      <fill>
        <patternFill>
          <bgColor theme="8"/>
        </patternFill>
      </fill>
    </dxf>
    <dxf>
      <fill>
        <patternFill>
          <bgColor rgb="FFFFC000"/>
        </patternFill>
      </fill>
    </dxf>
    <dxf>
      <fill>
        <patternFill>
          <bgColor theme="7" tint="-0.24994659260841701"/>
        </patternFill>
      </fill>
    </dxf>
    <dxf>
      <fill>
        <patternFill>
          <bgColor theme="4" tint="0.79998168889431442"/>
        </patternFill>
      </fill>
    </dxf>
    <dxf>
      <fill>
        <patternFill>
          <bgColor rgb="FFFF9999"/>
        </patternFill>
      </fill>
    </dxf>
    <dxf>
      <fill>
        <patternFill>
          <bgColor theme="7" tint="0.39994506668294322"/>
        </patternFill>
      </fill>
    </dxf>
    <dxf>
      <fill>
        <patternFill>
          <bgColor theme="0" tint="-0.34998626667073579"/>
        </patternFill>
      </fill>
    </dxf>
    <dxf>
      <fill>
        <patternFill>
          <bgColor rgb="FFFF0000"/>
        </patternFill>
      </fill>
    </dxf>
    <dxf>
      <fill>
        <patternFill>
          <bgColor rgb="FF66FF66"/>
        </patternFill>
      </fill>
    </dxf>
    <dxf>
      <fill>
        <patternFill>
          <bgColor rgb="FF00B050"/>
        </patternFill>
      </fill>
    </dxf>
    <dxf>
      <fill>
        <patternFill>
          <bgColor rgb="FFFF0000"/>
        </patternFill>
      </fill>
    </dxf>
    <dxf>
      <fill>
        <patternFill>
          <bgColor theme="7" tint="0.39994506668294322"/>
        </patternFill>
      </fill>
    </dxf>
    <dxf>
      <fill>
        <patternFill>
          <bgColor theme="8"/>
        </patternFill>
      </fill>
    </dxf>
    <dxf>
      <fill>
        <patternFill>
          <bgColor rgb="FF66FF66"/>
        </patternFill>
      </fill>
    </dxf>
    <dxf>
      <fill>
        <patternFill>
          <bgColor rgb="FFFF9999"/>
        </patternFill>
      </fill>
    </dxf>
    <dxf>
      <fill>
        <patternFill>
          <bgColor theme="4" tint="0.79998168889431442"/>
        </patternFill>
      </fill>
    </dxf>
    <dxf>
      <fill>
        <patternFill>
          <bgColor rgb="FFFFC000"/>
        </patternFill>
      </fill>
    </dxf>
    <dxf>
      <fill>
        <patternFill>
          <bgColor theme="0" tint="-0.34998626667073579"/>
        </patternFill>
      </fill>
    </dxf>
    <dxf>
      <fill>
        <patternFill>
          <bgColor theme="7" tint="-0.24994659260841701"/>
        </patternFill>
      </fill>
    </dxf>
    <dxf>
      <fill>
        <patternFill>
          <bgColor rgb="FF00B050"/>
        </patternFill>
      </fill>
    </dxf>
    <dxf>
      <fill>
        <patternFill>
          <bgColor rgb="FFFF0000"/>
        </patternFill>
      </fill>
    </dxf>
    <dxf>
      <fill>
        <patternFill>
          <bgColor theme="8"/>
        </patternFill>
      </fill>
    </dxf>
    <dxf>
      <fill>
        <patternFill>
          <bgColor theme="4" tint="0.79998168889431442"/>
        </patternFill>
      </fill>
    </dxf>
    <dxf>
      <fill>
        <patternFill>
          <bgColor rgb="FF66FF66"/>
        </patternFill>
      </fill>
    </dxf>
    <dxf>
      <fill>
        <patternFill>
          <bgColor theme="7" tint="-0.24994659260841701"/>
        </patternFill>
      </fill>
    </dxf>
    <dxf>
      <fill>
        <patternFill>
          <bgColor theme="0" tint="-0.34998626667073579"/>
        </patternFill>
      </fill>
    </dxf>
    <dxf>
      <fill>
        <patternFill>
          <bgColor rgb="FFFFC000"/>
        </patternFill>
      </fill>
    </dxf>
    <dxf>
      <fill>
        <patternFill>
          <bgColor theme="7" tint="0.39994506668294322"/>
        </patternFill>
      </fill>
    </dxf>
    <dxf>
      <fill>
        <patternFill>
          <bgColor rgb="FFFF9999"/>
        </patternFill>
      </fill>
    </dxf>
    <dxf>
      <fill>
        <patternFill>
          <bgColor rgb="FF00B050"/>
        </patternFill>
      </fill>
    </dxf>
    <dxf>
      <fill>
        <patternFill>
          <bgColor rgb="FF00B050"/>
        </patternFill>
      </fill>
    </dxf>
    <dxf>
      <fill>
        <patternFill>
          <bgColor theme="7" tint="0.39994506668294322"/>
        </patternFill>
      </fill>
    </dxf>
    <dxf>
      <fill>
        <patternFill>
          <bgColor rgb="FF66FF66"/>
        </patternFill>
      </fill>
    </dxf>
    <dxf>
      <fill>
        <patternFill>
          <bgColor rgb="FFFFC000"/>
        </patternFill>
      </fill>
    </dxf>
    <dxf>
      <fill>
        <patternFill>
          <bgColor rgb="FFFF0000"/>
        </patternFill>
      </fill>
    </dxf>
    <dxf>
      <fill>
        <patternFill>
          <bgColor theme="0" tint="-0.34998626667073579"/>
        </patternFill>
      </fill>
    </dxf>
    <dxf>
      <fill>
        <patternFill>
          <bgColor rgb="FFFF9999"/>
        </patternFill>
      </fill>
    </dxf>
    <dxf>
      <fill>
        <patternFill>
          <bgColor rgb="FF00B050"/>
        </patternFill>
      </fill>
    </dxf>
    <dxf>
      <fill>
        <patternFill>
          <bgColor theme="7" tint="-0.24994659260841701"/>
        </patternFill>
      </fill>
    </dxf>
    <dxf>
      <fill>
        <patternFill>
          <bgColor theme="8"/>
        </patternFill>
      </fill>
    </dxf>
    <dxf>
      <fill>
        <patternFill>
          <bgColor theme="4" tint="0.79998168889431442"/>
        </patternFill>
      </fill>
    </dxf>
    <dxf>
      <fill>
        <patternFill>
          <bgColor rgb="FF00B050"/>
        </patternFill>
      </fill>
    </dxf>
    <dxf>
      <fill>
        <patternFill>
          <bgColor rgb="FFFFC000"/>
        </patternFill>
      </fill>
    </dxf>
    <dxf>
      <fill>
        <patternFill>
          <bgColor rgb="FF66FF66"/>
        </patternFill>
      </fill>
    </dxf>
    <dxf>
      <fill>
        <patternFill>
          <bgColor theme="7" tint="-0.24994659260841701"/>
        </patternFill>
      </fill>
    </dxf>
    <dxf>
      <fill>
        <patternFill>
          <bgColor theme="4" tint="0.79998168889431442"/>
        </patternFill>
      </fill>
    </dxf>
    <dxf>
      <fill>
        <patternFill>
          <bgColor rgb="FF00B050"/>
        </patternFill>
      </fill>
    </dxf>
    <dxf>
      <fill>
        <patternFill>
          <bgColor rgb="FFFF0000"/>
        </patternFill>
      </fill>
    </dxf>
    <dxf>
      <fill>
        <patternFill>
          <bgColor theme="0" tint="-0.34998626667073579"/>
        </patternFill>
      </fill>
    </dxf>
    <dxf>
      <fill>
        <patternFill>
          <bgColor rgb="FFFF9999"/>
        </patternFill>
      </fill>
    </dxf>
    <dxf>
      <fill>
        <patternFill>
          <bgColor theme="7" tint="0.39994506668294322"/>
        </patternFill>
      </fill>
    </dxf>
    <dxf>
      <fill>
        <patternFill>
          <bgColor theme="8"/>
        </patternFill>
      </fill>
    </dxf>
    <dxf>
      <fill>
        <patternFill>
          <bgColor rgb="FFFFC000"/>
        </patternFill>
      </fill>
    </dxf>
    <dxf>
      <fill>
        <patternFill>
          <bgColor rgb="FFFF9999"/>
        </patternFill>
      </fill>
    </dxf>
    <dxf>
      <fill>
        <patternFill>
          <bgColor rgb="FFFF0000"/>
        </patternFill>
      </fill>
    </dxf>
    <dxf>
      <fill>
        <patternFill>
          <bgColor rgb="FF66FF66"/>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theme="7" tint="0.39994506668294322"/>
        </patternFill>
      </fill>
    </dxf>
    <dxf>
      <fill>
        <patternFill>
          <bgColor rgb="FF00B050"/>
        </patternFill>
      </fill>
    </dxf>
    <dxf>
      <fill>
        <patternFill>
          <bgColor rgb="FFFF9999"/>
        </patternFill>
      </fill>
    </dxf>
    <dxf>
      <fill>
        <patternFill>
          <bgColor rgb="FFFFC000"/>
        </patternFill>
      </fill>
    </dxf>
    <dxf>
      <fill>
        <patternFill>
          <bgColor theme="8"/>
        </patternFill>
      </fill>
    </dxf>
    <dxf>
      <fill>
        <patternFill>
          <bgColor theme="4" tint="0.79998168889431442"/>
        </patternFill>
      </fill>
    </dxf>
    <dxf>
      <fill>
        <patternFill>
          <bgColor theme="7" tint="-0.24994659260841701"/>
        </patternFill>
      </fill>
    </dxf>
    <dxf>
      <fill>
        <patternFill>
          <bgColor rgb="FF66FF66"/>
        </patternFill>
      </fill>
    </dxf>
    <dxf>
      <fill>
        <patternFill>
          <bgColor theme="0" tint="-0.34998626667073579"/>
        </patternFill>
      </fill>
    </dxf>
    <dxf>
      <fill>
        <patternFill>
          <bgColor rgb="FF00B050"/>
        </patternFill>
      </fill>
    </dxf>
    <dxf>
      <fill>
        <patternFill>
          <bgColor theme="7" tint="0.39994506668294322"/>
        </patternFill>
      </fill>
    </dxf>
    <dxf>
      <fill>
        <patternFill>
          <bgColor rgb="FFFF0000"/>
        </patternFill>
      </fill>
    </dxf>
    <dxf>
      <fill>
        <patternFill>
          <bgColor rgb="FF00B050"/>
        </patternFill>
      </fill>
    </dxf>
    <dxf>
      <fill>
        <patternFill>
          <bgColor rgb="FF00B050"/>
        </patternFill>
      </fill>
    </dxf>
    <dxf>
      <fill>
        <patternFill>
          <bgColor rgb="FFFF9999"/>
        </patternFill>
      </fill>
    </dxf>
    <dxf>
      <fill>
        <patternFill>
          <bgColor rgb="FF66FF66"/>
        </patternFill>
      </fill>
    </dxf>
    <dxf>
      <fill>
        <patternFill>
          <bgColor rgb="FFFFC000"/>
        </patternFill>
      </fill>
    </dxf>
    <dxf>
      <fill>
        <patternFill>
          <bgColor rgb="FFFF0000"/>
        </patternFill>
      </fill>
    </dxf>
    <dxf>
      <fill>
        <patternFill>
          <bgColor theme="7" tint="0.39994506668294322"/>
        </patternFill>
      </fill>
    </dxf>
    <dxf>
      <fill>
        <patternFill>
          <bgColor theme="7" tint="-0.24994659260841701"/>
        </patternFill>
      </fill>
    </dxf>
    <dxf>
      <fill>
        <patternFill>
          <bgColor theme="4" tint="0.79998168889431442"/>
        </patternFill>
      </fill>
    </dxf>
    <dxf>
      <fill>
        <patternFill>
          <bgColor theme="8"/>
        </patternFill>
      </fill>
    </dxf>
    <dxf>
      <fill>
        <patternFill>
          <bgColor theme="0" tint="-0.34998626667073579"/>
        </patternFill>
      </fill>
    </dxf>
    <dxf>
      <fill>
        <patternFill>
          <bgColor rgb="FF00B050"/>
        </patternFill>
      </fill>
    </dxf>
    <dxf>
      <fill>
        <patternFill>
          <bgColor rgb="FF00B050"/>
        </patternFill>
      </fill>
    </dxf>
    <dxf>
      <fill>
        <patternFill>
          <bgColor theme="8"/>
        </patternFill>
      </fill>
    </dxf>
    <dxf>
      <fill>
        <patternFill>
          <bgColor theme="7" tint="0.39994506668294322"/>
        </patternFill>
      </fill>
    </dxf>
    <dxf>
      <fill>
        <patternFill>
          <bgColor rgb="FF66FF66"/>
        </patternFill>
      </fill>
    </dxf>
    <dxf>
      <fill>
        <patternFill>
          <bgColor theme="4" tint="0.79998168889431442"/>
        </patternFill>
      </fill>
    </dxf>
    <dxf>
      <fill>
        <patternFill>
          <bgColor theme="7" tint="-0.24994659260841701"/>
        </patternFill>
      </fill>
    </dxf>
    <dxf>
      <fill>
        <patternFill>
          <bgColor rgb="FFFF9999"/>
        </patternFill>
      </fill>
    </dxf>
    <dxf>
      <fill>
        <patternFill>
          <bgColor theme="0" tint="-0.34998626667073579"/>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theme="0" tint="-0.34998626667073579"/>
        </patternFill>
      </fill>
    </dxf>
    <dxf>
      <fill>
        <patternFill>
          <bgColor rgb="FF00B050"/>
        </patternFill>
      </fill>
    </dxf>
    <dxf>
      <fill>
        <patternFill>
          <bgColor rgb="FF66FF66"/>
        </patternFill>
      </fill>
    </dxf>
    <dxf>
      <fill>
        <patternFill>
          <bgColor rgb="FFFFC000"/>
        </patternFill>
      </fill>
    </dxf>
    <dxf>
      <fill>
        <patternFill>
          <bgColor rgb="FFFF9999"/>
        </patternFill>
      </fill>
    </dxf>
    <dxf>
      <fill>
        <patternFill>
          <bgColor rgb="FF00B050"/>
        </patternFill>
      </fill>
    </dxf>
    <dxf>
      <fill>
        <patternFill>
          <bgColor rgb="FF00B050"/>
        </patternFill>
      </fill>
    </dxf>
    <dxf>
      <fill>
        <patternFill>
          <bgColor rgb="FFFF0000"/>
        </patternFill>
      </fill>
    </dxf>
    <dxf>
      <fill>
        <patternFill>
          <bgColor theme="0" tint="-0.34998626667073579"/>
        </patternFill>
      </fill>
    </dxf>
    <dxf>
      <fill>
        <patternFill>
          <bgColor rgb="FFFF9999"/>
        </patternFill>
      </fill>
    </dxf>
    <dxf>
      <fill>
        <patternFill>
          <bgColor rgb="FFFFC000"/>
        </patternFill>
      </fill>
    </dxf>
    <dxf>
      <fill>
        <patternFill>
          <bgColor theme="7" tint="0.39994506668294322"/>
        </patternFill>
      </fill>
    </dxf>
    <dxf>
      <fill>
        <patternFill>
          <bgColor rgb="FF66FF66"/>
        </patternFill>
      </fill>
    </dxf>
    <dxf>
      <fill>
        <patternFill>
          <bgColor theme="8"/>
        </patternFill>
      </fill>
    </dxf>
    <dxf>
      <fill>
        <patternFill>
          <bgColor theme="4" tint="0.79998168889431442"/>
        </patternFill>
      </fill>
    </dxf>
    <dxf>
      <fill>
        <patternFill>
          <bgColor theme="7" tint="-0.24994659260841701"/>
        </patternFill>
      </fill>
    </dxf>
    <dxf>
      <fill>
        <patternFill>
          <bgColor rgb="FF00B050"/>
        </patternFill>
      </fill>
    </dxf>
    <dxf>
      <fill>
        <patternFill>
          <bgColor theme="8"/>
        </patternFill>
      </fill>
    </dxf>
    <dxf>
      <fill>
        <patternFill>
          <bgColor theme="7" tint="0.39994506668294322"/>
        </patternFill>
      </fill>
    </dxf>
    <dxf>
      <fill>
        <patternFill>
          <bgColor rgb="FFFF0000"/>
        </patternFill>
      </fill>
    </dxf>
    <dxf>
      <fill>
        <patternFill>
          <bgColor theme="7" tint="-0.24994659260841701"/>
        </patternFill>
      </fill>
    </dxf>
    <dxf>
      <fill>
        <patternFill>
          <bgColor rgb="FF00B050"/>
        </patternFill>
      </fill>
    </dxf>
    <dxf>
      <fill>
        <patternFill>
          <bgColor rgb="FF66FF66"/>
        </patternFill>
      </fill>
    </dxf>
    <dxf>
      <fill>
        <patternFill>
          <bgColor theme="0" tint="-0.34998626667073579"/>
        </patternFill>
      </fill>
    </dxf>
    <dxf>
      <fill>
        <patternFill>
          <bgColor theme="4" tint="0.79998168889431442"/>
        </patternFill>
      </fill>
    </dxf>
    <dxf>
      <fill>
        <patternFill>
          <bgColor rgb="FFFF9999"/>
        </patternFill>
      </fill>
    </dxf>
    <dxf>
      <fill>
        <patternFill>
          <bgColor rgb="FFFFC000"/>
        </patternFill>
      </fill>
    </dxf>
    <dxf>
      <fill>
        <patternFill>
          <bgColor rgb="FF00B050"/>
        </patternFill>
      </fill>
    </dxf>
    <dxf>
      <fill>
        <patternFill>
          <bgColor rgb="FFFF0000"/>
        </patternFill>
      </fill>
    </dxf>
    <dxf>
      <fill>
        <patternFill>
          <bgColor theme="0" tint="-0.34998626667073579"/>
        </patternFill>
      </fill>
    </dxf>
    <dxf>
      <fill>
        <patternFill>
          <bgColor theme="7" tint="0.39994506668294322"/>
        </patternFill>
      </fill>
    </dxf>
    <dxf>
      <fill>
        <patternFill>
          <bgColor rgb="FFFFC000"/>
        </patternFill>
      </fill>
    </dxf>
    <dxf>
      <fill>
        <patternFill>
          <bgColor rgb="FF00B050"/>
        </patternFill>
      </fill>
    </dxf>
    <dxf>
      <fill>
        <patternFill>
          <bgColor rgb="FF66FF66"/>
        </patternFill>
      </fill>
    </dxf>
    <dxf>
      <fill>
        <patternFill>
          <bgColor rgb="FFFF9999"/>
        </patternFill>
      </fill>
    </dxf>
    <dxf>
      <fill>
        <patternFill>
          <bgColor theme="8"/>
        </patternFill>
      </fill>
    </dxf>
    <dxf>
      <fill>
        <patternFill>
          <bgColor theme="4" tint="0.79998168889431442"/>
        </patternFill>
      </fill>
    </dxf>
    <dxf>
      <fill>
        <patternFill>
          <bgColor theme="7" tint="-0.24994659260841701"/>
        </patternFill>
      </fill>
    </dxf>
    <dxf>
      <fill>
        <patternFill>
          <bgColor rgb="FF00B050"/>
        </patternFill>
      </fill>
    </dxf>
    <dxf>
      <fill>
        <patternFill>
          <bgColor rgb="FFFF9999"/>
        </patternFill>
      </fill>
    </dxf>
    <dxf>
      <fill>
        <patternFill>
          <bgColor theme="7" tint="0.39994506668294322"/>
        </patternFill>
      </fill>
    </dxf>
    <dxf>
      <fill>
        <patternFill>
          <bgColor rgb="FF66FF66"/>
        </patternFill>
      </fill>
    </dxf>
    <dxf>
      <fill>
        <patternFill>
          <bgColor theme="7" tint="-0.24994659260841701"/>
        </patternFill>
      </fill>
    </dxf>
    <dxf>
      <fill>
        <patternFill>
          <bgColor theme="0" tint="-0.34998626667073579"/>
        </patternFill>
      </fill>
    </dxf>
    <dxf>
      <fill>
        <patternFill>
          <bgColor rgb="FFFF0000"/>
        </patternFill>
      </fill>
    </dxf>
    <dxf>
      <fill>
        <patternFill>
          <bgColor rgb="FF00B050"/>
        </patternFill>
      </fill>
    </dxf>
    <dxf>
      <fill>
        <patternFill>
          <bgColor theme="4" tint="0.79998168889431442"/>
        </patternFill>
      </fill>
    </dxf>
    <dxf>
      <fill>
        <patternFill>
          <bgColor theme="8"/>
        </patternFill>
      </fill>
    </dxf>
    <dxf>
      <fill>
        <patternFill>
          <bgColor rgb="FFFFC000"/>
        </patternFill>
      </fill>
    </dxf>
    <dxf>
      <fill>
        <patternFill>
          <bgColor theme="0" tint="-0.34998626667073579"/>
        </patternFill>
      </fill>
    </dxf>
    <dxf>
      <fill>
        <patternFill>
          <bgColor rgb="FFFF0000"/>
        </patternFill>
      </fill>
    </dxf>
    <dxf>
      <fill>
        <patternFill>
          <bgColor theme="7" tint="0.39994506668294322"/>
        </patternFill>
      </fill>
    </dxf>
    <dxf>
      <fill>
        <patternFill>
          <bgColor theme="8"/>
        </patternFill>
      </fill>
    </dxf>
    <dxf>
      <fill>
        <patternFill>
          <bgColor theme="4" tint="0.79998168889431442"/>
        </patternFill>
      </fill>
    </dxf>
    <dxf>
      <fill>
        <patternFill>
          <bgColor theme="7" tint="-0.24994659260841701"/>
        </patternFill>
      </fill>
    </dxf>
    <dxf>
      <fill>
        <patternFill>
          <bgColor rgb="FF66FF66"/>
        </patternFill>
      </fill>
    </dxf>
    <dxf>
      <fill>
        <patternFill>
          <bgColor rgb="FFFFC000"/>
        </patternFill>
      </fill>
    </dxf>
    <dxf>
      <fill>
        <patternFill>
          <bgColor rgb="FFFF9999"/>
        </patternFill>
      </fill>
    </dxf>
    <dxf>
      <fill>
        <patternFill>
          <bgColor rgb="FF00B050"/>
        </patternFill>
      </fill>
    </dxf>
    <dxf>
      <fill>
        <patternFill>
          <bgColor theme="7" tint="0.39994506668294322"/>
        </patternFill>
      </fill>
    </dxf>
    <dxf>
      <fill>
        <patternFill>
          <bgColor rgb="FF00B050"/>
        </patternFill>
      </fill>
    </dxf>
    <dxf>
      <fill>
        <patternFill>
          <bgColor rgb="FFFF9999"/>
        </patternFill>
      </fill>
    </dxf>
    <dxf>
      <fill>
        <patternFill>
          <bgColor rgb="FFFFC000"/>
        </patternFill>
      </fill>
    </dxf>
    <dxf>
      <fill>
        <patternFill>
          <bgColor theme="7" tint="-0.24994659260841701"/>
        </patternFill>
      </fill>
    </dxf>
    <dxf>
      <fill>
        <patternFill>
          <bgColor theme="4" tint="0.79998168889431442"/>
        </patternFill>
      </fill>
    </dxf>
    <dxf>
      <fill>
        <patternFill>
          <bgColor theme="0" tint="-0.34998626667073579"/>
        </patternFill>
      </fill>
    </dxf>
    <dxf>
      <fill>
        <patternFill>
          <bgColor theme="8"/>
        </patternFill>
      </fill>
    </dxf>
    <dxf>
      <fill>
        <patternFill>
          <bgColor rgb="FFFF0000"/>
        </patternFill>
      </fill>
    </dxf>
    <dxf>
      <fill>
        <patternFill>
          <bgColor rgb="FF66FF66"/>
        </patternFill>
      </fill>
    </dxf>
    <dxf>
      <fill>
        <patternFill>
          <bgColor rgb="FF00B050"/>
        </patternFill>
      </fill>
    </dxf>
    <dxf>
      <fill>
        <patternFill>
          <bgColor rgb="FFFF0000"/>
        </patternFill>
      </fill>
    </dxf>
    <dxf>
      <fill>
        <patternFill>
          <bgColor theme="4" tint="0.79998168889431442"/>
        </patternFill>
      </fill>
    </dxf>
    <dxf>
      <fill>
        <patternFill>
          <bgColor theme="0" tint="-0.34998626667073579"/>
        </patternFill>
      </fill>
    </dxf>
    <dxf>
      <fill>
        <patternFill>
          <bgColor theme="7" tint="-0.24994659260841701"/>
        </patternFill>
      </fill>
    </dxf>
    <dxf>
      <fill>
        <patternFill>
          <bgColor rgb="FFFF9999"/>
        </patternFill>
      </fill>
    </dxf>
    <dxf>
      <fill>
        <patternFill>
          <bgColor theme="8"/>
        </patternFill>
      </fill>
    </dxf>
    <dxf>
      <fill>
        <patternFill>
          <bgColor rgb="FF66FF66"/>
        </patternFill>
      </fill>
    </dxf>
    <dxf>
      <fill>
        <patternFill>
          <bgColor theme="7" tint="0.39994506668294322"/>
        </patternFill>
      </fill>
    </dxf>
    <dxf>
      <fill>
        <patternFill>
          <bgColor rgb="FFFFC000"/>
        </patternFill>
      </fill>
    </dxf>
    <dxf>
      <fill>
        <patternFill>
          <bgColor rgb="FF00B050"/>
        </patternFill>
      </fill>
    </dxf>
    <dxf>
      <fill>
        <patternFill>
          <bgColor theme="7" tint="0.39994506668294322"/>
        </patternFill>
      </fill>
    </dxf>
    <dxf>
      <fill>
        <patternFill>
          <bgColor rgb="FFFF0000"/>
        </patternFill>
      </fill>
    </dxf>
    <dxf>
      <fill>
        <patternFill>
          <bgColor theme="4" tint="0.79998168889431442"/>
        </patternFill>
      </fill>
    </dxf>
    <dxf>
      <fill>
        <patternFill>
          <bgColor theme="7" tint="-0.24994659260841701"/>
        </patternFill>
      </fill>
    </dxf>
    <dxf>
      <fill>
        <patternFill>
          <bgColor theme="8"/>
        </patternFill>
      </fill>
    </dxf>
    <dxf>
      <fill>
        <patternFill>
          <bgColor rgb="FF66FF66"/>
        </patternFill>
      </fill>
    </dxf>
    <dxf>
      <fill>
        <patternFill>
          <bgColor theme="0" tint="-0.34998626667073579"/>
        </patternFill>
      </fill>
    </dxf>
    <dxf>
      <fill>
        <patternFill>
          <bgColor rgb="FFFF9999"/>
        </patternFill>
      </fill>
    </dxf>
    <dxf>
      <fill>
        <patternFill>
          <bgColor rgb="FFFFC000"/>
        </patternFill>
      </fill>
    </dxf>
    <dxf>
      <fill>
        <patternFill>
          <bgColor rgb="FF66FF66"/>
        </patternFill>
      </fill>
    </dxf>
    <dxf>
      <fill>
        <patternFill>
          <bgColor rgb="FFFF0000"/>
        </patternFill>
      </fill>
    </dxf>
    <dxf>
      <fill>
        <patternFill>
          <bgColor theme="0" tint="-0.34998626667073579"/>
        </patternFill>
      </fill>
    </dxf>
    <dxf>
      <fill>
        <patternFill>
          <bgColor theme="7" tint="-0.24994659260841701"/>
        </patternFill>
      </fill>
    </dxf>
    <dxf>
      <fill>
        <patternFill>
          <bgColor rgb="FFFFC000"/>
        </patternFill>
      </fill>
    </dxf>
    <dxf>
      <fill>
        <patternFill>
          <bgColor rgb="FF00B050"/>
        </patternFill>
      </fill>
    </dxf>
    <dxf>
      <fill>
        <patternFill>
          <bgColor rgb="FFFF9999"/>
        </patternFill>
      </fill>
    </dxf>
    <dxf>
      <fill>
        <patternFill>
          <bgColor theme="7" tint="0.39994506668294322"/>
        </patternFill>
      </fill>
    </dxf>
    <dxf>
      <fill>
        <patternFill>
          <bgColor theme="8"/>
        </patternFill>
      </fill>
    </dxf>
    <dxf>
      <fill>
        <patternFill>
          <bgColor theme="4" tint="0.79998168889431442"/>
        </patternFill>
      </fill>
    </dxf>
    <dxf>
      <fill>
        <patternFill>
          <bgColor rgb="FFFF9999"/>
        </patternFill>
      </fill>
    </dxf>
    <dxf>
      <fill>
        <patternFill>
          <bgColor rgb="FF00B050"/>
        </patternFill>
      </fill>
    </dxf>
    <dxf>
      <fill>
        <patternFill>
          <bgColor theme="7" tint="0.39994506668294322"/>
        </patternFill>
      </fill>
    </dxf>
    <dxf>
      <fill>
        <patternFill>
          <bgColor theme="0" tint="-0.34998626667073579"/>
        </patternFill>
      </fill>
    </dxf>
    <dxf>
      <fill>
        <patternFill>
          <bgColor theme="4" tint="0.79998168889431442"/>
        </patternFill>
      </fill>
    </dxf>
    <dxf>
      <fill>
        <patternFill>
          <bgColor rgb="FFFFC000"/>
        </patternFill>
      </fill>
    </dxf>
    <dxf>
      <fill>
        <patternFill>
          <bgColor rgb="FF66FF66"/>
        </patternFill>
      </fill>
    </dxf>
    <dxf>
      <fill>
        <patternFill>
          <bgColor theme="7" tint="-0.24994659260841701"/>
        </patternFill>
      </fill>
    </dxf>
    <dxf>
      <fill>
        <patternFill>
          <bgColor theme="8"/>
        </patternFill>
      </fill>
    </dxf>
    <dxf>
      <fill>
        <patternFill>
          <bgColor rgb="FFFF0000"/>
        </patternFill>
      </fill>
    </dxf>
    <dxf>
      <fill>
        <patternFill>
          <bgColor rgb="FF66FF66"/>
        </patternFill>
      </fill>
    </dxf>
    <dxf>
      <fill>
        <patternFill>
          <bgColor rgb="FFFF9999"/>
        </patternFill>
      </fill>
    </dxf>
    <dxf>
      <fill>
        <patternFill>
          <bgColor rgb="FF00B050"/>
        </patternFill>
      </fill>
    </dxf>
    <dxf>
      <fill>
        <patternFill>
          <bgColor rgb="FFFF0000"/>
        </patternFill>
      </fill>
    </dxf>
    <dxf>
      <fill>
        <patternFill>
          <bgColor theme="7" tint="0.39994506668294322"/>
        </patternFill>
      </fill>
    </dxf>
    <dxf>
      <fill>
        <patternFill>
          <bgColor theme="8"/>
        </patternFill>
      </fill>
    </dxf>
    <dxf>
      <fill>
        <patternFill>
          <bgColor theme="7" tint="-0.24994659260841701"/>
        </patternFill>
      </fill>
    </dxf>
    <dxf>
      <fill>
        <patternFill>
          <bgColor theme="0" tint="-0.34998626667073579"/>
        </patternFill>
      </fill>
    </dxf>
    <dxf>
      <fill>
        <patternFill>
          <bgColor rgb="FFFFC000"/>
        </patternFill>
      </fill>
    </dxf>
    <dxf>
      <fill>
        <patternFill>
          <bgColor theme="4" tint="0.79998168889431442"/>
        </patternFill>
      </fill>
    </dxf>
    <dxf>
      <fill>
        <patternFill>
          <bgColor theme="8"/>
        </patternFill>
      </fill>
    </dxf>
    <dxf>
      <fill>
        <patternFill>
          <bgColor rgb="FFFF9999"/>
        </patternFill>
      </fill>
    </dxf>
    <dxf>
      <fill>
        <patternFill>
          <bgColor rgb="FF66FF66"/>
        </patternFill>
      </fill>
    </dxf>
    <dxf>
      <fill>
        <patternFill>
          <bgColor rgb="FF00B050"/>
        </patternFill>
      </fill>
    </dxf>
    <dxf>
      <fill>
        <patternFill>
          <bgColor rgb="FFFFC000"/>
        </patternFill>
      </fill>
    </dxf>
    <dxf>
      <fill>
        <patternFill>
          <bgColor theme="0" tint="-0.34998626667073579"/>
        </patternFill>
      </fill>
    </dxf>
    <dxf>
      <fill>
        <patternFill>
          <bgColor theme="7" tint="-0.24994659260841701"/>
        </patternFill>
      </fill>
    </dxf>
    <dxf>
      <fill>
        <patternFill>
          <bgColor rgb="FFFF0000"/>
        </patternFill>
      </fill>
    </dxf>
    <dxf>
      <fill>
        <patternFill>
          <bgColor theme="7" tint="0.39994506668294322"/>
        </patternFill>
      </fill>
    </dxf>
    <dxf>
      <fill>
        <patternFill>
          <bgColor theme="4" tint="0.79998168889431442"/>
        </patternFill>
      </fill>
    </dxf>
    <dxf>
      <fill>
        <patternFill>
          <bgColor rgb="FF00B050"/>
        </patternFill>
      </fill>
    </dxf>
    <dxf>
      <fill>
        <patternFill>
          <bgColor theme="4" tint="0.79998168889431442"/>
        </patternFill>
      </fill>
    </dxf>
    <dxf>
      <fill>
        <patternFill>
          <bgColor rgb="FFFF0000"/>
        </patternFill>
      </fill>
    </dxf>
    <dxf>
      <fill>
        <patternFill>
          <bgColor theme="8"/>
        </patternFill>
      </fill>
    </dxf>
    <dxf>
      <fill>
        <patternFill>
          <bgColor rgb="FFFFC000"/>
        </patternFill>
      </fill>
    </dxf>
    <dxf>
      <fill>
        <patternFill>
          <bgColor theme="0" tint="-0.34998626667073579"/>
        </patternFill>
      </fill>
    </dxf>
    <dxf>
      <fill>
        <patternFill>
          <bgColor theme="7" tint="0.39994506668294322"/>
        </patternFill>
      </fill>
    </dxf>
    <dxf>
      <fill>
        <patternFill>
          <bgColor rgb="FFFF9999"/>
        </patternFill>
      </fill>
    </dxf>
    <dxf>
      <fill>
        <patternFill>
          <bgColor theme="7" tint="-0.24994659260841701"/>
        </patternFill>
      </fill>
    </dxf>
    <dxf>
      <fill>
        <patternFill>
          <bgColor rgb="FF66FF66"/>
        </patternFill>
      </fill>
    </dxf>
    <dxf>
      <fill>
        <patternFill>
          <bgColor theme="0" tint="-0.34998626667073579"/>
        </patternFill>
      </fill>
    </dxf>
    <dxf>
      <fill>
        <patternFill>
          <bgColor theme="7" tint="-0.24994659260841701"/>
        </patternFill>
      </fill>
    </dxf>
    <dxf>
      <fill>
        <patternFill>
          <bgColor theme="4" tint="0.79998168889431442"/>
        </patternFill>
      </fill>
    </dxf>
    <dxf>
      <fill>
        <patternFill>
          <bgColor theme="8"/>
        </patternFill>
      </fill>
    </dxf>
    <dxf>
      <fill>
        <patternFill>
          <bgColor theme="7" tint="0.39994506668294322"/>
        </patternFill>
      </fill>
    </dxf>
    <dxf>
      <fill>
        <patternFill>
          <bgColor rgb="FF66FF66"/>
        </patternFill>
      </fill>
    </dxf>
    <dxf>
      <fill>
        <patternFill>
          <bgColor rgb="FFFF0000"/>
        </patternFill>
      </fill>
    </dxf>
    <dxf>
      <fill>
        <patternFill>
          <bgColor rgb="FF00B050"/>
        </patternFill>
      </fill>
    </dxf>
    <dxf>
      <fill>
        <patternFill>
          <bgColor rgb="FFFFC000"/>
        </patternFill>
      </fill>
    </dxf>
    <dxf>
      <fill>
        <patternFill>
          <bgColor rgb="FFFF9999"/>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rgb="FFFFC00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92D05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92D050"/>
        </patternFill>
      </fill>
    </dxf>
    <dxf>
      <fill>
        <patternFill>
          <bgColor theme="7" tint="0.39994506668294322"/>
        </patternFill>
      </fill>
    </dxf>
    <dxf>
      <fill>
        <patternFill>
          <bgColor rgb="FF00B0F0"/>
        </patternFill>
      </fill>
    </dxf>
    <dxf>
      <fill>
        <patternFill>
          <bgColor rgb="FF92D05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92D05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92D05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92D05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92D05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92D05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92D05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92D05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92D05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92D05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92D05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92D050"/>
        </patternFill>
      </fill>
    </dxf>
    <dxf>
      <fill>
        <patternFill>
          <bgColor rgb="FF00B0F0"/>
        </patternFill>
      </fill>
    </dxf>
    <dxf>
      <fill>
        <patternFill>
          <bgColor theme="7" tint="0.39994506668294322"/>
        </patternFill>
      </fill>
    </dxf>
    <dxf>
      <fill>
        <patternFill>
          <bgColor rgb="FF92D050"/>
        </patternFill>
      </fill>
    </dxf>
    <dxf>
      <fill>
        <patternFill>
          <bgColor theme="7" tint="0.39994506668294322"/>
        </patternFill>
      </fill>
    </dxf>
    <dxf>
      <fill>
        <patternFill>
          <bgColor rgb="FF00B0F0"/>
        </patternFill>
      </fill>
    </dxf>
    <dxf>
      <fill>
        <patternFill>
          <bgColor rgb="FF92D05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92D05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92D05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92D05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92D050"/>
        </patternFill>
      </fill>
    </dxf>
    <dxf>
      <fill>
        <patternFill>
          <bgColor rgb="FF00B0F0"/>
        </patternFill>
      </fill>
    </dxf>
    <dxf>
      <fill>
        <patternFill>
          <bgColor rgb="FF92D05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92D05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92D050"/>
        </patternFill>
      </fill>
    </dxf>
    <dxf>
      <fill>
        <patternFill>
          <bgColor rgb="FF00B0F0"/>
        </patternFill>
      </fill>
    </dxf>
    <dxf>
      <fill>
        <patternFill>
          <bgColor theme="7" tint="0.39994506668294322"/>
        </patternFill>
      </fill>
    </dxf>
    <dxf>
      <fill>
        <patternFill>
          <bgColor rgb="FF92D05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92D05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92D05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92D05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92D050"/>
        </patternFill>
      </fill>
    </dxf>
    <dxf>
      <fill>
        <patternFill>
          <bgColor rgb="FF00B0F0"/>
        </patternFill>
      </fill>
    </dxf>
    <dxf>
      <fill>
        <patternFill>
          <bgColor theme="7" tint="0.39994506668294322"/>
        </patternFill>
      </fill>
    </dxf>
    <dxf>
      <fill>
        <patternFill>
          <bgColor rgb="FF92D05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92D05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00B0F0"/>
        </patternFill>
      </fill>
    </dxf>
    <dxf>
      <fill>
        <patternFill>
          <bgColor theme="7" tint="0.39994506668294322"/>
        </patternFill>
      </fill>
    </dxf>
    <dxf>
      <fill>
        <patternFill>
          <bgColor theme="7" tint="0.39994506668294322"/>
        </patternFill>
      </fill>
    </dxf>
    <dxf>
      <fill>
        <patternFill>
          <bgColor rgb="FF00B0F0"/>
        </patternFill>
      </fill>
    </dxf>
    <dxf>
      <fill>
        <patternFill>
          <bgColor rgb="FF00B0F0"/>
        </patternFill>
      </fill>
    </dxf>
    <dxf>
      <fill>
        <patternFill>
          <bgColor theme="7" tint="0.39994506668294322"/>
        </patternFill>
      </fill>
    </dxf>
    <dxf>
      <fill>
        <patternFill>
          <bgColor rgb="FF92D050"/>
        </patternFill>
      </fill>
    </dxf>
    <dxf>
      <fill>
        <patternFill>
          <bgColor theme="7" tint="0.39994506668294322"/>
        </patternFill>
      </fill>
    </dxf>
    <dxf>
      <fill>
        <patternFill>
          <bgColor rgb="FF00B0F0"/>
        </patternFill>
      </fill>
    </dxf>
    <dxf>
      <fill>
        <patternFill>
          <bgColor rgb="FFFFC000"/>
        </patternFill>
      </fill>
    </dxf>
    <dxf>
      <fill>
        <patternFill>
          <bgColor rgb="FFFFC000"/>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9" tint="0.39994506668294322"/>
        </patternFill>
      </fill>
    </dxf>
    <dxf>
      <fill>
        <patternFill>
          <bgColor theme="4" tint="0.39994506668294322"/>
        </patternFill>
      </fill>
    </dxf>
    <dxf>
      <fill>
        <patternFill>
          <bgColor theme="9" tint="0.39994506668294322"/>
        </patternFill>
      </fill>
    </dxf>
    <dxf>
      <fill>
        <patternFill>
          <bgColor theme="5" tint="0.39994506668294322"/>
        </patternFill>
      </fill>
    </dxf>
    <dxf>
      <fill>
        <patternFill>
          <bgColor theme="4" tint="0.39994506668294322"/>
        </patternFill>
      </fill>
    </dxf>
    <dxf>
      <fill>
        <patternFill>
          <bgColor theme="5" tint="0.39994506668294322"/>
        </patternFill>
      </fill>
    </dxf>
    <dxf>
      <fill>
        <patternFill>
          <bgColor theme="9"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theme="4" tint="0.39994506668294322"/>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theme="4" tint="0.39994506668294322"/>
        </patternFill>
      </fill>
    </dxf>
    <dxf>
      <fill>
        <patternFill>
          <bgColor rgb="FF00B0F0"/>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FFC000"/>
        </patternFill>
      </fill>
    </dxf>
    <dxf>
      <fill>
        <patternFill>
          <bgColor theme="4" tint="0.39994506668294322"/>
        </patternFill>
      </fill>
    </dxf>
    <dxf>
      <fill>
        <patternFill>
          <bgColor rgb="FF00B0F0"/>
        </patternFill>
      </fill>
    </dxf>
    <dxf>
      <fill>
        <patternFill>
          <bgColor rgb="FFFFC000"/>
        </patternFill>
      </fill>
    </dxf>
    <dxf>
      <fill>
        <patternFill>
          <bgColor rgb="FF00B0F0"/>
        </patternFill>
      </fill>
    </dxf>
    <dxf>
      <fill>
        <patternFill>
          <bgColor theme="4" tint="0.39994506668294322"/>
        </patternFill>
      </fill>
    </dxf>
    <dxf>
      <fill>
        <patternFill>
          <bgColor rgb="FFFFC000"/>
        </patternFill>
      </fill>
    </dxf>
    <dxf>
      <fill>
        <patternFill>
          <bgColor rgb="FF00B0F0"/>
        </patternFill>
      </fill>
    </dxf>
    <dxf>
      <fill>
        <patternFill>
          <bgColor theme="4" tint="0.39994506668294322"/>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auto="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fgColor theme="1"/>
          <bgColor rgb="FFFF9999"/>
        </patternFill>
      </fill>
    </dxf>
    <dxf>
      <fill>
        <patternFill>
          <bgColor rgb="FFFFC000"/>
        </patternFill>
      </fill>
    </dxf>
    <dxf>
      <fill>
        <patternFill patternType="solid">
          <fgColor indexed="64"/>
          <bgColor rgb="FFFF0000"/>
        </patternFill>
      </fill>
    </dxf>
    <dxf>
      <fill>
        <patternFill patternType="solid">
          <fgColor indexed="64"/>
          <bgColor theme="7" tint="0.59996337778862885"/>
        </patternFill>
      </fill>
    </dxf>
    <dxf>
      <fill>
        <patternFill patternType="solid">
          <fgColor indexed="64"/>
          <bgColor rgb="FFFF0000"/>
        </patternFill>
      </fill>
    </dxf>
    <dxf>
      <fill>
        <patternFill patternType="solid">
          <fgColor indexed="64"/>
          <bgColor theme="8" tint="0.59996337778862885"/>
        </patternFill>
      </fill>
    </dxf>
    <dxf>
      <fill>
        <patternFill patternType="solid">
          <fgColor indexed="64"/>
          <bgColor theme="9" tint="0.59996337778862885"/>
        </patternFill>
      </fill>
    </dxf>
    <dxf>
      <fill>
        <patternFill patternType="solid">
          <fgColor indexed="64"/>
          <bgColor rgb="FFFFFF00"/>
        </patternFill>
      </fill>
    </dxf>
    <dxf>
      <font>
        <b val="0"/>
        <condense val="0"/>
        <extend val="0"/>
        <color indexed="55"/>
      </font>
    </dxf>
    <dxf>
      <border>
        <right style="thin">
          <color indexed="64"/>
        </right>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horizontal="general"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alignment horizontal="general" readingOrder="0"/>
    </dxf>
    <dxf>
      <alignment horizontal="left" readingOrder="0"/>
    </dxf>
    <dxf>
      <alignment horizontal="general"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border>
        <right style="thin">
          <color indexed="64"/>
        </right>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horizontal="general"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alignment horizontal="general" readingOrder="0"/>
    </dxf>
    <dxf>
      <alignment horizontal="left" readingOrder="0"/>
    </dxf>
    <dxf>
      <alignment horizontal="general"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border>
        <right style="thin">
          <color indexed="64"/>
        </right>
        <vertical style="thin">
          <color indexed="64"/>
        </vertical>
        <horizontal style="thin">
          <color indexed="64"/>
        </horizontal>
      </border>
    </dxf>
    <dxf>
      <border>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horizontal="general"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alignment horizontal="general" readingOrder="0"/>
    </dxf>
    <dxf>
      <alignment horizontal="left" readingOrder="0"/>
    </dxf>
    <dxf>
      <alignment horizontal="general"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left" readingOrder="0"/>
    </dxf>
    <dxf>
      <alignment horizontal="left" readingOrder="0"/>
    </dxf>
    <dxf>
      <alignment horizontal="left" readingOrder="0"/>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left/>
        <top/>
        <bottom/>
      </border>
    </dxf>
    <dxf>
      <border>
        <left/>
        <top/>
        <bottom/>
        <vertical/>
      </border>
    </dxf>
    <dxf>
      <alignment horizontal="center" readingOrder="0"/>
    </dxf>
    <dxf>
      <alignment horizontal="center"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left" readingOrder="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general" readingOrder="0"/>
    </dxf>
    <dxf>
      <alignment horizontal="center" readingOrder="0"/>
    </dxf>
    <dxf>
      <alignment horizontal="center" readingOrder="0"/>
    </dxf>
    <dxf>
      <alignment horizontal="general" readingOrder="0"/>
    </dxf>
    <dxf>
      <alignment horizontal="left" readingOrder="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general" readingOrder="0"/>
    </dxf>
    <dxf>
      <alignment horizontal="center" readingOrder="0"/>
    </dxf>
    <dxf>
      <alignment horizontal="center" readingOrder="0"/>
    </dxf>
    <dxf>
      <alignment horizontal="left" readingOrder="0"/>
    </dxf>
    <dxf>
      <alignment horizontal="left"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general" readingOrder="0"/>
    </dxf>
    <dxf>
      <border>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top style="thin">
          <color indexed="64"/>
        </top>
      </border>
    </dxf>
    <dxf>
      <border>
        <left/>
        <right/>
        <top/>
        <bottom/>
      </border>
    </dxf>
    <dxf>
      <border>
        <left/>
        <right/>
        <top/>
        <bottom/>
      </border>
    </dxf>
    <dxf>
      <font>
        <color auto="1"/>
      </font>
    </dxf>
    <dxf>
      <font>
        <color auto="1"/>
      </font>
    </dxf>
    <dxf>
      <alignment wrapText="0" readingOrder="0"/>
    </dxf>
    <dxf>
      <alignment horizontal="left" readingOrder="0"/>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alignment horizontal="left" readingOrder="0"/>
    </dxf>
    <dxf>
      <alignment horizontal="left" readingOrder="0"/>
    </dxf>
    <dxf>
      <alignment horizontal="left" readingOrder="0"/>
    </dxf>
    <dxf>
      <alignment horizontal="center" readingOrder="0"/>
    </dxf>
    <dxf>
      <alignment horizontal="center" readingOrder="0"/>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general" readingOrder="0"/>
    </dxf>
    <dxf>
      <alignment horizontal="left" readingOrder="0"/>
    </dxf>
    <dxf>
      <alignment horizontal="left" readingOrder="0"/>
    </dxf>
    <dxf>
      <alignment horizontal="center" readingOrder="0"/>
    </dxf>
    <dxf>
      <alignment horizontal="center" readingOrder="0"/>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general" readingOrder="0"/>
    </dxf>
    <dxf>
      <alignment horizontal="left" readingOrder="0"/>
    </dxf>
    <dxf>
      <alignment horizontal="left" readingOrder="0"/>
    </dxf>
    <dxf>
      <alignment horizontal="center" readingOrder="0"/>
    </dxf>
    <dxf>
      <alignment horizontal="center" readingOrder="0"/>
    </dxf>
    <dxf>
      <border>
        <top style="thin">
          <color indexed="64"/>
        </top>
        <bottom style="thin">
          <color indexed="64"/>
        </bottom>
        <horizontal style="thin">
          <color indexed="64"/>
        </horizontal>
      </border>
    </dxf>
    <dxf>
      <border>
        <top style="thin">
          <color indexed="64"/>
        </top>
        <bottom style="thin">
          <color indexed="64"/>
        </bottom>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general" readingOrder="0"/>
    </dxf>
    <dxf>
      <alignment horizontal="left" readingOrder="0"/>
    </dxf>
    <dxf>
      <alignment horizontal="left" readingOrder="0"/>
    </dxf>
    <dxf>
      <alignment horizontal="center" readingOrder="0"/>
    </dxf>
    <dxf>
      <alignment horizontal="center" readingOrder="0"/>
    </dxf>
    <dxf>
      <alignment horizontal="general" readingOrder="0"/>
    </dxf>
    <dxf>
      <alignment horizontal="general" readingOrder="0"/>
    </dxf>
    <dxf>
      <alignment horizontal="general" readingOrder="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left" readingOrder="0"/>
    </dxf>
    <dxf>
      <alignment horizontal="left" readingOrder="0"/>
    </dxf>
    <dxf>
      <border>
        <bottom style="thin">
          <color indexed="64"/>
        </bottom>
        <horizontal style="thin">
          <color indexed="64"/>
        </horizontal>
      </border>
    </dxf>
    <dxf>
      <alignment vertical="top" readingOrder="0"/>
    </dxf>
    <dxf>
      <alignment horizontal="general" readingOrder="0"/>
    </dxf>
    <dxf>
      <border>
        <top style="thin">
          <color indexed="64"/>
        </top>
        <bottom style="thin">
          <color indexed="64"/>
        </bottom>
      </border>
    </dxf>
    <dxf>
      <alignment horizontal="left" readingOrder="0"/>
    </dxf>
    <dxf>
      <alignment horizontal="center" readingOrder="0"/>
    </dxf>
    <dxf>
      <alignment horizontal="center" readingOrder="0"/>
    </dxf>
  </dxfs>
  <tableStyles count="1" defaultTableStyle="TableStyleMedium2" defaultPivotStyle="PivotStyleLight16">
    <tableStyle name="PivotTable Style 1" table="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4F81BD"/>
      <rgbColor rgb="00FFFFFF"/>
      <rgbColor rgb="00B8CCE4"/>
      <rgbColor rgb="00C0504D"/>
      <rgbColor rgb="00F4E9E9"/>
      <rgbColor rgb="00E9EDF4"/>
      <rgbColor rgb="009BBB59"/>
      <rgbColor rgb="00E7E7E7"/>
      <rgbColor rgb="00F79646"/>
      <rgbColor rgb="00D0E3EA"/>
      <rgbColor rgb="00E9F1F5"/>
      <rgbColor rgb="00CBCBCB"/>
      <rgbColor rgb="00D0D8E8"/>
      <rgbColor rgb="008064A2"/>
      <rgbColor rgb="00DEE7D1"/>
      <rgbColor rgb="00EFF3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9999"/>
      <color rgb="FF66FF66"/>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2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23.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oneCellAnchor>
    <xdr:from>
      <xdr:col>11</xdr:col>
      <xdr:colOff>0</xdr:colOff>
      <xdr:row>40</xdr:row>
      <xdr:rowOff>0</xdr:rowOff>
    </xdr:from>
    <xdr:ext cx="184731" cy="264560"/>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8382000" y="81466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8</xdr:col>
      <xdr:colOff>69477</xdr:colOff>
      <xdr:row>10</xdr:row>
      <xdr:rowOff>18826</xdr:rowOff>
    </xdr:from>
    <xdr:to>
      <xdr:col>8</xdr:col>
      <xdr:colOff>435237</xdr:colOff>
      <xdr:row>11</xdr:row>
      <xdr:rowOff>0</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7274859" y="2114326"/>
          <a:ext cx="365760" cy="182880"/>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r>
            <a:rPr lang="en-US" sz="1100"/>
            <a:t>50</a:t>
          </a:r>
        </a:p>
      </xdr:txBody>
    </xdr:sp>
    <xdr:clientData/>
  </xdr:twoCellAnchor>
  <xdr:twoCellAnchor editAs="oneCell">
    <xdr:from>
      <xdr:col>9</xdr:col>
      <xdr:colOff>68450</xdr:colOff>
      <xdr:row>10</xdr:row>
      <xdr:rowOff>6617</xdr:rowOff>
    </xdr:from>
    <xdr:to>
      <xdr:col>10</xdr:col>
      <xdr:colOff>414618</xdr:colOff>
      <xdr:row>11</xdr:row>
      <xdr:rowOff>0</xdr:rowOff>
    </xdr:to>
    <xdr:pic>
      <xdr:nvPicPr>
        <xdr:cNvPr id="13" name="Picture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1"/>
        <a:stretch>
          <a:fillRect/>
        </a:stretch>
      </xdr:blipFill>
      <xdr:spPr>
        <a:xfrm>
          <a:off x="7800509" y="2102117"/>
          <a:ext cx="469433" cy="1950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437028</xdr:colOff>
      <xdr:row>37</xdr:row>
      <xdr:rowOff>190500</xdr:rowOff>
    </xdr:from>
    <xdr:to>
      <xdr:col>13</xdr:col>
      <xdr:colOff>358588</xdr:colOff>
      <xdr:row>42</xdr:row>
      <xdr:rowOff>100929</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rotWithShape="1">
        <a:blip xmlns:r="http://schemas.openxmlformats.org/officeDocument/2006/relationships" r:embed="rId1">
          <a:biLevel thresh="75000"/>
          <a:lum bright="-40000" contrast="-40000"/>
          <a:extLst>
            <a:ext uri="{28A0092B-C50C-407E-A947-70E740481C1C}">
              <a14:useLocalDpi xmlns:a14="http://schemas.microsoft.com/office/drawing/2010/main" val="0"/>
            </a:ext>
          </a:extLst>
        </a:blip>
        <a:srcRect l="10605" t="21245" r="62742" b="54219"/>
        <a:stretch/>
      </xdr:blipFill>
      <xdr:spPr bwMode="auto">
        <a:xfrm>
          <a:off x="8292352" y="7732059"/>
          <a:ext cx="1098177" cy="918882"/>
        </a:xfrm>
        <a:prstGeom prst="rect">
          <a:avLst/>
        </a:prstGeom>
        <a:noFill/>
        <a:scene3d>
          <a:camera prst="orthographicFront"/>
          <a:lightRig rig="threePt" dir="t"/>
        </a:scene3d>
        <a:sp3d extrusionH="31750" contourW="31750"/>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291353</xdr:colOff>
      <xdr:row>9</xdr:row>
      <xdr:rowOff>123265</xdr:rowOff>
    </xdr:from>
    <xdr:to>
      <xdr:col>11</xdr:col>
      <xdr:colOff>0</xdr:colOff>
      <xdr:row>13</xdr:row>
      <xdr:rowOff>31859</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rotWithShape="1">
        <a:blip xmlns:r="http://schemas.openxmlformats.org/officeDocument/2006/relationships" r:embed="rId1"/>
        <a:srcRect/>
        <a:stretch/>
      </xdr:blipFill>
      <xdr:spPr bwMode="auto">
        <a:xfrm>
          <a:off x="7520828" y="2009215"/>
          <a:ext cx="880222" cy="708694"/>
        </a:xfrm>
        <a:prstGeom prst="rect">
          <a:avLst/>
        </a:prstGeom>
        <a:noFill/>
        <a:scene3d>
          <a:camera prst="orthographicFront"/>
          <a:lightRig rig="threePt" dir="t"/>
        </a:scene3d>
        <a:sp3d extrusionH="31750" contourW="31750"/>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16</xdr:row>
      <xdr:rowOff>0</xdr:rowOff>
    </xdr:from>
    <xdr:to>
      <xdr:col>13</xdr:col>
      <xdr:colOff>190502</xdr:colOff>
      <xdr:row>94</xdr:row>
      <xdr:rowOff>197494</xdr:rowOff>
    </xdr:to>
    <xdr:pic>
      <xdr:nvPicPr>
        <xdr:cNvPr id="11" name="Picture 10">
          <a:extLst>
            <a:ext uri="{FF2B5EF4-FFF2-40B4-BE49-F238E27FC236}">
              <a16:creationId xmlns:a16="http://schemas.microsoft.com/office/drawing/2014/main" id="{00000000-0008-0000-0A00-00000B000000}"/>
            </a:ext>
          </a:extLst>
        </xdr:cNvPr>
        <xdr:cNvPicPr>
          <a:picLocks noChangeAspect="1" noChangeArrowheads="1"/>
        </xdr:cNvPicPr>
      </xdr:nvPicPr>
      <xdr:blipFill rotWithShape="1">
        <a:blip xmlns:r="http://schemas.openxmlformats.org/officeDocument/2006/relationships" r:embed="rId1">
          <a:biLevel thresh="75000"/>
          <a:lum bright="-40000" contrast="-40000"/>
          <a:extLst>
            <a:ext uri="{28A0092B-C50C-407E-A947-70E740481C1C}">
              <a14:useLocalDpi xmlns:a14="http://schemas.microsoft.com/office/drawing/2010/main" val="0"/>
            </a:ext>
          </a:extLst>
        </a:blip>
        <a:srcRect l="7910" t="28872" r="39154" b="16692"/>
        <a:stretch/>
      </xdr:blipFill>
      <xdr:spPr bwMode="auto">
        <a:xfrm>
          <a:off x="7205382" y="3485029"/>
          <a:ext cx="3608296" cy="3753457"/>
        </a:xfrm>
        <a:prstGeom prst="rect">
          <a:avLst/>
        </a:prstGeom>
        <a:noFill/>
        <a:scene3d>
          <a:camera prst="orthographicFront"/>
          <a:lightRig rig="threePt" dir="t"/>
        </a:scene3d>
        <a:sp3d extrusionH="31750" contourW="31750"/>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311868</xdr:colOff>
      <xdr:row>16</xdr:row>
      <xdr:rowOff>11209</xdr:rowOff>
    </xdr:from>
    <xdr:to>
      <xdr:col>18</xdr:col>
      <xdr:colOff>89647</xdr:colOff>
      <xdr:row>94</xdr:row>
      <xdr:rowOff>164392</xdr:rowOff>
    </xdr:to>
    <xdr:pic>
      <xdr:nvPicPr>
        <xdr:cNvPr id="12" name="Picture 11">
          <a:extLst>
            <a:ext uri="{FF2B5EF4-FFF2-40B4-BE49-F238E27FC236}">
              <a16:creationId xmlns:a16="http://schemas.microsoft.com/office/drawing/2014/main" id="{00000000-0008-0000-0A00-00000C000000}"/>
            </a:ext>
          </a:extLst>
        </xdr:cNvPr>
        <xdr:cNvPicPr>
          <a:picLocks noChangeAspect="1" noChangeArrowheads="1"/>
        </xdr:cNvPicPr>
      </xdr:nvPicPr>
      <xdr:blipFill rotWithShape="1">
        <a:blip xmlns:r="http://schemas.openxmlformats.org/officeDocument/2006/relationships" r:embed="rId2">
          <a:biLevel thresh="75000"/>
          <a:lum bright="-40000" contrast="-40000"/>
          <a:extLst>
            <a:ext uri="{28A0092B-C50C-407E-A947-70E740481C1C}">
              <a14:useLocalDpi xmlns:a14="http://schemas.microsoft.com/office/drawing/2010/main" val="0"/>
            </a:ext>
          </a:extLst>
        </a:blip>
        <a:srcRect l="17426" t="30677" r="48333" b="30226"/>
        <a:stretch/>
      </xdr:blipFill>
      <xdr:spPr bwMode="auto">
        <a:xfrm>
          <a:off x="10935044" y="3496238"/>
          <a:ext cx="3195574" cy="3709146"/>
        </a:xfrm>
        <a:prstGeom prst="rect">
          <a:avLst/>
        </a:prstGeom>
        <a:noFill/>
        <a:scene3d>
          <a:camera prst="orthographicFront"/>
          <a:lightRig rig="threePt" dir="t"/>
        </a:scene3d>
        <a:sp3d extrusionH="31750" contourW="31750"/>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714375</xdr:colOff>
      <xdr:row>1</xdr:row>
      <xdr:rowOff>28575</xdr:rowOff>
    </xdr:from>
    <xdr:to>
      <xdr:col>12</xdr:col>
      <xdr:colOff>114300</xdr:colOff>
      <xdr:row>4</xdr:row>
      <xdr:rowOff>123825</xdr:rowOff>
    </xdr:to>
    <xdr:grpSp>
      <xdr:nvGrpSpPr>
        <xdr:cNvPr id="2" name="Group 56">
          <a:extLst>
            <a:ext uri="{FF2B5EF4-FFF2-40B4-BE49-F238E27FC236}">
              <a16:creationId xmlns:a16="http://schemas.microsoft.com/office/drawing/2014/main" id="{00000000-0008-0000-0F00-000002000000}"/>
            </a:ext>
          </a:extLst>
        </xdr:cNvPr>
        <xdr:cNvGrpSpPr>
          <a:grpSpLocks/>
        </xdr:cNvGrpSpPr>
      </xdr:nvGrpSpPr>
      <xdr:grpSpPr bwMode="auto">
        <a:xfrm>
          <a:off x="4947708" y="261408"/>
          <a:ext cx="1389592" cy="793750"/>
          <a:chOff x="3189667" y="590405"/>
          <a:chExt cx="1523954" cy="752621"/>
        </a:xfrm>
      </xdr:grpSpPr>
      <xdr:sp macro="" textlink="">
        <xdr:nvSpPr>
          <xdr:cNvPr id="3" name="WordArt 2">
            <a:extLst>
              <a:ext uri="{FF2B5EF4-FFF2-40B4-BE49-F238E27FC236}">
                <a16:creationId xmlns:a16="http://schemas.microsoft.com/office/drawing/2014/main" id="{00000000-0008-0000-0F00-000003000000}"/>
              </a:ext>
            </a:extLst>
          </xdr:cNvPr>
          <xdr:cNvSpPr>
            <a:spLocks noChangeArrowheads="1"/>
          </xdr:cNvSpPr>
        </xdr:nvSpPr>
        <xdr:spPr bwMode="auto">
          <a:xfrm>
            <a:off x="3189667" y="590405"/>
            <a:ext cx="1503078" cy="583930"/>
          </a:xfrm>
          <a:prstGeom prst="rect">
            <a:avLst/>
          </a:prstGeom>
          <a:noFill/>
          <a:ln w="9525" cmpd="sng">
            <a:noFill/>
            <a:miter lim="800000"/>
            <a:headEnd/>
            <a:tailEnd/>
          </a:ln>
        </xdr:spPr>
        <xdr:txBody>
          <a:bodyPr vertOverflow="clip" wrap="square" lIns="91440" tIns="45720" rIns="91440" bIns="45720" anchor="t" upright="1"/>
          <a:lstStyle/>
          <a:p>
            <a:pPr algn="ctr" rtl="0">
              <a:defRPr sz="1000"/>
            </a:pPr>
            <a:r>
              <a:rPr lang="en-US" sz="2400" b="0" i="0" u="sng" strike="sngStrike">
                <a:solidFill>
                  <a:srgbClr val="008080"/>
                </a:solidFill>
                <a:latin typeface="Stencil" pitchFamily="82" charset="0"/>
              </a:rPr>
              <a:t>METRIC</a:t>
            </a:r>
          </a:p>
        </xdr:txBody>
      </xdr:sp>
      <xdr:sp macro="" textlink="">
        <xdr:nvSpPr>
          <xdr:cNvPr id="4" name="Text Box 21">
            <a:extLst>
              <a:ext uri="{FF2B5EF4-FFF2-40B4-BE49-F238E27FC236}">
                <a16:creationId xmlns:a16="http://schemas.microsoft.com/office/drawing/2014/main" id="{00000000-0008-0000-0F00-000004000000}"/>
              </a:ext>
            </a:extLst>
          </xdr:cNvPr>
          <xdr:cNvSpPr txBox="1">
            <a:spLocks noChangeArrowheads="1"/>
          </xdr:cNvSpPr>
        </xdr:nvSpPr>
        <xdr:spPr bwMode="auto">
          <a:xfrm>
            <a:off x="3544560" y="1109454"/>
            <a:ext cx="1169061" cy="233572"/>
          </a:xfrm>
          <a:prstGeom prst="rect">
            <a:avLst/>
          </a:prstGeom>
          <a:noFill/>
          <a:ln w="9525" cmpd="sng">
            <a:noFill/>
            <a:miter lim="800000"/>
            <a:headEnd/>
            <a:tailEnd/>
          </a:ln>
        </xdr:spPr>
        <xdr:txBody>
          <a:bodyPr vertOverflow="clip" wrap="square" lIns="27360" tIns="22680" rIns="0" bIns="0" anchor="t" upright="1"/>
          <a:lstStyle/>
          <a:p>
            <a:pPr algn="l" rtl="0">
              <a:defRPr sz="1000"/>
            </a:pPr>
            <a:r>
              <a:rPr lang="en-US" sz="1000" b="0" i="0" strike="noStrike">
                <a:solidFill>
                  <a:srgbClr val="000000"/>
                </a:solidFill>
                <a:latin typeface="Arial"/>
                <a:cs typeface="Arial"/>
              </a:rPr>
              <a:t>www.metrickitchen.com</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278</xdr:row>
      <xdr:rowOff>0</xdr:rowOff>
    </xdr:from>
    <xdr:to>
      <xdr:col>6</xdr:col>
      <xdr:colOff>9525</xdr:colOff>
      <xdr:row>278</xdr:row>
      <xdr:rowOff>9525</xdr:rowOff>
    </xdr:to>
    <xdr:sp macro="" textlink="">
      <xdr:nvSpPr>
        <xdr:cNvPr id="2" name="Rectangle 26">
          <a:extLst>
            <a:ext uri="{FF2B5EF4-FFF2-40B4-BE49-F238E27FC236}">
              <a16:creationId xmlns:a16="http://schemas.microsoft.com/office/drawing/2014/main" id="{00000000-0008-0000-1100-000002000000}"/>
            </a:ext>
          </a:extLst>
        </xdr:cNvPr>
        <xdr:cNvSpPr>
          <a:spLocks noChangeArrowheads="1"/>
        </xdr:cNvSpPr>
      </xdr:nvSpPr>
      <xdr:spPr>
        <a:xfrm>
          <a:off x="57150" y="28344495"/>
          <a:ext cx="6486525" cy="9525"/>
        </a:xfrm>
        <a:prstGeom prst="rect">
          <a:avLst/>
        </a:prstGeom>
        <a:solidFill>
          <a:srgbClr val="FFFFFF"/>
        </a:solidFill>
        <a:ln w="9525" cmpd="sng">
          <a:noFill/>
          <a:miter lim="800000"/>
        </a:ln>
      </xdr:spPr>
      <xdr:txBody>
        <a:bodyPr vertOverflow="clip" wrap="square" lIns="27432" tIns="22860" rIns="0" bIns="0" anchor="t" upright="1"/>
        <a:lstStyle/>
        <a:p>
          <a:pPr algn="l" rtl="0">
            <a:defRPr sz="1000"/>
          </a:pPr>
          <a:r>
            <a:rPr lang="en-US" sz="1000" b="0" i="0" u="sng" strike="noStrike">
              <a:solidFill>
                <a:srgbClr val="000000"/>
              </a:solidFill>
              <a:latin typeface="Swis721 BT" panose="020B0504020202020204"/>
            </a:rPr>
            <a:t>KA.GUDANG       KA.DEPARTEMEN                KA.PPIC               PET.GUDANG          ………………………………</a:t>
          </a:r>
        </a:p>
      </xdr:txBody>
    </xdr:sp>
    <xdr:clientData/>
  </xdr:twoCellAnchor>
  <xdr:twoCellAnchor>
    <xdr:from>
      <xdr:col>0</xdr:col>
      <xdr:colOff>0</xdr:colOff>
      <xdr:row>307</xdr:row>
      <xdr:rowOff>0</xdr:rowOff>
    </xdr:from>
    <xdr:to>
      <xdr:col>6</xdr:col>
      <xdr:colOff>9525</xdr:colOff>
      <xdr:row>307</xdr:row>
      <xdr:rowOff>9525</xdr:rowOff>
    </xdr:to>
    <xdr:sp macro="" textlink="">
      <xdr:nvSpPr>
        <xdr:cNvPr id="3" name="Rectangle 28">
          <a:extLst>
            <a:ext uri="{FF2B5EF4-FFF2-40B4-BE49-F238E27FC236}">
              <a16:creationId xmlns:a16="http://schemas.microsoft.com/office/drawing/2014/main" id="{00000000-0008-0000-1100-000003000000}"/>
            </a:ext>
          </a:extLst>
        </xdr:cNvPr>
        <xdr:cNvSpPr>
          <a:spLocks noChangeArrowheads="1"/>
        </xdr:cNvSpPr>
      </xdr:nvSpPr>
      <xdr:spPr>
        <a:xfrm>
          <a:off x="0" y="33040320"/>
          <a:ext cx="6543675" cy="9525"/>
        </a:xfrm>
        <a:prstGeom prst="rect">
          <a:avLst/>
        </a:prstGeom>
        <a:solidFill>
          <a:srgbClr val="FFFFFF"/>
        </a:solidFill>
        <a:ln w="9525" cmpd="sng">
          <a:noFill/>
          <a:miter lim="800000"/>
        </a:ln>
      </xdr:spPr>
      <xdr:txBody>
        <a:bodyPr vertOverflow="clip" wrap="square" lIns="27432" tIns="22860" rIns="0" bIns="0" anchor="t" upright="1"/>
        <a:lstStyle/>
        <a:p>
          <a:pPr algn="l" rtl="0">
            <a:defRPr sz="1000"/>
          </a:pPr>
          <a:r>
            <a:rPr lang="en-US" sz="1000" b="0" i="0" strike="noStrike">
              <a:solidFill>
                <a:srgbClr val="000000"/>
              </a:solidFill>
              <a:latin typeface="Swis721 BT" panose="020B0504020202020204"/>
            </a:rPr>
            <a:t>DIKETAHUI:            DIKETAHUI:                    DISETUJUI:               DISERAHKAN:                              DIAMBIL:   </a:t>
          </a:r>
        </a:p>
      </xdr:txBody>
    </xdr:sp>
    <xdr:clientData/>
  </xdr:twoCellAnchor>
  <mc:AlternateContent xmlns:mc="http://schemas.openxmlformats.org/markup-compatibility/2006">
    <mc:Choice xmlns:a14="http://schemas.microsoft.com/office/drawing/2010/main" Requires="a14">
      <xdr:twoCellAnchor editAs="oneCell">
        <xdr:from>
          <xdr:col>0</xdr:col>
          <xdr:colOff>114300</xdr:colOff>
          <xdr:row>0</xdr:row>
          <xdr:rowOff>0</xdr:rowOff>
        </xdr:from>
        <xdr:to>
          <xdr:col>1</xdr:col>
          <xdr:colOff>787400</xdr:colOff>
          <xdr:row>4</xdr:row>
          <xdr:rowOff>25400</xdr:rowOff>
        </xdr:to>
        <xdr:sp macro="" textlink="">
          <xdr:nvSpPr>
            <xdr:cNvPr id="165913" name="Object 1" hidden="1">
              <a:extLst>
                <a:ext uri="{63B3BB69-23CF-44E3-9099-C40C66FF867C}">
                  <a14:compatExt spid="_x0000_s165913"/>
                </a:ext>
                <a:ext uri="{FF2B5EF4-FFF2-40B4-BE49-F238E27FC236}">
                  <a16:creationId xmlns:a16="http://schemas.microsoft.com/office/drawing/2014/main" id="{00000000-0008-0000-1100-000019880200}"/>
                </a:ext>
              </a:extLst>
            </xdr:cNvPr>
            <xdr:cNvSpPr/>
          </xdr:nvSpPr>
          <xdr:spPr bwMode="auto">
            <a:xfrm>
              <a:off x="0" y="0"/>
              <a:ext cx="0" cy="0"/>
            </a:xfrm>
            <a:prstGeom prst="rect">
              <a:avLst/>
            </a:prstGeom>
            <a:solidFill>
              <a:srgbClr val="FFFFFF"/>
            </a:solidFill>
            <a:ln w="9525">
              <a:solidFill>
                <a:srgbClr val="FFFFFF"/>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152</xdr:row>
          <xdr:rowOff>0</xdr:rowOff>
        </xdr:from>
        <xdr:to>
          <xdr:col>1</xdr:col>
          <xdr:colOff>787400</xdr:colOff>
          <xdr:row>155</xdr:row>
          <xdr:rowOff>152400</xdr:rowOff>
        </xdr:to>
        <xdr:sp macro="" textlink="">
          <xdr:nvSpPr>
            <xdr:cNvPr id="165914" name="Object 2" hidden="1">
              <a:extLst>
                <a:ext uri="{63B3BB69-23CF-44E3-9099-C40C66FF867C}">
                  <a14:compatExt spid="_x0000_s165914"/>
                </a:ext>
                <a:ext uri="{FF2B5EF4-FFF2-40B4-BE49-F238E27FC236}">
                  <a16:creationId xmlns:a16="http://schemas.microsoft.com/office/drawing/2014/main" id="{00000000-0008-0000-1100-00001A880200}"/>
                </a:ext>
              </a:extLst>
            </xdr:cNvPr>
            <xdr:cNvSpPr/>
          </xdr:nvSpPr>
          <xdr:spPr bwMode="auto">
            <a:xfrm>
              <a:off x="0" y="0"/>
              <a:ext cx="0" cy="0"/>
            </a:xfrm>
            <a:prstGeom prst="rect">
              <a:avLst/>
            </a:prstGeom>
            <a:solidFill>
              <a:srgbClr val="FFFFFF"/>
            </a:solidFill>
            <a:ln w="9525">
              <a:solidFill>
                <a:srgbClr val="FFFFFF"/>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207</xdr:row>
          <xdr:rowOff>0</xdr:rowOff>
        </xdr:from>
        <xdr:to>
          <xdr:col>1</xdr:col>
          <xdr:colOff>787400</xdr:colOff>
          <xdr:row>211</xdr:row>
          <xdr:rowOff>25400</xdr:rowOff>
        </xdr:to>
        <xdr:sp macro="" textlink="">
          <xdr:nvSpPr>
            <xdr:cNvPr id="165915" name="Object 3" hidden="1">
              <a:extLst>
                <a:ext uri="{63B3BB69-23CF-44E3-9099-C40C66FF867C}">
                  <a14:compatExt spid="_x0000_s165915"/>
                </a:ext>
                <a:ext uri="{FF2B5EF4-FFF2-40B4-BE49-F238E27FC236}">
                  <a16:creationId xmlns:a16="http://schemas.microsoft.com/office/drawing/2014/main" id="{00000000-0008-0000-1100-00001B880200}"/>
                </a:ext>
              </a:extLst>
            </xdr:cNvPr>
            <xdr:cNvSpPr/>
          </xdr:nvSpPr>
          <xdr:spPr bwMode="auto">
            <a:xfrm>
              <a:off x="0" y="0"/>
              <a:ext cx="0" cy="0"/>
            </a:xfrm>
            <a:prstGeom prst="rect">
              <a:avLst/>
            </a:prstGeom>
            <a:solidFill>
              <a:srgbClr val="FFFFFF"/>
            </a:solidFill>
            <a:ln w="9525">
              <a:solidFill>
                <a:srgbClr val="FFFFFF"/>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0</xdr:col>
      <xdr:colOff>57150</xdr:colOff>
      <xdr:row>181</xdr:row>
      <xdr:rowOff>0</xdr:rowOff>
    </xdr:from>
    <xdr:to>
      <xdr:col>6</xdr:col>
      <xdr:colOff>9525</xdr:colOff>
      <xdr:row>181</xdr:row>
      <xdr:rowOff>9525</xdr:rowOff>
    </xdr:to>
    <xdr:sp macro="" textlink="">
      <xdr:nvSpPr>
        <xdr:cNvPr id="2" name="Rectangle 26">
          <a:extLst>
            <a:ext uri="{FF2B5EF4-FFF2-40B4-BE49-F238E27FC236}">
              <a16:creationId xmlns:a16="http://schemas.microsoft.com/office/drawing/2014/main" id="{00000000-0008-0000-1200-000002000000}"/>
            </a:ext>
          </a:extLst>
        </xdr:cNvPr>
        <xdr:cNvSpPr>
          <a:spLocks noChangeArrowheads="1"/>
        </xdr:cNvSpPr>
      </xdr:nvSpPr>
      <xdr:spPr>
        <a:xfrm>
          <a:off x="57150" y="31080075"/>
          <a:ext cx="6486525" cy="9525"/>
        </a:xfrm>
        <a:prstGeom prst="rect">
          <a:avLst/>
        </a:prstGeom>
        <a:solidFill>
          <a:srgbClr val="FFFFFF"/>
        </a:solidFill>
        <a:ln w="9525" cmpd="sng">
          <a:noFill/>
          <a:miter lim="800000"/>
        </a:ln>
      </xdr:spPr>
      <xdr:txBody>
        <a:bodyPr vertOverflow="clip" wrap="square" lIns="27432" tIns="22860" rIns="0" bIns="0" anchor="t" upright="1"/>
        <a:lstStyle/>
        <a:p>
          <a:pPr algn="l" rtl="0">
            <a:defRPr sz="1000"/>
          </a:pPr>
          <a:r>
            <a:rPr lang="en-US" sz="1000" b="0" i="0" u="sng" strike="noStrike">
              <a:solidFill>
                <a:srgbClr val="000000"/>
              </a:solidFill>
              <a:latin typeface="Swis721 BT" panose="020B0504020202020204"/>
            </a:rPr>
            <a:t>KA.GUDANG       KA.DEPARTEMEN                KA.PPIC               PET.GUDANG          ………………………………</a:t>
          </a:r>
        </a:p>
      </xdr:txBody>
    </xdr:sp>
    <xdr:clientData/>
  </xdr:twoCellAnchor>
  <xdr:twoCellAnchor>
    <xdr:from>
      <xdr:col>0</xdr:col>
      <xdr:colOff>0</xdr:colOff>
      <xdr:row>210</xdr:row>
      <xdr:rowOff>0</xdr:rowOff>
    </xdr:from>
    <xdr:to>
      <xdr:col>6</xdr:col>
      <xdr:colOff>9525</xdr:colOff>
      <xdr:row>210</xdr:row>
      <xdr:rowOff>9525</xdr:rowOff>
    </xdr:to>
    <xdr:sp macro="" textlink="">
      <xdr:nvSpPr>
        <xdr:cNvPr id="3" name="Rectangle 28">
          <a:extLst>
            <a:ext uri="{FF2B5EF4-FFF2-40B4-BE49-F238E27FC236}">
              <a16:creationId xmlns:a16="http://schemas.microsoft.com/office/drawing/2014/main" id="{00000000-0008-0000-1200-000003000000}"/>
            </a:ext>
          </a:extLst>
        </xdr:cNvPr>
        <xdr:cNvSpPr>
          <a:spLocks noChangeArrowheads="1"/>
        </xdr:cNvSpPr>
      </xdr:nvSpPr>
      <xdr:spPr>
        <a:xfrm>
          <a:off x="0" y="35775900"/>
          <a:ext cx="6543675" cy="9525"/>
        </a:xfrm>
        <a:prstGeom prst="rect">
          <a:avLst/>
        </a:prstGeom>
        <a:solidFill>
          <a:srgbClr val="FFFFFF"/>
        </a:solidFill>
        <a:ln w="9525" cmpd="sng">
          <a:noFill/>
          <a:miter lim="800000"/>
        </a:ln>
      </xdr:spPr>
      <xdr:txBody>
        <a:bodyPr vertOverflow="clip" wrap="square" lIns="27432" tIns="22860" rIns="0" bIns="0" anchor="t" upright="1"/>
        <a:lstStyle/>
        <a:p>
          <a:pPr algn="l" rtl="0">
            <a:defRPr sz="1000"/>
          </a:pPr>
          <a:r>
            <a:rPr lang="en-US" sz="1000" b="0" i="0" strike="noStrike">
              <a:solidFill>
                <a:srgbClr val="000000"/>
              </a:solidFill>
              <a:latin typeface="Swis721 BT" panose="020B0504020202020204"/>
            </a:rPr>
            <a:t>DIKETAHUI:            DIKETAHUI:                    DISETUJUI:               DISERAHKAN:                              DIAMBIL:   </a:t>
          </a:r>
        </a:p>
      </xdr:txBody>
    </xdr:sp>
    <xdr:clientData/>
  </xdr:twoCellAnchor>
  <mc:AlternateContent xmlns:mc="http://schemas.openxmlformats.org/markup-compatibility/2006">
    <mc:Choice xmlns:a14="http://schemas.microsoft.com/office/drawing/2010/main" Requires="a14">
      <xdr:twoCellAnchor editAs="oneCell">
        <xdr:from>
          <xdr:col>0</xdr:col>
          <xdr:colOff>114300</xdr:colOff>
          <xdr:row>0</xdr:row>
          <xdr:rowOff>0</xdr:rowOff>
        </xdr:from>
        <xdr:to>
          <xdr:col>1</xdr:col>
          <xdr:colOff>647700</xdr:colOff>
          <xdr:row>4</xdr:row>
          <xdr:rowOff>12700</xdr:rowOff>
        </xdr:to>
        <xdr:sp macro="" textlink="">
          <xdr:nvSpPr>
            <xdr:cNvPr id="167961" name="Object 1" hidden="1">
              <a:extLst>
                <a:ext uri="{63B3BB69-23CF-44E3-9099-C40C66FF867C}">
                  <a14:compatExt spid="_x0000_s167961"/>
                </a:ext>
                <a:ext uri="{FF2B5EF4-FFF2-40B4-BE49-F238E27FC236}">
                  <a16:creationId xmlns:a16="http://schemas.microsoft.com/office/drawing/2014/main" id="{00000000-0008-0000-1200-000019900200}"/>
                </a:ext>
              </a:extLst>
            </xdr:cNvPr>
            <xdr:cNvSpPr/>
          </xdr:nvSpPr>
          <xdr:spPr bwMode="auto">
            <a:xfrm>
              <a:off x="0" y="0"/>
              <a:ext cx="0" cy="0"/>
            </a:xfrm>
            <a:prstGeom prst="rect">
              <a:avLst/>
            </a:prstGeom>
            <a:solidFill>
              <a:srgbClr val="FFFFFF"/>
            </a:solidFill>
            <a:ln w="9525">
              <a:solidFill>
                <a:srgbClr val="FFFFFF"/>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54</xdr:row>
          <xdr:rowOff>0</xdr:rowOff>
        </xdr:from>
        <xdr:to>
          <xdr:col>1</xdr:col>
          <xdr:colOff>647700</xdr:colOff>
          <xdr:row>58</xdr:row>
          <xdr:rowOff>0</xdr:rowOff>
        </xdr:to>
        <xdr:sp macro="" textlink="">
          <xdr:nvSpPr>
            <xdr:cNvPr id="167962" name="Object 2" hidden="1">
              <a:extLst>
                <a:ext uri="{63B3BB69-23CF-44E3-9099-C40C66FF867C}">
                  <a14:compatExt spid="_x0000_s167962"/>
                </a:ext>
                <a:ext uri="{FF2B5EF4-FFF2-40B4-BE49-F238E27FC236}">
                  <a16:creationId xmlns:a16="http://schemas.microsoft.com/office/drawing/2014/main" id="{00000000-0008-0000-1200-00001A900200}"/>
                </a:ext>
              </a:extLst>
            </xdr:cNvPr>
            <xdr:cNvSpPr/>
          </xdr:nvSpPr>
          <xdr:spPr bwMode="auto">
            <a:xfrm>
              <a:off x="0" y="0"/>
              <a:ext cx="0" cy="0"/>
            </a:xfrm>
            <a:prstGeom prst="rect">
              <a:avLst/>
            </a:prstGeom>
            <a:solidFill>
              <a:srgbClr val="FFFFFF"/>
            </a:solidFill>
            <a:ln w="9525">
              <a:solidFill>
                <a:srgbClr val="FFFFFF"/>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110</xdr:row>
          <xdr:rowOff>0</xdr:rowOff>
        </xdr:from>
        <xdr:to>
          <xdr:col>1</xdr:col>
          <xdr:colOff>647700</xdr:colOff>
          <xdr:row>114</xdr:row>
          <xdr:rowOff>88900</xdr:rowOff>
        </xdr:to>
        <xdr:sp macro="" textlink="">
          <xdr:nvSpPr>
            <xdr:cNvPr id="167963" name="Object 3" hidden="1">
              <a:extLst>
                <a:ext uri="{63B3BB69-23CF-44E3-9099-C40C66FF867C}">
                  <a14:compatExt spid="_x0000_s167963"/>
                </a:ext>
                <a:ext uri="{FF2B5EF4-FFF2-40B4-BE49-F238E27FC236}">
                  <a16:creationId xmlns:a16="http://schemas.microsoft.com/office/drawing/2014/main" id="{00000000-0008-0000-1200-00001B900200}"/>
                </a:ext>
              </a:extLst>
            </xdr:cNvPr>
            <xdr:cNvSpPr/>
          </xdr:nvSpPr>
          <xdr:spPr bwMode="auto">
            <a:xfrm>
              <a:off x="0" y="0"/>
              <a:ext cx="0" cy="0"/>
            </a:xfrm>
            <a:prstGeom prst="rect">
              <a:avLst/>
            </a:prstGeom>
            <a:solidFill>
              <a:srgbClr val="FFFFFF"/>
            </a:solidFill>
            <a:ln w="9525">
              <a:solidFill>
                <a:srgbClr val="FFFFFF"/>
              </a:solidFill>
              <a:miter lim="800000"/>
              <a:headEnd/>
              <a:tailEnd/>
            </a:ln>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0</xdr:row>
          <xdr:rowOff>0</xdr:rowOff>
        </xdr:from>
        <xdr:to>
          <xdr:col>1</xdr:col>
          <xdr:colOff>787400</xdr:colOff>
          <xdr:row>4</xdr:row>
          <xdr:rowOff>25400</xdr:rowOff>
        </xdr:to>
        <xdr:sp macro="" textlink="">
          <xdr:nvSpPr>
            <xdr:cNvPr id="685057" name="Object 1" hidden="1">
              <a:extLst>
                <a:ext uri="{63B3BB69-23CF-44E3-9099-C40C66FF867C}">
                  <a14:compatExt spid="_x0000_s685057"/>
                </a:ext>
                <a:ext uri="{FF2B5EF4-FFF2-40B4-BE49-F238E27FC236}">
                  <a16:creationId xmlns:a16="http://schemas.microsoft.com/office/drawing/2014/main" id="{00000000-0008-0000-1300-000001740A00}"/>
                </a:ext>
              </a:extLst>
            </xdr:cNvPr>
            <xdr:cNvSpPr/>
          </xdr:nvSpPr>
          <xdr:spPr bwMode="auto">
            <a:xfrm>
              <a:off x="0" y="0"/>
              <a:ext cx="0" cy="0"/>
            </a:xfrm>
            <a:prstGeom prst="rect">
              <a:avLst/>
            </a:prstGeom>
            <a:solidFill>
              <a:srgbClr val="FFFFFF"/>
            </a:solidFill>
            <a:ln w="9525">
              <a:solidFill>
                <a:srgbClr val="FFFFFF"/>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0</xdr:rowOff>
        </xdr:from>
        <xdr:to>
          <xdr:col>1</xdr:col>
          <xdr:colOff>508000</xdr:colOff>
          <xdr:row>4</xdr:row>
          <xdr:rowOff>38100</xdr:rowOff>
        </xdr:to>
        <xdr:sp macro="" textlink="">
          <xdr:nvSpPr>
            <xdr:cNvPr id="166913" name="Object 1025" hidden="1">
              <a:extLst>
                <a:ext uri="{63B3BB69-23CF-44E3-9099-C40C66FF867C}">
                  <a14:compatExt spid="_x0000_s166913"/>
                </a:ext>
                <a:ext uri="{FF2B5EF4-FFF2-40B4-BE49-F238E27FC236}">
                  <a16:creationId xmlns:a16="http://schemas.microsoft.com/office/drawing/2014/main" id="{00000000-0008-0000-1600-0000018C0200}"/>
                </a:ext>
              </a:extLst>
            </xdr:cNvPr>
            <xdr:cNvSpPr/>
          </xdr:nvSpPr>
          <xdr:spPr bwMode="auto">
            <a:xfrm>
              <a:off x="0" y="0"/>
              <a:ext cx="0" cy="0"/>
            </a:xfrm>
            <a:prstGeom prst="rect">
              <a:avLst/>
            </a:prstGeom>
            <a:solidFill>
              <a:srgbClr val="FFFFFF"/>
            </a:solidFill>
            <a:ln w="9525">
              <a:solidFill>
                <a:srgbClr val="FFFFFF"/>
              </a:solidFill>
              <a:miter lim="800000"/>
              <a:headEnd/>
              <a:tailEnd/>
            </a:ln>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0</xdr:rowOff>
        </xdr:from>
        <xdr:to>
          <xdr:col>1</xdr:col>
          <xdr:colOff>508000</xdr:colOff>
          <xdr:row>4</xdr:row>
          <xdr:rowOff>38100</xdr:rowOff>
        </xdr:to>
        <xdr:sp macro="" textlink="">
          <xdr:nvSpPr>
            <xdr:cNvPr id="395271" name="Object 1025" hidden="1">
              <a:extLst>
                <a:ext uri="{63B3BB69-23CF-44E3-9099-C40C66FF867C}">
                  <a14:compatExt spid="_x0000_s395271"/>
                </a:ext>
                <a:ext uri="{FF2B5EF4-FFF2-40B4-BE49-F238E27FC236}">
                  <a16:creationId xmlns:a16="http://schemas.microsoft.com/office/drawing/2014/main" id="{00000000-0008-0000-1700-000007080600}"/>
                </a:ext>
              </a:extLst>
            </xdr:cNvPr>
            <xdr:cNvSpPr/>
          </xdr:nvSpPr>
          <xdr:spPr bwMode="auto">
            <a:xfrm>
              <a:off x="0" y="0"/>
              <a:ext cx="0" cy="0"/>
            </a:xfrm>
            <a:prstGeom prst="rect">
              <a:avLst/>
            </a:prstGeom>
            <a:solidFill>
              <a:srgbClr val="FFFFFF"/>
            </a:solidFill>
            <a:ln w="9525">
              <a:solidFill>
                <a:srgbClr val="FFFFFF"/>
              </a:solidFill>
              <a:miter lim="800000"/>
              <a:headEnd/>
              <a:tailEnd/>
            </a:ln>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0</xdr:col>
      <xdr:colOff>57150</xdr:colOff>
      <xdr:row>350</xdr:row>
      <xdr:rowOff>0</xdr:rowOff>
    </xdr:from>
    <xdr:to>
      <xdr:col>6</xdr:col>
      <xdr:colOff>9525</xdr:colOff>
      <xdr:row>350</xdr:row>
      <xdr:rowOff>9525</xdr:rowOff>
    </xdr:to>
    <xdr:sp macro="" textlink="">
      <xdr:nvSpPr>
        <xdr:cNvPr id="2" name="Rectangle 26">
          <a:extLst>
            <a:ext uri="{FF2B5EF4-FFF2-40B4-BE49-F238E27FC236}">
              <a16:creationId xmlns:a16="http://schemas.microsoft.com/office/drawing/2014/main" id="{00000000-0008-0000-1900-000002000000}"/>
            </a:ext>
          </a:extLst>
        </xdr:cNvPr>
        <xdr:cNvSpPr>
          <a:spLocks noChangeArrowheads="1"/>
        </xdr:cNvSpPr>
      </xdr:nvSpPr>
      <xdr:spPr>
        <a:xfrm>
          <a:off x="57150" y="50958750"/>
          <a:ext cx="6648450" cy="9525"/>
        </a:xfrm>
        <a:prstGeom prst="rect">
          <a:avLst/>
        </a:prstGeom>
        <a:solidFill>
          <a:srgbClr val="FFFFFF"/>
        </a:solidFill>
        <a:ln w="9525" cmpd="sng">
          <a:noFill/>
          <a:miter lim="800000"/>
        </a:ln>
      </xdr:spPr>
      <xdr:txBody>
        <a:bodyPr vertOverflow="clip" wrap="square" lIns="27432" tIns="22860" rIns="0" bIns="0" anchor="t" upright="1"/>
        <a:lstStyle/>
        <a:p>
          <a:pPr algn="l" rtl="0">
            <a:defRPr sz="1000"/>
          </a:pPr>
          <a:r>
            <a:rPr lang="en-US" sz="1000" b="0" i="0" u="sng" strike="noStrike">
              <a:solidFill>
                <a:srgbClr val="000000"/>
              </a:solidFill>
              <a:latin typeface="Swis721 BT" panose="020B0504020202020204"/>
            </a:rPr>
            <a:t>KA.GUDANG       KA.DEPARTEMEN                KA.PPIC               PET.GUDANG          ………………………………</a:t>
          </a:r>
        </a:p>
      </xdr:txBody>
    </xdr:sp>
    <xdr:clientData/>
  </xdr:twoCellAnchor>
  <xdr:twoCellAnchor>
    <xdr:from>
      <xdr:col>0</xdr:col>
      <xdr:colOff>0</xdr:colOff>
      <xdr:row>379</xdr:row>
      <xdr:rowOff>0</xdr:rowOff>
    </xdr:from>
    <xdr:to>
      <xdr:col>6</xdr:col>
      <xdr:colOff>9525</xdr:colOff>
      <xdr:row>379</xdr:row>
      <xdr:rowOff>9525</xdr:rowOff>
    </xdr:to>
    <xdr:sp macro="" textlink="">
      <xdr:nvSpPr>
        <xdr:cNvPr id="3" name="Rectangle 28">
          <a:extLst>
            <a:ext uri="{FF2B5EF4-FFF2-40B4-BE49-F238E27FC236}">
              <a16:creationId xmlns:a16="http://schemas.microsoft.com/office/drawing/2014/main" id="{00000000-0008-0000-1900-000003000000}"/>
            </a:ext>
          </a:extLst>
        </xdr:cNvPr>
        <xdr:cNvSpPr>
          <a:spLocks noChangeArrowheads="1"/>
        </xdr:cNvSpPr>
      </xdr:nvSpPr>
      <xdr:spPr>
        <a:xfrm>
          <a:off x="0" y="55654575"/>
          <a:ext cx="6705600" cy="9525"/>
        </a:xfrm>
        <a:prstGeom prst="rect">
          <a:avLst/>
        </a:prstGeom>
        <a:solidFill>
          <a:srgbClr val="FFFFFF"/>
        </a:solidFill>
        <a:ln w="9525" cmpd="sng">
          <a:noFill/>
          <a:miter lim="800000"/>
        </a:ln>
      </xdr:spPr>
      <xdr:txBody>
        <a:bodyPr vertOverflow="clip" wrap="square" lIns="27432" tIns="22860" rIns="0" bIns="0" anchor="t" upright="1"/>
        <a:lstStyle/>
        <a:p>
          <a:pPr algn="l" rtl="0">
            <a:defRPr sz="1000"/>
          </a:pPr>
          <a:r>
            <a:rPr lang="en-US" sz="1000" b="0" i="0" strike="noStrike">
              <a:solidFill>
                <a:srgbClr val="000000"/>
              </a:solidFill>
              <a:latin typeface="Swis721 BT" panose="020B0504020202020204"/>
            </a:rPr>
            <a:t>DIKETAHUI:            DIKETAHUI:                    DISETUJUI:               DISERAHKAN:                              DIAMBIL:   </a:t>
          </a:r>
        </a:p>
      </xdr:txBody>
    </xdr:sp>
    <xdr:clientData/>
  </xdr:twoCellAnchor>
  <mc:AlternateContent xmlns:mc="http://schemas.openxmlformats.org/markup-compatibility/2006">
    <mc:Choice xmlns:a14="http://schemas.microsoft.com/office/drawing/2010/main" Requires="a14">
      <xdr:twoCellAnchor editAs="oneCell">
        <xdr:from>
          <xdr:col>0</xdr:col>
          <xdr:colOff>114300</xdr:colOff>
          <xdr:row>0</xdr:row>
          <xdr:rowOff>0</xdr:rowOff>
        </xdr:from>
        <xdr:to>
          <xdr:col>2</xdr:col>
          <xdr:colOff>0</xdr:colOff>
          <xdr:row>4</xdr:row>
          <xdr:rowOff>25400</xdr:rowOff>
        </xdr:to>
        <xdr:sp macro="" textlink="">
          <xdr:nvSpPr>
            <xdr:cNvPr id="702465" name="Object 1" hidden="1">
              <a:extLst>
                <a:ext uri="{63B3BB69-23CF-44E3-9099-C40C66FF867C}">
                  <a14:compatExt spid="_x0000_s702465"/>
                </a:ext>
                <a:ext uri="{FF2B5EF4-FFF2-40B4-BE49-F238E27FC236}">
                  <a16:creationId xmlns:a16="http://schemas.microsoft.com/office/drawing/2014/main" id="{00000000-0008-0000-1900-000001B80A00}"/>
                </a:ext>
              </a:extLst>
            </xdr:cNvPr>
            <xdr:cNvSpPr/>
          </xdr:nvSpPr>
          <xdr:spPr bwMode="auto">
            <a:xfrm>
              <a:off x="0" y="0"/>
              <a:ext cx="0" cy="0"/>
            </a:xfrm>
            <a:prstGeom prst="rect">
              <a:avLst/>
            </a:prstGeom>
            <a:solidFill>
              <a:srgbClr val="FFFFFF"/>
            </a:solidFill>
            <a:ln w="9525">
              <a:solidFill>
                <a:srgbClr val="FFFFFF"/>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224</xdr:row>
          <xdr:rowOff>0</xdr:rowOff>
        </xdr:from>
        <xdr:to>
          <xdr:col>2</xdr:col>
          <xdr:colOff>0</xdr:colOff>
          <xdr:row>228</xdr:row>
          <xdr:rowOff>2988</xdr:rowOff>
        </xdr:to>
        <xdr:sp macro="" textlink="">
          <xdr:nvSpPr>
            <xdr:cNvPr id="702466" name="Object 2" hidden="1">
              <a:extLst>
                <a:ext uri="{63B3BB69-23CF-44E3-9099-C40C66FF867C}">
                  <a14:compatExt spid="_x0000_s702466"/>
                </a:ext>
                <a:ext uri="{FF2B5EF4-FFF2-40B4-BE49-F238E27FC236}">
                  <a16:creationId xmlns:a16="http://schemas.microsoft.com/office/drawing/2014/main" id="{00000000-0008-0000-1900-000002B80A00}"/>
                </a:ext>
              </a:extLst>
            </xdr:cNvPr>
            <xdr:cNvSpPr/>
          </xdr:nvSpPr>
          <xdr:spPr bwMode="auto">
            <a:xfrm>
              <a:off x="0" y="0"/>
              <a:ext cx="0" cy="0"/>
            </a:xfrm>
            <a:prstGeom prst="rect">
              <a:avLst/>
            </a:prstGeom>
            <a:solidFill>
              <a:srgbClr val="FFFFFF"/>
            </a:solidFill>
            <a:ln w="9525">
              <a:solidFill>
                <a:srgbClr val="FFFFFF"/>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279</xdr:row>
          <xdr:rowOff>0</xdr:rowOff>
        </xdr:from>
        <xdr:to>
          <xdr:col>2</xdr:col>
          <xdr:colOff>0</xdr:colOff>
          <xdr:row>283</xdr:row>
          <xdr:rowOff>25400</xdr:rowOff>
        </xdr:to>
        <xdr:sp macro="" textlink="">
          <xdr:nvSpPr>
            <xdr:cNvPr id="702467" name="Object 3" hidden="1">
              <a:extLst>
                <a:ext uri="{63B3BB69-23CF-44E3-9099-C40C66FF867C}">
                  <a14:compatExt spid="_x0000_s702467"/>
                </a:ext>
                <a:ext uri="{FF2B5EF4-FFF2-40B4-BE49-F238E27FC236}">
                  <a16:creationId xmlns:a16="http://schemas.microsoft.com/office/drawing/2014/main" id="{00000000-0008-0000-1900-000003B80A00}"/>
                </a:ext>
              </a:extLst>
            </xdr:cNvPr>
            <xdr:cNvSpPr/>
          </xdr:nvSpPr>
          <xdr:spPr bwMode="auto">
            <a:xfrm>
              <a:off x="0" y="0"/>
              <a:ext cx="0" cy="0"/>
            </a:xfrm>
            <a:prstGeom prst="rect">
              <a:avLst/>
            </a:prstGeom>
            <a:solidFill>
              <a:srgbClr val="FFFFFF"/>
            </a:solidFill>
            <a:ln w="9525">
              <a:solidFill>
                <a:srgbClr val="FFFFFF"/>
              </a:solidFill>
              <a:miter lim="800000"/>
              <a:headEnd/>
              <a:tailEnd/>
            </a:ln>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114300</xdr:colOff>
          <xdr:row>0</xdr:row>
          <xdr:rowOff>0</xdr:rowOff>
        </xdr:from>
        <xdr:to>
          <xdr:col>1</xdr:col>
          <xdr:colOff>787400</xdr:colOff>
          <xdr:row>4</xdr:row>
          <xdr:rowOff>177800</xdr:rowOff>
        </xdr:to>
        <xdr:sp macro="" textlink="">
          <xdr:nvSpPr>
            <xdr:cNvPr id="666625" name="Object 1" hidden="1">
              <a:extLst>
                <a:ext uri="{63B3BB69-23CF-44E3-9099-C40C66FF867C}">
                  <a14:compatExt spid="_x0000_s666625"/>
                </a:ext>
                <a:ext uri="{FF2B5EF4-FFF2-40B4-BE49-F238E27FC236}">
                  <a16:creationId xmlns:a16="http://schemas.microsoft.com/office/drawing/2014/main" id="{00000000-0008-0000-1C00-0000012C0A00}"/>
                </a:ext>
              </a:extLst>
            </xdr:cNvPr>
            <xdr:cNvSpPr/>
          </xdr:nvSpPr>
          <xdr:spPr bwMode="auto">
            <a:xfrm>
              <a:off x="0" y="0"/>
              <a:ext cx="0" cy="0"/>
            </a:xfrm>
            <a:prstGeom prst="rect">
              <a:avLst/>
            </a:prstGeom>
            <a:solidFill>
              <a:srgbClr val="FFFFFF"/>
            </a:solidFill>
            <a:ln w="9525">
              <a:solidFill>
                <a:srgbClr val="FFFFFF"/>
              </a:solidFill>
              <a:miter lim="800000"/>
              <a:headEnd/>
              <a:tailEnd/>
            </a:ln>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xdr:from>
      <xdr:col>0</xdr:col>
      <xdr:colOff>57150</xdr:colOff>
      <xdr:row>190</xdr:row>
      <xdr:rowOff>0</xdr:rowOff>
    </xdr:from>
    <xdr:to>
      <xdr:col>6</xdr:col>
      <xdr:colOff>9525</xdr:colOff>
      <xdr:row>190</xdr:row>
      <xdr:rowOff>9525</xdr:rowOff>
    </xdr:to>
    <xdr:sp macro="" textlink="">
      <xdr:nvSpPr>
        <xdr:cNvPr id="2" name="Rectangle 26">
          <a:extLst>
            <a:ext uri="{FF2B5EF4-FFF2-40B4-BE49-F238E27FC236}">
              <a16:creationId xmlns:a16="http://schemas.microsoft.com/office/drawing/2014/main" id="{00000000-0008-0000-1D00-000002000000}"/>
            </a:ext>
          </a:extLst>
        </xdr:cNvPr>
        <xdr:cNvSpPr>
          <a:spLocks noChangeArrowheads="1"/>
        </xdr:cNvSpPr>
      </xdr:nvSpPr>
      <xdr:spPr>
        <a:xfrm>
          <a:off x="57150" y="48472725"/>
          <a:ext cx="6381750" cy="9525"/>
        </a:xfrm>
        <a:prstGeom prst="rect">
          <a:avLst/>
        </a:prstGeom>
        <a:solidFill>
          <a:srgbClr val="FFFFFF"/>
        </a:solidFill>
        <a:ln w="9525" cmpd="sng">
          <a:noFill/>
          <a:miter lim="800000"/>
        </a:ln>
      </xdr:spPr>
      <xdr:txBody>
        <a:bodyPr vertOverflow="clip" wrap="square" lIns="27432" tIns="22860" rIns="0" bIns="0" anchor="t" upright="1"/>
        <a:lstStyle/>
        <a:p>
          <a:pPr algn="l" rtl="0">
            <a:defRPr sz="1000"/>
          </a:pPr>
          <a:r>
            <a:rPr lang="en-US" sz="1000" b="0" i="0" u="sng" strike="noStrike">
              <a:solidFill>
                <a:srgbClr val="000000"/>
              </a:solidFill>
              <a:latin typeface="Swis721 BT" panose="020B0504020202020204"/>
            </a:rPr>
            <a:t>KA.GUDANG       KA.DEPARTEMEN                KA.PPIC               PET.GUDANG          ………………………………</a:t>
          </a:r>
        </a:p>
      </xdr:txBody>
    </xdr:sp>
    <xdr:clientData/>
  </xdr:twoCellAnchor>
  <xdr:twoCellAnchor>
    <xdr:from>
      <xdr:col>0</xdr:col>
      <xdr:colOff>0</xdr:colOff>
      <xdr:row>219</xdr:row>
      <xdr:rowOff>0</xdr:rowOff>
    </xdr:from>
    <xdr:to>
      <xdr:col>6</xdr:col>
      <xdr:colOff>9525</xdr:colOff>
      <xdr:row>219</xdr:row>
      <xdr:rowOff>9525</xdr:rowOff>
    </xdr:to>
    <xdr:sp macro="" textlink="">
      <xdr:nvSpPr>
        <xdr:cNvPr id="3" name="Rectangle 28">
          <a:extLst>
            <a:ext uri="{FF2B5EF4-FFF2-40B4-BE49-F238E27FC236}">
              <a16:creationId xmlns:a16="http://schemas.microsoft.com/office/drawing/2014/main" id="{00000000-0008-0000-1D00-000003000000}"/>
            </a:ext>
          </a:extLst>
        </xdr:cNvPr>
        <xdr:cNvSpPr>
          <a:spLocks noChangeArrowheads="1"/>
        </xdr:cNvSpPr>
      </xdr:nvSpPr>
      <xdr:spPr>
        <a:xfrm>
          <a:off x="0" y="53168550"/>
          <a:ext cx="6438900" cy="9525"/>
        </a:xfrm>
        <a:prstGeom prst="rect">
          <a:avLst/>
        </a:prstGeom>
        <a:solidFill>
          <a:srgbClr val="FFFFFF"/>
        </a:solidFill>
        <a:ln w="9525" cmpd="sng">
          <a:noFill/>
          <a:miter lim="800000"/>
        </a:ln>
      </xdr:spPr>
      <xdr:txBody>
        <a:bodyPr vertOverflow="clip" wrap="square" lIns="27432" tIns="22860" rIns="0" bIns="0" anchor="t" upright="1"/>
        <a:lstStyle/>
        <a:p>
          <a:pPr algn="l" rtl="0">
            <a:defRPr sz="1000"/>
          </a:pPr>
          <a:r>
            <a:rPr lang="en-US" sz="1000" b="0" i="0" strike="noStrike">
              <a:solidFill>
                <a:srgbClr val="000000"/>
              </a:solidFill>
              <a:latin typeface="Swis721 BT" panose="020B0504020202020204"/>
            </a:rPr>
            <a:t>DIKETAHUI:            DIKETAHUI:                    DISETUJUI:               DISERAHKAN:                              DIAMBIL:   </a:t>
          </a:r>
        </a:p>
      </xdr:txBody>
    </xdr:sp>
    <xdr:clientData/>
  </xdr:twoCellAnchor>
  <mc:AlternateContent xmlns:mc="http://schemas.openxmlformats.org/markup-compatibility/2006">
    <mc:Choice xmlns:a14="http://schemas.microsoft.com/office/drawing/2010/main" Requires="a14">
      <xdr:twoCellAnchor editAs="oneCell">
        <xdr:from>
          <xdr:col>0</xdr:col>
          <xdr:colOff>114300</xdr:colOff>
          <xdr:row>0</xdr:row>
          <xdr:rowOff>0</xdr:rowOff>
        </xdr:from>
        <xdr:to>
          <xdr:col>1</xdr:col>
          <xdr:colOff>787400</xdr:colOff>
          <xdr:row>4</xdr:row>
          <xdr:rowOff>12700</xdr:rowOff>
        </xdr:to>
        <xdr:sp macro="" textlink="">
          <xdr:nvSpPr>
            <xdr:cNvPr id="403457" name="Object 1" hidden="1">
              <a:extLst>
                <a:ext uri="{63B3BB69-23CF-44E3-9099-C40C66FF867C}">
                  <a14:compatExt spid="_x0000_s403457"/>
                </a:ext>
                <a:ext uri="{FF2B5EF4-FFF2-40B4-BE49-F238E27FC236}">
                  <a16:creationId xmlns:a16="http://schemas.microsoft.com/office/drawing/2014/main" id="{00000000-0008-0000-1D00-000001280600}"/>
                </a:ext>
              </a:extLst>
            </xdr:cNvPr>
            <xdr:cNvSpPr/>
          </xdr:nvSpPr>
          <xdr:spPr bwMode="auto">
            <a:xfrm>
              <a:off x="0" y="0"/>
              <a:ext cx="0" cy="0"/>
            </a:xfrm>
            <a:prstGeom prst="rect">
              <a:avLst/>
            </a:prstGeom>
            <a:solidFill>
              <a:srgbClr val="FFFFFF"/>
            </a:solidFill>
            <a:ln w="9525">
              <a:solidFill>
                <a:srgbClr val="FFFFFF"/>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63</xdr:row>
          <xdr:rowOff>266700</xdr:rowOff>
        </xdr:from>
        <xdr:to>
          <xdr:col>1</xdr:col>
          <xdr:colOff>787400</xdr:colOff>
          <xdr:row>67</xdr:row>
          <xdr:rowOff>127000</xdr:rowOff>
        </xdr:to>
        <xdr:sp macro="" textlink="">
          <xdr:nvSpPr>
            <xdr:cNvPr id="403458" name="Object 2" hidden="1">
              <a:extLst>
                <a:ext uri="{63B3BB69-23CF-44E3-9099-C40C66FF867C}">
                  <a14:compatExt spid="_x0000_s403458"/>
                </a:ext>
                <a:ext uri="{FF2B5EF4-FFF2-40B4-BE49-F238E27FC236}">
                  <a16:creationId xmlns:a16="http://schemas.microsoft.com/office/drawing/2014/main" id="{00000000-0008-0000-1D00-000002280600}"/>
                </a:ext>
              </a:extLst>
            </xdr:cNvPr>
            <xdr:cNvSpPr/>
          </xdr:nvSpPr>
          <xdr:spPr bwMode="auto">
            <a:xfrm>
              <a:off x="0" y="0"/>
              <a:ext cx="0" cy="0"/>
            </a:xfrm>
            <a:prstGeom prst="rect">
              <a:avLst/>
            </a:prstGeom>
            <a:solidFill>
              <a:srgbClr val="FFFFFF"/>
            </a:solidFill>
            <a:ln w="9525">
              <a:solidFill>
                <a:srgbClr val="FFFFFF"/>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118</xdr:row>
          <xdr:rowOff>177800</xdr:rowOff>
        </xdr:from>
        <xdr:to>
          <xdr:col>1</xdr:col>
          <xdr:colOff>787400</xdr:colOff>
          <xdr:row>123</xdr:row>
          <xdr:rowOff>0</xdr:rowOff>
        </xdr:to>
        <xdr:sp macro="" textlink="">
          <xdr:nvSpPr>
            <xdr:cNvPr id="403459" name="Object 3" hidden="1">
              <a:extLst>
                <a:ext uri="{63B3BB69-23CF-44E3-9099-C40C66FF867C}">
                  <a14:compatExt spid="_x0000_s403459"/>
                </a:ext>
                <a:ext uri="{FF2B5EF4-FFF2-40B4-BE49-F238E27FC236}">
                  <a16:creationId xmlns:a16="http://schemas.microsoft.com/office/drawing/2014/main" id="{00000000-0008-0000-1D00-000003280600}"/>
                </a:ext>
              </a:extLst>
            </xdr:cNvPr>
            <xdr:cNvSpPr/>
          </xdr:nvSpPr>
          <xdr:spPr bwMode="auto">
            <a:xfrm>
              <a:off x="0" y="0"/>
              <a:ext cx="0" cy="0"/>
            </a:xfrm>
            <a:prstGeom prst="rect">
              <a:avLst/>
            </a:prstGeom>
            <a:solidFill>
              <a:srgbClr val="FFFFFF"/>
            </a:solidFill>
            <a:ln w="9525">
              <a:solidFill>
                <a:srgbClr val="FFFFFF"/>
              </a:solidFill>
              <a:miter lim="800000"/>
              <a:headEnd/>
              <a:tailEnd/>
            </a:ln>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icrosoft Office User" refreshedDate="46178.373477893518" missingItemsLimit="0" createdVersion="4" refreshedVersion="8" minRefreshableVersion="3" recordCount="1159" xr:uid="{00000000-000A-0000-FFFF-FFFF14000000}">
  <cacheSource type="worksheet">
    <worksheetSource ref="C11:BB1170" sheet="Breakdown"/>
  </cacheSource>
  <cacheFields count="52">
    <cacheField name="type" numFmtId="0">
      <sharedItems containsBlank="1"/>
    </cacheField>
    <cacheField name="kode" numFmtId="0">
      <sharedItems containsBlank="1"/>
    </cacheField>
    <cacheField name="Tpk" numFmtId="0">
      <sharedItems containsBlank="1"/>
    </cacheField>
    <cacheField name="Opt" numFmtId="0">
      <sharedItems containsBlank="1" containsMixedTypes="1" containsNumber="1" containsInteger="1" minValue="0" maxValue="1"/>
    </cacheField>
    <cacheField name="No" numFmtId="0">
      <sharedItems containsBlank="1"/>
    </cacheField>
    <cacheField name="Komponen" numFmtId="0">
      <sharedItems containsBlank="1"/>
    </cacheField>
    <cacheField name="Proses Khusus" numFmtId="0">
      <sharedItems containsBlank="1"/>
    </cacheField>
    <cacheField name="P" numFmtId="0">
      <sharedItems containsString="0" containsBlank="1" containsNumber="1" containsInteger="1" minValue="65" maxValue="3000"/>
    </cacheField>
    <cacheField name="x" numFmtId="0">
      <sharedItems containsBlank="1"/>
    </cacheField>
    <cacheField name="L" numFmtId="0">
      <sharedItems containsString="0" containsBlank="1" containsNumber="1" containsInteger="1" minValue="24" maxValue="1220"/>
    </cacheField>
    <cacheField name="x2" numFmtId="0">
      <sharedItems containsBlank="1"/>
    </cacheField>
    <cacheField name="T" numFmtId="0">
      <sharedItems containsBlank="1" containsMixedTypes="1" containsNumber="1" minValue="1" maxValue="2404"/>
    </cacheField>
    <cacheField name="Ukuran" numFmtId="0">
      <sharedItems containsBlank="1"/>
    </cacheField>
    <cacheField name="Sub" numFmtId="0">
      <sharedItems containsString="0" containsBlank="1" containsNumber="1" containsInteger="1" minValue="1" maxValue="8"/>
    </cacheField>
    <cacheField name="Jml" numFmtId="0">
      <sharedItems containsString="0" containsBlank="1" containsNumber="1" containsInteger="1" minValue="0" maxValue="8"/>
    </cacheField>
    <cacheField name="Bahan" numFmtId="0">
      <sharedItems containsBlank="1"/>
    </cacheField>
    <cacheField name="T Bahan" numFmtId="0">
      <sharedItems containsString="0" containsBlank="1" containsNumber="1" minValue="1" maxValue="27"/>
    </cacheField>
    <cacheField name="L2" numFmtId="0">
      <sharedItems containsBlank="1" containsMixedTypes="1" containsNumber="1" containsInteger="1" minValue="0" maxValue="22"/>
    </cacheField>
    <cacheField name="D" numFmtId="0">
      <sharedItems containsBlank="1" containsMixedTypes="1" containsNumber="1" containsInteger="1" minValue="0" maxValue="22"/>
    </cacheField>
    <cacheField name="Luar" numFmtId="0">
      <sharedItems containsBlank="1"/>
    </cacheField>
    <cacheField name="T2" numFmtId="0">
      <sharedItems containsBlank="1" containsMixedTypes="1" containsNumber="1" minValue="0" maxValue="1"/>
    </cacheField>
    <cacheField name="Dalam" numFmtId="0">
      <sharedItems containsBlank="1"/>
    </cacheField>
    <cacheField name="T3" numFmtId="0">
      <sharedItems containsBlank="1" containsMixedTypes="1" containsNumber="1" minValue="0" maxValue="1"/>
    </cacheField>
    <cacheField name="P1" numFmtId="0">
      <sharedItems containsBlank="1" containsMixedTypes="1" containsNumber="1" containsInteger="1" minValue="0" maxValue="11"/>
    </cacheField>
    <cacheField name="P2" numFmtId="0">
      <sharedItems containsBlank="1" containsMixedTypes="1" containsNumber="1" containsInteger="1" minValue="0" maxValue="11"/>
    </cacheField>
    <cacheField name="L1" numFmtId="0">
      <sharedItems containsBlank="1" containsMixedTypes="1" containsNumber="1" containsInteger="1" minValue="0" maxValue="11"/>
    </cacheField>
    <cacheField name="L22" numFmtId="0">
      <sharedItems containsBlank="1" containsMixedTypes="1" containsNumber="1" containsInteger="1" minValue="0" maxValue="11"/>
    </cacheField>
    <cacheField name="P12" numFmtId="0">
      <sharedItems containsBlank="1"/>
    </cacheField>
    <cacheField name="P22" numFmtId="0">
      <sharedItems containsBlank="1"/>
    </cacheField>
    <cacheField name="L12" numFmtId="0">
      <sharedItems containsBlank="1"/>
    </cacheField>
    <cacheField name="L23" numFmtId="0">
      <sharedItems containsBlank="1"/>
    </cacheField>
    <cacheField name="Profil 3" numFmtId="0">
      <sharedItems containsBlank="1" containsMixedTypes="1" containsNumber="1" containsInteger="1" minValue="0" maxValue="0"/>
    </cacheField>
    <cacheField name="Profil 2" numFmtId="0">
      <sharedItems containsBlank="1" containsMixedTypes="1" containsNumber="1" containsInteger="1" minValue="0" maxValue="0"/>
    </cacheField>
    <cacheField name="Profil" numFmtId="0">
      <sharedItems containsBlank="1" containsMixedTypes="1" containsNumber="1" containsInteger="1" minValue="0" maxValue="0"/>
    </cacheField>
    <cacheField name="Siku joint" numFmtId="0">
      <sharedItems containsBlank="1" containsMixedTypes="1" containsNumber="1" containsInteger="1" minValue="0" maxValue="0"/>
    </cacheField>
    <cacheField name="Screw Jf" numFmtId="0">
      <sharedItems containsBlank="1" containsMixedTypes="1" containsNumber="1" containsInteger="1" minValue="0" maxValue="0"/>
    </cacheField>
    <cacheField name="Door mec" numFmtId="0">
      <sharedItems containsNonDate="0" containsString="0" containsBlank="1"/>
    </cacheField>
    <cacheField name="Rel" numFmtId="0">
      <sharedItems containsBlank="1" containsMixedTypes="1" containsNumber="1" containsInteger="1" minValue="0" maxValue="0"/>
    </cacheField>
    <cacheField name="Engsel" numFmtId="0">
      <sharedItems containsBlank="1" containsMixedTypes="1" containsNumber="1" containsInteger="1" minValue="0" maxValue="0"/>
    </cacheField>
    <cacheField name="V" numFmtId="0">
      <sharedItems containsBlank="1" containsMixedTypes="1" containsNumber="1" containsInteger="1" minValue="0" maxValue="0"/>
    </cacheField>
    <cacheField name="V2" numFmtId="0">
      <sharedItems containsBlank="1" containsMixedTypes="1" containsNumber="1" containsInteger="1" minValue="0" maxValue="0"/>
    </cacheField>
    <cacheField name="H" numFmtId="0">
      <sharedItems containsBlank="1" containsMixedTypes="1" containsNumber="1" containsInteger="1" minValue="0" maxValue="0"/>
    </cacheField>
    <cacheField name="Nama barang" numFmtId="0">
      <sharedItems containsBlank="1" containsMixedTypes="1" containsNumber="1" containsInteger="1" minValue="0" maxValue="0" count="4">
        <m/>
        <n v="0"/>
        <s v="Trim 22 S2/S4 Brown Doff ( Alm. 75270 ) P3"/>
        <s v=""/>
      </sharedItems>
    </cacheField>
    <cacheField name="Panjang" numFmtId="0">
      <sharedItems containsBlank="1" containsMixedTypes="1" containsNumber="1" containsInteger="1" minValue="190" maxValue="902" count="6">
        <m/>
        <s v=""/>
        <n v="902"/>
        <n v="600"/>
        <n v="408"/>
        <n v="190"/>
      </sharedItems>
    </cacheField>
    <cacheField name="Jumlah" numFmtId="0">
      <sharedItems containsBlank="1" containsMixedTypes="1" containsNumber="1" containsInteger="1" minValue="0" maxValue="4"/>
    </cacheField>
    <cacheField name="x3" numFmtId="0">
      <sharedItems containsNonDate="0" containsString="0" containsBlank="1"/>
    </cacheField>
    <cacheField name="V lap" numFmtId="0">
      <sharedItems containsBlank="1"/>
    </cacheField>
    <cacheField name="V edg" numFmtId="0">
      <sharedItems containsBlank="1"/>
    </cacheField>
    <cacheField name="Deskripsi lapisan" numFmtId="0">
      <sharedItems containsBlank="1"/>
    </cacheField>
    <cacheField name="Deskripsi edging" numFmtId="0">
      <sharedItems containsBlank="1"/>
    </cacheField>
    <cacheField name="Deskripsi Komponen" numFmtId="0">
      <sharedItems containsBlank="1"/>
    </cacheField>
    <cacheField name="Nama Komponen"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Microsoft Office User" refreshedDate="46178.373478240741" missingItemsLimit="0" createdVersion="4" refreshedVersion="8" minRefreshableVersion="3" recordCount="1159" xr:uid="{00000000-000A-0000-FFFF-FFFF10000000}">
  <cacheSource type="worksheet">
    <worksheetSource name="=breakdown"/>
  </cacheSource>
  <cacheFields count="84">
    <cacheField name="id" numFmtId="0">
      <sharedItems containsBlank="1" containsMixedTypes="1" containsNumber="1" containsInteger="1" minValue="205412" maxValue="3065146" count="25">
        <m/>
        <s v="…"/>
        <n v="205412"/>
        <n v="3065067"/>
        <n v="3065146"/>
        <s v="307051"/>
        <s v="307056"/>
        <s v="307061"/>
        <s v="307124"/>
        <s v="307132"/>
        <s v="307057"/>
        <n v="318142"/>
        <n v="318134"/>
        <n v="318287"/>
        <n v="307917"/>
        <n v="317210"/>
        <s v="307237"/>
        <n v="317778"/>
        <s v="307088"/>
        <n v="307288"/>
        <n v="317177"/>
        <n v="307092"/>
        <n v="317117"/>
        <n v="307086"/>
        <n v="307367"/>
      </sharedItems>
    </cacheField>
    <cacheField name="cat." numFmtId="0">
      <sharedItems containsBlank="1"/>
    </cacheField>
    <cacheField name="type" numFmtId="0">
      <sharedItems containsBlank="1"/>
    </cacheField>
    <cacheField name="kode" numFmtId="0">
      <sharedItems containsBlank="1" count="8">
        <m/>
        <s v="[ks]"/>
        <s v="KS"/>
        <s v="─"/>
        <s v="…"/>
        <e v="#N/A"/>
        <s v=""/>
        <s v="k¢"/>
      </sharedItems>
    </cacheField>
    <cacheField name="Tpk" numFmtId="0">
      <sharedItems containsBlank="1" count="10">
        <m/>
        <s v="A"/>
        <s v="A»"/>
        <s v="A«"/>
        <s v="A↓"/>
        <s v="A•"/>
        <s v="A↕"/>
        <s v="B"/>
        <s v="B•"/>
        <s v="…"/>
      </sharedItems>
    </cacheField>
    <cacheField name="Opt" numFmtId="0">
      <sharedItems containsBlank="1" containsMixedTypes="1" containsNumber="1" containsInteger="1" minValue="0" maxValue="1"/>
    </cacheField>
    <cacheField name="No" numFmtId="0">
      <sharedItems containsBlank="1" count="9">
        <m/>
        <s v="•"/>
        <s v="..."/>
        <s v="•••"/>
        <s v="••"/>
        <s v="…"/>
        <s v="fr"/>
        <s v=" "/>
        <s v="ft"/>
      </sharedItems>
    </cacheField>
    <cacheField name="Komponen" numFmtId="0">
      <sharedItems containsBlank="1" count="76">
        <m/>
        <s v="Back Panel Rangka (rakit tukang)"/>
        <s v="Back Panel Rangka"/>
        <s v="Rangka back panel"/>
        <s v="Braket miring"/>
        <s v="Plinth/Uppertop"/>
        <s v="Dummies"/>
        <s v="Cover Panel / Pelmet"/>
        <s v="Back Panel"/>
        <s v="End Panel Rangka nat Duco (rakit tukang)"/>
        <s v="End Panel Rangka"/>
        <s v="HPL Lembaran"/>
        <s v="Plinth Rangka DUCO (rakit tukang)"/>
        <s v="Panel Partisi (rakit tukang)"/>
        <s v="Tatakan Quadra"/>
        <s v="Back Panel Rangka♦"/>
        <s v="Pintu Akses engsel concealed (rakit tukang)"/>
        <s v="Pintu/Panel Rangka Manual"/>
        <s v="HPL Lembaran♦"/>
        <s v="End Panel"/>
        <s v="Palang tengah/nat handel│"/>
        <s v="Dummies Luar"/>
        <s v="Cover Panel / Pelmet•"/>
        <s v="Tutup Kabinet Bawah"/>
        <s v="End Panel│"/>
        <s v="FC-Ch000-tdm112K29ab-sr0a"/>
        <s v="Dinding Samping"/>
        <s v="Dinding Atas Bawah ↓"/>
        <s v="Palangan"/>
        <s v="Dinding Belakang"/>
        <s v="Tutup laci Kaca S2(rakit tukang)"/>
        <s v="Tutup laci Kaca S2"/>
        <s v="Kaca_"/>
        <s v="Kotak Laci (rakit tukang)"/>
        <s v="Samping laci"/>
        <s v="Depan belakang laci"/>
        <s v="Dasar laci"/>
        <s v="TC Mw+Disp-║H◄5'+2+│-sw3K29a-pu0h50"/>
        <s v="Dinding Samping I"/>
        <s v="Dinding Atas Bawah"/>
        <s v="Dinding Atas Bawah ≈"/>
        <s v="Ambalan mati"/>
        <s v="Sekat"/>
        <s v="Ambalan mati OS"/>
        <s v="Ambalan hidup"/>
        <s v="Dasar Laci Pull Out (rakit tukang)"/>
        <s v="Tutup laci dalam"/>
        <s v="Dasar laci Pull Out"/>
        <s v="Pintu Kaca (ukuran tunggu info)"/>
        <s v="Pintu Kaca S2"/>
        <s v="Pintu Kaca S2 (rakit tukang)"/>
        <s v="M-LED-02 Brown Doff ( Alm. 75111 ) P3"/>
        <s v="LEGRA S1 ORION GREY (OG"/>
        <s v="LEGRABOX S4 OG (ORION GREY)"/>
        <s v="REL TANDEM BLUM SINGLE EXT INTG P.500"/>
        <s v="REL TANDEM BLUM FULL EXT INTG P.500"/>
        <s v="REL TANDEM BLUM FULL EXT INTG P.400"/>
        <s v="LACI B1S1 INTE BLUMO"/>
        <s v="B1S2 GREY INTEG.BM"/>
        <s v="REL TANDEM BLUM SINGLE EXT INTG P.450"/>
        <s v="MERIVOBOX MVX S1 SW 500 40 BM"/>
        <s v="MERIVOBOX MVX S4 SW 500 70 BM"/>
        <s v="LACI MERIVOBOX S2 + KACA ORION GREY"/>
        <s v="QUADRO V6 SFP FL 500 EB 20 TIP ON HETTICH L/R"/>
        <s v="Avantech You 101 P.500mm"/>
        <s v="Avantech You 251 P.500mm"/>
        <s v="ENGSEL CLIP TOP  107 DEG INTEGRATED 75 B 1550 + 173 L 6100"/>
        <s v="ENGSEL SALICE PUSH.TIP ON FOR DOOR"/>
        <s v="ENGSEL 155 DRAJAT  71 B 7550   "/>
        <s v="ENGSEL BIFOLD"/>
        <s v="ENGSEL 79M9550 BLIND CORNER"/>
        <s v="ENGSEL  S 8657i B12 TH52"/>
        <s v="ENGSEL 9936 W45 C6"/>
        <s v="Engsel Sensys Full Bengkok C 16-110 DERAJAT 907 1207"/>
        <s v="ENGSEL MEPLA FLAP DOOR"/>
        <s v="RDK-52A FOLDING HINGE"/>
      </sharedItems>
    </cacheField>
    <cacheField name="Proses Khusus" numFmtId="0">
      <sharedItems containsBlank="1"/>
    </cacheField>
    <cacheField name="P" numFmtId="0">
      <sharedItems containsString="0" containsBlank="1" containsNumber="1" containsInteger="1" minValue="65" maxValue="3000" count="66">
        <m/>
        <n v="2000"/>
        <n v="2430"/>
        <n v="172"/>
        <n v="1490"/>
        <n v="1900"/>
        <n v="290"/>
        <n v="1390"/>
        <n v="1004"/>
        <n v="1333"/>
        <n v="1026"/>
        <n v="1844"/>
        <n v="2890"/>
        <n v="900"/>
        <n v="1990"/>
        <n v="600"/>
        <n v="2880"/>
        <n v="1650"/>
        <n v="1840"/>
        <n v="602"/>
        <n v="1908"/>
        <n v="760"/>
        <n v="1210"/>
        <n v="500"/>
        <n v="1025"/>
        <n v="1721"/>
        <n v="1948"/>
        <n v="1790"/>
        <n v="2370"/>
        <n v="1318"/>
        <n v="860"/>
        <n v="1740"/>
        <n v="2420"/>
        <n v="1852"/>
        <n v="2440"/>
        <n v="904"/>
        <n v="732"/>
        <n v="867"/>
        <n v="710"/>
        <n v="300"/>
        <n v="296"/>
        <n v="295"/>
        <n v="851"/>
        <n v="490"/>
        <n v="825"/>
        <n v="837"/>
        <n v="185"/>
        <n v="181"/>
        <n v="180"/>
        <n v="2404"/>
        <n v="564"/>
        <n v="2343"/>
        <n v="683"/>
        <n v="1149"/>
        <n v="154"/>
        <n v="563"/>
        <n v="360"/>
        <n v="506"/>
        <n v="65"/>
        <n v="718"/>
        <n v="714"/>
        <n v="713"/>
        <n v="1200"/>
        <n v="1196"/>
        <n v="1195"/>
        <n v="3000"/>
      </sharedItems>
    </cacheField>
    <cacheField name="x" numFmtId="0">
      <sharedItems containsBlank="1"/>
    </cacheField>
    <cacheField name="L" numFmtId="0">
      <sharedItems containsString="0" containsBlank="1" containsNumber="1" containsInteger="1" minValue="24" maxValue="1220" count="52">
        <m/>
        <n v="209"/>
        <n v="55"/>
        <n v="100"/>
        <n v="327"/>
        <n v="70"/>
        <n v="550"/>
        <n v="1004"/>
        <n v="95"/>
        <n v="840"/>
        <n v="600"/>
        <n v="581"/>
        <n v="81"/>
        <n v="750"/>
        <n v="50"/>
        <n v="130"/>
        <n v="60"/>
        <n v="954"/>
        <n v="24"/>
        <n v="1220"/>
        <n v="960"/>
        <n v="730"/>
        <n v="40"/>
        <n v="30"/>
        <n v="400"/>
        <n v="210"/>
        <n v="588"/>
        <n v="585"/>
        <n v="705"/>
        <n v="688"/>
        <n v="310"/>
        <n v="560"/>
        <n v="80"/>
        <n v="883"/>
        <n v="902"/>
        <n v="901"/>
        <n v="490"/>
        <n v="230"/>
        <n v="213"/>
        <n v="488"/>
        <n v="135"/>
        <n v="118"/>
        <n v="582"/>
        <n v="526"/>
        <n v="579"/>
        <n v="575"/>
        <n v="370"/>
        <n v="599"/>
        <n v="408"/>
        <n v="407"/>
        <n v="190"/>
        <n v="189"/>
      </sharedItems>
    </cacheField>
    <cacheField name="x2" numFmtId="0">
      <sharedItems containsBlank="1"/>
    </cacheField>
    <cacheField name="T" numFmtId="0">
      <sharedItems containsBlank="1" containsMixedTypes="1" containsNumber="1" minValue="1" maxValue="2404"/>
    </cacheField>
    <cacheField name="Ukuran" numFmtId="0">
      <sharedItems containsBlank="1" count="114">
        <m/>
        <s v="2000 x 209 x 75"/>
        <s v="2000 x 209 x 19"/>
        <s v="2430 x 55 x 18,5"/>
        <s v="172 x 100 x 18"/>
        <s v="1490 x 209 x 75"/>
        <s v="1490 x 209 x 19"/>
        <s v="1900 x 327 x 75"/>
        <s v="1900 x 327 x 19"/>
        <s v="290 x 100 x 18"/>
        <s v="1390 x 327 x 75"/>
        <s v="1390 x 327 x 19"/>
        <s v="2430 x 100 x 19"/>
        <s v="2430 x 70 x 19"/>
        <s v="1004 x 550 x 19"/>
        <s v="2000 x 1004 x 19,5"/>
        <s v="2000 x 95 x 75"/>
        <s v="2000 x 95 x 18,5"/>
        <s v="2000 x 95 x 1"/>
        <s v="1490 x 95 x 75"/>
        <s v="1490 x 95 x 18,5"/>
        <s v="1490 x 95 x 1"/>
        <s v="2000 x 840 x 75"/>
        <s v="2000 x 840 x 18,5"/>
        <s v="2000 x 840 x 1"/>
        <s v="1490 x 840 x 75"/>
        <s v="1490 x 840 x 18,5"/>
        <s v="1490 x 840 x 1"/>
        <s v="1333 x 600 x 100"/>
        <s v="2430 x 100 x 18,5"/>
        <s v="1026 x 581 x 18,5"/>
        <s v="2430 x 81 x 18,5"/>
        <s v="1844 x 750 x 26"/>
        <s v="1844 x 750 x 12,5"/>
        <s v="2430 x 50 x 12,5"/>
        <s v="2890 x 130 x 80"/>
        <s v="900 x 130 x 19"/>
        <s v="1990 x 130 x 19"/>
        <s v="2430 x 60 x 18,5"/>
        <s v="600 x 130 x 80"/>
        <s v="600 x 130 x 19"/>
        <s v="2880 x 954 x 40"/>
        <s v="2430 x 954 x 12"/>
        <s v="2430 x 24 x 18,5"/>
        <s v="2430 x 1220 x 18,5"/>
        <s v="600 x 960 x 40"/>
        <s v="2430 x 960 x 12"/>
        <s v="1650 x 730 x 20"/>
        <s v="1840 x 730 x 20"/>
        <s v="602 x 50 x 19,5"/>
        <s v="1908 x 70 x 19,5"/>
        <s v="2430 x 50 x 19,5"/>
        <s v="760 x 40 x 21,5"/>
        <s v="1210 x 40 x 21,5"/>
        <s v="500 x 40 x 21,5"/>
        <s v="2430 x 30 x 19"/>
        <s v="1025 x 400 x 19"/>
        <s v="1721 x 400 x 19"/>
        <s v="1948 x 210 x 19"/>
        <s v="1790 x 210 x 19"/>
        <s v="2370 x 588 x 27,5"/>
        <s v="1318 x 588 x 27,5"/>
        <s v="860 x 585 x 20"/>
        <s v="1740 x 705 x 20"/>
        <s v="2420 x 30 x 19"/>
        <s v="1852 x 688 x 27,5"/>
        <s v="2440 x 400 x 19"/>
        <s v="2440 x 310 x 19"/>
        <s v="904 x 560 x 732"/>
        <s v="732 x 560 x 18,5"/>
        <s v="867 x 560 x 18,5"/>
        <s v="867 x 80 x 19"/>
        <s v="710 x 883 x 7"/>
        <s v="300 x 902 x 20"/>
        <s v="296 x 902 x 14,5"/>
        <s v="295 x 901 x 5"/>
        <s v="851 x 490 x 230"/>
        <s v="490 x 230 x 13"/>
        <s v="825 x 213 x 13"/>
        <s v="837 x 488 x 7"/>
        <s v="185 x 902 x 20"/>
        <s v="181 x 902 x 14,5"/>
        <s v="180 x 901 x 5"/>
        <s v="851 x 490 x 135"/>
        <s v="490 x 135 x 13"/>
        <s v="825 x 118 x 13"/>
        <s v="602 x 600 x 2404"/>
        <s v="2404 x 600 x 19,5"/>
        <s v="2404 x 600 x 18,5"/>
        <s v="564 x 600 x 19"/>
        <s v="564 x 550 x 19"/>
        <s v="2343 x 581 x 7"/>
        <s v="683 x 581 x 7"/>
        <s v="564 x 582 x 19"/>
        <s v="564 x 526 x 19"/>
        <s v="1149 x 582 x 19,5"/>
        <s v="154 x 579 x 20"/>
        <s v="563 x 575 x 19"/>
        <s v="360 x 490 x 19/28"/>
        <s v="506 x 50 x 19"/>
        <s v="65 x 370 x 19"/>
        <s v="360 x 490 x 19"/>
        <s v="718 x 600 x 20"/>
        <s v="714 x 600 x 14,5"/>
        <s v="713 x 599 x 5"/>
        <s v="1200 x 408 x 20"/>
        <s v="1196 x 408 x 14,5"/>
        <s v="1195 x 407 x 5"/>
        <s v="1200 x 190 x 20"/>
        <s v="1196 x 190 x 14,5"/>
        <s v="1195 x 189 x 5"/>
        <s v="3000    "/>
        <s v="…"/>
        <s v="    "/>
      </sharedItems>
    </cacheField>
    <cacheField name="Sub" numFmtId="0">
      <sharedItems containsString="0" containsBlank="1" containsNumber="1" containsInteger="1" minValue="1" maxValue="8"/>
    </cacheField>
    <cacheField name="Jml" numFmtId="0">
      <sharedItems containsString="0" containsBlank="1" containsNumber="1" containsInteger="1" minValue="0" maxValue="8" count="8">
        <m/>
        <n v="1"/>
        <n v="2"/>
        <n v="4"/>
        <n v="3"/>
        <n v="6"/>
        <n v="8"/>
        <n v="0"/>
      </sharedItems>
    </cacheField>
    <cacheField name="Bahan" numFmtId="0">
      <sharedItems containsBlank="1"/>
    </cacheField>
    <cacheField name="T Bahan" numFmtId="0">
      <sharedItems containsString="0" containsBlank="1" containsNumber="1" minValue="1" maxValue="27"/>
    </cacheField>
    <cacheField name="L2" numFmtId="0">
      <sharedItems containsBlank="1" containsMixedTypes="1" containsNumber="1" containsInteger="1" minValue="0" maxValue="22"/>
    </cacheField>
    <cacheField name="D" numFmtId="0">
      <sharedItems containsBlank="1" containsMixedTypes="1" containsNumber="1" containsInteger="1" minValue="0" maxValue="22"/>
    </cacheField>
    <cacheField name="Luar" numFmtId="0">
      <sharedItems containsBlank="1"/>
    </cacheField>
    <cacheField name="T2" numFmtId="0">
      <sharedItems containsBlank="1" containsMixedTypes="1" containsNumber="1" minValue="0" maxValue="1"/>
    </cacheField>
    <cacheField name="Dalam" numFmtId="0">
      <sharedItems containsBlank="1"/>
    </cacheField>
    <cacheField name="T3" numFmtId="0">
      <sharedItems containsBlank="1" containsMixedTypes="1" containsNumber="1" minValue="0" maxValue="1"/>
    </cacheField>
    <cacheField name="P1" numFmtId="0">
      <sharedItems containsBlank="1" containsMixedTypes="1" containsNumber="1" containsInteger="1" minValue="0" maxValue="11"/>
    </cacheField>
    <cacheField name="P2" numFmtId="0">
      <sharedItems containsBlank="1" containsMixedTypes="1" containsNumber="1" containsInteger="1" minValue="0" maxValue="11"/>
    </cacheField>
    <cacheField name="L1" numFmtId="0">
      <sharedItems containsBlank="1" containsMixedTypes="1" containsNumber="1" containsInteger="1" minValue="0" maxValue="11"/>
    </cacheField>
    <cacheField name="L22" numFmtId="0">
      <sharedItems containsBlank="1" containsMixedTypes="1" containsNumber="1" containsInteger="1" minValue="0" maxValue="11"/>
    </cacheField>
    <cacheField name="P12" numFmtId="0">
      <sharedItems containsBlank="1"/>
    </cacheField>
    <cacheField name="P22" numFmtId="0">
      <sharedItems containsBlank="1"/>
    </cacheField>
    <cacheField name="L12" numFmtId="0">
      <sharedItems containsBlank="1"/>
    </cacheField>
    <cacheField name="L23" numFmtId="0">
      <sharedItems containsBlank="1"/>
    </cacheField>
    <cacheField name="Profil 3" numFmtId="0">
      <sharedItems containsBlank="1" containsMixedTypes="1" containsNumber="1" containsInteger="1" minValue="0" maxValue="0"/>
    </cacheField>
    <cacheField name="Profil 2" numFmtId="0">
      <sharedItems containsBlank="1" containsMixedTypes="1" containsNumber="1" containsInteger="1" minValue="0" maxValue="0"/>
    </cacheField>
    <cacheField name="Profil" numFmtId="0">
      <sharedItems containsBlank="1" containsMixedTypes="1" containsNumber="1" containsInteger="1" minValue="0" maxValue="0"/>
    </cacheField>
    <cacheField name="Siku joint" numFmtId="0">
      <sharedItems containsBlank="1" containsMixedTypes="1" containsNumber="1" containsInteger="1" minValue="0" maxValue="0"/>
    </cacheField>
    <cacheField name="Screw Jf" numFmtId="0">
      <sharedItems containsBlank="1" containsMixedTypes="1" containsNumber="1" containsInteger="1" minValue="0" maxValue="0"/>
    </cacheField>
    <cacheField name="Door mec" numFmtId="0">
      <sharedItems containsNonDate="0" containsString="0" containsBlank="1"/>
    </cacheField>
    <cacheField name="Rel" numFmtId="0">
      <sharedItems containsBlank="1" containsMixedTypes="1" containsNumber="1" containsInteger="1" minValue="0" maxValue="0"/>
    </cacheField>
    <cacheField name="Engsel" numFmtId="0">
      <sharedItems containsBlank="1" containsMixedTypes="1" containsNumber="1" containsInteger="1" minValue="0" maxValue="0"/>
    </cacheField>
    <cacheField name="V" numFmtId="0">
      <sharedItems containsBlank="1" containsMixedTypes="1" containsNumber="1" containsInteger="1" minValue="0" maxValue="0"/>
    </cacheField>
    <cacheField name="V2" numFmtId="0">
      <sharedItems containsBlank="1" containsMixedTypes="1" containsNumber="1" containsInteger="1" minValue="0" maxValue="0"/>
    </cacheField>
    <cacheField name="H" numFmtId="0">
      <sharedItems containsBlank="1" containsMixedTypes="1" containsNumber="1" containsInteger="1" minValue="0" maxValue="0"/>
    </cacheField>
    <cacheField name="Nama barang" numFmtId="0">
      <sharedItems containsBlank="1" containsMixedTypes="1" containsNumber="1" containsInteger="1" minValue="0" maxValue="0"/>
    </cacheField>
    <cacheField name="Panjang" numFmtId="0">
      <sharedItems containsBlank="1" containsMixedTypes="1" containsNumber="1" containsInteger="1" minValue="190" maxValue="902"/>
    </cacheField>
    <cacheField name="Jumlah" numFmtId="0">
      <sharedItems containsBlank="1" containsMixedTypes="1" containsNumber="1" containsInteger="1" minValue="0" maxValue="4"/>
    </cacheField>
    <cacheField name="x3" numFmtId="0">
      <sharedItems containsNonDate="0" containsString="0" containsBlank="1"/>
    </cacheField>
    <cacheField name="V lap" numFmtId="0">
      <sharedItems containsBlank="1"/>
    </cacheField>
    <cacheField name="V edg" numFmtId="0">
      <sharedItems containsBlank="1"/>
    </cacheField>
    <cacheField name="Deskripsi lapisan" numFmtId="0">
      <sharedItems containsBlank="1"/>
    </cacheField>
    <cacheField name="Deskripsi edging" numFmtId="0">
      <sharedItems containsBlank="1"/>
    </cacheField>
    <cacheField name="Deskripsi Komponen" numFmtId="0">
      <sharedItems containsBlank="1" count="62">
        <m/>
        <s v="0) Back Panel Rangka (rakit tukang) 2000"/>
        <s v="403)Back Panel Rangka_WY_5216_D(V)_1mk_Polos"/>
        <s v="414)Rangka back panel_Aica_1mk_Polos"/>
        <s v="421)Braket miring_Polos"/>
        <s v="0) Back Panel Rangka (rakit tukang) 1490"/>
        <s v="0) Back Panel Rangka (rakit tukang) 1900"/>
        <s v="0) Back Panel Rangka (rakit tukang) 1390"/>
        <s v="462)Plinth/Uppertop_WY_5216_D(V)_1mk_Polos"/>
        <s v="435)Dummies_WY_5216_D(V)_1mk_Polos"/>
        <s v="366)Cover Panel / Pelmet_WY_5216_D(V)_1mk_Polos"/>
        <s v="386)Back Panel_WY_5216_D(V)+Aica"/>
        <s v="0) End Panel Rangka nat Duco (rakit tukang) 2000"/>
        <s v="379)End Panel Rangka_Duco_1mk_Polos"/>
        <s v="483)HPL Lembaran_Polos"/>
        <s v="0) End Panel Rangka nat Duco (rakit tukang) 1490"/>
        <s v="0) Plinth Rangka DUCO (rakit tukang) 1333"/>
        <s v="0) Panel Partisi (rakit tukang) 1844"/>
        <s v="430)Tatakan Quadra_Aica_1mk_Polos"/>
        <s v="0) Back Panel Rangka (rakit tukang) 2890"/>
        <s v="406)Back Panel Rangka♦_DXO_1338_D_1mk_Polos"/>
        <s v="0) Back Panel Rangka (rakit tukang) 600"/>
        <s v="0) Pintu Akses engsel concealed (rakit tukang) 2880"/>
        <s v="317)Pintu/Panel Rangka Manual_Polos"/>
        <s v="485)HPL Lembaran♦_Duco_1mk_Polos"/>
        <s v="0) Pintu Akses engsel concealed (rakit tukang) 600"/>
        <s v="369)End Panel_WY_5216_D(V)_Full 1mk (WY_5216_D(V) rangka……+Aica)"/>
        <s v="457)Palang tengah/nat handel│_WY_5216_D(V)_+_HB_41130"/>
        <s v="439)Dummies Luar_WY_5216_D(V)+Aica"/>
        <s v="367)Cover Panel / Pelmet•_L-FA_0206_AP_1mk_Polos"/>
        <s v="433)Tutup Kabinet Bawah_Aica_1mk_Polos"/>
        <s v="370)End Panel│_WY_5216_D(V)_2mk"/>
        <s v="0) FC-Ch000-tdm112K29ab-sr0a 904"/>
        <s v="101)Dinding Samping_HB_41130_1mk_Polos"/>
        <s v="117)Dinding Atas Bawah ↓_HB_41130_1mk_Polos"/>
        <s v="134)Palangan_HB_41130+[Aica]"/>
        <s v="139)Dinding Belakang_HB_41130+[Aica]"/>
        <s v="0)  "/>
        <s v="0) Tutup laci Kaca S2(rakit tukang) 300"/>
        <s v="333)Tutup laci Kaca S2_HB_41130+Aica"/>
        <s v="535)Kaca__Polos"/>
        <s v="0) Kotak Laci (rakit tukang) 851"/>
        <s v="176)Samping laci_HB_41130_2mk"/>
        <s v="179)Depan belakang laci_HB_41130_2mk"/>
        <s v="185)Dasar laci_HB_41130+[Aica]"/>
        <s v="0) Tutup laci Kaca S2(rakit tukang) 185"/>
        <s v="0) TC Mw+Disp-║H◄5'+2+│-sw3K29a-pu0h50 602"/>
        <s v="104)Dinding Samping I_WY_5216_D(V)_+_HB_41130"/>
        <s v="119)Dinding Atas Bawah_HB_41130+[Aica]"/>
        <s v="122)Dinding Atas Bawah ≈_HB_41130_2mk"/>
        <s v="152)Ambalan mati_HB_41130_2mk"/>
        <s v="160)Sekat_WY_5216_D(V)_+_HB_41130"/>
        <s v="156)Ambalan mati OS_WY_5216_D(V)_2mk"/>
        <s v="145)Ambalan hidup_HB_41130_2mk"/>
        <s v="0) Dasar Laci Pull Out (rakit tukang) 360"/>
        <s v="358)Tutup laci dalam_HB_41130_2mk"/>
        <s v="186)Dasar laci Pull Out_HB_41130_2mk"/>
        <s v="0) Pintu Kaca (ukuran tunggu info) 718"/>
        <s v="278)Pintu Kaca S2_HB_41130+Aica"/>
        <s v="0) Pintu Kaca (ukuran tunggu info) 1200"/>
        <s v="0) Pintu Kaca S2 (rakit tukang) 1200"/>
        <e v="#N/A"/>
      </sharedItems>
    </cacheField>
    <cacheField name="Nama Komponen" numFmtId="0">
      <sharedItems containsBlank="1" count="54">
        <m/>
        <s v="0A) Back Panel Rangka (rakit tukang)"/>
        <s v="403)Back Panel Rangka Ply 18mm - WY_5216_D(V)_1mk_Polos ; Edg_EAW_5216D1_Keliling  "/>
        <s v="414)Rangka back panel Ply 18mm - Aica_1mk_Polos ; Melanor_1sisi_pjg  "/>
        <s v="421)Braket miring Ply 18mm - Polos ;  -  "/>
        <s v="462)Plinth/Uppertop Ply 18mm - WY_5216_D(V)_1mk_Polos ; Edg_EAW_5216D1_1sisi_pjg  "/>
        <s v="435)Dummies Ply 18mm - WY_5216_D(V)_1mk_Polos ;  -  "/>
        <s v="366)Cover Panel / Pelmet Ply 18mm - WY_5216_D(V)_1mk_Polos ; Edg_EAW_5216D1_1sisi_pjg  "/>
        <s v="386)Back Panel Ply 18mm - WY_5216_D(V)+Aica ; Edg_EAW_5216D1_Keliling  "/>
        <s v="0A) End Panel Rangka nat Duco (rakit tukang)"/>
        <s v="379)End Panel Rangka Ply 18mm - Duco_1mk_Polos ;  -  "/>
        <s v="483)HPL Lembaran WY_5216_D(V) 1mm - Polos ;  -  "/>
        <s v="0A) Plinth Rangka DUCO (rakit tukang)"/>
        <s v="0A) Panel Partisi (rakit tukang)"/>
        <s v="430)Tatakan Quadra Ply 12mm - Aica_1mk_Polos ;  -  "/>
        <s v="406)Back Panel Rangka♦ Ply 18mm - DXO_1338_D_1mk_Polos ; Edg_EAP_1338_DO_Keliling  "/>
        <s v="0A) Pintu Akses engsel concealed (rakit tukang)"/>
        <s v="317)Pintu/Panel Rangka Manual Ply 12mm - Polos ;  -  "/>
        <s v="485)HPL Lembaran♦ DXO_1338_D 18mm - Duco_1mk_Polos ;  -  "/>
        <s v="369)End Panel Ply 18mm - WY_5216_D(V)_Full 1mk (WY_5216_D(V) rangka……+Aica) ; Edg_EAW_5216D1_Keliling  "/>
        <s v="457)Palang tengah/nat handel│ Ply 18mm - WY_5216_D(V)_+_HB_41130 ; Edg_EAW_5216D1_2sisi_pjg  "/>
        <s v="439)Dummies Luar Ply 20mm - WY_5216_D(V)+Aica ; Edg_EAW_5216_D1(44x1)_Keliling  "/>
        <s v="367)Cover Panel / Pelmet• Ply 18mm - L-FA_0206_AP_1mk_Polos ; Edg_DSS_00206_SM_1sisi_pjg  (alur_M_led_Blk)"/>
        <s v="433)Tutup Kabinet Bawah Ply 27mm - Aica_1mk_Polos ; Edg_EAW_5216D1_1sisi_pjg  "/>
        <s v="370)End Panel│ Ply 18mm - WY_5216_D(V)_2mk ; Edg_EAW_5216D1_Keliling  "/>
        <s v="0B) FC-Ch000-tdm112K29ab-sr0a"/>
        <s v="101)Dinding Samping Ply 18mm - HB_41130_1mk_Polos ; Edg Kll standart  "/>
        <s v="117)Dinding Atas Bawah ↓ Ply 18mm - HB_41130_1mk_Polos ; Edg 2sisi standart  "/>
        <s v="134)Palangan Ply 18mm - HB_41130+[Aica] ; Edg 2sisi standart  "/>
        <s v="139)Dinding Belakang Ply 6mm - HB_41130+[Aica] ;  -  "/>
        <s v="0) "/>
        <s v="0B) Tutup laci Kaca S2(rakit tukang)"/>
        <s v="333)Tutup laci Kaca S2 Ply 13,5mm - HB_41130+Aica ; Edg_EAW_5216D1_2sisi_pjg  "/>
        <s v="535)Kaca_ MG_Purewhite 5mm -  ;  -  (u/_S2) ; (pasang_rakit)"/>
        <s v="0B) Kotak Laci (rakit tukang)"/>
        <s v="176)Samping laci Ply 12mm - HB_41130_2mk ; Edg_Décor_1723_B_Keliling  "/>
        <s v="179)Depan belakang laci Ply 12mm - HB_41130_2mk ; Edg_Décor_1723_B_1sisi_pjg  "/>
        <s v="185)Dasar laci Ply 6mm - HB_41130+[Aica] ;  -  "/>
        <s v="0B) TC Mw+Disp-║H◄5'+2+│-sw3K29a-pu0h50"/>
        <s v="104)Dinding Samping I Ply 18mm - WY_5216_D(V)_+_HB_41130 ; Edg_EAW_5216D1_Keliling  "/>
        <s v="119)Dinding Atas Bawah Ply 18mm - HB_41130+[Aica] ; Edg 2sisi standart  "/>
        <s v="122)Dinding Atas Bawah ≈ Ply 18mm - HB_41130_2mk ; Edg 2sisi standart  "/>
        <s v="152)Ambalan mati Ply 18mm - HB_41130_2mk ; Edg_Décor_1723_B_1sisi_pjg  "/>
        <s v="160)Sekat Ply 18mm - WY_5216_D(V)_+_HB_41130 ; Edg_Décor_1723_B_1sisi_pjg  "/>
        <s v="156)Ambalan mati OS Ply 18mm - WY_5216_D(V)_2mk ; Edg_EAW_5216D1_1sisi_pjg  "/>
        <s v="145)Ambalan hidup Ply 18mm - HB_41130_2mk ; Edg_Décor_1723_B_Keliling  "/>
        <s v="0B) Dasar Laci Pull Out (rakit tukang)"/>
        <s v="358)Tutup laci dalam Ply 18mm - HB_41130_2mk ; Edg_Décor_1723_B_Keliling  "/>
        <s v="186)Dasar laci Pull Out Ply 18mm - HB_41130_2mk ; Edg_Décor_1723_B_Keliling  "/>
        <s v="0B) Pintu Kaca (ukuran tunggu info)"/>
        <s v="278)Pintu Kaca S2 Ply 13,5mm - HB_41130+Aica ; Edg_EAW_5216D1_2sisi_pjg  "/>
        <s v="0B) Pintu Kaca S2 (rakit tukang)"/>
        <e v="#N/A"/>
        <s v="0…) M-LED-02 Brown Doff ( Alm. 75111 ) P3"/>
      </sharedItems>
    </cacheField>
    <cacheField name="x4" numFmtId="0">
      <sharedItems containsNonDate="0" containsString="0" containsBlank="1"/>
    </cacheField>
    <cacheField name="Minifix" numFmtId="0">
      <sharedItems containsBlank="1" containsMixedTypes="1" containsNumber="1" containsInteger="1" minValue="0" maxValue="0"/>
    </cacheField>
    <cacheField name="Dowel" numFmtId="0">
      <sharedItems containsBlank="1" containsMixedTypes="1" containsNumber="1" containsInteger="1" minValue="0" maxValue="0"/>
    </cacheField>
    <cacheField name=" @siku" numFmtId="0">
      <sharedItems containsBlank="1" containsMixedTypes="1" containsNumber="1" containsInteger="1" minValue="0" maxValue="0"/>
    </cacheField>
    <cacheField name=" @ screw" numFmtId="0">
      <sharedItems containsBlank="1" containsMixedTypes="1" containsNumber="1" containsInteger="1" minValue="0" maxValue="0"/>
    </cacheField>
    <cacheField name="Dormec" numFmtId="0">
      <sharedItems containsString="0" containsBlank="1" containsNumber="1" containsInteger="1" minValue="0" maxValue="0"/>
    </cacheField>
    <cacheField name="Engsel2" numFmtId="0">
      <sharedItems containsString="0" containsBlank="1" containsNumber="1" containsInteger="1" minValue="0" maxValue="12"/>
    </cacheField>
    <cacheField name="Rel2" numFmtId="0">
      <sharedItems containsString="0" containsBlank="1" containsNumber="1" containsInteger="1" minValue="0" maxValue="2"/>
    </cacheField>
    <cacheField name="P3" numFmtId="0">
      <sharedItems containsString="0" containsBlank="1" containsNumber="1" minValue="0" maxValue="19.760000000000002"/>
    </cacheField>
    <cacheField name="L3" numFmtId="0">
      <sharedItems containsString="0" containsBlank="1" containsNumber="1" minValue="0" maxValue="3.78"/>
    </cacheField>
    <cacheField name="2(P+L)" numFmtId="0">
      <sharedItems containsString="0" containsBlank="1" containsNumber="1" minValue="0" maxValue="40.543999999999997"/>
    </cacheField>
    <cacheField name="(PxL)" numFmtId="0">
      <sharedItems containsString="0" containsBlank="1" containsNumber="1" minValue="0" maxValue="8.8937999999999988"/>
    </cacheField>
    <cacheField name="Bahan Dasar" numFmtId="0">
      <sharedItems containsBlank="1"/>
    </cacheField>
    <cacheField name="Deskripsi Bahan" numFmtId="0">
      <sharedItems containsBlank="1" count="25">
        <m/>
        <s v="  "/>
        <s v="Ply 18 WY_5216_D(V)_1mk_Polos"/>
        <s v="Ply 18 Aica_1mk_Polos"/>
        <s v="Ply 18 Polos"/>
        <s v="Ply 18 WY_5216_D(V)+Aica"/>
        <s v="Ply 18 Duco_1mk_Polos"/>
        <s v="WY_5216_D(V) 1 Polos"/>
        <s v="Ply 12 Aica_1mk_Polos"/>
        <s v="Ply 18 DXO_1338_D_1mk_Polos"/>
        <s v="Ply 12 Polos"/>
        <s v="DXO_1338_D 18 Duco_1mk_Polos"/>
        <s v="Ply 18 WY_5216_D(V)_Full 1mk (WY_5216_D(V) rangka……+Aica)"/>
        <s v="Ply 18 WY_5216_D(V)_+_HB_41130"/>
        <s v="Ply 20 WY_5216_D(V)+Aica"/>
        <s v="Ply 18 L-FA_0206_AP_1mk_Polos"/>
        <s v="Ply 27 Aica_1mk_Polos"/>
        <s v="Ply 18 WY_5216_D(V)_2mk"/>
        <s v="Ply 18 HB_41130_1mk_Polos"/>
        <s v="Ply 18 HB_41130+[Aica]"/>
        <s v="Ply 6 HB_41130+[Aica]"/>
        <s v="Ply 13,5 HB_41130+Aica"/>
        <s v="MG_Purewhite 5 Polos"/>
        <s v="Ply 12 HB_41130_2mk"/>
        <s v="Ply 18 HB_41130_2mk"/>
      </sharedItems>
    </cacheField>
    <cacheField name="/panel" numFmtId="0">
      <sharedItems containsString="0" containsBlank="1" containsNumber="1" minValue="0.1" maxValue="3.1881249999999999"/>
    </cacheField>
    <cacheField name="jumlah anodize @" numFmtId="0">
      <sharedItems containsBlank="1" containsMixedTypes="1" containsNumber="1" containsInteger="1" minValue="0" maxValue="2"/>
    </cacheField>
    <cacheField name="minifix @" numFmtId="0">
      <sharedItems containsString="0" containsBlank="1" containsNumber="1" containsInteger="1" minValue="0" maxValue="18"/>
    </cacheField>
    <cacheField name="dowel @" numFmtId="0">
      <sharedItems containsString="0" containsBlank="1" containsNumber="1" containsInteger="1" minValue="0" maxValue="20"/>
    </cacheField>
    <cacheField name="jml siku" numFmtId="0">
      <sharedItems containsBlank="1" containsMixedTypes="1" containsNumber="1" containsInteger="1" minValue="0" maxValue="0"/>
    </cacheField>
    <cacheField name="jml screw" numFmtId="0">
      <sharedItems containsBlank="1" containsMixedTypes="1" containsNumber="1" containsInteger="1" minValue="0" maxValue="0"/>
    </cacheField>
    <cacheField name="M²" numFmtId="0">
      <sharedItems containsString="0" containsBlank="1" containsNumber="1" minValue="0" maxValue="8.8938000000000006"/>
    </cacheField>
    <cacheField name="M³" numFmtId="0">
      <sharedItems containsBlank="1" containsMixedTypes="1" containsNumber="1" minValue="0" maxValue="0.86832480000000001"/>
    </cacheField>
    <cacheField name="T_P1" numFmtId="0">
      <sharedItems containsBlank="1" containsMixedTypes="1" containsNumber="1" containsInteger="1" minValue="1" maxValue="1"/>
    </cacheField>
    <cacheField name="T_P2" numFmtId="0">
      <sharedItems containsBlank="1" containsMixedTypes="1" containsNumber="1" minValue="0.5" maxValue="1"/>
    </cacheField>
    <cacheField name="T_L1" numFmtId="0">
      <sharedItems containsBlank="1" containsMixedTypes="1" containsNumber="1" minValue="0.5" maxValue="1"/>
    </cacheField>
    <cacheField name="T_L2" numFmtId="0">
      <sharedItems containsBlank="1" containsMixedTypes="1" containsNumber="1" minValue="0.5" maxValue="1"/>
    </cacheField>
    <cacheField name="P_cnc" numFmtId="165">
      <sharedItems containsBlank="1" containsMixedTypes="1" containsNumber="1" containsInteger="1" minValue="63" maxValue="2403"/>
    </cacheField>
    <cacheField name="L_cnc" numFmtId="165">
      <sharedItems containsBlank="1" containsMixedTypes="1" containsNumber="1" minValue="38" maxValue="598.5"/>
    </cacheField>
    <cacheField name="ukuran CNC" numFmtId="0">
      <sharedItems containsBlank="1"/>
    </cacheField>
    <cacheField name="CSV Format" numFmtId="0">
      <sharedItems containsBlank="1" count="58">
        <m/>
        <s v=" "/>
        <s v="2430;55;2;Ply 18 Aica_1mk_Polos;18,5;Rangka back panel;-1; ;; ;; ;;Melanor;0,5"/>
        <s v="2430;55;3;Ply 18 Aica_1mk_Polos;18,5;Rangka back panel;-1; ;; ;; ;;Melanor;0,5"/>
        <s v="2000;95;2;Ply 18 Duco_1mk_Polos;18,5;End Panel Rangka;-1; ;; ;; ;; ;"/>
        <s v="2000;95;2;WY_5216_D(V) 1 Polos;1;HPL Lembaran;-1; ;; ;; ;; ;"/>
        <s v="1490;95;2;Ply 18 Duco_1mk_Polos;18,5;End Panel Rangka;-1; ;; ;; ;; ;"/>
        <s v="1490;95;2;WY_5216_D(V) 1 Polos;1;HPL Lembaran;-1; ;; ;; ;; ;"/>
        <s v="2000;840;2;Ply 18 Duco_1mk_Polos;18,5;End Panel Rangka;-1; ;; ;; ;; ;"/>
        <s v="2000;840;2;WY_5216_D(V) 1 Polos;1;HPL Lembaran;-1; ;; ;; ;; ;"/>
        <s v="1490;840;2;Ply 18 Duco_1mk_Polos;18,5;End Panel Rangka;-1; ;; ;; ;; ;"/>
        <s v="1490;840;2;WY_5216_D(V) 1 Polos;1;HPL Lembaran;-1; ;; ;; ;; ;"/>
        <s v="2430;100;1;Ply 18 Duco_1mk_Polos;18,5;End Panel Rangka;-1; ;; ;; ;; ;"/>
        <s v="1026;581;1;Ply 18 Duco_1mk_Polos;18,5;End Panel Rangka;-1; ;; ;; ;; ;"/>
        <s v="2430;81;3;Ply 18 Duco_1mk_Polos;18,5;End Panel Rangka;-1; ;; ;; ;; ;"/>
        <s v="1844;750;2;Ply 12 Aica_1mk_Polos;12,5;Tatakan Quadra;-1; ;; ;; ;; ;"/>
        <s v="2430;50;6;Ply 12 Aica_1mk_Polos;12,5;Tatakan Quadra;-1; ;; ;; ;; ;"/>
        <s v="2430;60;3;Ply 18 Aica_1mk_Polos;18,5;Rangka back panel;-1; ;; ;; ;;Melanor;0,5"/>
        <s v="2430;60;1;Ply 18 Aica_1mk_Polos;18,5;Rangka back panel;-1; ;; ;; ;;Melanor;0,5"/>
        <s v="2430;954;3;Ply 12 Polos;12;Pintu/Panel Rangka Manual;-1; ;; ;; ;; ;"/>
        <s v="2430;24;8;Ply 18 Duco_1mk_Polos;18,5;End Panel Rangka;-1; ;; ;; ;; ;"/>
        <s v="2430;100;2;Ply 18 Duco_1mk_Polos;18,5;End Panel Rangka;-1; ;; ;; ;; ;"/>
        <s v="2430;1220;3;DXO_1338_D 18 Duco_1mk_Polos;18,5;HPL Lembaran♦;-1; ;; ;; ;; ;"/>
        <s v="2430;960;1;Ply 12 Polos;12;Pintu/Panel Rangka Manual;-1; ;; ;; ;; ;"/>
        <s v="2430;24;4;Ply 18 Duco_1mk_Polos;18,5;End Panel Rangka;-1; ;; ;; ;; ;"/>
        <s v="2430;1220;1;DXO_1338_D 18 Duco_1mk_Polos;18,5;HPL Lembaran♦;-1; ;; ;; ;; ;"/>
        <s v="2370;588;1;Ply 27 Aica_1mk_Polos;27,5;Tutup Kabinet Bawah;-1; ;; ;;Edg_EAW_5216D1;; ;"/>
        <s v="1318;588;1;Ply 27 Aica_1mk_Polos;27,5;Tutup Kabinet Bawah;-1; ;; ;;Edg_EAW_5216D1;; ;"/>
        <s v="1852;688;1;Ply 27 Aica_1mk_Polos;27,5;Tutup Kabinet Bawah;-1; ;; ;;Edg_EAW_5216D1;; ;"/>
        <s v="732;560;1;Ply 18 HB_41130_1mk_Polos;18,5;Dinding Samping;-1;Melanor;0,5;Melanor;0,5;Edg_Décor_1723_B;1;Melanor;0,5"/>
        <s v="867;560;1;Ply 18 HB_41130_1mk_Polos;18,5;Dinding Atas Bawah ↓;-1; ;; ;;Edg_Décor_1723_B;1;Melanor;0,5"/>
        <s v="867;80;2;Ply 18 HB_41130+[Aica];19;Palangan;-1; ;; ;;Edg_Décor_1723_B;1;Melanor;0,5"/>
        <s v="710;883;1;Ply 6 HB_41130+[Aica];7;Dinding Belakang;-1; ;; ;; ;; ;"/>
        <s v="295;901;1;MG_Purewhite 5 Polos;5;Kaca_;-1; ;; ;; ;; ;"/>
        <s v="490;230;2;Ply 12 HB_41130_2mk;13;Samping laci;-1;Edg_Décor_1723_B;1;Edg_Décor_1723_B;1;Edg_Décor_1723_B;1;Edg_Décor_1723_B;1"/>
        <s v="825;213;2;Ply 12 HB_41130_2mk;13;Depan belakang laci;-1; ;; ;;Edg_Décor_1723_B;1; ;"/>
        <s v="837;488;1;Ply 6 HB_41130+[Aica];7;Dasar laci;-1; ;; ;; ;; ;"/>
        <s v="180;901;2;MG_Purewhite 5 Polos;5;Kaca_;-1; ;; ;; ;; ;"/>
        <s v="490;135;4;Ply 12 HB_41130_2mk;13;Samping laci;-1;Edg_Décor_1723_B;1;Edg_Décor_1723_B;1;Edg_Décor_1723_B;1;Edg_Décor_1723_B;1"/>
        <s v="825;118;4;Ply 12 HB_41130_2mk;13;Depan belakang laci;-1; ;; ;;Edg_Décor_1723_B;1; ;"/>
        <s v="837;488;2;Ply 6 HB_41130+[Aica];7;Dasar laci;-1; ;; ;; ;; ;"/>
        <s v="2404;600;1;Ply 18 WY_5216_D(V)_+_HB_41130;19,5;Dinding Samping I;-1;Edg_EAW_5216D1;;Edg_EAW_5216D1;;Edg_EAW_5216D1;;Edg_EAW_5216D1;"/>
        <s v="2404;600;1;Ply 18 HB_41130_1mk_Polos;18,5;Dinding Samping;-1;Melanor;0,5;Melanor;0,5;Edg_Décor_1723_B;1;Melanor;0,5"/>
        <s v="564;600;1;Ply 18 HB_41130+[Aica];19;Dinding Atas Bawah;-1; ;; ;;Edg_Décor_1723_B;1;Melanor;0,5"/>
        <s v="564;550;1;Ply 18 HB_41130+[Aica];19;Dinding Atas Bawah;-1; ;; ;;Edg_Décor_1723_B;1;Melanor;0,5"/>
        <s v="564;550;1;Ply 18 HB_41130_2mk;19;Dinding Atas Bawah ≈;-1; ;; ;;Edg_Décor_1723_B;1;Melanor;0,5"/>
        <s v="2343;581;1;Ply 6 HB_41130+[Aica];7;Dinding Belakang;-1; ;; ;; ;; ;"/>
        <s v="683;581;1;Ply 6 HB_41130+[Aica];7;Dinding Belakang;-1; ;; ;; ;; ;"/>
        <s v="564;582;1;Ply 18 HB_41130_2mk;19;Ambalan mati;-1; ;; ;;Edg_Décor_1723_B;1; ;"/>
        <s v="564;526;1;Ply 18 HB_41130_2mk;19;Ambalan mati;-1; ;; ;;Edg_Décor_1723_B;1; ;"/>
        <s v="1149;582;1;Ply 18 WY_5216_D(V)_+_HB_41130;19,5;Sekat;-1; ;; ;;Edg_Décor_1723_B;1; ;"/>
        <s v="563;575;1;Ply 18 HB_41130_2mk;19;Ambalan hidup;-1;Edg_Décor_1723_B;1;Edg_Décor_1723_B;1;Edg_Décor_1723_B;1;Edg_Décor_1723_B;1"/>
        <s v="506;50;1;Ply 18 HB_41130_2mk;19;Ambalan hidup;-1;Edg_Décor_1723_B;1;Edg_Décor_1723_B;1;Edg_Décor_1723_B;1;Edg_Décor_1723_B;1"/>
        <s v="65;370;1;Ply 18 HB_41130_2mk;19;Tutup laci dalam;-1;Edg_Décor_1723_B;1;Edg_Décor_1723_B;1;Edg_Décor_1723_B;1;Edg_Décor_1723_B;1"/>
        <s v="360;490;1;Ply 18 HB_41130_2mk;19;Dasar laci Pull Out;-1;Edg_Décor_1723_B;1;Edg_Décor_1723_B;1;Edg_Décor_1723_B;1;Edg_Décor_1723_B;1"/>
        <s v="713;599;1;MG_Purewhite 5 Polos;5;Kaca_;-1; ;; ;; ;; ;"/>
        <s v="1195;407;1;MG_Purewhite 5 Polos;5;Kaca_;-1; ;; ;; ;; ;"/>
        <s v="1195;189;1;MG_Purewhite 5 Polos;5;Kaca_;-1; ;; ;; ;; ;"/>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9">
  <r>
    <m/>
    <m/>
    <m/>
    <m/>
    <m/>
    <m/>
    <m/>
    <m/>
    <m/>
    <m/>
    <m/>
    <m/>
    <m/>
    <m/>
    <m/>
    <m/>
    <m/>
    <m/>
    <m/>
    <m/>
    <m/>
    <m/>
    <m/>
    <m/>
    <m/>
    <m/>
    <m/>
    <m/>
    <m/>
    <m/>
    <m/>
    <m/>
    <m/>
    <m/>
    <m/>
    <m/>
    <m/>
    <m/>
    <m/>
    <m/>
    <m/>
    <m/>
    <x v="0"/>
    <x v="0"/>
    <m/>
    <m/>
    <m/>
    <m/>
    <m/>
    <m/>
    <m/>
    <m/>
  </r>
  <r>
    <m/>
    <m/>
    <m/>
    <m/>
    <m/>
    <m/>
    <m/>
    <m/>
    <m/>
    <m/>
    <m/>
    <m/>
    <m/>
    <m/>
    <m/>
    <m/>
    <m/>
    <m/>
    <m/>
    <m/>
    <m/>
    <m/>
    <m/>
    <m/>
    <m/>
    <m/>
    <m/>
    <m/>
    <m/>
    <m/>
    <m/>
    <m/>
    <m/>
    <m/>
    <m/>
    <m/>
    <m/>
    <m/>
    <m/>
    <m/>
    <m/>
    <m/>
    <x v="0"/>
    <x v="0"/>
    <m/>
    <m/>
    <m/>
    <m/>
    <m/>
    <m/>
    <m/>
    <m/>
  </r>
  <r>
    <s v="Set_up"/>
    <s v="[ks]"/>
    <s v="A"/>
    <s v=""/>
    <s v="•"/>
    <s v="Back Panel Rangka (rakit tukang)"/>
    <m/>
    <n v="2000"/>
    <s v="x"/>
    <n v="209"/>
    <s v="x"/>
    <n v="75"/>
    <s v="2000 x 209 x 75"/>
    <m/>
    <n v="1"/>
    <m/>
    <m/>
    <m/>
    <m/>
    <m/>
    <m/>
    <m/>
    <m/>
    <m/>
    <m/>
    <m/>
    <m/>
    <s v=" "/>
    <s v=" "/>
    <s v=" "/>
    <s v=" "/>
    <m/>
    <m/>
    <m/>
    <s v=""/>
    <s v=""/>
    <m/>
    <m/>
    <m/>
    <s v=""/>
    <s v=""/>
    <s v=""/>
    <x v="0"/>
    <x v="0"/>
    <s v=""/>
    <m/>
    <m/>
    <s v="3333"/>
    <s v=""/>
    <s v=" -"/>
    <s v="0) Back Panel Rangka (rakit tukang) 2000"/>
    <s v="0A) Back Panel Rangka (rakit tukang)"/>
  </r>
  <r>
    <s v="prt"/>
    <s v="KS"/>
    <s v="A»"/>
    <n v="0"/>
    <s v="..."/>
    <s v="Back Panel Rangka"/>
    <m/>
    <n v="2000"/>
    <s v="x"/>
    <n v="209"/>
    <s v="x"/>
    <n v="19"/>
    <s v="2000 x 209 x 19"/>
    <n v="1"/>
    <n v="1"/>
    <s v="Ply"/>
    <n v="18"/>
    <n v="1"/>
    <n v="0"/>
    <s v="WY_5216_D(V)"/>
    <n v="1"/>
    <s v="Polos"/>
    <n v="0"/>
    <n v="1"/>
    <n v="1"/>
    <n v="1"/>
    <n v="1"/>
    <s v="Edg_EAW_5216D1"/>
    <s v="Edg_EAW_5216D1"/>
    <s v="Edg_EAW_5216D1"/>
    <s v="Edg_EAW_5216D1"/>
    <n v="0"/>
    <n v="0"/>
    <n v="0"/>
    <n v="0"/>
    <n v="0"/>
    <m/>
    <n v="0"/>
    <n v="0"/>
    <s v=""/>
    <s v=""/>
    <s v=""/>
    <x v="1"/>
    <x v="1"/>
    <n v="0"/>
    <m/>
    <s v="13"/>
    <s v="4444"/>
    <s v="WY_5216_D(V)_1mk_Polos"/>
    <s v="Edg_EAW_5216D1_Keliling"/>
    <s v="403)Back Panel Rangka_WY_5216_D(V)_1mk_Polos"/>
    <s v="403)Back Panel Rangka Ply 18mm - WY_5216_D(V)_1mk_Polos ; Edg_EAW_5216D1_Keliling  "/>
  </r>
  <r>
    <s v="prt"/>
    <s v="KS"/>
    <s v="A"/>
    <n v="1"/>
    <s v="..."/>
    <s v="Rangka back panel"/>
    <m/>
    <n v="2430"/>
    <s v="x"/>
    <n v="55"/>
    <s v="x"/>
    <n v="18.5"/>
    <s v="2430 x 55 x 18,5"/>
    <n v="2"/>
    <n v="2"/>
    <s v="Ply"/>
    <n v="18"/>
    <n v="0"/>
    <n v="22"/>
    <s v="Polos"/>
    <n v="0"/>
    <s v="Aica"/>
    <n v="0.5"/>
    <n v="0"/>
    <n v="9"/>
    <n v="0"/>
    <n v="0"/>
    <s v=" "/>
    <s v="Melanor"/>
    <s v=" "/>
    <s v=" "/>
    <n v="0"/>
    <n v="0"/>
    <n v="0"/>
    <n v="0"/>
    <n v="0"/>
    <m/>
    <n v="0"/>
    <n v="0"/>
    <s v=""/>
    <s v=""/>
    <s v=""/>
    <x v="1"/>
    <x v="1"/>
    <n v="0"/>
    <m/>
    <s v="37"/>
    <s v="3233"/>
    <s v="Aica_1mk_Polos"/>
    <s v="Melanor_1sisi_pjg"/>
    <s v="414)Rangka back panel_Aica_1mk_Polos"/>
    <s v="414)Rangka back panel Ply 18mm - Aica_1mk_Polos ; Melanor_1sisi_pjg  "/>
  </r>
  <r>
    <m/>
    <m/>
    <m/>
    <m/>
    <m/>
    <m/>
    <m/>
    <m/>
    <m/>
    <m/>
    <m/>
    <m/>
    <m/>
    <m/>
    <m/>
    <m/>
    <m/>
    <m/>
    <m/>
    <m/>
    <m/>
    <m/>
    <m/>
    <m/>
    <m/>
    <m/>
    <m/>
    <m/>
    <m/>
    <m/>
    <m/>
    <m/>
    <m/>
    <m/>
    <m/>
    <m/>
    <m/>
    <m/>
    <m/>
    <m/>
    <m/>
    <m/>
    <x v="0"/>
    <x v="0"/>
    <m/>
    <m/>
    <m/>
    <m/>
    <m/>
    <m/>
    <m/>
    <m/>
  </r>
  <r>
    <s v="prt"/>
    <s v="KS"/>
    <s v="A"/>
    <n v="0"/>
    <s v="..."/>
    <s v="Braket miring"/>
    <m/>
    <n v="172"/>
    <s v="x"/>
    <n v="100"/>
    <s v="x"/>
    <n v="18"/>
    <s v="172 x 100 x 18"/>
    <n v="4"/>
    <n v="4"/>
    <s v="Ply"/>
    <n v="18"/>
    <n v="0"/>
    <n v="0"/>
    <s v="Polos"/>
    <n v="0"/>
    <s v="Polos"/>
    <n v="0"/>
    <n v="0"/>
    <n v="0"/>
    <n v="0"/>
    <n v="0"/>
    <s v=" "/>
    <s v=" "/>
    <s v=" "/>
    <s v=" "/>
    <n v="0"/>
    <n v="0"/>
    <n v="0"/>
    <n v="0"/>
    <n v="0"/>
    <m/>
    <n v="0"/>
    <n v="0"/>
    <s v=""/>
    <s v=""/>
    <s v=""/>
    <x v="1"/>
    <x v="1"/>
    <n v="0"/>
    <m/>
    <s v="33"/>
    <s v="3333"/>
    <s v="Polos"/>
    <s v=" -"/>
    <s v="421)Braket miring_Polos"/>
    <s v="421)Braket miring Ply 18mm - Polos ;  -  "/>
  </r>
  <r>
    <m/>
    <m/>
    <m/>
    <m/>
    <m/>
    <m/>
    <m/>
    <m/>
    <m/>
    <m/>
    <m/>
    <m/>
    <m/>
    <m/>
    <m/>
    <m/>
    <m/>
    <m/>
    <m/>
    <m/>
    <m/>
    <m/>
    <m/>
    <m/>
    <m/>
    <m/>
    <m/>
    <m/>
    <m/>
    <m/>
    <m/>
    <m/>
    <m/>
    <m/>
    <m/>
    <m/>
    <m/>
    <m/>
    <m/>
    <m/>
    <m/>
    <m/>
    <x v="0"/>
    <x v="0"/>
    <m/>
    <m/>
    <m/>
    <m/>
    <m/>
    <m/>
    <m/>
    <m/>
  </r>
  <r>
    <m/>
    <m/>
    <m/>
    <m/>
    <m/>
    <m/>
    <m/>
    <m/>
    <m/>
    <m/>
    <m/>
    <m/>
    <m/>
    <m/>
    <m/>
    <m/>
    <m/>
    <m/>
    <m/>
    <m/>
    <m/>
    <m/>
    <m/>
    <m/>
    <m/>
    <m/>
    <m/>
    <m/>
    <m/>
    <m/>
    <m/>
    <m/>
    <m/>
    <m/>
    <m/>
    <m/>
    <m/>
    <m/>
    <m/>
    <m/>
    <m/>
    <m/>
    <x v="0"/>
    <x v="0"/>
    <m/>
    <m/>
    <m/>
    <m/>
    <m/>
    <m/>
    <m/>
    <m/>
  </r>
  <r>
    <s v="Set_up"/>
    <s v="[ks]"/>
    <s v="A"/>
    <s v=""/>
    <s v="•"/>
    <s v="Back Panel Rangka (rakit tukang)"/>
    <m/>
    <n v="1490"/>
    <s v="x"/>
    <n v="209"/>
    <s v="x"/>
    <n v="75"/>
    <s v="1490 x 209 x 75"/>
    <m/>
    <n v="1"/>
    <m/>
    <m/>
    <m/>
    <m/>
    <m/>
    <m/>
    <m/>
    <m/>
    <m/>
    <m/>
    <m/>
    <m/>
    <s v=" "/>
    <s v=" "/>
    <s v=" "/>
    <s v=" "/>
    <m/>
    <m/>
    <m/>
    <s v=""/>
    <s v=""/>
    <m/>
    <m/>
    <m/>
    <s v=""/>
    <s v=""/>
    <s v=""/>
    <x v="0"/>
    <x v="0"/>
    <s v=""/>
    <m/>
    <m/>
    <s v="3333"/>
    <s v=""/>
    <s v=" -"/>
    <s v="0) Back Panel Rangka (rakit tukang) 1490"/>
    <s v="0A) Back Panel Rangka (rakit tukang)"/>
  </r>
  <r>
    <s v="prt"/>
    <s v="KS"/>
    <s v="A»"/>
    <n v="0"/>
    <s v="..."/>
    <s v="Back Panel Rangka"/>
    <m/>
    <n v="1490"/>
    <s v="x"/>
    <n v="209"/>
    <s v="x"/>
    <n v="19"/>
    <s v="1490 x 209 x 19"/>
    <n v="1"/>
    <n v="1"/>
    <s v="Ply"/>
    <n v="18"/>
    <n v="1"/>
    <n v="0"/>
    <s v="WY_5216_D(V)"/>
    <n v="1"/>
    <s v="Polos"/>
    <n v="0"/>
    <n v="1"/>
    <n v="1"/>
    <n v="1"/>
    <n v="1"/>
    <s v="Edg_EAW_5216D1"/>
    <s v="Edg_EAW_5216D1"/>
    <s v="Edg_EAW_5216D1"/>
    <s v="Edg_EAW_5216D1"/>
    <n v="0"/>
    <n v="0"/>
    <n v="0"/>
    <n v="0"/>
    <n v="0"/>
    <m/>
    <n v="0"/>
    <n v="0"/>
    <s v=""/>
    <s v=""/>
    <s v=""/>
    <x v="1"/>
    <x v="1"/>
    <n v="0"/>
    <m/>
    <s v="13"/>
    <s v="4444"/>
    <s v="WY_5216_D(V)_1mk_Polos"/>
    <s v="Edg_EAW_5216D1_Keliling"/>
    <s v="403)Back Panel Rangka_WY_5216_D(V)_1mk_Polos"/>
    <s v="403)Back Panel Rangka Ply 18mm - WY_5216_D(V)_1mk_Polos ; Edg_EAW_5216D1_Keliling  "/>
  </r>
  <r>
    <s v="prt"/>
    <s v="KS"/>
    <s v="A"/>
    <n v="1"/>
    <s v="..."/>
    <s v="Rangka back panel"/>
    <m/>
    <n v="2430"/>
    <s v="x"/>
    <n v="55"/>
    <s v="x"/>
    <n v="18.5"/>
    <s v="2430 x 55 x 18,5"/>
    <n v="2"/>
    <n v="2"/>
    <s v="Ply"/>
    <n v="18"/>
    <n v="0"/>
    <n v="22"/>
    <s v="Polos"/>
    <n v="0"/>
    <s v="Aica"/>
    <n v="0.5"/>
    <n v="0"/>
    <n v="9"/>
    <n v="0"/>
    <n v="0"/>
    <s v=" "/>
    <s v="Melanor"/>
    <s v=" "/>
    <s v=" "/>
    <n v="0"/>
    <n v="0"/>
    <n v="0"/>
    <n v="0"/>
    <n v="0"/>
    <m/>
    <n v="0"/>
    <n v="0"/>
    <s v=""/>
    <s v=""/>
    <s v=""/>
    <x v="1"/>
    <x v="1"/>
    <n v="0"/>
    <m/>
    <s v="37"/>
    <s v="3233"/>
    <s v="Aica_1mk_Polos"/>
    <s v="Melanor_1sisi_pjg"/>
    <s v="414)Rangka back panel_Aica_1mk_Polos"/>
    <s v="414)Rangka back panel Ply 18mm - Aica_1mk_Polos ; Melanor_1sisi_pjg  "/>
  </r>
  <r>
    <m/>
    <m/>
    <m/>
    <m/>
    <m/>
    <m/>
    <m/>
    <m/>
    <m/>
    <m/>
    <m/>
    <m/>
    <m/>
    <m/>
    <m/>
    <m/>
    <m/>
    <m/>
    <m/>
    <m/>
    <m/>
    <m/>
    <m/>
    <m/>
    <m/>
    <m/>
    <m/>
    <m/>
    <m/>
    <m/>
    <m/>
    <m/>
    <m/>
    <m/>
    <m/>
    <m/>
    <m/>
    <m/>
    <m/>
    <m/>
    <m/>
    <m/>
    <x v="0"/>
    <x v="0"/>
    <m/>
    <m/>
    <m/>
    <m/>
    <m/>
    <m/>
    <m/>
    <m/>
  </r>
  <r>
    <s v="prt"/>
    <s v="KS"/>
    <s v="A"/>
    <n v="0"/>
    <s v="..."/>
    <s v="Braket miring"/>
    <m/>
    <n v="172"/>
    <s v="x"/>
    <n v="100"/>
    <s v="x"/>
    <n v="18"/>
    <s v="172 x 100 x 18"/>
    <n v="4"/>
    <n v="4"/>
    <s v="Ply"/>
    <n v="18"/>
    <n v="0"/>
    <n v="0"/>
    <s v="Polos"/>
    <n v="0"/>
    <s v="Polos"/>
    <n v="0"/>
    <n v="0"/>
    <n v="0"/>
    <n v="0"/>
    <n v="0"/>
    <s v=" "/>
    <s v=" "/>
    <s v=" "/>
    <s v=" "/>
    <n v="0"/>
    <n v="0"/>
    <n v="0"/>
    <n v="0"/>
    <n v="0"/>
    <m/>
    <n v="0"/>
    <n v="0"/>
    <s v=""/>
    <s v=""/>
    <s v=""/>
    <x v="1"/>
    <x v="1"/>
    <n v="0"/>
    <m/>
    <s v="33"/>
    <s v="3333"/>
    <s v="Polos"/>
    <s v=" -"/>
    <s v="421)Braket miring_Polos"/>
    <s v="421)Braket miring Ply 18mm - Polos ;  -  "/>
  </r>
  <r>
    <m/>
    <m/>
    <m/>
    <m/>
    <m/>
    <m/>
    <m/>
    <m/>
    <m/>
    <m/>
    <m/>
    <m/>
    <m/>
    <m/>
    <m/>
    <m/>
    <m/>
    <m/>
    <m/>
    <m/>
    <m/>
    <m/>
    <m/>
    <m/>
    <m/>
    <m/>
    <m/>
    <m/>
    <m/>
    <m/>
    <m/>
    <m/>
    <m/>
    <m/>
    <m/>
    <m/>
    <m/>
    <m/>
    <m/>
    <m/>
    <m/>
    <m/>
    <x v="0"/>
    <x v="0"/>
    <m/>
    <m/>
    <m/>
    <m/>
    <m/>
    <m/>
    <m/>
    <m/>
  </r>
  <r>
    <m/>
    <m/>
    <m/>
    <m/>
    <m/>
    <m/>
    <m/>
    <m/>
    <m/>
    <m/>
    <m/>
    <m/>
    <m/>
    <m/>
    <m/>
    <m/>
    <m/>
    <m/>
    <m/>
    <m/>
    <m/>
    <m/>
    <m/>
    <m/>
    <m/>
    <m/>
    <m/>
    <m/>
    <m/>
    <m/>
    <m/>
    <m/>
    <m/>
    <m/>
    <m/>
    <m/>
    <m/>
    <m/>
    <m/>
    <m/>
    <m/>
    <m/>
    <x v="0"/>
    <x v="0"/>
    <m/>
    <m/>
    <m/>
    <m/>
    <m/>
    <m/>
    <m/>
    <m/>
  </r>
  <r>
    <s v="Set_up"/>
    <s v="[ks]"/>
    <s v="A"/>
    <s v=""/>
    <s v="•"/>
    <s v="Back Panel Rangka (rakit tukang)"/>
    <m/>
    <n v="1900"/>
    <s v="x"/>
    <n v="327"/>
    <s v="x"/>
    <n v="75"/>
    <s v="1900 x 327 x 75"/>
    <m/>
    <n v="1"/>
    <m/>
    <m/>
    <m/>
    <m/>
    <m/>
    <m/>
    <m/>
    <m/>
    <m/>
    <m/>
    <m/>
    <m/>
    <s v=" "/>
    <s v=" "/>
    <s v=" "/>
    <s v=" "/>
    <m/>
    <m/>
    <m/>
    <s v=""/>
    <s v=""/>
    <m/>
    <m/>
    <m/>
    <s v=""/>
    <s v=""/>
    <s v=""/>
    <x v="0"/>
    <x v="0"/>
    <s v=""/>
    <m/>
    <m/>
    <s v="3333"/>
    <s v=""/>
    <s v=" -"/>
    <s v="0) Back Panel Rangka (rakit tukang) 1900"/>
    <s v="0A) Back Panel Rangka (rakit tukang)"/>
  </r>
  <r>
    <s v="prt"/>
    <s v="KS"/>
    <s v="A«"/>
    <n v="0"/>
    <s v="..."/>
    <s v="Back Panel Rangka"/>
    <m/>
    <n v="1900"/>
    <s v="x"/>
    <n v="327"/>
    <s v="x"/>
    <n v="19"/>
    <s v="1900 x 327 x 19"/>
    <n v="1"/>
    <n v="1"/>
    <s v="Ply"/>
    <n v="18"/>
    <n v="1"/>
    <n v="0"/>
    <s v="WY_5216_D(V)"/>
    <n v="1"/>
    <s v="Polos"/>
    <n v="0"/>
    <n v="1"/>
    <n v="1"/>
    <n v="1"/>
    <n v="1"/>
    <s v="Edg_EAW_5216D1"/>
    <s v="Edg_EAW_5216D1"/>
    <s v="Edg_EAW_5216D1"/>
    <s v="Edg_EAW_5216D1"/>
    <n v="0"/>
    <n v="0"/>
    <n v="0"/>
    <n v="0"/>
    <n v="0"/>
    <m/>
    <n v="0"/>
    <n v="0"/>
    <s v=""/>
    <s v=""/>
    <s v=""/>
    <x v="1"/>
    <x v="1"/>
    <n v="0"/>
    <m/>
    <s v="13"/>
    <s v="4444"/>
    <s v="WY_5216_D(V)_1mk_Polos"/>
    <s v="Edg_EAW_5216D1_Keliling"/>
    <s v="403)Back Panel Rangka_WY_5216_D(V)_1mk_Polos"/>
    <s v="403)Back Panel Rangka Ply 18mm - WY_5216_D(V)_1mk_Polos ; Edg_EAW_5216D1_Keliling  "/>
  </r>
  <r>
    <s v="prt"/>
    <s v="KS"/>
    <s v="A"/>
    <n v="1"/>
    <s v="..."/>
    <s v="Rangka back panel"/>
    <m/>
    <n v="2430"/>
    <s v="x"/>
    <n v="55"/>
    <s v="x"/>
    <n v="18.5"/>
    <s v="2430 x 55 x 18,5"/>
    <n v="3"/>
    <n v="3"/>
    <s v="Ply"/>
    <n v="18"/>
    <n v="0"/>
    <n v="22"/>
    <s v="Polos"/>
    <n v="0"/>
    <s v="Aica"/>
    <n v="0.5"/>
    <n v="0"/>
    <n v="9"/>
    <n v="0"/>
    <n v="0"/>
    <s v=" "/>
    <s v="Melanor"/>
    <s v=" "/>
    <s v=" "/>
    <n v="0"/>
    <n v="0"/>
    <n v="0"/>
    <n v="0"/>
    <n v="0"/>
    <m/>
    <n v="0"/>
    <n v="0"/>
    <s v=""/>
    <s v=""/>
    <s v=""/>
    <x v="1"/>
    <x v="1"/>
    <n v="0"/>
    <m/>
    <s v="37"/>
    <s v="3233"/>
    <s v="Aica_1mk_Polos"/>
    <s v="Melanor_1sisi_pjg"/>
    <s v="414)Rangka back panel_Aica_1mk_Polos"/>
    <s v="414)Rangka back panel Ply 18mm - Aica_1mk_Polos ; Melanor_1sisi_pjg  "/>
  </r>
  <r>
    <m/>
    <m/>
    <m/>
    <m/>
    <m/>
    <m/>
    <m/>
    <m/>
    <m/>
    <m/>
    <m/>
    <m/>
    <m/>
    <m/>
    <m/>
    <m/>
    <m/>
    <m/>
    <m/>
    <m/>
    <m/>
    <m/>
    <m/>
    <m/>
    <m/>
    <m/>
    <m/>
    <m/>
    <m/>
    <m/>
    <m/>
    <m/>
    <m/>
    <m/>
    <m/>
    <m/>
    <m/>
    <m/>
    <m/>
    <m/>
    <m/>
    <m/>
    <x v="0"/>
    <x v="0"/>
    <m/>
    <m/>
    <m/>
    <m/>
    <m/>
    <m/>
    <m/>
    <m/>
  </r>
  <r>
    <s v="prt"/>
    <s v="KS"/>
    <s v="A"/>
    <n v="0"/>
    <s v="..."/>
    <s v="Braket miring"/>
    <m/>
    <n v="290"/>
    <s v="x"/>
    <n v="100"/>
    <s v="x"/>
    <n v="18"/>
    <s v="290 x 100 x 18"/>
    <n v="4"/>
    <n v="4"/>
    <s v="Ply"/>
    <n v="18"/>
    <n v="0"/>
    <n v="0"/>
    <s v="Polos"/>
    <n v="0"/>
    <s v="Polos"/>
    <n v="0"/>
    <n v="0"/>
    <n v="0"/>
    <n v="0"/>
    <n v="0"/>
    <s v=" "/>
    <s v=" "/>
    <s v=" "/>
    <s v=" "/>
    <n v="0"/>
    <n v="0"/>
    <n v="0"/>
    <n v="0"/>
    <n v="0"/>
    <m/>
    <n v="0"/>
    <n v="0"/>
    <s v=""/>
    <s v=""/>
    <s v=""/>
    <x v="1"/>
    <x v="1"/>
    <n v="0"/>
    <m/>
    <s v="33"/>
    <s v="3333"/>
    <s v="Polos"/>
    <s v=" -"/>
    <s v="421)Braket miring_Polos"/>
    <s v="421)Braket miring Ply 18mm - Polos ;  -  "/>
  </r>
  <r>
    <m/>
    <m/>
    <m/>
    <m/>
    <m/>
    <m/>
    <m/>
    <m/>
    <m/>
    <m/>
    <m/>
    <m/>
    <m/>
    <m/>
    <m/>
    <m/>
    <m/>
    <m/>
    <m/>
    <m/>
    <m/>
    <m/>
    <m/>
    <m/>
    <m/>
    <m/>
    <m/>
    <m/>
    <m/>
    <m/>
    <m/>
    <m/>
    <m/>
    <m/>
    <m/>
    <m/>
    <m/>
    <m/>
    <m/>
    <m/>
    <m/>
    <m/>
    <x v="0"/>
    <x v="0"/>
    <m/>
    <m/>
    <m/>
    <m/>
    <m/>
    <m/>
    <m/>
    <m/>
  </r>
  <r>
    <s v="Set_up"/>
    <s v="[ks]"/>
    <s v="A"/>
    <s v=""/>
    <s v="•"/>
    <s v="Back Panel Rangka (rakit tukang)"/>
    <m/>
    <n v="1390"/>
    <s v="x"/>
    <n v="327"/>
    <s v="x"/>
    <n v="75"/>
    <s v="1390 x 327 x 75"/>
    <m/>
    <n v="1"/>
    <m/>
    <m/>
    <m/>
    <m/>
    <m/>
    <m/>
    <m/>
    <m/>
    <m/>
    <m/>
    <m/>
    <m/>
    <s v=" "/>
    <s v=" "/>
    <s v=" "/>
    <s v=" "/>
    <m/>
    <m/>
    <m/>
    <s v=""/>
    <s v=""/>
    <m/>
    <m/>
    <m/>
    <s v=""/>
    <s v=""/>
    <s v=""/>
    <x v="0"/>
    <x v="0"/>
    <s v=""/>
    <m/>
    <m/>
    <s v="3333"/>
    <s v=""/>
    <s v=" -"/>
    <s v="0) Back Panel Rangka (rakit tukang) 1390"/>
    <s v="0A) Back Panel Rangka (rakit tukang)"/>
  </r>
  <r>
    <s v="prt"/>
    <s v="KS"/>
    <s v="A«"/>
    <n v="0"/>
    <s v="..."/>
    <s v="Back Panel Rangka"/>
    <m/>
    <n v="1390"/>
    <s v="x"/>
    <n v="327"/>
    <s v="x"/>
    <n v="19"/>
    <s v="1390 x 327 x 19"/>
    <n v="1"/>
    <n v="1"/>
    <s v="Ply"/>
    <n v="18"/>
    <n v="1"/>
    <n v="0"/>
    <s v="WY_5216_D(V)"/>
    <n v="1"/>
    <s v="Polos"/>
    <n v="0"/>
    <n v="1"/>
    <n v="1"/>
    <n v="1"/>
    <n v="1"/>
    <s v="Edg_EAW_5216D1"/>
    <s v="Edg_EAW_5216D1"/>
    <s v="Edg_EAW_5216D1"/>
    <s v="Edg_EAW_5216D1"/>
    <n v="0"/>
    <n v="0"/>
    <n v="0"/>
    <n v="0"/>
    <n v="0"/>
    <m/>
    <n v="0"/>
    <n v="0"/>
    <s v=""/>
    <s v=""/>
    <s v=""/>
    <x v="1"/>
    <x v="1"/>
    <n v="0"/>
    <m/>
    <s v="13"/>
    <s v="4444"/>
    <s v="WY_5216_D(V)_1mk_Polos"/>
    <s v="Edg_EAW_5216D1_Keliling"/>
    <s v="403)Back Panel Rangka_WY_5216_D(V)_1mk_Polos"/>
    <s v="403)Back Panel Rangka Ply 18mm - WY_5216_D(V)_1mk_Polos ; Edg_EAW_5216D1_Keliling  "/>
  </r>
  <r>
    <s v="prt"/>
    <s v="KS"/>
    <s v="A"/>
    <n v="1"/>
    <s v="..."/>
    <s v="Rangka back panel"/>
    <m/>
    <n v="2430"/>
    <s v="x"/>
    <n v="55"/>
    <s v="x"/>
    <n v="18.5"/>
    <s v="2430 x 55 x 18,5"/>
    <n v="2"/>
    <n v="2"/>
    <s v="Ply"/>
    <n v="18"/>
    <n v="0"/>
    <n v="22"/>
    <s v="Polos"/>
    <n v="0"/>
    <s v="Aica"/>
    <n v="0.5"/>
    <n v="0"/>
    <n v="9"/>
    <n v="0"/>
    <n v="0"/>
    <s v=" "/>
    <s v="Melanor"/>
    <s v=" "/>
    <s v=" "/>
    <n v="0"/>
    <n v="0"/>
    <n v="0"/>
    <n v="0"/>
    <n v="0"/>
    <m/>
    <n v="0"/>
    <n v="0"/>
    <s v=""/>
    <s v=""/>
    <s v=""/>
    <x v="1"/>
    <x v="1"/>
    <n v="0"/>
    <m/>
    <s v="37"/>
    <s v="3233"/>
    <s v="Aica_1mk_Polos"/>
    <s v="Melanor_1sisi_pjg"/>
    <s v="414)Rangka back panel_Aica_1mk_Polos"/>
    <s v="414)Rangka back panel Ply 18mm - Aica_1mk_Polos ; Melanor_1sisi_pjg  "/>
  </r>
  <r>
    <m/>
    <m/>
    <m/>
    <m/>
    <m/>
    <m/>
    <m/>
    <m/>
    <m/>
    <m/>
    <m/>
    <m/>
    <m/>
    <m/>
    <m/>
    <m/>
    <m/>
    <m/>
    <m/>
    <m/>
    <m/>
    <m/>
    <m/>
    <m/>
    <m/>
    <m/>
    <m/>
    <m/>
    <m/>
    <m/>
    <m/>
    <m/>
    <m/>
    <m/>
    <m/>
    <m/>
    <m/>
    <m/>
    <m/>
    <m/>
    <m/>
    <m/>
    <x v="0"/>
    <x v="0"/>
    <m/>
    <m/>
    <m/>
    <m/>
    <m/>
    <m/>
    <m/>
    <m/>
  </r>
  <r>
    <s v="prt"/>
    <s v="KS"/>
    <s v="A"/>
    <n v="0"/>
    <s v="..."/>
    <s v="Braket miring"/>
    <m/>
    <n v="290"/>
    <s v="x"/>
    <n v="100"/>
    <s v="x"/>
    <n v="18"/>
    <s v="290 x 100 x 18"/>
    <n v="4"/>
    <n v="4"/>
    <s v="Ply"/>
    <n v="18"/>
    <n v="0"/>
    <n v="0"/>
    <s v="Polos"/>
    <n v="0"/>
    <s v="Polos"/>
    <n v="0"/>
    <n v="0"/>
    <n v="0"/>
    <n v="0"/>
    <n v="0"/>
    <s v=" "/>
    <s v=" "/>
    <s v=" "/>
    <s v=" "/>
    <n v="0"/>
    <n v="0"/>
    <n v="0"/>
    <n v="0"/>
    <n v="0"/>
    <m/>
    <n v="0"/>
    <n v="0"/>
    <s v=""/>
    <s v=""/>
    <s v=""/>
    <x v="1"/>
    <x v="1"/>
    <n v="0"/>
    <m/>
    <s v="33"/>
    <s v="3333"/>
    <s v="Polos"/>
    <s v=" -"/>
    <s v="421)Braket miring_Polos"/>
    <s v="421)Braket miring Ply 18mm - Polos ;  -  "/>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s v="prt"/>
    <s v="KS"/>
    <s v="A"/>
    <n v="0"/>
    <s v="•••"/>
    <s v="Plinth/Uppertop"/>
    <m/>
    <n v="2430"/>
    <s v="x"/>
    <n v="100"/>
    <s v="x"/>
    <n v="19"/>
    <s v="2430 x 100 x 19"/>
    <n v="2"/>
    <n v="2"/>
    <s v="Ply"/>
    <n v="18"/>
    <n v="1"/>
    <n v="0"/>
    <s v="WY_5216_D(V)"/>
    <n v="1"/>
    <s v="Polos"/>
    <n v="0"/>
    <n v="1"/>
    <n v="0"/>
    <n v="0"/>
    <n v="0"/>
    <s v="Edg_EAW_5216D1"/>
    <s v=" "/>
    <s v=" "/>
    <s v=" "/>
    <n v="0"/>
    <n v="0"/>
    <n v="0"/>
    <n v="0"/>
    <n v="0"/>
    <m/>
    <n v="0"/>
    <n v="0"/>
    <s v=""/>
    <s v=""/>
    <s v=""/>
    <x v="1"/>
    <x v="1"/>
    <n v="0"/>
    <m/>
    <s v="13"/>
    <s v="4333"/>
    <s v="WY_5216_D(V)_1mk_Polos"/>
    <s v="Edg_EAW_5216D1_1sisi_pjg"/>
    <s v="462)Plinth/Uppertop_WY_5216_D(V)_1mk_Polos"/>
    <s v="462)Plinth/Uppertop Ply 18mm - WY_5216_D(V)_1mk_Polos ; Edg_EAW_5216D1_1sisi_pjg  "/>
  </r>
  <r>
    <s v="prt"/>
    <s v="KS"/>
    <s v="A"/>
    <n v="0"/>
    <s v="•••"/>
    <s v="Dummies"/>
    <m/>
    <n v="2430"/>
    <s v="x"/>
    <n v="70"/>
    <s v="x"/>
    <n v="19"/>
    <s v="2430 x 70 x 19"/>
    <n v="4"/>
    <n v="4"/>
    <s v="Ply"/>
    <n v="18"/>
    <n v="1"/>
    <n v="0"/>
    <s v="WY_5216_D(V)"/>
    <n v="1"/>
    <s v="Polos"/>
    <n v="0"/>
    <n v="0"/>
    <n v="0"/>
    <n v="0"/>
    <n v="0"/>
    <s v=" "/>
    <s v=" "/>
    <s v=" "/>
    <s v=" "/>
    <n v="0"/>
    <n v="0"/>
    <n v="0"/>
    <n v="0"/>
    <n v="0"/>
    <m/>
    <n v="0"/>
    <n v="0"/>
    <s v=""/>
    <s v=""/>
    <s v=""/>
    <x v="1"/>
    <x v="1"/>
    <n v="0"/>
    <m/>
    <s v="13"/>
    <s v="3333"/>
    <s v="WY_5216_D(V)_1mk_Polos"/>
    <s v=" -"/>
    <s v="435)Dummies_WY_5216_D(V)_1mk_Polos"/>
    <s v="435)Dummies Ply 18mm - WY_5216_D(V)_1mk_Polos ;  -  "/>
  </r>
  <r>
    <m/>
    <m/>
    <m/>
    <m/>
    <m/>
    <m/>
    <m/>
    <m/>
    <m/>
    <m/>
    <m/>
    <m/>
    <m/>
    <m/>
    <m/>
    <m/>
    <m/>
    <m/>
    <m/>
    <m/>
    <m/>
    <m/>
    <m/>
    <m/>
    <m/>
    <m/>
    <m/>
    <m/>
    <m/>
    <m/>
    <m/>
    <m/>
    <m/>
    <m/>
    <m/>
    <m/>
    <m/>
    <m/>
    <m/>
    <m/>
    <m/>
    <m/>
    <x v="0"/>
    <x v="0"/>
    <m/>
    <m/>
    <m/>
    <m/>
    <m/>
    <m/>
    <m/>
    <m/>
  </r>
  <r>
    <s v="prt"/>
    <s v="─"/>
    <s v="A"/>
    <n v="0"/>
    <s v="••"/>
    <s v="Cover Panel / Pelmet"/>
    <m/>
    <n v="1004"/>
    <s v="x"/>
    <n v="550"/>
    <s v="x"/>
    <n v="19"/>
    <s v="1004 x 550 x 19"/>
    <n v="1"/>
    <n v="1"/>
    <s v="Ply"/>
    <n v="18"/>
    <n v="1"/>
    <n v="0"/>
    <s v="WY_5216_D(V)"/>
    <n v="1"/>
    <s v="Polos"/>
    <n v="0"/>
    <n v="1"/>
    <n v="0"/>
    <n v="0"/>
    <n v="0"/>
    <s v="Edg_EAW_5216D1"/>
    <s v=" "/>
    <s v=" "/>
    <s v=" "/>
    <n v="0"/>
    <n v="0"/>
    <n v="0"/>
    <n v="0"/>
    <n v="0"/>
    <m/>
    <n v="0"/>
    <n v="0"/>
    <s v=""/>
    <s v=""/>
    <s v=""/>
    <x v="1"/>
    <x v="1"/>
    <n v="0"/>
    <m/>
    <s v="13"/>
    <s v="4333"/>
    <s v="WY_5216_D(V)_1mk_Polos"/>
    <s v="Edg_EAW_5216D1_1sisi_pjg"/>
    <s v="366)Cover Panel / Pelmet_WY_5216_D(V)_1mk_Polos"/>
    <s v="366)Cover Panel / Pelmet Ply 18mm - WY_5216_D(V)_1mk_Polos ; Edg_EAW_5216D1_1sisi_pjg  "/>
  </r>
  <r>
    <s v="prt"/>
    <s v="KS"/>
    <s v="A"/>
    <n v="0"/>
    <s v="••"/>
    <s v="Back Panel"/>
    <m/>
    <n v="2000"/>
    <s v="x"/>
    <n v="1004"/>
    <s v="x"/>
    <n v="19.5"/>
    <s v="2000 x 1004 x 19,5"/>
    <n v="1"/>
    <n v="1"/>
    <s v="Ply"/>
    <n v="18"/>
    <n v="1"/>
    <n v="22"/>
    <s v="WY_5216_D(V)"/>
    <n v="1"/>
    <s v="Aica"/>
    <n v="0.5"/>
    <n v="1"/>
    <n v="1"/>
    <n v="1"/>
    <n v="1"/>
    <s v="Edg_EAW_5216D1"/>
    <s v="Edg_EAW_5216D1"/>
    <s v="Edg_EAW_5216D1"/>
    <s v="Edg_EAW_5216D1"/>
    <n v="0"/>
    <n v="0"/>
    <n v="0"/>
    <n v="0"/>
    <n v="0"/>
    <m/>
    <n v="0"/>
    <n v="0"/>
    <s v=""/>
    <s v=""/>
    <s v=""/>
    <x v="1"/>
    <x v="1"/>
    <n v="0"/>
    <m/>
    <s v="17"/>
    <s v="4444"/>
    <s v="WY_5216_D(V)+Aica"/>
    <s v="Edg_EAW_5216D1_Keliling"/>
    <s v="386)Back Panel_WY_5216_D(V)+Aica"/>
    <s v="386)Back Panel Ply 18mm - WY_5216_D(V)+Aica ; Edg_EAW_5216D1_Keliling  "/>
  </r>
  <r>
    <m/>
    <m/>
    <m/>
    <m/>
    <m/>
    <m/>
    <m/>
    <m/>
    <m/>
    <m/>
    <m/>
    <m/>
    <m/>
    <m/>
    <m/>
    <m/>
    <m/>
    <m/>
    <m/>
    <m/>
    <m/>
    <m/>
    <m/>
    <m/>
    <m/>
    <m/>
    <m/>
    <m/>
    <m/>
    <m/>
    <m/>
    <m/>
    <m/>
    <m/>
    <m/>
    <m/>
    <m/>
    <m/>
    <m/>
    <m/>
    <m/>
    <m/>
    <x v="0"/>
    <x v="0"/>
    <m/>
    <m/>
    <m/>
    <m/>
    <m/>
    <m/>
    <m/>
    <m/>
  </r>
  <r>
    <m/>
    <m/>
    <m/>
    <m/>
    <m/>
    <m/>
    <m/>
    <m/>
    <m/>
    <m/>
    <m/>
    <m/>
    <m/>
    <m/>
    <m/>
    <m/>
    <m/>
    <m/>
    <m/>
    <m/>
    <m/>
    <m/>
    <m/>
    <m/>
    <m/>
    <m/>
    <m/>
    <m/>
    <m/>
    <m/>
    <m/>
    <m/>
    <m/>
    <m/>
    <m/>
    <m/>
    <m/>
    <m/>
    <m/>
    <m/>
    <m/>
    <m/>
    <x v="0"/>
    <x v="0"/>
    <m/>
    <m/>
    <m/>
    <m/>
    <m/>
    <m/>
    <m/>
    <m/>
  </r>
  <r>
    <s v="Set_up"/>
    <s v="[ks]"/>
    <s v="A"/>
    <s v=""/>
    <s v="•"/>
    <s v="End Panel Rangka nat Duco (rakit tukang)"/>
    <m/>
    <n v="2000"/>
    <s v="x"/>
    <n v="95"/>
    <s v="x"/>
    <n v="75"/>
    <s v="2000 x 95 x 75"/>
    <m/>
    <n v="1"/>
    <m/>
    <m/>
    <m/>
    <m/>
    <m/>
    <m/>
    <m/>
    <m/>
    <m/>
    <m/>
    <m/>
    <m/>
    <s v=" "/>
    <s v=" "/>
    <s v=" "/>
    <s v=" "/>
    <m/>
    <m/>
    <m/>
    <s v=""/>
    <s v=""/>
    <m/>
    <m/>
    <m/>
    <s v=""/>
    <s v=""/>
    <s v=""/>
    <x v="0"/>
    <x v="0"/>
    <s v=""/>
    <m/>
    <m/>
    <s v="3333"/>
    <s v=""/>
    <s v=" -"/>
    <s v="0) End Panel Rangka nat Duco (rakit tukang) 2000"/>
    <s v="0A) End Panel Rangka nat Duco (rakit tukang)"/>
  </r>
  <r>
    <s v="prt"/>
    <s v="KS"/>
    <s v="A"/>
    <n v="1"/>
    <s v="..."/>
    <s v="End Panel Rangka"/>
    <m/>
    <n v="2000"/>
    <s v="x"/>
    <n v="95"/>
    <s v="x"/>
    <n v="18.5"/>
    <s v="2000 x 95 x 18,5"/>
    <n v="2"/>
    <n v="2"/>
    <s v="Ply"/>
    <n v="18"/>
    <n v="7"/>
    <n v="0"/>
    <s v="Duco"/>
    <n v="0.5"/>
    <s v="Polos"/>
    <n v="0"/>
    <n v="0"/>
    <n v="0"/>
    <n v="0"/>
    <n v="0"/>
    <s v=" "/>
    <s v=" "/>
    <s v=" "/>
    <s v=" "/>
    <n v="0"/>
    <n v="0"/>
    <n v="0"/>
    <n v="0"/>
    <n v="0"/>
    <m/>
    <n v="0"/>
    <n v="0"/>
    <s v=""/>
    <s v=""/>
    <s v="Edg_EAW_5216D1"/>
    <x v="1"/>
    <x v="1"/>
    <n v="0"/>
    <m/>
    <s v="123"/>
    <s v="3333"/>
    <s v="Duco_1mk_Polos"/>
    <s v=" -"/>
    <s v="379)End Panel Rangka_Duco_1mk_Polos"/>
    <s v="379)End Panel Rangka Ply 18mm - Duco_1mk_Polos ;  -  "/>
  </r>
  <r>
    <s v="prt"/>
    <s v="─"/>
    <s v="A"/>
    <n v="1"/>
    <s v="..."/>
    <s v="HPL Lembaran"/>
    <m/>
    <n v="2000"/>
    <s v="x"/>
    <n v="95"/>
    <s v="x"/>
    <n v="1"/>
    <s v="2000 x 95 x 1"/>
    <n v="2"/>
    <n v="2"/>
    <s v="WY_5216_D(V)"/>
    <n v="1"/>
    <n v="0"/>
    <n v="0"/>
    <s v="Polos"/>
    <n v="0"/>
    <s v="Polos"/>
    <n v="0"/>
    <n v="0"/>
    <n v="0"/>
    <n v="0"/>
    <n v="0"/>
    <s v=" "/>
    <s v=" "/>
    <s v=" "/>
    <s v=" "/>
    <n v="0"/>
    <n v="0"/>
    <n v="0"/>
    <n v="0"/>
    <n v="0"/>
    <m/>
    <n v="0"/>
    <n v="0"/>
    <s v=""/>
    <s v=""/>
    <s v=""/>
    <x v="1"/>
    <x v="1"/>
    <n v="0"/>
    <m/>
    <s v="33"/>
    <s v="3333"/>
    <s v="Polos"/>
    <s v=" -"/>
    <s v="483)HPL Lembaran_Polos"/>
    <s v="483)HPL Lembaran WY_5216_D(V) 1mm - Polos ;  -  "/>
  </r>
  <r>
    <m/>
    <m/>
    <m/>
    <m/>
    <m/>
    <m/>
    <m/>
    <m/>
    <m/>
    <m/>
    <m/>
    <m/>
    <m/>
    <m/>
    <m/>
    <m/>
    <m/>
    <m/>
    <m/>
    <m/>
    <m/>
    <m/>
    <m/>
    <m/>
    <m/>
    <m/>
    <m/>
    <m/>
    <m/>
    <m/>
    <m/>
    <m/>
    <m/>
    <m/>
    <m/>
    <m/>
    <m/>
    <m/>
    <m/>
    <m/>
    <m/>
    <m/>
    <x v="0"/>
    <x v="0"/>
    <m/>
    <m/>
    <m/>
    <m/>
    <m/>
    <m/>
    <m/>
    <m/>
  </r>
  <r>
    <s v="Set_up"/>
    <s v="[ks]"/>
    <s v="A"/>
    <s v=""/>
    <s v="•"/>
    <s v="End Panel Rangka nat Duco (rakit tukang)"/>
    <m/>
    <n v="1490"/>
    <s v="x"/>
    <n v="95"/>
    <s v="x"/>
    <n v="75"/>
    <s v="1490 x 95 x 75"/>
    <m/>
    <n v="1"/>
    <m/>
    <m/>
    <m/>
    <m/>
    <m/>
    <m/>
    <m/>
    <m/>
    <m/>
    <m/>
    <m/>
    <m/>
    <s v=" "/>
    <s v=" "/>
    <s v=" "/>
    <s v=" "/>
    <m/>
    <m/>
    <m/>
    <s v=""/>
    <s v=""/>
    <m/>
    <m/>
    <m/>
    <s v=""/>
    <s v=""/>
    <s v=""/>
    <x v="0"/>
    <x v="0"/>
    <s v=""/>
    <m/>
    <m/>
    <s v="3333"/>
    <s v=""/>
    <s v=" -"/>
    <s v="0) End Panel Rangka nat Duco (rakit tukang) 1490"/>
    <s v="0A) End Panel Rangka nat Duco (rakit tukang)"/>
  </r>
  <r>
    <s v="prt"/>
    <s v="KS"/>
    <s v="A"/>
    <n v="1"/>
    <s v="..."/>
    <s v="End Panel Rangka"/>
    <m/>
    <n v="1490"/>
    <s v="x"/>
    <n v="95"/>
    <s v="x"/>
    <n v="18.5"/>
    <s v="1490 x 95 x 18,5"/>
    <n v="2"/>
    <n v="2"/>
    <s v="Ply"/>
    <n v="18"/>
    <n v="7"/>
    <n v="0"/>
    <s v="Duco"/>
    <n v="0.5"/>
    <s v="Polos"/>
    <n v="0"/>
    <n v="0"/>
    <n v="0"/>
    <n v="0"/>
    <n v="0"/>
    <s v=" "/>
    <s v=" "/>
    <s v=" "/>
    <s v=" "/>
    <n v="0"/>
    <n v="0"/>
    <n v="0"/>
    <n v="0"/>
    <n v="0"/>
    <m/>
    <n v="0"/>
    <n v="0"/>
    <s v=""/>
    <s v=""/>
    <s v="Edg_EAW_5216D1"/>
    <x v="1"/>
    <x v="1"/>
    <n v="0"/>
    <m/>
    <s v="123"/>
    <s v="3333"/>
    <s v="Duco_1mk_Polos"/>
    <s v=" -"/>
    <s v="379)End Panel Rangka_Duco_1mk_Polos"/>
    <s v="379)End Panel Rangka Ply 18mm - Duco_1mk_Polos ;  -  "/>
  </r>
  <r>
    <s v="prt"/>
    <s v="─"/>
    <s v="A"/>
    <n v="1"/>
    <s v="..."/>
    <s v="HPL Lembaran"/>
    <m/>
    <n v="1490"/>
    <s v="x"/>
    <n v="95"/>
    <s v="x"/>
    <n v="1"/>
    <s v="1490 x 95 x 1"/>
    <n v="2"/>
    <n v="2"/>
    <s v="WY_5216_D(V)"/>
    <n v="1"/>
    <n v="0"/>
    <n v="0"/>
    <s v="Polos"/>
    <n v="0"/>
    <s v="Polos"/>
    <n v="0"/>
    <n v="0"/>
    <n v="0"/>
    <n v="0"/>
    <n v="0"/>
    <s v=" "/>
    <s v=" "/>
    <s v=" "/>
    <s v=" "/>
    <n v="0"/>
    <n v="0"/>
    <n v="0"/>
    <n v="0"/>
    <n v="0"/>
    <m/>
    <n v="0"/>
    <n v="0"/>
    <s v=""/>
    <s v=""/>
    <s v=""/>
    <x v="1"/>
    <x v="1"/>
    <n v="0"/>
    <m/>
    <s v="33"/>
    <s v="3333"/>
    <s v="Polos"/>
    <s v=" -"/>
    <s v="483)HPL Lembaran_Polos"/>
    <s v="483)HPL Lembaran WY_5216_D(V) 1mm - Polos ;  -  "/>
  </r>
  <r>
    <m/>
    <m/>
    <m/>
    <m/>
    <m/>
    <m/>
    <m/>
    <m/>
    <m/>
    <m/>
    <m/>
    <m/>
    <m/>
    <m/>
    <m/>
    <m/>
    <m/>
    <m/>
    <m/>
    <m/>
    <m/>
    <m/>
    <m/>
    <m/>
    <m/>
    <m/>
    <m/>
    <m/>
    <m/>
    <m/>
    <m/>
    <m/>
    <m/>
    <m/>
    <m/>
    <m/>
    <m/>
    <m/>
    <m/>
    <m/>
    <m/>
    <m/>
    <x v="0"/>
    <x v="0"/>
    <m/>
    <m/>
    <m/>
    <m/>
    <m/>
    <m/>
    <m/>
    <m/>
  </r>
  <r>
    <s v="Set_up"/>
    <s v="[ks]"/>
    <s v="A"/>
    <s v=""/>
    <s v="•"/>
    <s v="End Panel Rangka nat Duco (rakit tukang)"/>
    <m/>
    <n v="2000"/>
    <s v="x"/>
    <n v="840"/>
    <s v="x"/>
    <n v="75"/>
    <s v="2000 x 840 x 75"/>
    <m/>
    <n v="1"/>
    <m/>
    <m/>
    <m/>
    <m/>
    <m/>
    <m/>
    <m/>
    <m/>
    <m/>
    <m/>
    <m/>
    <m/>
    <s v=" "/>
    <s v=" "/>
    <s v=" "/>
    <s v=" "/>
    <m/>
    <m/>
    <m/>
    <s v=""/>
    <s v=""/>
    <m/>
    <m/>
    <m/>
    <s v=""/>
    <s v=""/>
    <s v=""/>
    <x v="0"/>
    <x v="0"/>
    <s v=""/>
    <m/>
    <m/>
    <s v="3333"/>
    <s v=""/>
    <s v=" -"/>
    <s v="0) End Panel Rangka nat Duco (rakit tukang) 2000"/>
    <s v="0A) End Panel Rangka nat Duco (rakit tukang)"/>
  </r>
  <r>
    <s v="prt"/>
    <s v="KS"/>
    <s v="A"/>
    <n v="1"/>
    <s v="..."/>
    <s v="End Panel Rangka"/>
    <m/>
    <n v="2000"/>
    <s v="x"/>
    <n v="840"/>
    <s v="x"/>
    <n v="18.5"/>
    <s v="2000 x 840 x 18,5"/>
    <n v="2"/>
    <n v="2"/>
    <s v="Ply"/>
    <n v="18"/>
    <n v="7"/>
    <n v="0"/>
    <s v="Duco"/>
    <n v="0.5"/>
    <s v="Polos"/>
    <n v="0"/>
    <n v="0"/>
    <n v="0"/>
    <n v="0"/>
    <n v="0"/>
    <s v=" "/>
    <s v=" "/>
    <s v=" "/>
    <s v=" "/>
    <n v="0"/>
    <n v="0"/>
    <n v="0"/>
    <n v="0"/>
    <n v="0"/>
    <m/>
    <n v="0"/>
    <n v="0"/>
    <s v=""/>
    <s v=""/>
    <s v="Edg_EAW_5216D1"/>
    <x v="1"/>
    <x v="1"/>
    <n v="0"/>
    <m/>
    <s v="123"/>
    <s v="3333"/>
    <s v="Duco_1mk_Polos"/>
    <s v=" -"/>
    <s v="379)End Panel Rangka_Duco_1mk_Polos"/>
    <s v="379)End Panel Rangka Ply 18mm - Duco_1mk_Polos ;  -  "/>
  </r>
  <r>
    <s v="prt"/>
    <s v="─"/>
    <s v="A"/>
    <n v="1"/>
    <s v="..."/>
    <s v="HPL Lembaran"/>
    <m/>
    <n v="2000"/>
    <s v="x"/>
    <n v="840"/>
    <s v="x"/>
    <n v="1"/>
    <s v="2000 x 840 x 1"/>
    <n v="2"/>
    <n v="2"/>
    <s v="WY_5216_D(V)"/>
    <n v="1"/>
    <n v="0"/>
    <n v="0"/>
    <s v="Polos"/>
    <n v="0"/>
    <s v="Polos"/>
    <n v="0"/>
    <n v="0"/>
    <n v="0"/>
    <n v="0"/>
    <n v="0"/>
    <s v=" "/>
    <s v=" "/>
    <s v=" "/>
    <s v=" "/>
    <n v="0"/>
    <n v="0"/>
    <n v="0"/>
    <n v="0"/>
    <n v="0"/>
    <m/>
    <n v="0"/>
    <n v="0"/>
    <s v=""/>
    <s v=""/>
    <s v=""/>
    <x v="1"/>
    <x v="1"/>
    <n v="0"/>
    <m/>
    <s v="33"/>
    <s v="3333"/>
    <s v="Polos"/>
    <s v=" -"/>
    <s v="483)HPL Lembaran_Polos"/>
    <s v="483)HPL Lembaran WY_5216_D(V) 1mm - Polos ;  -  "/>
  </r>
  <r>
    <m/>
    <m/>
    <m/>
    <m/>
    <m/>
    <m/>
    <m/>
    <m/>
    <m/>
    <m/>
    <m/>
    <m/>
    <m/>
    <m/>
    <m/>
    <m/>
    <m/>
    <m/>
    <m/>
    <m/>
    <m/>
    <m/>
    <m/>
    <m/>
    <m/>
    <m/>
    <m/>
    <m/>
    <m/>
    <m/>
    <m/>
    <m/>
    <m/>
    <m/>
    <m/>
    <m/>
    <m/>
    <m/>
    <m/>
    <m/>
    <m/>
    <m/>
    <x v="0"/>
    <x v="0"/>
    <m/>
    <m/>
    <m/>
    <m/>
    <m/>
    <m/>
    <m/>
    <m/>
  </r>
  <r>
    <s v="Set_up"/>
    <s v="[ks]"/>
    <s v="A"/>
    <s v=""/>
    <s v="•"/>
    <s v="End Panel Rangka nat Duco (rakit tukang)"/>
    <m/>
    <n v="1490"/>
    <s v="x"/>
    <n v="840"/>
    <s v="x"/>
    <n v="75"/>
    <s v="1490 x 840 x 75"/>
    <m/>
    <n v="1"/>
    <m/>
    <m/>
    <m/>
    <m/>
    <m/>
    <m/>
    <m/>
    <m/>
    <m/>
    <m/>
    <m/>
    <m/>
    <s v=" "/>
    <s v=" "/>
    <s v=" "/>
    <s v=" "/>
    <m/>
    <m/>
    <m/>
    <s v=""/>
    <s v=""/>
    <m/>
    <m/>
    <m/>
    <s v=""/>
    <s v=""/>
    <s v=""/>
    <x v="0"/>
    <x v="0"/>
    <s v=""/>
    <m/>
    <m/>
    <s v="3333"/>
    <s v=""/>
    <s v=" -"/>
    <s v="0) End Panel Rangka nat Duco (rakit tukang) 1490"/>
    <s v="0A) End Panel Rangka nat Duco (rakit tukang)"/>
  </r>
  <r>
    <s v="prt"/>
    <s v="KS"/>
    <s v="A"/>
    <n v="1"/>
    <s v="..."/>
    <s v="End Panel Rangka"/>
    <m/>
    <n v="1490"/>
    <s v="x"/>
    <n v="840"/>
    <s v="x"/>
    <n v="18.5"/>
    <s v="1490 x 840 x 18,5"/>
    <n v="2"/>
    <n v="2"/>
    <s v="Ply"/>
    <n v="18"/>
    <n v="7"/>
    <n v="0"/>
    <s v="Duco"/>
    <n v="0.5"/>
    <s v="Polos"/>
    <n v="0"/>
    <n v="0"/>
    <n v="0"/>
    <n v="0"/>
    <n v="0"/>
    <s v=" "/>
    <s v=" "/>
    <s v=" "/>
    <s v=" "/>
    <n v="0"/>
    <n v="0"/>
    <n v="0"/>
    <n v="0"/>
    <n v="0"/>
    <m/>
    <n v="0"/>
    <n v="0"/>
    <s v=""/>
    <s v=""/>
    <s v="Edg_EAW_5216D1"/>
    <x v="1"/>
    <x v="1"/>
    <n v="0"/>
    <m/>
    <s v="123"/>
    <s v="3333"/>
    <s v="Duco_1mk_Polos"/>
    <s v=" -"/>
    <s v="379)End Panel Rangka_Duco_1mk_Polos"/>
    <s v="379)End Panel Rangka Ply 18mm - Duco_1mk_Polos ;  -  "/>
  </r>
  <r>
    <s v="prt"/>
    <s v="─"/>
    <s v="A"/>
    <n v="1"/>
    <s v="..."/>
    <s v="HPL Lembaran"/>
    <m/>
    <n v="1490"/>
    <s v="x"/>
    <n v="840"/>
    <s v="x"/>
    <n v="1"/>
    <s v="1490 x 840 x 1"/>
    <n v="2"/>
    <n v="2"/>
    <s v="WY_5216_D(V)"/>
    <n v="1"/>
    <n v="0"/>
    <n v="0"/>
    <s v="Polos"/>
    <n v="0"/>
    <s v="Polos"/>
    <n v="0"/>
    <n v="0"/>
    <n v="0"/>
    <n v="0"/>
    <n v="0"/>
    <s v=" "/>
    <s v=" "/>
    <s v=" "/>
    <s v=" "/>
    <n v="0"/>
    <n v="0"/>
    <n v="0"/>
    <n v="0"/>
    <n v="0"/>
    <m/>
    <n v="0"/>
    <n v="0"/>
    <s v=""/>
    <s v=""/>
    <s v=""/>
    <x v="1"/>
    <x v="1"/>
    <n v="0"/>
    <m/>
    <s v="33"/>
    <s v="3333"/>
    <s v="Polos"/>
    <s v=" -"/>
    <s v="483)HPL Lembaran_Polos"/>
    <s v="483)HPL Lembaran WY_5216_D(V) 1mm - Polos ;  -  "/>
  </r>
  <r>
    <m/>
    <m/>
    <m/>
    <m/>
    <m/>
    <m/>
    <m/>
    <m/>
    <m/>
    <m/>
    <m/>
    <m/>
    <m/>
    <m/>
    <m/>
    <m/>
    <m/>
    <m/>
    <m/>
    <m/>
    <m/>
    <m/>
    <m/>
    <m/>
    <m/>
    <m/>
    <m/>
    <m/>
    <m/>
    <m/>
    <m/>
    <m/>
    <m/>
    <m/>
    <m/>
    <m/>
    <m/>
    <m/>
    <m/>
    <m/>
    <m/>
    <m/>
    <x v="0"/>
    <x v="0"/>
    <m/>
    <m/>
    <m/>
    <m/>
    <m/>
    <m/>
    <m/>
    <m/>
  </r>
  <r>
    <m/>
    <m/>
    <m/>
    <m/>
    <m/>
    <m/>
    <m/>
    <m/>
    <m/>
    <m/>
    <m/>
    <m/>
    <m/>
    <m/>
    <m/>
    <m/>
    <m/>
    <m/>
    <m/>
    <m/>
    <m/>
    <m/>
    <m/>
    <m/>
    <m/>
    <m/>
    <m/>
    <m/>
    <m/>
    <m/>
    <m/>
    <m/>
    <m/>
    <m/>
    <m/>
    <m/>
    <m/>
    <m/>
    <m/>
    <m/>
    <m/>
    <m/>
    <x v="0"/>
    <x v="0"/>
    <m/>
    <m/>
    <m/>
    <m/>
    <m/>
    <m/>
    <m/>
    <m/>
  </r>
  <r>
    <s v="Set_up"/>
    <s v="[ks]"/>
    <s v="A"/>
    <s v=""/>
    <s v="•"/>
    <s v="Plinth Rangka DUCO (rakit tukang)"/>
    <m/>
    <n v="1333"/>
    <s v="x"/>
    <n v="600"/>
    <s v="x"/>
    <n v="100"/>
    <s v="1333 x 600 x 100"/>
    <m/>
    <n v="1"/>
    <m/>
    <m/>
    <m/>
    <m/>
    <m/>
    <m/>
    <m/>
    <m/>
    <m/>
    <m/>
    <m/>
    <m/>
    <s v=" "/>
    <s v=" "/>
    <s v=" "/>
    <s v=" "/>
    <m/>
    <m/>
    <m/>
    <s v=""/>
    <s v=""/>
    <m/>
    <m/>
    <m/>
    <s v=""/>
    <s v=""/>
    <s v=""/>
    <x v="0"/>
    <x v="0"/>
    <s v=""/>
    <m/>
    <m/>
    <s v="3333"/>
    <s v=""/>
    <s v=" -"/>
    <s v="0) Plinth Rangka DUCO (rakit tukang) 1333"/>
    <s v="0A) Plinth Rangka DUCO (rakit tukang)"/>
  </r>
  <r>
    <s v="prt"/>
    <s v="KS"/>
    <s v="A↓"/>
    <n v="1"/>
    <s v="..."/>
    <s v="End Panel Rangka"/>
    <m/>
    <n v="2430"/>
    <s v="x"/>
    <n v="100"/>
    <s v="x"/>
    <n v="18.5"/>
    <s v="2430 x 100 x 18,5"/>
    <n v="1"/>
    <n v="1"/>
    <s v="Ply"/>
    <n v="18"/>
    <n v="7"/>
    <n v="0"/>
    <s v="Duco"/>
    <n v="0.5"/>
    <s v="Polos"/>
    <n v="0"/>
    <n v="0"/>
    <n v="0"/>
    <n v="0"/>
    <n v="0"/>
    <s v=" "/>
    <s v=" "/>
    <s v=" "/>
    <s v=" "/>
    <n v="0"/>
    <n v="0"/>
    <n v="0"/>
    <n v="0"/>
    <n v="0"/>
    <m/>
    <n v="0"/>
    <n v="0"/>
    <s v=""/>
    <s v=""/>
    <s v="Edg_EAW_5216D1"/>
    <x v="1"/>
    <x v="1"/>
    <n v="0"/>
    <m/>
    <s v="123"/>
    <s v="3333"/>
    <s v="Duco_1mk_Polos"/>
    <s v=" -"/>
    <s v="379)End Panel Rangka_Duco_1mk_Polos"/>
    <s v="379)End Panel Rangka Ply 18mm - Duco_1mk_Polos ;  -  "/>
  </r>
  <r>
    <s v="prt"/>
    <s v="KS"/>
    <s v="A↓"/>
    <n v="1"/>
    <s v="..."/>
    <s v="End Panel Rangka"/>
    <m/>
    <n v="1026"/>
    <s v="x"/>
    <n v="581"/>
    <s v="x"/>
    <n v="18.5"/>
    <s v="1026 x 581 x 18,5"/>
    <n v="1"/>
    <n v="1"/>
    <s v="Ply"/>
    <n v="18"/>
    <n v="7"/>
    <n v="0"/>
    <s v="Duco"/>
    <n v="0.5"/>
    <s v="Polos"/>
    <n v="0"/>
    <n v="0"/>
    <n v="0"/>
    <n v="0"/>
    <n v="0"/>
    <s v=" "/>
    <s v=" "/>
    <s v=" "/>
    <s v=" "/>
    <n v="0"/>
    <n v="0"/>
    <n v="0"/>
    <n v="0"/>
    <n v="0"/>
    <m/>
    <n v="0"/>
    <n v="0"/>
    <s v=""/>
    <s v=""/>
    <s v="Edg_EAW_5216D1"/>
    <x v="1"/>
    <x v="1"/>
    <n v="0"/>
    <m/>
    <s v="123"/>
    <s v="3333"/>
    <s v="Duco_1mk_Polos"/>
    <s v=" -"/>
    <s v="379)End Panel Rangka_Duco_1mk_Polos"/>
    <s v="379)End Panel Rangka Ply 18mm - Duco_1mk_Polos ;  -  "/>
  </r>
  <r>
    <s v="prt"/>
    <s v="KS"/>
    <s v="A↓"/>
    <n v="1"/>
    <s v="..."/>
    <s v="End Panel Rangka"/>
    <m/>
    <n v="2430"/>
    <s v="x"/>
    <n v="81"/>
    <s v="x"/>
    <n v="18.5"/>
    <s v="2430 x 81 x 18,5"/>
    <n v="3"/>
    <n v="3"/>
    <s v="Ply"/>
    <n v="18"/>
    <n v="7"/>
    <n v="0"/>
    <s v="Duco"/>
    <n v="0.5"/>
    <s v="Polos"/>
    <n v="0"/>
    <n v="0"/>
    <n v="0"/>
    <n v="0"/>
    <n v="0"/>
    <s v=" "/>
    <s v=" "/>
    <s v=" "/>
    <s v=" "/>
    <n v="0"/>
    <n v="0"/>
    <n v="0"/>
    <n v="0"/>
    <n v="0"/>
    <m/>
    <n v="0"/>
    <n v="0"/>
    <s v=""/>
    <s v=""/>
    <s v="Edg_EAW_5216D1"/>
    <x v="1"/>
    <x v="1"/>
    <n v="0"/>
    <m/>
    <s v="123"/>
    <s v="3333"/>
    <s v="Duco_1mk_Polos"/>
    <s v=" -"/>
    <s v="379)End Panel Rangka_Duco_1mk_Polos"/>
    <s v="379)End Panel Rangka Ply 18mm - Duco_1mk_Polos ;  -  "/>
  </r>
  <r>
    <m/>
    <m/>
    <m/>
    <m/>
    <m/>
    <m/>
    <m/>
    <m/>
    <m/>
    <m/>
    <m/>
    <m/>
    <m/>
    <m/>
    <m/>
    <m/>
    <m/>
    <m/>
    <m/>
    <m/>
    <m/>
    <m/>
    <m/>
    <m/>
    <m/>
    <m/>
    <m/>
    <m/>
    <m/>
    <m/>
    <m/>
    <m/>
    <m/>
    <m/>
    <m/>
    <m/>
    <m/>
    <m/>
    <m/>
    <m/>
    <m/>
    <m/>
    <x v="0"/>
    <x v="0"/>
    <m/>
    <m/>
    <m/>
    <m/>
    <m/>
    <m/>
    <m/>
    <m/>
  </r>
  <r>
    <m/>
    <m/>
    <m/>
    <m/>
    <m/>
    <m/>
    <m/>
    <m/>
    <m/>
    <m/>
    <m/>
    <m/>
    <m/>
    <m/>
    <m/>
    <m/>
    <m/>
    <m/>
    <m/>
    <m/>
    <m/>
    <m/>
    <m/>
    <m/>
    <m/>
    <m/>
    <m/>
    <m/>
    <m/>
    <m/>
    <m/>
    <m/>
    <m/>
    <m/>
    <m/>
    <m/>
    <m/>
    <m/>
    <m/>
    <m/>
    <m/>
    <m/>
    <x v="0"/>
    <x v="0"/>
    <m/>
    <m/>
    <m/>
    <m/>
    <m/>
    <m/>
    <m/>
    <m/>
  </r>
  <r>
    <s v="Set_up"/>
    <s v="[ks]"/>
    <s v="A"/>
    <s v=""/>
    <s v="•"/>
    <s v="Panel Partisi (rakit tukang)"/>
    <m/>
    <n v="1844"/>
    <s v="x"/>
    <n v="750"/>
    <s v="x"/>
    <n v="26"/>
    <s v="1844 x 750 x 26"/>
    <m/>
    <n v="2"/>
    <m/>
    <m/>
    <m/>
    <m/>
    <m/>
    <m/>
    <m/>
    <m/>
    <m/>
    <m/>
    <m/>
    <m/>
    <s v=" "/>
    <s v=" "/>
    <s v=" "/>
    <s v=" "/>
    <m/>
    <m/>
    <m/>
    <s v=""/>
    <s v=""/>
    <m/>
    <m/>
    <m/>
    <s v=""/>
    <s v=""/>
    <s v=""/>
    <x v="0"/>
    <x v="0"/>
    <s v=""/>
    <m/>
    <m/>
    <s v="3333"/>
    <s v=""/>
    <s v=" -"/>
    <s v="0) Panel Partisi (rakit tukang) 1844"/>
    <s v="0A) Panel Partisi (rakit tukang)"/>
  </r>
  <r>
    <s v="prt"/>
    <s v="KS"/>
    <s v="A"/>
    <n v="1"/>
    <s v="..."/>
    <s v="Tatakan Quadra"/>
    <m/>
    <n v="1844"/>
    <s v="x"/>
    <n v="750"/>
    <s v="x"/>
    <n v="12.5"/>
    <s v="1844 x 750 x 12,5"/>
    <n v="1"/>
    <n v="2"/>
    <s v="Ply"/>
    <n v="12"/>
    <n v="0"/>
    <n v="22"/>
    <s v="Polos"/>
    <n v="0"/>
    <s v="Aica"/>
    <n v="0.5"/>
    <n v="0"/>
    <n v="0"/>
    <n v="0"/>
    <n v="0"/>
    <s v=" "/>
    <s v=" "/>
    <s v=" "/>
    <s v=" "/>
    <n v="0"/>
    <n v="0"/>
    <n v="0"/>
    <n v="0"/>
    <n v="0"/>
    <m/>
    <n v="0"/>
    <n v="0"/>
    <s v=""/>
    <s v=""/>
    <s v=""/>
    <x v="1"/>
    <x v="1"/>
    <n v="0"/>
    <m/>
    <s v="37"/>
    <s v="3333"/>
    <s v="Aica_1mk_Polos"/>
    <s v=" -"/>
    <s v="430)Tatakan Quadra_Aica_1mk_Polos"/>
    <s v="430)Tatakan Quadra Ply 12mm - Aica_1mk_Polos ;  -  "/>
  </r>
  <r>
    <s v="prt"/>
    <s v="KS"/>
    <s v="A"/>
    <n v="1"/>
    <s v="..."/>
    <s v="Tatakan Quadra"/>
    <m/>
    <n v="2430"/>
    <s v="x"/>
    <n v="50"/>
    <s v="x"/>
    <n v="12.5"/>
    <s v="2430 x 50 x 12,5"/>
    <n v="3"/>
    <n v="6"/>
    <s v="Ply"/>
    <n v="12"/>
    <n v="0"/>
    <n v="22"/>
    <s v="Polos"/>
    <n v="0"/>
    <s v="Aica"/>
    <n v="0.5"/>
    <n v="0"/>
    <n v="0"/>
    <n v="0"/>
    <n v="0"/>
    <s v=" "/>
    <s v=" "/>
    <s v=" "/>
    <s v=" "/>
    <n v="0"/>
    <n v="0"/>
    <n v="0"/>
    <n v="0"/>
    <n v="0"/>
    <m/>
    <n v="0"/>
    <n v="0"/>
    <s v=""/>
    <s v=""/>
    <s v=""/>
    <x v="1"/>
    <x v="1"/>
    <n v="0"/>
    <m/>
    <s v="37"/>
    <s v="3333"/>
    <s v="Aica_1mk_Polos"/>
    <s v=" -"/>
    <s v="430)Tatakan Quadra_Aica_1mk_Polos"/>
    <s v="430)Tatakan Quadra Ply 12mm - Aica_1mk_Polos ;  -  "/>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s v="Set_up"/>
    <s v="[ks]"/>
    <s v="A"/>
    <s v=""/>
    <s v="•"/>
    <s v="Back Panel Rangka (rakit tukang)"/>
    <m/>
    <n v="2890"/>
    <s v="x"/>
    <n v="130"/>
    <s v="x"/>
    <n v="80"/>
    <s v="2890 x 130 x 80"/>
    <m/>
    <n v="1"/>
    <m/>
    <m/>
    <m/>
    <m/>
    <m/>
    <m/>
    <m/>
    <m/>
    <m/>
    <m/>
    <m/>
    <m/>
    <s v=" "/>
    <s v=" "/>
    <s v=" "/>
    <s v=" "/>
    <m/>
    <m/>
    <m/>
    <s v=""/>
    <s v=""/>
    <m/>
    <m/>
    <m/>
    <s v=""/>
    <s v=""/>
    <s v=""/>
    <x v="0"/>
    <x v="0"/>
    <s v=""/>
    <m/>
    <m/>
    <s v="3333"/>
    <s v=""/>
    <s v=" -"/>
    <s v="0) Back Panel Rangka (rakit tukang) 2890"/>
    <s v="0A) Back Panel Rangka (rakit tukang)"/>
  </r>
  <r>
    <s v="prt"/>
    <s v="KS"/>
    <s v="A•"/>
    <n v="0"/>
    <s v="..."/>
    <s v="Back Panel Rangka♦"/>
    <m/>
    <n v="900"/>
    <s v="x"/>
    <n v="130"/>
    <s v="x"/>
    <n v="19"/>
    <s v="900 x 130 x 19"/>
    <n v="1"/>
    <n v="1"/>
    <s v="Ply"/>
    <n v="18"/>
    <n v="5"/>
    <n v="0"/>
    <s v="DXO_1338_D"/>
    <n v="1"/>
    <s v="Polos"/>
    <n v="0"/>
    <n v="5"/>
    <n v="5"/>
    <n v="5"/>
    <n v="5"/>
    <s v="Edg_EAP_1338_DO"/>
    <s v="Edg_EAP_1338_DO"/>
    <s v="Edg_EAP_1338_DO"/>
    <s v="Edg_EAP_1338_DO"/>
    <n v="0"/>
    <n v="0"/>
    <n v="0"/>
    <n v="0"/>
    <n v="0"/>
    <m/>
    <n v="0"/>
    <n v="0"/>
    <s v=""/>
    <s v=""/>
    <s v=""/>
    <x v="1"/>
    <x v="1"/>
    <n v="0"/>
    <m/>
    <s v="93"/>
    <s v="13131313"/>
    <s v="DXO_1338_D_1mk_Polos"/>
    <s v="Edg_EAP_1338_DO_Keliling"/>
    <s v="406)Back Panel Rangka♦_DXO_1338_D_1mk_Polos"/>
    <s v="406)Back Panel Rangka♦ Ply 18mm - DXO_1338_D_1mk_Polos ; Edg_EAP_1338_DO_Keliling  "/>
  </r>
  <r>
    <s v="prt"/>
    <s v="KS"/>
    <s v="A•"/>
    <n v="0"/>
    <s v="..."/>
    <s v="Back Panel Rangka♦"/>
    <m/>
    <n v="1990"/>
    <s v="x"/>
    <n v="130"/>
    <s v="x"/>
    <n v="19"/>
    <s v="1990 x 130 x 19"/>
    <n v="1"/>
    <n v="1"/>
    <s v="Ply"/>
    <n v="18"/>
    <n v="5"/>
    <n v="0"/>
    <s v="DXO_1338_D"/>
    <n v="1"/>
    <s v="Polos"/>
    <n v="0"/>
    <n v="5"/>
    <n v="5"/>
    <n v="5"/>
    <n v="5"/>
    <s v="Edg_EAP_1338_DO"/>
    <s v="Edg_EAP_1338_DO"/>
    <s v="Edg_EAP_1338_DO"/>
    <s v="Edg_EAP_1338_DO"/>
    <n v="0"/>
    <n v="0"/>
    <n v="0"/>
    <n v="0"/>
    <n v="0"/>
    <m/>
    <n v="0"/>
    <n v="0"/>
    <s v=""/>
    <s v=""/>
    <s v=""/>
    <x v="1"/>
    <x v="1"/>
    <n v="0"/>
    <m/>
    <s v="93"/>
    <s v="13131313"/>
    <s v="DXO_1338_D_1mk_Polos"/>
    <s v="Edg_EAP_1338_DO_Keliling"/>
    <s v="406)Back Panel Rangka♦_DXO_1338_D_1mk_Polos"/>
    <s v="406)Back Panel Rangka♦ Ply 18mm - DXO_1338_D_1mk_Polos ; Edg_EAP_1338_DO_Keliling  "/>
  </r>
  <r>
    <s v="prt"/>
    <s v="KS"/>
    <s v="A"/>
    <n v="1"/>
    <s v="..."/>
    <s v="Rangka back panel"/>
    <m/>
    <n v="2430"/>
    <s v="x"/>
    <n v="60"/>
    <s v="x"/>
    <n v="18.5"/>
    <s v="2430 x 60 x 18,5"/>
    <n v="3"/>
    <n v="3"/>
    <s v="Ply"/>
    <n v="18"/>
    <n v="0"/>
    <n v="22"/>
    <s v="Polos"/>
    <n v="0"/>
    <s v="Aica"/>
    <n v="0.5"/>
    <n v="0"/>
    <n v="9"/>
    <n v="0"/>
    <n v="0"/>
    <s v=" "/>
    <s v="Melanor"/>
    <s v=" "/>
    <s v=" "/>
    <n v="0"/>
    <n v="0"/>
    <n v="0"/>
    <n v="0"/>
    <n v="0"/>
    <m/>
    <n v="0"/>
    <n v="0"/>
    <s v=""/>
    <s v=""/>
    <s v=""/>
    <x v="1"/>
    <x v="1"/>
    <n v="0"/>
    <m/>
    <s v="37"/>
    <s v="3233"/>
    <s v="Aica_1mk_Polos"/>
    <s v="Melanor_1sisi_pjg"/>
    <s v="414)Rangka back panel_Aica_1mk_Polos"/>
    <s v="414)Rangka back panel Ply 18mm - Aica_1mk_Polos ; Melanor_1sisi_pjg  "/>
  </r>
  <r>
    <m/>
    <m/>
    <m/>
    <m/>
    <m/>
    <m/>
    <m/>
    <m/>
    <m/>
    <m/>
    <m/>
    <m/>
    <m/>
    <m/>
    <m/>
    <m/>
    <m/>
    <m/>
    <m/>
    <m/>
    <m/>
    <m/>
    <m/>
    <m/>
    <m/>
    <m/>
    <m/>
    <m/>
    <m/>
    <m/>
    <m/>
    <m/>
    <m/>
    <m/>
    <m/>
    <m/>
    <m/>
    <m/>
    <m/>
    <m/>
    <m/>
    <m/>
    <x v="0"/>
    <x v="0"/>
    <m/>
    <m/>
    <m/>
    <m/>
    <m/>
    <m/>
    <m/>
    <m/>
  </r>
  <r>
    <s v="Set_up"/>
    <s v="[ks]"/>
    <s v="A"/>
    <s v=""/>
    <s v="•"/>
    <s v="Back Panel Rangka (rakit tukang)"/>
    <m/>
    <n v="600"/>
    <s v="x"/>
    <n v="130"/>
    <s v="x"/>
    <n v="80"/>
    <s v="600 x 130 x 80"/>
    <m/>
    <n v="1"/>
    <m/>
    <m/>
    <m/>
    <m/>
    <m/>
    <m/>
    <m/>
    <m/>
    <m/>
    <m/>
    <m/>
    <m/>
    <s v=" "/>
    <s v=" "/>
    <s v=" "/>
    <s v=" "/>
    <m/>
    <m/>
    <m/>
    <s v=""/>
    <s v=""/>
    <m/>
    <m/>
    <m/>
    <s v=""/>
    <s v=""/>
    <s v=""/>
    <x v="0"/>
    <x v="0"/>
    <s v=""/>
    <m/>
    <m/>
    <s v="3333"/>
    <s v=""/>
    <s v=" -"/>
    <s v="0) Back Panel Rangka (rakit tukang) 600"/>
    <s v="0A) Back Panel Rangka (rakit tukang)"/>
  </r>
  <r>
    <s v="prt"/>
    <s v="KS"/>
    <s v="A"/>
    <n v="0"/>
    <s v="..."/>
    <s v="Back Panel Rangka♦"/>
    <m/>
    <n v="600"/>
    <s v="x"/>
    <n v="130"/>
    <s v="x"/>
    <n v="19"/>
    <s v="600 x 130 x 19"/>
    <n v="1"/>
    <n v="1"/>
    <s v="Ply"/>
    <n v="18"/>
    <n v="5"/>
    <n v="0"/>
    <s v="DXO_1338_D"/>
    <n v="1"/>
    <s v="Polos"/>
    <n v="0"/>
    <n v="5"/>
    <n v="5"/>
    <n v="5"/>
    <n v="5"/>
    <s v="Edg_EAP_1338_DO"/>
    <s v="Edg_EAP_1338_DO"/>
    <s v="Edg_EAP_1338_DO"/>
    <s v="Edg_EAP_1338_DO"/>
    <n v="0"/>
    <n v="0"/>
    <n v="0"/>
    <n v="0"/>
    <n v="0"/>
    <m/>
    <n v="0"/>
    <n v="0"/>
    <s v=""/>
    <s v=""/>
    <s v=""/>
    <x v="1"/>
    <x v="1"/>
    <n v="0"/>
    <m/>
    <s v="93"/>
    <s v="13131313"/>
    <s v="DXO_1338_D_1mk_Polos"/>
    <s v="Edg_EAP_1338_DO_Keliling"/>
    <s v="406)Back Panel Rangka♦_DXO_1338_D_1mk_Polos"/>
    <s v="406)Back Panel Rangka♦ Ply 18mm - DXO_1338_D_1mk_Polos ; Edg_EAP_1338_DO_Keliling  "/>
  </r>
  <r>
    <s v="prt"/>
    <s v="KS"/>
    <s v="A"/>
    <n v="1"/>
    <s v="..."/>
    <s v="Rangka back panel"/>
    <m/>
    <n v="2430"/>
    <s v="x"/>
    <n v="60"/>
    <s v="x"/>
    <n v="18.5"/>
    <s v="2430 x 60 x 18,5"/>
    <n v="1"/>
    <n v="1"/>
    <s v="Ply"/>
    <n v="18"/>
    <n v="0"/>
    <n v="22"/>
    <s v="Polos"/>
    <n v="0"/>
    <s v="Aica"/>
    <n v="0.5"/>
    <n v="0"/>
    <n v="9"/>
    <n v="0"/>
    <n v="0"/>
    <s v=" "/>
    <s v="Melanor"/>
    <s v=" "/>
    <s v=" "/>
    <n v="0"/>
    <n v="0"/>
    <n v="0"/>
    <n v="0"/>
    <n v="0"/>
    <m/>
    <n v="0"/>
    <n v="0"/>
    <s v=""/>
    <s v=""/>
    <s v=""/>
    <x v="1"/>
    <x v="1"/>
    <n v="0"/>
    <m/>
    <s v="37"/>
    <s v="3233"/>
    <s v="Aica_1mk_Polos"/>
    <s v="Melanor_1sisi_pjg"/>
    <s v="414)Rangka back panel_Aica_1mk_Polos"/>
    <s v="414)Rangka back panel Ply 18mm - Aica_1mk_Polos ; Melanor_1sisi_pjg  "/>
  </r>
  <r>
    <m/>
    <m/>
    <m/>
    <m/>
    <m/>
    <m/>
    <m/>
    <m/>
    <m/>
    <m/>
    <m/>
    <m/>
    <m/>
    <m/>
    <m/>
    <m/>
    <m/>
    <m/>
    <m/>
    <m/>
    <m/>
    <m/>
    <m/>
    <m/>
    <m/>
    <m/>
    <m/>
    <m/>
    <m/>
    <m/>
    <m/>
    <m/>
    <m/>
    <m/>
    <m/>
    <m/>
    <m/>
    <m/>
    <m/>
    <m/>
    <m/>
    <m/>
    <x v="0"/>
    <x v="0"/>
    <m/>
    <m/>
    <m/>
    <m/>
    <m/>
    <m/>
    <m/>
    <m/>
  </r>
  <r>
    <m/>
    <m/>
    <m/>
    <m/>
    <m/>
    <m/>
    <m/>
    <m/>
    <m/>
    <m/>
    <m/>
    <m/>
    <m/>
    <m/>
    <m/>
    <m/>
    <m/>
    <m/>
    <m/>
    <m/>
    <m/>
    <m/>
    <m/>
    <m/>
    <m/>
    <m/>
    <m/>
    <m/>
    <m/>
    <m/>
    <m/>
    <m/>
    <m/>
    <m/>
    <m/>
    <m/>
    <m/>
    <m/>
    <m/>
    <m/>
    <m/>
    <m/>
    <x v="0"/>
    <x v="0"/>
    <m/>
    <m/>
    <m/>
    <m/>
    <m/>
    <m/>
    <m/>
    <m/>
  </r>
  <r>
    <s v="Set_up"/>
    <s v="[ks]"/>
    <s v="A"/>
    <s v=""/>
    <s v="•"/>
    <s v="Pintu Akses engsel concealed (rakit tukang)"/>
    <m/>
    <n v="2880"/>
    <s v="x"/>
    <n v="954"/>
    <s v="x"/>
    <n v="40"/>
    <s v="2880 x 954 x 40"/>
    <m/>
    <n v="1"/>
    <m/>
    <m/>
    <m/>
    <m/>
    <m/>
    <m/>
    <m/>
    <m/>
    <m/>
    <m/>
    <m/>
    <m/>
    <s v=" "/>
    <s v=" "/>
    <s v=" "/>
    <s v=" "/>
    <m/>
    <m/>
    <m/>
    <s v=""/>
    <s v=""/>
    <m/>
    <m/>
    <m/>
    <s v=""/>
    <s v=""/>
    <s v=""/>
    <x v="0"/>
    <x v="0"/>
    <s v=""/>
    <m/>
    <m/>
    <s v="3333"/>
    <s v=""/>
    <s v=" -"/>
    <s v="0) Pintu Akses engsel concealed (rakit tukang) 2880"/>
    <s v="0A) Pintu Akses engsel concealed (rakit tukang)"/>
  </r>
  <r>
    <s v="prt"/>
    <s v="KS"/>
    <s v="A"/>
    <n v="1"/>
    <s v="..."/>
    <s v="Pintu/Panel Rangka Manual"/>
    <m/>
    <n v="2430"/>
    <s v="x"/>
    <n v="954"/>
    <s v="x"/>
    <n v="12"/>
    <s v="2430 x 954 x 12"/>
    <n v="3"/>
    <n v="3"/>
    <s v="Ply"/>
    <n v="12"/>
    <n v="0"/>
    <n v="0"/>
    <s v="Polos"/>
    <n v="0"/>
    <s v="Polos"/>
    <n v="0"/>
    <n v="0"/>
    <n v="0"/>
    <n v="0"/>
    <n v="0"/>
    <s v=" "/>
    <s v=" "/>
    <s v=" "/>
    <s v=" "/>
    <n v="0"/>
    <n v="0"/>
    <n v="0"/>
    <n v="0"/>
    <n v="0"/>
    <m/>
    <n v="0"/>
    <n v="0"/>
    <s v=""/>
    <s v=""/>
    <s v=""/>
    <x v="1"/>
    <x v="1"/>
    <n v="0"/>
    <m/>
    <s v="33"/>
    <s v="3333"/>
    <s v="Polos"/>
    <s v=" -"/>
    <s v="317)Pintu/Panel Rangka Manual_Polos"/>
    <s v="317)Pintu/Panel Rangka Manual Ply 12mm - Polos ;  -  "/>
  </r>
  <r>
    <s v="prt"/>
    <s v="KS"/>
    <s v="A"/>
    <n v="1"/>
    <s v="..."/>
    <s v="End Panel Rangka"/>
    <m/>
    <n v="2430"/>
    <s v="x"/>
    <n v="24"/>
    <s v="x"/>
    <n v="18.5"/>
    <s v="2430 x 24 x 18,5"/>
    <n v="8"/>
    <n v="8"/>
    <s v="Ply"/>
    <n v="18"/>
    <n v="7"/>
    <n v="0"/>
    <s v="Duco"/>
    <n v="0.5"/>
    <s v="Polos"/>
    <n v="0"/>
    <n v="0"/>
    <n v="0"/>
    <n v="0"/>
    <n v="0"/>
    <s v=" "/>
    <s v=" "/>
    <s v=" "/>
    <s v=" "/>
    <n v="0"/>
    <n v="0"/>
    <n v="0"/>
    <n v="0"/>
    <n v="0"/>
    <m/>
    <n v="0"/>
    <n v="0"/>
    <s v=""/>
    <s v=""/>
    <m/>
    <x v="1"/>
    <x v="1"/>
    <n v="0"/>
    <m/>
    <s v="123"/>
    <s v="3333"/>
    <s v="Duco_1mk_Polos"/>
    <s v=" -"/>
    <s v="379)End Panel Rangka_Duco_1mk_Polos"/>
    <s v="379)End Panel Rangka Ply 18mm - Duco_1mk_Polos ;  -  "/>
  </r>
  <r>
    <s v="prt"/>
    <s v="KS"/>
    <s v="A"/>
    <n v="1"/>
    <s v="..."/>
    <s v="End Panel Rangka"/>
    <m/>
    <n v="2430"/>
    <s v="x"/>
    <n v="100"/>
    <s v="x"/>
    <n v="18.5"/>
    <s v="2430 x 100 x 18,5"/>
    <n v="2"/>
    <n v="2"/>
    <s v="Ply"/>
    <n v="18"/>
    <n v="7"/>
    <n v="0"/>
    <s v="Duco"/>
    <n v="0.5"/>
    <s v="Polos"/>
    <n v="0"/>
    <n v="0"/>
    <n v="0"/>
    <n v="0"/>
    <n v="0"/>
    <s v=" "/>
    <s v=" "/>
    <s v=" "/>
    <s v=" "/>
    <n v="0"/>
    <n v="0"/>
    <n v="0"/>
    <n v="0"/>
    <n v="0"/>
    <m/>
    <n v="0"/>
    <n v="0"/>
    <s v=""/>
    <s v=""/>
    <m/>
    <x v="1"/>
    <x v="1"/>
    <n v="0"/>
    <m/>
    <s v="123"/>
    <s v="3333"/>
    <s v="Duco_1mk_Polos"/>
    <s v=" -"/>
    <s v="379)End Panel Rangka_Duco_1mk_Polos"/>
    <s v="379)End Panel Rangka Ply 18mm - Duco_1mk_Polos ;  -  "/>
  </r>
  <r>
    <s v="prt"/>
    <s v="…"/>
    <s v="A"/>
    <n v="1"/>
    <s v="..."/>
    <s v="HPL Lembaran♦"/>
    <m/>
    <n v="2430"/>
    <s v="x"/>
    <n v="1220"/>
    <s v="x"/>
    <n v="18.5"/>
    <s v="2430 x 1220 x 18,5"/>
    <n v="3"/>
    <n v="3"/>
    <s v="DXO_1338_D"/>
    <n v="18"/>
    <n v="7"/>
    <n v="0"/>
    <s v="Duco"/>
    <n v="0.5"/>
    <s v="Polos"/>
    <n v="0"/>
    <n v="0"/>
    <n v="0"/>
    <n v="0"/>
    <n v="0"/>
    <s v=" "/>
    <s v=" "/>
    <s v=" "/>
    <s v=" "/>
    <n v="0"/>
    <n v="0"/>
    <n v="0"/>
    <n v="0"/>
    <n v="0"/>
    <m/>
    <n v="0"/>
    <n v="0"/>
    <s v=""/>
    <s v=""/>
    <m/>
    <x v="1"/>
    <x v="1"/>
    <n v="0"/>
    <m/>
    <s v="123"/>
    <s v="3333"/>
    <s v="Duco_1mk_Polos"/>
    <s v=" -"/>
    <s v="485)HPL Lembaran♦_Duco_1mk_Polos"/>
    <s v="485)HPL Lembaran♦ DXO_1338_D 18mm - Duco_1mk_Polos ;  -  "/>
  </r>
  <r>
    <m/>
    <m/>
    <m/>
    <m/>
    <m/>
    <m/>
    <m/>
    <m/>
    <m/>
    <m/>
    <m/>
    <m/>
    <m/>
    <m/>
    <m/>
    <m/>
    <m/>
    <m/>
    <m/>
    <m/>
    <m/>
    <m/>
    <m/>
    <m/>
    <m/>
    <m/>
    <m/>
    <m/>
    <m/>
    <m/>
    <m/>
    <m/>
    <m/>
    <m/>
    <m/>
    <m/>
    <m/>
    <m/>
    <m/>
    <m/>
    <m/>
    <m/>
    <x v="0"/>
    <x v="0"/>
    <m/>
    <m/>
    <m/>
    <m/>
    <m/>
    <m/>
    <m/>
    <m/>
  </r>
  <r>
    <s v="Set_up"/>
    <s v="[ks]"/>
    <s v="A"/>
    <s v=""/>
    <s v="•"/>
    <s v="Pintu Akses engsel concealed (rakit tukang)"/>
    <m/>
    <n v="600"/>
    <s v="x"/>
    <n v="960"/>
    <s v="x"/>
    <n v="40"/>
    <s v="600 x 960 x 40"/>
    <m/>
    <n v="1"/>
    <m/>
    <m/>
    <m/>
    <m/>
    <m/>
    <m/>
    <m/>
    <m/>
    <m/>
    <m/>
    <m/>
    <m/>
    <s v=" "/>
    <s v=" "/>
    <s v=" "/>
    <s v=" "/>
    <m/>
    <m/>
    <m/>
    <s v=""/>
    <s v=""/>
    <m/>
    <m/>
    <m/>
    <s v=""/>
    <s v=""/>
    <s v=""/>
    <x v="0"/>
    <x v="0"/>
    <s v=""/>
    <m/>
    <m/>
    <s v="3333"/>
    <s v=""/>
    <s v=" -"/>
    <s v="0) Pintu Akses engsel concealed (rakit tukang) 600"/>
    <s v="0A) Pintu Akses engsel concealed (rakit tukang)"/>
  </r>
  <r>
    <s v="prt"/>
    <s v="KS"/>
    <s v="A"/>
    <n v="1"/>
    <s v="..."/>
    <s v="Pintu/Panel Rangka Manual"/>
    <m/>
    <n v="2430"/>
    <s v="x"/>
    <n v="960"/>
    <s v="x"/>
    <n v="12"/>
    <s v="2430 x 960 x 12"/>
    <n v="1"/>
    <n v="1"/>
    <s v="Ply"/>
    <n v="12"/>
    <n v="0"/>
    <n v="0"/>
    <s v="Polos"/>
    <n v="0"/>
    <s v="Polos"/>
    <n v="0"/>
    <n v="0"/>
    <n v="0"/>
    <n v="0"/>
    <n v="0"/>
    <s v=" "/>
    <s v=" "/>
    <s v=" "/>
    <s v=" "/>
    <n v="0"/>
    <n v="0"/>
    <n v="0"/>
    <n v="0"/>
    <n v="0"/>
    <m/>
    <n v="0"/>
    <n v="0"/>
    <s v=""/>
    <s v=""/>
    <s v=""/>
    <x v="1"/>
    <x v="1"/>
    <n v="0"/>
    <m/>
    <s v="33"/>
    <s v="3333"/>
    <s v="Polos"/>
    <s v=" -"/>
    <s v="317)Pintu/Panel Rangka Manual_Polos"/>
    <s v="317)Pintu/Panel Rangka Manual Ply 12mm - Polos ;  -  "/>
  </r>
  <r>
    <s v="prt"/>
    <s v="KS"/>
    <s v="A"/>
    <n v="1"/>
    <s v="..."/>
    <s v="End Panel Rangka"/>
    <m/>
    <n v="2430"/>
    <s v="x"/>
    <n v="24"/>
    <s v="x"/>
    <n v="18.5"/>
    <s v="2430 x 24 x 18,5"/>
    <n v="4"/>
    <n v="4"/>
    <s v="Ply"/>
    <n v="18"/>
    <n v="7"/>
    <n v="0"/>
    <s v="Duco"/>
    <n v="0.5"/>
    <s v="Polos"/>
    <n v="0"/>
    <n v="0"/>
    <n v="0"/>
    <n v="0"/>
    <n v="0"/>
    <s v=" "/>
    <s v=" "/>
    <s v=" "/>
    <s v=" "/>
    <n v="0"/>
    <n v="0"/>
    <n v="0"/>
    <n v="0"/>
    <n v="0"/>
    <m/>
    <n v="0"/>
    <n v="0"/>
    <s v=""/>
    <s v=""/>
    <m/>
    <x v="1"/>
    <x v="1"/>
    <n v="0"/>
    <m/>
    <s v="123"/>
    <s v="3333"/>
    <s v="Duco_1mk_Polos"/>
    <s v=" -"/>
    <s v="379)End Panel Rangka_Duco_1mk_Polos"/>
    <s v="379)End Panel Rangka Ply 18mm - Duco_1mk_Polos ;  -  "/>
  </r>
  <r>
    <s v="prt"/>
    <s v="KS"/>
    <s v="A"/>
    <n v="1"/>
    <s v="..."/>
    <s v="End Panel Rangka"/>
    <m/>
    <n v="2430"/>
    <s v="x"/>
    <n v="100"/>
    <s v="x"/>
    <n v="18.5"/>
    <s v="2430 x 100 x 18,5"/>
    <n v="1"/>
    <n v="1"/>
    <s v="Ply"/>
    <n v="18"/>
    <n v="7"/>
    <n v="0"/>
    <s v="Duco"/>
    <n v="0.5"/>
    <s v="Polos"/>
    <n v="0"/>
    <n v="0"/>
    <n v="0"/>
    <n v="0"/>
    <n v="0"/>
    <s v=" "/>
    <s v=" "/>
    <s v=" "/>
    <s v=" "/>
    <n v="0"/>
    <n v="0"/>
    <n v="0"/>
    <n v="0"/>
    <n v="0"/>
    <m/>
    <n v="0"/>
    <n v="0"/>
    <s v=""/>
    <s v=""/>
    <m/>
    <x v="1"/>
    <x v="1"/>
    <n v="0"/>
    <m/>
    <s v="123"/>
    <s v="3333"/>
    <s v="Duco_1mk_Polos"/>
    <s v=" -"/>
    <s v="379)End Panel Rangka_Duco_1mk_Polos"/>
    <s v="379)End Panel Rangka Ply 18mm - Duco_1mk_Polos ;  -  "/>
  </r>
  <r>
    <s v="prt"/>
    <s v="…"/>
    <s v="A"/>
    <n v="1"/>
    <s v="..."/>
    <s v="HPL Lembaran♦"/>
    <m/>
    <n v="2430"/>
    <s v="x"/>
    <n v="1220"/>
    <s v="x"/>
    <n v="18.5"/>
    <s v="2430 x 1220 x 18,5"/>
    <n v="1"/>
    <n v="1"/>
    <s v="DXO_1338_D"/>
    <n v="18"/>
    <n v="7"/>
    <n v="0"/>
    <s v="Duco"/>
    <n v="0.5"/>
    <s v="Polos"/>
    <n v="0"/>
    <n v="0"/>
    <n v="0"/>
    <n v="0"/>
    <n v="0"/>
    <s v=" "/>
    <s v=" "/>
    <s v=" "/>
    <s v=" "/>
    <n v="0"/>
    <n v="0"/>
    <n v="0"/>
    <n v="0"/>
    <n v="0"/>
    <m/>
    <n v="0"/>
    <n v="0"/>
    <s v=""/>
    <s v=""/>
    <m/>
    <x v="1"/>
    <x v="1"/>
    <n v="0"/>
    <m/>
    <s v="123"/>
    <s v="3333"/>
    <s v="Duco_1mk_Polos"/>
    <s v=" -"/>
    <s v="485)HPL Lembaran♦_Duco_1mk_Polos"/>
    <s v="485)HPL Lembaran♦ DXO_1338_D 18mm - Duco_1mk_Polos ;  -  "/>
  </r>
  <r>
    <m/>
    <m/>
    <m/>
    <m/>
    <m/>
    <m/>
    <m/>
    <m/>
    <m/>
    <m/>
    <m/>
    <m/>
    <m/>
    <m/>
    <m/>
    <m/>
    <m/>
    <m/>
    <m/>
    <m/>
    <m/>
    <m/>
    <m/>
    <m/>
    <m/>
    <m/>
    <m/>
    <m/>
    <m/>
    <m/>
    <m/>
    <m/>
    <m/>
    <m/>
    <m/>
    <m/>
    <m/>
    <m/>
    <m/>
    <m/>
    <m/>
    <m/>
    <x v="0"/>
    <x v="0"/>
    <m/>
    <m/>
    <m/>
    <m/>
    <m/>
    <m/>
    <m/>
    <m/>
  </r>
  <r>
    <m/>
    <m/>
    <m/>
    <m/>
    <m/>
    <m/>
    <m/>
    <m/>
    <m/>
    <m/>
    <m/>
    <m/>
    <m/>
    <m/>
    <m/>
    <m/>
    <m/>
    <m/>
    <m/>
    <m/>
    <m/>
    <m/>
    <m/>
    <m/>
    <m/>
    <m/>
    <m/>
    <m/>
    <m/>
    <m/>
    <m/>
    <m/>
    <m/>
    <m/>
    <m/>
    <m/>
    <m/>
    <m/>
    <m/>
    <m/>
    <m/>
    <m/>
    <x v="0"/>
    <x v="0"/>
    <m/>
    <m/>
    <m/>
    <m/>
    <m/>
    <m/>
    <m/>
    <m/>
  </r>
  <r>
    <s v="prt"/>
    <s v="KS"/>
    <s v="A↕"/>
    <n v="0"/>
    <s v="••"/>
    <s v="End Panel"/>
    <m/>
    <n v="1650"/>
    <s v="x"/>
    <n v="730"/>
    <s v="x"/>
    <n v="20"/>
    <s v="1650 x 730 x 20"/>
    <n v="2"/>
    <n v="2"/>
    <s v="Ply"/>
    <n v="18"/>
    <n v="1"/>
    <n v="2"/>
    <s v="WY_5216_D(V)"/>
    <n v="1"/>
    <s v="(WY_5216_D(V) rangka……+Aica)"/>
    <n v="1"/>
    <n v="1"/>
    <n v="1"/>
    <n v="1"/>
    <n v="1"/>
    <s v="Edg_EAW_5216D1"/>
    <s v="Edg_EAW_5216D1"/>
    <s v="Edg_EAW_5216D1"/>
    <s v="Edg_EAW_5216D1"/>
    <n v="0"/>
    <n v="0"/>
    <n v="0"/>
    <n v="0"/>
    <n v="0"/>
    <m/>
    <n v="0"/>
    <n v="0"/>
    <s v=""/>
    <s v=""/>
    <s v=""/>
    <x v="1"/>
    <x v="1"/>
    <n v="0"/>
    <m/>
    <s v="14"/>
    <s v="4444"/>
    <s v="WY_5216_D(V)_Full 1mk (WY_5216_D(V) rangka……+Aica)"/>
    <s v="Edg_EAW_5216D1_Keliling"/>
    <s v="369)End Panel_WY_5216_D(V)_Full 1mk (WY_5216_D(V) rangka……+Aica)"/>
    <s v="369)End Panel Ply 18mm - WY_5216_D(V)_Full 1mk (WY_5216_D(V) rangka……+Aica) ; Edg_EAW_5216D1_Keliling  "/>
  </r>
  <r>
    <s v="prt"/>
    <s v="KS"/>
    <s v="A↕"/>
    <n v="0"/>
    <s v="••"/>
    <s v="End Panel"/>
    <m/>
    <n v="1840"/>
    <s v="x"/>
    <n v="730"/>
    <s v="x"/>
    <n v="20"/>
    <s v="1840 x 730 x 20"/>
    <n v="2"/>
    <n v="2"/>
    <s v="Ply"/>
    <n v="18"/>
    <n v="1"/>
    <n v="2"/>
    <s v="WY_5216_D(V)"/>
    <n v="1"/>
    <s v="(WY_5216_D(V) rangka……+Aica)"/>
    <n v="1"/>
    <n v="1"/>
    <n v="1"/>
    <n v="1"/>
    <n v="1"/>
    <s v="Edg_EAW_5216D1"/>
    <s v="Edg_EAW_5216D1"/>
    <s v="Edg_EAW_5216D1"/>
    <s v="Edg_EAW_5216D1"/>
    <n v="0"/>
    <n v="0"/>
    <n v="0"/>
    <n v="0"/>
    <n v="0"/>
    <m/>
    <n v="0"/>
    <n v="0"/>
    <s v=""/>
    <s v=""/>
    <s v=""/>
    <x v="1"/>
    <x v="1"/>
    <n v="0"/>
    <m/>
    <s v="14"/>
    <s v="4444"/>
    <s v="WY_5216_D(V)_Full 1mk (WY_5216_D(V) rangka……+Aica)"/>
    <s v="Edg_EAW_5216D1_Keliling"/>
    <s v="369)End Panel_WY_5216_D(V)_Full 1mk (WY_5216_D(V) rangka……+Aica)"/>
    <s v="369)End Panel Ply 18mm - WY_5216_D(V)_Full 1mk (WY_5216_D(V) rangka……+Aica) ; Edg_EAW_5216D1_Keliling  "/>
  </r>
  <r>
    <m/>
    <m/>
    <m/>
    <m/>
    <m/>
    <m/>
    <m/>
    <m/>
    <m/>
    <m/>
    <m/>
    <m/>
    <m/>
    <m/>
    <m/>
    <m/>
    <m/>
    <m/>
    <m/>
    <m/>
    <m/>
    <m/>
    <m/>
    <m/>
    <m/>
    <m/>
    <m/>
    <m/>
    <m/>
    <m/>
    <m/>
    <m/>
    <m/>
    <m/>
    <m/>
    <m/>
    <m/>
    <m/>
    <m/>
    <m/>
    <m/>
    <m/>
    <x v="0"/>
    <x v="0"/>
    <m/>
    <m/>
    <m/>
    <m/>
    <m/>
    <m/>
    <m/>
    <m/>
  </r>
  <r>
    <s v="prt"/>
    <s v="KS"/>
    <s v="A"/>
    <n v="0"/>
    <s v="•••"/>
    <s v="Palang tengah/nat handel│"/>
    <m/>
    <n v="602"/>
    <s v="x"/>
    <n v="50"/>
    <s v="x"/>
    <n v="19.5"/>
    <s v="602 x 50 x 19,5"/>
    <n v="2"/>
    <n v="2"/>
    <s v="Ply"/>
    <n v="18"/>
    <n v="1"/>
    <n v="11"/>
    <s v="WY_5216_D(V)"/>
    <n v="1"/>
    <s v="HB_41130"/>
    <n v="0.5"/>
    <n v="1"/>
    <n v="1"/>
    <n v="0"/>
    <n v="0"/>
    <s v="Edg_EAW_5216D1"/>
    <s v="Edg_EAW_5216D1"/>
    <s v=" "/>
    <s v=" "/>
    <n v="0"/>
    <n v="0"/>
    <n v="0"/>
    <n v="0"/>
    <n v="0"/>
    <m/>
    <n v="0"/>
    <n v="0"/>
    <s v=""/>
    <s v=""/>
    <s v=""/>
    <x v="1"/>
    <x v="1"/>
    <n v="0"/>
    <m/>
    <s v="12"/>
    <s v="4433"/>
    <s v="WY_5216_D(V)_+_HB_41130"/>
    <s v="Edg_EAW_5216D1_2sisi_pjg"/>
    <s v="457)Palang tengah/nat handel│_WY_5216_D(V)_+_HB_41130"/>
    <s v="457)Palang tengah/nat handel│ Ply 18mm - WY_5216_D(V)_+_HB_41130 ; Edg_EAW_5216D1_2sisi_pjg  "/>
  </r>
  <r>
    <s v="prt"/>
    <s v="KS"/>
    <s v="A"/>
    <n v="0"/>
    <s v="•••"/>
    <s v="Palang tengah/nat handel│"/>
    <m/>
    <n v="1908"/>
    <s v="x"/>
    <n v="70"/>
    <s v="x"/>
    <n v="19.5"/>
    <s v="1908 x 70 x 19,5"/>
    <n v="1"/>
    <n v="1"/>
    <s v="Ply"/>
    <n v="18"/>
    <n v="1"/>
    <n v="11"/>
    <s v="WY_5216_D(V)"/>
    <n v="1"/>
    <s v="HB_41130"/>
    <n v="0.5"/>
    <n v="1"/>
    <n v="1"/>
    <n v="0"/>
    <n v="0"/>
    <s v="Edg_EAW_5216D1"/>
    <s v="Edg_EAW_5216D1"/>
    <s v=" "/>
    <s v=" "/>
    <n v="0"/>
    <n v="0"/>
    <n v="0"/>
    <n v="0"/>
    <n v="0"/>
    <m/>
    <n v="0"/>
    <n v="0"/>
    <s v=""/>
    <s v=""/>
    <s v=""/>
    <x v="1"/>
    <x v="1"/>
    <n v="0"/>
    <m/>
    <s v="12"/>
    <s v="4433"/>
    <s v="WY_5216_D(V)_+_HB_41130"/>
    <s v="Edg_EAW_5216D1_2sisi_pjg"/>
    <s v="457)Palang tengah/nat handel│_WY_5216_D(V)_+_HB_41130"/>
    <s v="457)Palang tengah/nat handel│ Ply 18mm - WY_5216_D(V)_+_HB_41130 ; Edg_EAW_5216D1_2sisi_pjg  "/>
  </r>
  <r>
    <s v="prt"/>
    <s v="KS"/>
    <s v="A"/>
    <n v="0"/>
    <s v="•••"/>
    <s v="Palang tengah/nat handel│"/>
    <m/>
    <n v="2430"/>
    <s v="x"/>
    <n v="50"/>
    <s v="x"/>
    <n v="19.5"/>
    <s v="2430 x 50 x 19,5"/>
    <n v="3"/>
    <n v="3"/>
    <s v="Ply"/>
    <n v="18"/>
    <n v="1"/>
    <n v="11"/>
    <s v="WY_5216_D(V)"/>
    <n v="1"/>
    <s v="HB_41130"/>
    <n v="0.5"/>
    <n v="1"/>
    <n v="1"/>
    <n v="0"/>
    <n v="0"/>
    <s v="Edg_EAW_5216D1"/>
    <s v="Edg_EAW_5216D1"/>
    <s v=" "/>
    <s v=" "/>
    <n v="0"/>
    <n v="0"/>
    <n v="0"/>
    <n v="0"/>
    <n v="0"/>
    <m/>
    <n v="0"/>
    <n v="0"/>
    <s v=""/>
    <s v=""/>
    <s v=""/>
    <x v="1"/>
    <x v="1"/>
    <n v="0"/>
    <m/>
    <s v="12"/>
    <s v="4433"/>
    <s v="WY_5216_D(V)_+_HB_41130"/>
    <s v="Edg_EAW_5216D1_2sisi_pjg"/>
    <s v="457)Palang tengah/nat handel│_WY_5216_D(V)_+_HB_41130"/>
    <s v="457)Palang tengah/nat handel│ Ply 18mm - WY_5216_D(V)_+_HB_41130 ; Edg_EAW_5216D1_2sisi_pjg  "/>
  </r>
  <r>
    <m/>
    <m/>
    <m/>
    <m/>
    <m/>
    <m/>
    <m/>
    <m/>
    <m/>
    <m/>
    <m/>
    <m/>
    <m/>
    <m/>
    <m/>
    <m/>
    <m/>
    <m/>
    <m/>
    <m/>
    <m/>
    <m/>
    <m/>
    <m/>
    <m/>
    <m/>
    <m/>
    <m/>
    <m/>
    <m/>
    <m/>
    <m/>
    <m/>
    <m/>
    <m/>
    <m/>
    <m/>
    <m/>
    <m/>
    <m/>
    <m/>
    <m/>
    <x v="0"/>
    <x v="0"/>
    <m/>
    <m/>
    <m/>
    <m/>
    <m/>
    <m/>
    <m/>
    <m/>
  </r>
  <r>
    <s v="prt"/>
    <s v="KS"/>
    <s v="A"/>
    <n v="0"/>
    <s v="•••"/>
    <s v="Dummies Luar"/>
    <m/>
    <n v="760"/>
    <s v="x"/>
    <n v="40"/>
    <s v="x"/>
    <n v="21.5"/>
    <s v="760 x 40 x 21,5"/>
    <n v="1"/>
    <n v="1"/>
    <s v="Ply"/>
    <n v="20"/>
    <n v="1"/>
    <n v="22"/>
    <s v="WY_5216_D(V)"/>
    <n v="1"/>
    <s v="Aica"/>
    <n v="0.5"/>
    <n v="2"/>
    <n v="2"/>
    <n v="2"/>
    <n v="2"/>
    <s v="Edg_EAW_5216_D1(44x1)"/>
    <s v="Edg_EAW_5216_D1(44x1)"/>
    <s v="Edg_EAW_5216_D1(44x1)"/>
    <s v="Edg_EAW_5216_D1(44x1)"/>
    <n v="0"/>
    <n v="0"/>
    <n v="0"/>
    <n v="0"/>
    <n v="0"/>
    <m/>
    <n v="0"/>
    <n v="0"/>
    <s v=""/>
    <s v=""/>
    <s v=""/>
    <x v="1"/>
    <x v="1"/>
    <n v="0"/>
    <m/>
    <s v="17"/>
    <s v="9999"/>
    <s v="WY_5216_D(V)+Aica"/>
    <s v="Edg_EAW_5216_D1(44x1)_Keliling"/>
    <s v="439)Dummies Luar_WY_5216_D(V)+Aica"/>
    <s v="439)Dummies Luar Ply 20mm - WY_5216_D(V)+Aica ; Edg_EAW_5216_D1(44x1)_Keliling  "/>
  </r>
  <r>
    <s v="prt"/>
    <s v="KS"/>
    <s v="A"/>
    <n v="0"/>
    <s v="•••"/>
    <s v="Dummies Luar"/>
    <m/>
    <n v="1210"/>
    <s v="x"/>
    <n v="40"/>
    <s v="x"/>
    <n v="21.5"/>
    <s v="1210 x 40 x 21,5"/>
    <n v="1"/>
    <n v="1"/>
    <s v="Ply"/>
    <n v="20"/>
    <n v="1"/>
    <n v="22"/>
    <s v="WY_5216_D(V)"/>
    <n v="1"/>
    <s v="Aica"/>
    <n v="0.5"/>
    <n v="2"/>
    <n v="2"/>
    <n v="2"/>
    <n v="2"/>
    <s v="Edg_EAW_5216_D1(44x1)"/>
    <s v="Edg_EAW_5216_D1(44x1)"/>
    <s v="Edg_EAW_5216_D1(44x1)"/>
    <s v="Edg_EAW_5216_D1(44x1)"/>
    <n v="0"/>
    <n v="0"/>
    <n v="0"/>
    <n v="0"/>
    <n v="0"/>
    <m/>
    <n v="0"/>
    <n v="0"/>
    <s v=""/>
    <s v=""/>
    <s v=""/>
    <x v="1"/>
    <x v="1"/>
    <n v="0"/>
    <m/>
    <s v="17"/>
    <s v="9999"/>
    <s v="WY_5216_D(V)+Aica"/>
    <s v="Edg_EAW_5216_D1(44x1)_Keliling"/>
    <s v="439)Dummies Luar_WY_5216_D(V)+Aica"/>
    <s v="439)Dummies Luar Ply 20mm - WY_5216_D(V)+Aica ; Edg_EAW_5216_D1(44x1)_Keliling  "/>
  </r>
  <r>
    <s v="prt"/>
    <s v="KS"/>
    <s v="A"/>
    <n v="0"/>
    <s v="•••"/>
    <s v="Dummies Luar"/>
    <m/>
    <n v="500"/>
    <s v="x"/>
    <n v="40"/>
    <s v="x"/>
    <n v="21.5"/>
    <s v="500 x 40 x 21,5"/>
    <n v="1"/>
    <n v="1"/>
    <s v="Ply"/>
    <n v="20"/>
    <n v="1"/>
    <n v="22"/>
    <s v="WY_5216_D(V)"/>
    <n v="1"/>
    <s v="Aica"/>
    <n v="0.5"/>
    <n v="2"/>
    <n v="2"/>
    <n v="2"/>
    <n v="2"/>
    <s v="Edg_EAW_5216_D1(44x1)"/>
    <s v="Edg_EAW_5216_D1(44x1)"/>
    <s v="Edg_EAW_5216_D1(44x1)"/>
    <s v="Edg_EAW_5216_D1(44x1)"/>
    <n v="0"/>
    <n v="0"/>
    <n v="0"/>
    <n v="0"/>
    <n v="0"/>
    <m/>
    <n v="0"/>
    <n v="0"/>
    <s v=""/>
    <s v=""/>
    <s v=""/>
    <x v="1"/>
    <x v="1"/>
    <n v="0"/>
    <m/>
    <s v="17"/>
    <s v="9999"/>
    <s v="WY_5216_D(V)+Aica"/>
    <s v="Edg_EAW_5216_D1(44x1)_Keliling"/>
    <s v="439)Dummies Luar_WY_5216_D(V)+Aica"/>
    <s v="439)Dummies Luar Ply 20mm - WY_5216_D(V)+Aica ; Edg_EAW_5216_D1(44x1)_Keliling  "/>
  </r>
  <r>
    <m/>
    <m/>
    <m/>
    <m/>
    <m/>
    <m/>
    <m/>
    <m/>
    <m/>
    <m/>
    <m/>
    <m/>
    <m/>
    <m/>
    <m/>
    <m/>
    <m/>
    <m/>
    <m/>
    <m/>
    <m/>
    <m/>
    <m/>
    <m/>
    <m/>
    <m/>
    <m/>
    <m/>
    <m/>
    <m/>
    <m/>
    <m/>
    <m/>
    <m/>
    <m/>
    <m/>
    <m/>
    <m/>
    <m/>
    <m/>
    <m/>
    <m/>
    <x v="0"/>
    <x v="0"/>
    <m/>
    <m/>
    <m/>
    <m/>
    <m/>
    <m/>
    <m/>
    <m/>
  </r>
  <r>
    <s v="prt"/>
    <s v="KS"/>
    <s v="A"/>
    <n v="0"/>
    <s v="•••"/>
    <s v="Plinth/Uppertop"/>
    <m/>
    <n v="2430"/>
    <s v="x"/>
    <n v="100"/>
    <s v="x"/>
    <n v="19"/>
    <s v="2430 x 100 x 19"/>
    <n v="3"/>
    <n v="3"/>
    <s v="Ply"/>
    <n v="18"/>
    <n v="1"/>
    <n v="0"/>
    <s v="WY_5216_D(V)"/>
    <n v="1"/>
    <s v="Polos"/>
    <n v="0"/>
    <n v="1"/>
    <n v="0"/>
    <n v="0"/>
    <n v="0"/>
    <s v="Edg_EAW_5216D1"/>
    <s v=" "/>
    <s v=" "/>
    <s v=" "/>
    <n v="0"/>
    <n v="0"/>
    <n v="0"/>
    <n v="0"/>
    <n v="0"/>
    <m/>
    <n v="0"/>
    <n v="0"/>
    <s v=""/>
    <s v=""/>
    <s v=""/>
    <x v="1"/>
    <x v="1"/>
    <n v="0"/>
    <m/>
    <s v="13"/>
    <s v="4333"/>
    <s v="WY_5216_D(V)_1mk_Polos"/>
    <s v="Edg_EAW_5216D1_1sisi_pjg"/>
    <s v="462)Plinth/Uppertop_WY_5216_D(V)_1mk_Polos"/>
    <s v="462)Plinth/Uppertop Ply 18mm - WY_5216_D(V)_1mk_Polos ; Edg_EAW_5216D1_1sisi_pjg  "/>
  </r>
  <r>
    <s v="prt"/>
    <s v="KS"/>
    <s v="A"/>
    <n v="0"/>
    <s v="•••"/>
    <s v="Dummies"/>
    <m/>
    <n v="2430"/>
    <s v="x"/>
    <n v="70"/>
    <s v="x"/>
    <n v="19"/>
    <s v="2430 x 70 x 19"/>
    <n v="4"/>
    <n v="4"/>
    <s v="Ply"/>
    <n v="18"/>
    <n v="1"/>
    <n v="0"/>
    <s v="WY_5216_D(V)"/>
    <n v="1"/>
    <s v="Polos"/>
    <n v="0"/>
    <n v="0"/>
    <n v="0"/>
    <n v="0"/>
    <n v="0"/>
    <s v=" "/>
    <s v=" "/>
    <s v=" "/>
    <s v=" "/>
    <n v="0"/>
    <n v="0"/>
    <n v="0"/>
    <n v="0"/>
    <n v="0"/>
    <m/>
    <n v="0"/>
    <n v="0"/>
    <s v=""/>
    <s v=""/>
    <s v=""/>
    <x v="1"/>
    <x v="1"/>
    <n v="0"/>
    <m/>
    <s v="13"/>
    <s v="3333"/>
    <s v="WY_5216_D(V)_1mk_Polos"/>
    <s v=" -"/>
    <s v="435)Dummies_WY_5216_D(V)_1mk_Polos"/>
    <s v="435)Dummies Ply 18mm - WY_5216_D(V)_1mk_Polos ;  -  "/>
  </r>
  <r>
    <s v="prt"/>
    <s v="KS"/>
    <s v="A"/>
    <n v="0"/>
    <s v="•••"/>
    <s v="Dummies"/>
    <m/>
    <n v="2430"/>
    <s v="x"/>
    <n v="30"/>
    <s v="x"/>
    <n v="19"/>
    <s v="2430 x 30 x 19"/>
    <n v="4"/>
    <n v="4"/>
    <s v="Ply"/>
    <n v="18"/>
    <n v="1"/>
    <n v="0"/>
    <s v="WY_5216_D(V)"/>
    <n v="1"/>
    <s v="Polos"/>
    <n v="0"/>
    <n v="0"/>
    <n v="0"/>
    <n v="0"/>
    <n v="0"/>
    <s v=" "/>
    <s v=" "/>
    <s v=" "/>
    <s v=" "/>
    <n v="0"/>
    <n v="0"/>
    <n v="0"/>
    <n v="0"/>
    <n v="0"/>
    <m/>
    <n v="0"/>
    <n v="0"/>
    <s v=""/>
    <s v=""/>
    <s v=""/>
    <x v="1"/>
    <x v="1"/>
    <n v="0"/>
    <m/>
    <s v="13"/>
    <s v="3333"/>
    <s v="WY_5216_D(V)_1mk_Polos"/>
    <s v=" -"/>
    <s v="435)Dummies_WY_5216_D(V)_1mk_Polos"/>
    <s v="435)Dummies Ply 18mm - WY_5216_D(V)_1mk_Polos ;  -  "/>
  </r>
  <r>
    <m/>
    <m/>
    <m/>
    <m/>
    <m/>
    <m/>
    <m/>
    <m/>
    <m/>
    <m/>
    <m/>
    <m/>
    <m/>
    <m/>
    <m/>
    <m/>
    <m/>
    <m/>
    <m/>
    <m/>
    <m/>
    <m/>
    <m/>
    <m/>
    <m/>
    <m/>
    <m/>
    <m/>
    <m/>
    <m/>
    <m/>
    <m/>
    <m/>
    <m/>
    <m/>
    <m/>
    <m/>
    <m/>
    <m/>
    <m/>
    <m/>
    <m/>
    <x v="0"/>
    <x v="0"/>
    <m/>
    <m/>
    <m/>
    <m/>
    <m/>
    <m/>
    <m/>
    <m/>
  </r>
  <r>
    <m/>
    <m/>
    <m/>
    <m/>
    <m/>
    <m/>
    <m/>
    <m/>
    <m/>
    <m/>
    <m/>
    <m/>
    <m/>
    <m/>
    <m/>
    <m/>
    <m/>
    <m/>
    <m/>
    <m/>
    <m/>
    <m/>
    <m/>
    <m/>
    <m/>
    <m/>
    <m/>
    <m/>
    <m/>
    <m/>
    <m/>
    <m/>
    <m/>
    <m/>
    <m/>
    <m/>
    <m/>
    <m/>
    <m/>
    <m/>
    <m/>
    <m/>
    <x v="0"/>
    <x v="0"/>
    <m/>
    <m/>
    <m/>
    <m/>
    <m/>
    <m/>
    <m/>
    <m/>
  </r>
  <r>
    <s v="prt"/>
    <s v="─"/>
    <s v="A"/>
    <n v="0"/>
    <s v="••"/>
    <s v="Cover Panel / Pelmet•"/>
    <s v="(alur_M_led_Blk)"/>
    <n v="1025"/>
    <s v="x"/>
    <n v="400"/>
    <s v="x"/>
    <n v="19"/>
    <s v="1025 x 400 x 19"/>
    <n v="1"/>
    <n v="1"/>
    <s v="Ply"/>
    <n v="18"/>
    <n v="3"/>
    <n v="0"/>
    <s v="L-FA_0206_AP"/>
    <n v="1"/>
    <s v="Polos"/>
    <n v="0"/>
    <n v="3"/>
    <n v="0"/>
    <n v="0"/>
    <n v="0"/>
    <s v="Edg_DSS_00206_SM"/>
    <s v=" "/>
    <s v=" "/>
    <s v=" "/>
    <n v="0"/>
    <n v="0"/>
    <n v="0"/>
    <n v="0"/>
    <n v="0"/>
    <m/>
    <n v="0"/>
    <n v="0"/>
    <s v="M-LED-02 Brown Doff ( Alm. 75111 ) P3"/>
    <n v="0"/>
    <n v="0"/>
    <x v="1"/>
    <x v="1"/>
    <n v="0"/>
    <m/>
    <s v="63"/>
    <s v="10333"/>
    <s v="L-FA_0206_AP_1mk_Polos"/>
    <s v="Edg_DSS_00206_SM_1sisi_pjg"/>
    <s v="367)Cover Panel / Pelmet•_L-FA_0206_AP_1mk_Polos"/>
    <s v="367)Cover Panel / Pelmet• Ply 18mm - L-FA_0206_AP_1mk_Polos ; Edg_DSS_00206_SM_1sisi_pjg  (alur_M_led_Blk)"/>
  </r>
  <r>
    <s v="prt"/>
    <s v="─"/>
    <s v="A"/>
    <n v="0"/>
    <s v="••"/>
    <s v="Cover Panel / Pelmet•"/>
    <s v="(alur_M_led_Blk)"/>
    <n v="1721"/>
    <s v="x"/>
    <n v="400"/>
    <s v="x"/>
    <n v="19"/>
    <s v="1721 x 400 x 19"/>
    <n v="1"/>
    <n v="1"/>
    <s v="Ply"/>
    <n v="18"/>
    <n v="3"/>
    <n v="0"/>
    <s v="L-FA_0206_AP"/>
    <n v="1"/>
    <s v="Polos"/>
    <n v="0"/>
    <n v="3"/>
    <n v="0"/>
    <n v="0"/>
    <n v="0"/>
    <s v="Edg_DSS_00206_SM"/>
    <s v=" "/>
    <s v=" "/>
    <s v=" "/>
    <n v="0"/>
    <n v="0"/>
    <n v="0"/>
    <n v="0"/>
    <n v="0"/>
    <m/>
    <n v="0"/>
    <n v="0"/>
    <s v="M-LED-02 Brown Doff ( Alm. 75111 ) P3"/>
    <n v="0"/>
    <n v="0"/>
    <x v="1"/>
    <x v="1"/>
    <n v="0"/>
    <m/>
    <s v="63"/>
    <s v="10333"/>
    <s v="L-FA_0206_AP_1mk_Polos"/>
    <s v="Edg_DSS_00206_SM_1sisi_pjg"/>
    <s v="367)Cover Panel / Pelmet•_L-FA_0206_AP_1mk_Polos"/>
    <s v="367)Cover Panel / Pelmet• Ply 18mm - L-FA_0206_AP_1mk_Polos ; Edg_DSS_00206_SM_1sisi_pjg  (alur_M_led_Blk)"/>
  </r>
  <r>
    <m/>
    <m/>
    <m/>
    <m/>
    <m/>
    <m/>
    <m/>
    <m/>
    <m/>
    <m/>
    <m/>
    <m/>
    <m/>
    <m/>
    <m/>
    <m/>
    <m/>
    <m/>
    <m/>
    <m/>
    <m/>
    <m/>
    <m/>
    <m/>
    <m/>
    <m/>
    <m/>
    <m/>
    <m/>
    <m/>
    <m/>
    <m/>
    <m/>
    <m/>
    <m/>
    <m/>
    <m/>
    <m/>
    <m/>
    <m/>
    <m/>
    <m/>
    <x v="0"/>
    <x v="0"/>
    <m/>
    <m/>
    <m/>
    <m/>
    <m/>
    <m/>
    <m/>
    <m/>
  </r>
  <r>
    <s v="prt"/>
    <s v="─"/>
    <s v="A»"/>
    <n v="0"/>
    <s v="••"/>
    <s v="Cover Panel / Pelmet"/>
    <m/>
    <n v="1948"/>
    <s v="x"/>
    <n v="210"/>
    <s v="x"/>
    <n v="19"/>
    <s v="1948 x 210 x 19"/>
    <n v="1"/>
    <n v="1"/>
    <s v="Ply"/>
    <n v="18"/>
    <n v="1"/>
    <n v="0"/>
    <s v="WY_5216_D(V)"/>
    <n v="1"/>
    <s v="Polos"/>
    <n v="0"/>
    <n v="1"/>
    <n v="0"/>
    <n v="0"/>
    <n v="0"/>
    <s v="Edg_EAW_5216D1"/>
    <s v=" "/>
    <s v=" "/>
    <s v=" "/>
    <n v="0"/>
    <n v="0"/>
    <n v="0"/>
    <n v="0"/>
    <n v="0"/>
    <m/>
    <n v="0"/>
    <n v="0"/>
    <s v=""/>
    <s v=""/>
    <s v=""/>
    <x v="1"/>
    <x v="1"/>
    <n v="0"/>
    <m/>
    <s v="13"/>
    <s v="4333"/>
    <s v="WY_5216_D(V)_1mk_Polos"/>
    <s v="Edg_EAW_5216D1_1sisi_pjg"/>
    <s v="366)Cover Panel / Pelmet_WY_5216_D(V)_1mk_Polos"/>
    <s v="366)Cover Panel / Pelmet Ply 18mm - WY_5216_D(V)_1mk_Polos ; Edg_EAW_5216D1_1sisi_pjg  "/>
  </r>
  <r>
    <s v="prt"/>
    <s v="─"/>
    <s v="A«"/>
    <n v="0"/>
    <s v="••"/>
    <s v="Cover Panel / Pelmet"/>
    <m/>
    <n v="1790"/>
    <s v="x"/>
    <n v="210"/>
    <s v="x"/>
    <n v="19"/>
    <s v="1790 x 210 x 19"/>
    <n v="1"/>
    <n v="1"/>
    <s v="Ply"/>
    <n v="18"/>
    <n v="1"/>
    <n v="0"/>
    <s v="WY_5216_D(V)"/>
    <n v="1"/>
    <s v="Polos"/>
    <n v="0"/>
    <n v="1"/>
    <n v="0"/>
    <n v="0"/>
    <n v="0"/>
    <s v="Edg_EAW_5216D1"/>
    <s v=" "/>
    <s v=" "/>
    <s v=" "/>
    <n v="0"/>
    <n v="0"/>
    <n v="0"/>
    <n v="0"/>
    <n v="0"/>
    <m/>
    <n v="0"/>
    <n v="0"/>
    <s v=""/>
    <s v=""/>
    <s v=""/>
    <x v="1"/>
    <x v="1"/>
    <n v="0"/>
    <m/>
    <s v="13"/>
    <s v="4333"/>
    <s v="WY_5216_D(V)_1mk_Polos"/>
    <s v="Edg_EAW_5216D1_1sisi_pjg"/>
    <s v="366)Cover Panel / Pelmet_WY_5216_D(V)_1mk_Polos"/>
    <s v="366)Cover Panel / Pelmet Ply 18mm - WY_5216_D(V)_1mk_Polos ; Edg_EAW_5216D1_1sisi_pjg  "/>
  </r>
  <r>
    <m/>
    <m/>
    <m/>
    <m/>
    <m/>
    <m/>
    <m/>
    <m/>
    <m/>
    <m/>
    <m/>
    <m/>
    <m/>
    <m/>
    <m/>
    <m/>
    <m/>
    <m/>
    <m/>
    <m/>
    <m/>
    <m/>
    <m/>
    <m/>
    <m/>
    <m/>
    <m/>
    <m/>
    <m/>
    <m/>
    <m/>
    <m/>
    <m/>
    <m/>
    <m/>
    <m/>
    <m/>
    <m/>
    <m/>
    <m/>
    <m/>
    <m/>
    <x v="0"/>
    <x v="0"/>
    <m/>
    <m/>
    <m/>
    <m/>
    <m/>
    <m/>
    <m/>
    <m/>
  </r>
  <r>
    <s v="prt"/>
    <s v="KS"/>
    <s v="A"/>
    <n v="1"/>
    <s v="••"/>
    <s v="Tutup Kabinet Bawah"/>
    <m/>
    <n v="2370"/>
    <s v="x"/>
    <n v="588"/>
    <s v="x"/>
    <n v="27.5"/>
    <s v="2370 x 588 x 27,5"/>
    <n v="1"/>
    <n v="1"/>
    <s v="Ply"/>
    <n v="27"/>
    <n v="0"/>
    <n v="22"/>
    <s v="Polos"/>
    <n v="0"/>
    <s v="Aica"/>
    <n v="0.5"/>
    <n v="1"/>
    <n v="0"/>
    <n v="0"/>
    <n v="0"/>
    <s v="Edg_EAW_5216D1"/>
    <s v=" "/>
    <s v=" "/>
    <s v=" "/>
    <n v="0"/>
    <n v="0"/>
    <n v="0"/>
    <n v="0"/>
    <n v="0"/>
    <m/>
    <n v="0"/>
    <n v="0"/>
    <s v=""/>
    <s v=""/>
    <s v=""/>
    <x v="1"/>
    <x v="1"/>
    <n v="0"/>
    <m/>
    <s v="37"/>
    <s v="4333"/>
    <s v="Aica_1mk_Polos"/>
    <s v="Edg_EAW_5216D1_1sisi_pjg"/>
    <s v="433)Tutup Kabinet Bawah_Aica_1mk_Polos"/>
    <s v="433)Tutup Kabinet Bawah Ply 27mm - Aica_1mk_Polos ; Edg_EAW_5216D1_1sisi_pjg  "/>
  </r>
  <r>
    <s v="prt"/>
    <s v="KS"/>
    <s v="A"/>
    <n v="1"/>
    <s v="••"/>
    <s v="Tutup Kabinet Bawah"/>
    <m/>
    <n v="1318"/>
    <s v="x"/>
    <n v="588"/>
    <s v="x"/>
    <n v="27.5"/>
    <s v="1318 x 588 x 27,5"/>
    <n v="1"/>
    <n v="1"/>
    <s v="Ply"/>
    <n v="27"/>
    <n v="0"/>
    <n v="22"/>
    <s v="Polos"/>
    <n v="0"/>
    <s v="Aica"/>
    <n v="0.5"/>
    <n v="1"/>
    <n v="0"/>
    <n v="0"/>
    <n v="0"/>
    <s v="Edg_EAW_5216D1"/>
    <s v=" "/>
    <s v=" "/>
    <s v=" "/>
    <n v="0"/>
    <n v="0"/>
    <n v="0"/>
    <n v="0"/>
    <n v="0"/>
    <m/>
    <n v="0"/>
    <n v="0"/>
    <s v=""/>
    <s v=""/>
    <s v=""/>
    <x v="1"/>
    <x v="1"/>
    <n v="0"/>
    <m/>
    <s v="37"/>
    <s v="4333"/>
    <s v="Aica_1mk_Polos"/>
    <s v="Edg_EAW_5216D1_1sisi_pjg"/>
    <s v="433)Tutup Kabinet Bawah_Aica_1mk_Polos"/>
    <s v="433)Tutup Kabinet Bawah Ply 27mm - Aica_1mk_Polos ; Edg_EAW_5216D1_1sisi_pjg  "/>
  </r>
  <r>
    <m/>
    <m/>
    <m/>
    <m/>
    <m/>
    <m/>
    <m/>
    <m/>
    <m/>
    <m/>
    <m/>
    <m/>
    <m/>
    <m/>
    <m/>
    <m/>
    <m/>
    <m/>
    <m/>
    <m/>
    <m/>
    <m/>
    <m/>
    <m/>
    <m/>
    <m/>
    <m/>
    <m/>
    <m/>
    <m/>
    <m/>
    <m/>
    <m/>
    <m/>
    <m/>
    <m/>
    <m/>
    <m/>
    <m/>
    <m/>
    <m/>
    <m/>
    <x v="0"/>
    <x v="0"/>
    <m/>
    <m/>
    <m/>
    <m/>
    <m/>
    <m/>
    <m/>
    <m/>
  </r>
  <r>
    <m/>
    <m/>
    <m/>
    <m/>
    <m/>
    <m/>
    <m/>
    <m/>
    <m/>
    <m/>
    <m/>
    <m/>
    <m/>
    <m/>
    <m/>
    <m/>
    <m/>
    <m/>
    <m/>
    <m/>
    <m/>
    <m/>
    <m/>
    <m/>
    <m/>
    <m/>
    <m/>
    <m/>
    <m/>
    <m/>
    <m/>
    <m/>
    <m/>
    <m/>
    <m/>
    <m/>
    <m/>
    <m/>
    <m/>
    <m/>
    <m/>
    <m/>
    <x v="0"/>
    <x v="0"/>
    <m/>
    <m/>
    <m/>
    <m/>
    <m/>
    <m/>
    <m/>
    <m/>
  </r>
  <r>
    <s v="prt"/>
    <s v="KS"/>
    <s v="B"/>
    <n v="0"/>
    <s v="••"/>
    <s v="End Panel"/>
    <m/>
    <n v="860"/>
    <s v="x"/>
    <n v="585"/>
    <s v="x"/>
    <n v="20"/>
    <s v="860 x 585 x 20"/>
    <n v="1"/>
    <n v="1"/>
    <s v="Ply"/>
    <n v="18"/>
    <n v="1"/>
    <n v="2"/>
    <s v="WY_5216_D(V)"/>
    <n v="1"/>
    <s v="(WY_5216_D(V) rangka……+Aica)"/>
    <n v="1"/>
    <n v="1"/>
    <n v="1"/>
    <n v="1"/>
    <n v="1"/>
    <s v="Edg_EAW_5216D1"/>
    <s v="Edg_EAW_5216D1"/>
    <s v="Edg_EAW_5216D1"/>
    <s v="Edg_EAW_5216D1"/>
    <n v="0"/>
    <n v="0"/>
    <n v="0"/>
    <n v="0"/>
    <n v="0"/>
    <m/>
    <n v="0"/>
    <n v="0"/>
    <s v=""/>
    <s v=""/>
    <s v=""/>
    <x v="1"/>
    <x v="1"/>
    <n v="0"/>
    <m/>
    <s v="14"/>
    <s v="4444"/>
    <s v="WY_5216_D(V)_Full 1mk (WY_5216_D(V) rangka……+Aica)"/>
    <s v="Edg_EAW_5216D1_Keliling"/>
    <s v="369)End Panel_WY_5216_D(V)_Full 1mk (WY_5216_D(V) rangka……+Aica)"/>
    <s v="369)End Panel Ply 18mm - WY_5216_D(V)_Full 1mk (WY_5216_D(V) rangka……+Aica) ; Edg_EAW_5216D1_Keliling  "/>
  </r>
  <r>
    <s v="prt"/>
    <s v="KS"/>
    <s v="B•"/>
    <n v="0"/>
    <s v="••"/>
    <s v="End Panel│"/>
    <m/>
    <n v="1740"/>
    <s v="x"/>
    <n v="705"/>
    <s v="x"/>
    <n v="20"/>
    <s v="1740 x 705 x 20"/>
    <n v="2"/>
    <n v="2"/>
    <s v="Ply"/>
    <n v="18"/>
    <n v="1"/>
    <n v="1"/>
    <s v="WY_5216_D(V)"/>
    <n v="1"/>
    <s v="WY_5216_D(V)"/>
    <n v="1"/>
    <n v="1"/>
    <n v="1"/>
    <n v="1"/>
    <n v="1"/>
    <s v="Edg_EAW_5216D1"/>
    <s v="Edg_EAW_5216D1"/>
    <s v="Edg_EAW_5216D1"/>
    <s v="Edg_EAW_5216D1"/>
    <n v="0"/>
    <n v="0"/>
    <n v="0"/>
    <n v="0"/>
    <n v="0"/>
    <m/>
    <n v="0"/>
    <n v="0"/>
    <s v=""/>
    <s v=""/>
    <s v=""/>
    <x v="1"/>
    <x v="1"/>
    <n v="0"/>
    <m/>
    <s v="11"/>
    <s v="4444"/>
    <s v="WY_5216_D(V)_2mk"/>
    <s v="Edg_EAW_5216D1_Keliling"/>
    <s v="370)End Panel│_WY_5216_D(V)_2mk"/>
    <s v="370)End Panel│ Ply 18mm - WY_5216_D(V)_2mk ; Edg_EAW_5216D1_Keliling  "/>
  </r>
  <r>
    <m/>
    <m/>
    <m/>
    <m/>
    <m/>
    <m/>
    <m/>
    <m/>
    <m/>
    <m/>
    <m/>
    <m/>
    <m/>
    <m/>
    <m/>
    <m/>
    <m/>
    <m/>
    <m/>
    <m/>
    <m/>
    <m/>
    <m/>
    <m/>
    <m/>
    <m/>
    <m/>
    <m/>
    <m/>
    <m/>
    <m/>
    <m/>
    <m/>
    <m/>
    <m/>
    <m/>
    <m/>
    <m/>
    <m/>
    <m/>
    <m/>
    <m/>
    <x v="0"/>
    <x v="0"/>
    <m/>
    <m/>
    <m/>
    <m/>
    <m/>
    <m/>
    <m/>
    <m/>
  </r>
  <r>
    <m/>
    <m/>
    <m/>
    <m/>
    <m/>
    <m/>
    <m/>
    <m/>
    <m/>
    <m/>
    <m/>
    <m/>
    <m/>
    <m/>
    <m/>
    <m/>
    <m/>
    <m/>
    <m/>
    <m/>
    <m/>
    <m/>
    <m/>
    <m/>
    <m/>
    <m/>
    <m/>
    <m/>
    <m/>
    <m/>
    <m/>
    <m/>
    <m/>
    <m/>
    <m/>
    <m/>
    <m/>
    <m/>
    <m/>
    <m/>
    <m/>
    <m/>
    <x v="0"/>
    <x v="0"/>
    <m/>
    <m/>
    <m/>
    <m/>
    <m/>
    <m/>
    <m/>
    <m/>
  </r>
  <r>
    <s v="prt"/>
    <s v="KS"/>
    <s v="B"/>
    <n v="0"/>
    <s v="•••"/>
    <s v="Plinth/Uppertop"/>
    <m/>
    <n v="2430"/>
    <s v="x"/>
    <n v="100"/>
    <s v="x"/>
    <n v="19"/>
    <s v="2430 x 100 x 19"/>
    <n v="2"/>
    <n v="2"/>
    <s v="Ply"/>
    <n v="18"/>
    <n v="1"/>
    <n v="0"/>
    <s v="WY_5216_D(V)"/>
    <n v="1"/>
    <s v="Polos"/>
    <n v="0"/>
    <n v="1"/>
    <n v="0"/>
    <n v="0"/>
    <n v="0"/>
    <s v="Edg_EAW_5216D1"/>
    <s v=" "/>
    <s v=" "/>
    <s v=" "/>
    <n v="0"/>
    <n v="0"/>
    <n v="0"/>
    <n v="0"/>
    <n v="0"/>
    <m/>
    <n v="0"/>
    <n v="0"/>
    <s v=""/>
    <s v=""/>
    <s v=""/>
    <x v="1"/>
    <x v="1"/>
    <n v="0"/>
    <m/>
    <s v="13"/>
    <s v="4333"/>
    <s v="WY_5216_D(V)_1mk_Polos"/>
    <s v="Edg_EAW_5216D1_1sisi_pjg"/>
    <s v="462)Plinth/Uppertop_WY_5216_D(V)_1mk_Polos"/>
    <s v="462)Plinth/Uppertop Ply 18mm - WY_5216_D(V)_1mk_Polos ; Edg_EAW_5216D1_1sisi_pjg  "/>
  </r>
  <r>
    <s v="prt"/>
    <s v="KS"/>
    <s v="B"/>
    <n v="0"/>
    <s v="•••"/>
    <s v="Dummies"/>
    <m/>
    <n v="2430"/>
    <s v="x"/>
    <n v="70"/>
    <s v="x"/>
    <n v="19"/>
    <s v="2430 x 70 x 19"/>
    <n v="2"/>
    <n v="2"/>
    <s v="Ply"/>
    <n v="18"/>
    <n v="1"/>
    <n v="0"/>
    <s v="WY_5216_D(V)"/>
    <n v="1"/>
    <s v="Polos"/>
    <n v="0"/>
    <n v="0"/>
    <n v="0"/>
    <n v="0"/>
    <n v="0"/>
    <s v=" "/>
    <s v=" "/>
    <s v=" "/>
    <s v=" "/>
    <n v="0"/>
    <n v="0"/>
    <n v="0"/>
    <n v="0"/>
    <n v="0"/>
    <m/>
    <n v="0"/>
    <n v="0"/>
    <s v=""/>
    <s v=""/>
    <s v=""/>
    <x v="1"/>
    <x v="1"/>
    <n v="0"/>
    <m/>
    <s v="13"/>
    <s v="3333"/>
    <s v="WY_5216_D(V)_1mk_Polos"/>
    <s v=" -"/>
    <s v="435)Dummies_WY_5216_D(V)_1mk_Polos"/>
    <s v="435)Dummies Ply 18mm - WY_5216_D(V)_1mk_Polos ;  -  "/>
  </r>
  <r>
    <s v="prt"/>
    <s v="KS"/>
    <s v="B"/>
    <n v="0"/>
    <s v="•••"/>
    <s v="Dummies"/>
    <m/>
    <n v="2420"/>
    <s v="x"/>
    <n v="30"/>
    <s v="x"/>
    <n v="19"/>
    <s v="2420 x 30 x 19"/>
    <n v="1"/>
    <n v="1"/>
    <s v="Ply"/>
    <n v="18"/>
    <n v="1"/>
    <n v="0"/>
    <s v="WY_5216_D(V)"/>
    <n v="1"/>
    <s v="Polos"/>
    <n v="0"/>
    <n v="0"/>
    <n v="0"/>
    <n v="0"/>
    <n v="0"/>
    <s v=" "/>
    <s v=" "/>
    <s v=" "/>
    <s v=" "/>
    <n v="0"/>
    <n v="0"/>
    <n v="0"/>
    <n v="0"/>
    <n v="0"/>
    <m/>
    <n v="0"/>
    <n v="0"/>
    <s v=""/>
    <s v=""/>
    <s v=""/>
    <x v="1"/>
    <x v="1"/>
    <n v="0"/>
    <m/>
    <s v="13"/>
    <s v="3333"/>
    <s v="WY_5216_D(V)_1mk_Polos"/>
    <s v=" -"/>
    <s v="435)Dummies_WY_5216_D(V)_1mk_Polos"/>
    <s v="435)Dummies Ply 18mm - WY_5216_D(V)_1mk_Polos ;  -  "/>
  </r>
  <r>
    <m/>
    <m/>
    <m/>
    <m/>
    <m/>
    <m/>
    <m/>
    <m/>
    <m/>
    <m/>
    <m/>
    <m/>
    <m/>
    <m/>
    <m/>
    <m/>
    <m/>
    <m/>
    <m/>
    <m/>
    <m/>
    <m/>
    <m/>
    <m/>
    <m/>
    <m/>
    <m/>
    <m/>
    <m/>
    <m/>
    <m/>
    <m/>
    <m/>
    <m/>
    <m/>
    <m/>
    <m/>
    <m/>
    <m/>
    <m/>
    <m/>
    <m/>
    <x v="0"/>
    <x v="0"/>
    <m/>
    <m/>
    <m/>
    <m/>
    <m/>
    <m/>
    <m/>
    <m/>
  </r>
  <r>
    <m/>
    <m/>
    <m/>
    <m/>
    <m/>
    <m/>
    <m/>
    <m/>
    <m/>
    <m/>
    <m/>
    <m/>
    <m/>
    <m/>
    <m/>
    <m/>
    <m/>
    <m/>
    <m/>
    <m/>
    <m/>
    <m/>
    <m/>
    <m/>
    <m/>
    <m/>
    <m/>
    <m/>
    <m/>
    <m/>
    <m/>
    <m/>
    <m/>
    <m/>
    <m/>
    <m/>
    <m/>
    <m/>
    <m/>
    <m/>
    <m/>
    <m/>
    <x v="0"/>
    <x v="0"/>
    <m/>
    <m/>
    <m/>
    <m/>
    <m/>
    <m/>
    <m/>
    <m/>
  </r>
  <r>
    <s v="prt"/>
    <s v="KS"/>
    <s v="B"/>
    <n v="1"/>
    <s v="••"/>
    <s v="Tutup Kabinet Bawah"/>
    <m/>
    <n v="1852"/>
    <s v="x"/>
    <n v="688"/>
    <s v="x"/>
    <n v="27.5"/>
    <s v="1852 x 688 x 27,5"/>
    <n v="1"/>
    <n v="1"/>
    <s v="Ply"/>
    <n v="27"/>
    <n v="0"/>
    <n v="22"/>
    <s v="Polos"/>
    <n v="0"/>
    <s v="Aica"/>
    <n v="0.5"/>
    <n v="1"/>
    <n v="0"/>
    <n v="0"/>
    <n v="0"/>
    <s v="Edg_EAW_5216D1"/>
    <s v=" "/>
    <s v=" "/>
    <s v=" "/>
    <n v="0"/>
    <n v="0"/>
    <n v="0"/>
    <n v="0"/>
    <n v="0"/>
    <m/>
    <n v="0"/>
    <n v="0"/>
    <s v=""/>
    <s v=""/>
    <s v=""/>
    <x v="1"/>
    <x v="1"/>
    <n v="0"/>
    <m/>
    <s v="37"/>
    <s v="4333"/>
    <s v="Aica_1mk_Polos"/>
    <s v="Edg_EAW_5216D1_1sisi_pjg"/>
    <s v="433)Tutup Kabinet Bawah_Aica_1mk_Polos"/>
    <s v="433)Tutup Kabinet Bawah Ply 27mm - Aica_1mk_Polos ; Edg_EAW_5216D1_1sisi_pjg  "/>
  </r>
  <r>
    <m/>
    <m/>
    <m/>
    <m/>
    <m/>
    <m/>
    <m/>
    <m/>
    <m/>
    <m/>
    <m/>
    <m/>
    <m/>
    <m/>
    <m/>
    <m/>
    <m/>
    <m/>
    <m/>
    <m/>
    <m/>
    <m/>
    <m/>
    <m/>
    <m/>
    <m/>
    <m/>
    <m/>
    <m/>
    <m/>
    <m/>
    <m/>
    <m/>
    <m/>
    <m/>
    <m/>
    <m/>
    <m/>
    <m/>
    <m/>
    <m/>
    <m/>
    <x v="0"/>
    <x v="0"/>
    <m/>
    <m/>
    <m/>
    <m/>
    <m/>
    <m/>
    <m/>
    <m/>
  </r>
  <r>
    <s v="prt"/>
    <s v="KS"/>
    <s v="B"/>
    <n v="0"/>
    <s v="•••"/>
    <s v="Palang tengah/nat handel│"/>
    <m/>
    <n v="2430"/>
    <s v="x"/>
    <n v="50"/>
    <s v="x"/>
    <n v="19.5"/>
    <s v="2430 x 50 x 19,5"/>
    <n v="1"/>
    <n v="1"/>
    <s v="Ply"/>
    <n v="18"/>
    <n v="1"/>
    <n v="11"/>
    <s v="WY_5216_D(V)"/>
    <n v="1"/>
    <s v="HB_41130"/>
    <n v="0.5"/>
    <n v="1"/>
    <n v="1"/>
    <n v="0"/>
    <n v="0"/>
    <s v="Edg_EAW_5216D1"/>
    <s v="Edg_EAW_5216D1"/>
    <s v=" "/>
    <s v=" "/>
    <n v="0"/>
    <n v="0"/>
    <n v="0"/>
    <n v="0"/>
    <n v="0"/>
    <m/>
    <n v="0"/>
    <n v="0"/>
    <s v=""/>
    <s v=""/>
    <s v=""/>
    <x v="1"/>
    <x v="1"/>
    <n v="0"/>
    <m/>
    <s v="12"/>
    <s v="4433"/>
    <s v="WY_5216_D(V)_+_HB_41130"/>
    <s v="Edg_EAW_5216D1_2sisi_pjg"/>
    <s v="457)Palang tengah/nat handel│_WY_5216_D(V)_+_HB_41130"/>
    <s v="457)Palang tengah/nat handel│ Ply 18mm - WY_5216_D(V)_+_HB_41130 ; Edg_EAW_5216D1_2sisi_pjg  "/>
  </r>
  <r>
    <m/>
    <m/>
    <m/>
    <m/>
    <m/>
    <m/>
    <m/>
    <m/>
    <m/>
    <m/>
    <m/>
    <m/>
    <m/>
    <m/>
    <m/>
    <m/>
    <m/>
    <m/>
    <m/>
    <m/>
    <m/>
    <m/>
    <m/>
    <m/>
    <m/>
    <m/>
    <m/>
    <m/>
    <m/>
    <m/>
    <m/>
    <m/>
    <m/>
    <m/>
    <m/>
    <m/>
    <m/>
    <m/>
    <m/>
    <m/>
    <m/>
    <m/>
    <x v="0"/>
    <x v="0"/>
    <m/>
    <m/>
    <m/>
    <m/>
    <m/>
    <m/>
    <m/>
    <m/>
  </r>
  <r>
    <s v="prt"/>
    <s v="─"/>
    <s v="B"/>
    <n v="0"/>
    <s v="••"/>
    <s v="Cover Panel / Pelmet•"/>
    <s v="(alur_M_led_Blk)"/>
    <n v="2440"/>
    <s v="x"/>
    <n v="400"/>
    <s v="x"/>
    <n v="19"/>
    <s v="2440 x 400 x 19"/>
    <n v="1"/>
    <n v="1"/>
    <s v="Ply"/>
    <n v="18"/>
    <n v="3"/>
    <n v="0"/>
    <s v="L-FA_0206_AP"/>
    <n v="1"/>
    <s v="Polos"/>
    <n v="0"/>
    <n v="3"/>
    <n v="0"/>
    <n v="0"/>
    <n v="0"/>
    <s v="Edg_DSS_00206_SM"/>
    <s v=" "/>
    <s v=" "/>
    <s v=" "/>
    <n v="0"/>
    <n v="0"/>
    <n v="0"/>
    <n v="0"/>
    <n v="0"/>
    <m/>
    <n v="0"/>
    <n v="0"/>
    <s v="M-LED-02 Brown Doff ( Alm. 75111 ) P3"/>
    <n v="0"/>
    <n v="0"/>
    <x v="1"/>
    <x v="1"/>
    <n v="0"/>
    <m/>
    <s v="63"/>
    <s v="10333"/>
    <s v="L-FA_0206_AP_1mk_Polos"/>
    <s v="Edg_DSS_00206_SM_1sisi_pjg"/>
    <s v="367)Cover Panel / Pelmet•_L-FA_0206_AP_1mk_Polos"/>
    <s v="367)Cover Panel / Pelmet• Ply 18mm - L-FA_0206_AP_1mk_Polos ; Edg_DSS_00206_SM_1sisi_pjg  (alur_M_led_Blk)"/>
  </r>
  <r>
    <m/>
    <m/>
    <m/>
    <m/>
    <m/>
    <m/>
    <m/>
    <m/>
    <m/>
    <m/>
    <m/>
    <m/>
    <m/>
    <m/>
    <m/>
    <m/>
    <m/>
    <m/>
    <m/>
    <m/>
    <m/>
    <m/>
    <m/>
    <m/>
    <m/>
    <m/>
    <m/>
    <m/>
    <m/>
    <m/>
    <m/>
    <m/>
    <m/>
    <m/>
    <m/>
    <m/>
    <m/>
    <m/>
    <m/>
    <m/>
    <m/>
    <m/>
    <x v="0"/>
    <x v="0"/>
    <m/>
    <m/>
    <m/>
    <m/>
    <m/>
    <m/>
    <m/>
    <m/>
  </r>
  <r>
    <s v="prt"/>
    <s v="─"/>
    <s v="B"/>
    <n v="0"/>
    <s v="••"/>
    <s v="Cover Panel / Pelmet"/>
    <m/>
    <n v="2440"/>
    <s v="x"/>
    <n v="310"/>
    <s v="x"/>
    <n v="19"/>
    <s v="2440 x 310 x 19"/>
    <n v="1"/>
    <n v="1"/>
    <s v="Ply"/>
    <n v="18"/>
    <n v="1"/>
    <n v="0"/>
    <s v="WY_5216_D(V)"/>
    <n v="1"/>
    <s v="Polos"/>
    <n v="0"/>
    <n v="1"/>
    <n v="0"/>
    <n v="0"/>
    <n v="0"/>
    <s v="Edg_EAW_5216D1"/>
    <s v=" "/>
    <s v=" "/>
    <s v=" "/>
    <n v="0"/>
    <n v="0"/>
    <n v="0"/>
    <n v="0"/>
    <n v="0"/>
    <m/>
    <n v="0"/>
    <n v="0"/>
    <s v=""/>
    <s v=""/>
    <s v=""/>
    <x v="1"/>
    <x v="1"/>
    <n v="0"/>
    <m/>
    <s v="13"/>
    <s v="4333"/>
    <s v="WY_5216_D(V)_1mk_Polos"/>
    <s v="Edg_EAW_5216D1_1sisi_pjg"/>
    <s v="366)Cover Panel / Pelmet_WY_5216_D(V)_1mk_Polos"/>
    <s v="366)Cover Panel / Pelmet Ply 18mm - WY_5216_D(V)_1mk_Polos ; Edg_EAW_5216D1_1sisi_pjg  "/>
  </r>
  <r>
    <m/>
    <m/>
    <m/>
    <m/>
    <m/>
    <m/>
    <m/>
    <m/>
    <m/>
    <m/>
    <m/>
    <m/>
    <m/>
    <m/>
    <m/>
    <m/>
    <m/>
    <m/>
    <m/>
    <m/>
    <m/>
    <m/>
    <m/>
    <m/>
    <m/>
    <m/>
    <m/>
    <m/>
    <m/>
    <m/>
    <m/>
    <m/>
    <m/>
    <m/>
    <m/>
    <m/>
    <m/>
    <m/>
    <m/>
    <m/>
    <m/>
    <m/>
    <x v="0"/>
    <x v="0"/>
    <m/>
    <m/>
    <m/>
    <m/>
    <m/>
    <m/>
    <m/>
    <m/>
  </r>
  <r>
    <s v="Ref"/>
    <e v="#N/A"/>
    <s v="B"/>
    <s v=""/>
    <s v="..."/>
    <s v="FC-Ch000-tdm112K29ab-sr0a"/>
    <m/>
    <n v="904"/>
    <s v="x"/>
    <n v="560"/>
    <s v="x"/>
    <n v="732"/>
    <s v="904 x 560 x 732"/>
    <m/>
    <n v="1"/>
    <m/>
    <m/>
    <m/>
    <m/>
    <m/>
    <m/>
    <m/>
    <m/>
    <m/>
    <m/>
    <m/>
    <m/>
    <s v=" "/>
    <s v=" "/>
    <s v=" "/>
    <s v=" "/>
    <m/>
    <s v=""/>
    <m/>
    <s v=""/>
    <s v=""/>
    <m/>
    <m/>
    <m/>
    <s v=""/>
    <s v=""/>
    <s v=""/>
    <x v="0"/>
    <x v="0"/>
    <s v=""/>
    <m/>
    <m/>
    <s v="3333"/>
    <s v=""/>
    <s v=" -"/>
    <s v="0) FC-Ch000-tdm112K29ab-sr0a 904"/>
    <s v="0B) FC-Ch000-tdm112K29ab-sr0a"/>
  </r>
  <r>
    <s v="prt"/>
    <s v="KS"/>
    <s v="B"/>
    <n v="1"/>
    <s v="..."/>
    <s v="Dinding Samping"/>
    <m/>
    <n v="732"/>
    <s v="x"/>
    <n v="560"/>
    <s v="x"/>
    <n v="18.5"/>
    <s v="732 x 560 x 18,5"/>
    <n v="1"/>
    <n v="1"/>
    <s v="Ply"/>
    <n v="18"/>
    <n v="0"/>
    <n v="11"/>
    <s v="Polos"/>
    <n v="0"/>
    <s v="HB_41130"/>
    <n v="0.5"/>
    <n v="11"/>
    <n v="9"/>
    <n v="9"/>
    <n v="9"/>
    <s v="Edg_Décor_1723_B"/>
    <s v="Melanor"/>
    <s v="Melanor"/>
    <s v="Melanor"/>
    <n v="0"/>
    <n v="0"/>
    <n v="0"/>
    <n v="0"/>
    <n v="0"/>
    <m/>
    <n v="0"/>
    <n v="0"/>
    <s v=""/>
    <s v=""/>
    <s v=""/>
    <x v="1"/>
    <x v="1"/>
    <n v="0"/>
    <m/>
    <s v="32"/>
    <s v="1222"/>
    <s v="HB_41130_1mk_Polos"/>
    <s v="Edg Kll standart"/>
    <s v="101)Dinding Samping_HB_41130_1mk_Polos"/>
    <s v="101)Dinding Samping Ply 18mm - HB_41130_1mk_Polos ; Edg Kll standart  "/>
  </r>
  <r>
    <s v="prt"/>
    <s v="KS"/>
    <s v="B"/>
    <n v="1"/>
    <s v="..."/>
    <s v="Dinding Samping"/>
    <m/>
    <n v="732"/>
    <s v="x"/>
    <n v="560"/>
    <s v="x"/>
    <n v="18.5"/>
    <s v="732 x 560 x 18,5"/>
    <n v="1"/>
    <n v="1"/>
    <s v="Ply"/>
    <n v="18"/>
    <n v="0"/>
    <n v="11"/>
    <s v="Polos"/>
    <n v="0"/>
    <s v="HB_41130"/>
    <n v="0.5"/>
    <n v="11"/>
    <n v="9"/>
    <n v="9"/>
    <n v="9"/>
    <s v="Edg_Décor_1723_B"/>
    <s v="Melanor"/>
    <s v="Melanor"/>
    <s v="Melanor"/>
    <n v="0"/>
    <n v="0"/>
    <n v="0"/>
    <n v="0"/>
    <n v="0"/>
    <m/>
    <n v="0"/>
    <n v="0"/>
    <s v=""/>
    <s v=""/>
    <s v=""/>
    <x v="1"/>
    <x v="1"/>
    <n v="0"/>
    <m/>
    <s v="32"/>
    <s v="1222"/>
    <s v="HB_41130_1mk_Polos"/>
    <s v="Edg Kll standart"/>
    <s v="101)Dinding Samping_HB_41130_1mk_Polos"/>
    <s v="101)Dinding Samping Ply 18mm - HB_41130_1mk_Polos ; Edg Kll standart  "/>
  </r>
  <r>
    <s v="prt"/>
    <s v="KS"/>
    <s v="B"/>
    <n v="1"/>
    <s v="..."/>
    <s v="Dinding Atas Bawah ↓"/>
    <m/>
    <n v="867"/>
    <s v="x"/>
    <n v="560"/>
    <s v="x"/>
    <n v="18.5"/>
    <s v="867 x 560 x 18,5"/>
    <n v="1"/>
    <n v="1"/>
    <s v="Ply"/>
    <n v="18"/>
    <n v="0"/>
    <n v="11"/>
    <s v="Polos"/>
    <n v="0"/>
    <s v="HB_41130"/>
    <n v="0.5"/>
    <n v="11"/>
    <n v="9"/>
    <n v="0"/>
    <n v="0"/>
    <s v="Edg_Décor_1723_B"/>
    <s v="Melanor"/>
    <s v=" "/>
    <s v=" "/>
    <s v="KAKI ADJUSTER HAFELLE TG 100 ART # 637.45.326"/>
    <n v="0"/>
    <n v="0"/>
    <n v="0"/>
    <n v="0"/>
    <m/>
    <n v="0"/>
    <n v="0"/>
    <s v=""/>
    <s v=""/>
    <s v=""/>
    <x v="1"/>
    <x v="1"/>
    <n v="0"/>
    <m/>
    <s v="32"/>
    <s v="1233"/>
    <s v="HB_41130_1mk_Polos"/>
    <s v="Edg 2sisi standart"/>
    <s v="117)Dinding Atas Bawah ↓_HB_41130_1mk_Polos"/>
    <s v="117)Dinding Atas Bawah ↓ Ply 18mm - HB_41130_1mk_Polos ; Edg 2sisi standart  "/>
  </r>
  <r>
    <s v="prt"/>
    <s v="KS"/>
    <s v="B"/>
    <n v="1"/>
    <s v="..."/>
    <s v="Palangan"/>
    <m/>
    <n v="867"/>
    <s v="x"/>
    <n v="80"/>
    <s v="x"/>
    <n v="19"/>
    <s v="867 x 80 x 19"/>
    <n v="2"/>
    <n v="2"/>
    <s v="Ply"/>
    <n v="18"/>
    <n v="9"/>
    <n v="11"/>
    <s v="[Aica]"/>
    <n v="0.5"/>
    <s v="HB_41130"/>
    <n v="0.5"/>
    <n v="11"/>
    <n v="9"/>
    <n v="0"/>
    <n v="0"/>
    <s v="Edg_Décor_1723_B"/>
    <s v="Melanor"/>
    <s v=" "/>
    <s v=" "/>
    <n v="0"/>
    <n v="0"/>
    <n v="0"/>
    <n v="0"/>
    <n v="0"/>
    <m/>
    <n v="0"/>
    <n v="0"/>
    <s v=""/>
    <s v=""/>
    <s v=""/>
    <x v="1"/>
    <x v="1"/>
    <n v="0"/>
    <m/>
    <s v="52"/>
    <s v="1233"/>
    <s v="HB_41130+[Aica]"/>
    <s v="Edg 2sisi standart"/>
    <s v="134)Palangan_HB_41130+[Aica]"/>
    <s v="134)Palangan Ply 18mm - HB_41130+[Aica] ; Edg 2sisi standart  "/>
  </r>
  <r>
    <s v="prt"/>
    <s v="KS"/>
    <s v="B"/>
    <n v="1"/>
    <s v="..."/>
    <s v="Dinding Belakang"/>
    <m/>
    <n v="710"/>
    <s v="x"/>
    <n v="883"/>
    <s v="x"/>
    <n v="7"/>
    <s v="710 x 883 x 7"/>
    <n v="1"/>
    <n v="1"/>
    <s v="Ply"/>
    <n v="6"/>
    <n v="9"/>
    <n v="11"/>
    <s v="[Aica]"/>
    <n v="0.5"/>
    <s v="HB_41130"/>
    <n v="0.5"/>
    <n v="0"/>
    <n v="0"/>
    <n v="0"/>
    <n v="0"/>
    <s v=" "/>
    <s v=" "/>
    <s v=" "/>
    <s v=" "/>
    <n v="0"/>
    <n v="0"/>
    <n v="0"/>
    <n v="0"/>
    <n v="0"/>
    <m/>
    <n v="0"/>
    <n v="0"/>
    <s v=""/>
    <s v=""/>
    <s v=""/>
    <x v="1"/>
    <x v="1"/>
    <n v="0"/>
    <m/>
    <s v="52"/>
    <s v="3333"/>
    <s v="HB_41130+[Aica]"/>
    <s v=" -"/>
    <s v="139)Dinding Belakang_HB_41130+[Aica]"/>
    <s v="139)Dinding Belakang Ply 6mm - HB_41130+[Aica] ;  -  "/>
  </r>
  <r>
    <m/>
    <s v=""/>
    <m/>
    <s v=""/>
    <s v="..."/>
    <m/>
    <m/>
    <m/>
    <m/>
    <m/>
    <m/>
    <m/>
    <m/>
    <m/>
    <m/>
    <m/>
    <m/>
    <m/>
    <m/>
    <m/>
    <m/>
    <m/>
    <m/>
    <m/>
    <m/>
    <m/>
    <m/>
    <s v=" "/>
    <s v=" "/>
    <s v=" "/>
    <s v=" "/>
    <m/>
    <s v=""/>
    <m/>
    <s v=""/>
    <s v=""/>
    <m/>
    <m/>
    <m/>
    <s v=""/>
    <s v=""/>
    <s v=""/>
    <x v="0"/>
    <x v="0"/>
    <s v=""/>
    <m/>
    <m/>
    <s v="3333"/>
    <s v=""/>
    <s v=" -"/>
    <s v="0)  "/>
    <s v="0) "/>
  </r>
  <r>
    <s v="Set_up"/>
    <s v="…"/>
    <s v="B"/>
    <s v=""/>
    <s v="•"/>
    <s v="Tutup laci Kaca S2(rakit tukang)"/>
    <m/>
    <n v="300"/>
    <s v="x"/>
    <n v="902"/>
    <s v="x"/>
    <n v="20"/>
    <s v="300 x 902 x 20"/>
    <n v="1"/>
    <n v="1"/>
    <m/>
    <m/>
    <m/>
    <m/>
    <m/>
    <m/>
    <m/>
    <m/>
    <m/>
    <m/>
    <m/>
    <m/>
    <s v=" "/>
    <s v=" "/>
    <s v=" "/>
    <s v=" "/>
    <m/>
    <s v=""/>
    <m/>
    <s v=""/>
    <s v=""/>
    <m/>
    <m/>
    <m/>
    <s v=""/>
    <s v=""/>
    <s v=""/>
    <x v="0"/>
    <x v="0"/>
    <s v=""/>
    <m/>
    <m/>
    <s v="3333"/>
    <s v=""/>
    <s v=" -"/>
    <s v="0) Tutup laci Kaca S2(rakit tukang) 300"/>
    <s v="0B) Tutup laci Kaca S2(rakit tukang)"/>
  </r>
  <r>
    <s v="prt"/>
    <s v="─"/>
    <s v="B"/>
    <n v="0"/>
    <s v="..."/>
    <s v="Tutup laci Kaca S2"/>
    <m/>
    <n v="296"/>
    <s v="x"/>
    <n v="902"/>
    <s v="x"/>
    <n v="14.5"/>
    <s v="296 x 902 x 14,5"/>
    <n v="1"/>
    <n v="1"/>
    <s v="Ply"/>
    <n v="13.5"/>
    <n v="22"/>
    <n v="11"/>
    <s v="Aica"/>
    <n v="0.5"/>
    <s v="HB_41130"/>
    <n v="0.5"/>
    <n v="1"/>
    <n v="1"/>
    <n v="0"/>
    <n v="0"/>
    <s v="Edg_EAW_5216D1"/>
    <s v="Edg_EAW_5216D1"/>
    <s v=" "/>
    <s v=" "/>
    <s v="SILICONE SIKAFLEX 221 PUTIH"/>
    <n v="0"/>
    <n v="0"/>
    <n v="0"/>
    <n v="0"/>
    <m/>
    <n v="0"/>
    <n v="0"/>
    <s v=""/>
    <s v=""/>
    <s v=""/>
    <x v="2"/>
    <x v="2"/>
    <n v="2"/>
    <m/>
    <s v="72"/>
    <s v="4433"/>
    <s v="HB_41130+Aica"/>
    <s v="Edg_EAW_5216D1_2sisi_pjg"/>
    <s v="333)Tutup laci Kaca S2_HB_41130+Aica"/>
    <s v="333)Tutup laci Kaca S2 Ply 13,5mm - HB_41130+Aica ; Edg_EAW_5216D1_2sisi_pjg  "/>
  </r>
  <r>
    <s v="prt"/>
    <s v="k¢"/>
    <s v="B"/>
    <n v="1"/>
    <s v="..."/>
    <s v="Kaca_"/>
    <s v="(u/_S2) ; (pasang_rakit)"/>
    <n v="295"/>
    <s v="x"/>
    <n v="901"/>
    <s v="x"/>
    <n v="5"/>
    <s v="295 x 901 x 5"/>
    <n v="1"/>
    <n v="1"/>
    <s v="MG_Purewhite"/>
    <n v="5"/>
    <n v="0"/>
    <n v="0"/>
    <s v="Polos"/>
    <n v="0"/>
    <s v="Polos"/>
    <n v="0"/>
    <n v="0"/>
    <n v="0"/>
    <n v="0"/>
    <n v="0"/>
    <s v=" "/>
    <s v=" "/>
    <s v=" "/>
    <s v=" "/>
    <n v="0"/>
    <n v="0"/>
    <n v="0"/>
    <n v="0"/>
    <n v="0"/>
    <m/>
    <n v="0"/>
    <n v="0"/>
    <n v="0"/>
    <n v="0"/>
    <n v="0"/>
    <x v="1"/>
    <x v="1"/>
    <n v="0"/>
    <m/>
    <s v="33"/>
    <s v="3333"/>
    <s v="Polos"/>
    <s v=" -"/>
    <s v="535)Kaca__Polos"/>
    <s v="535)Kaca_ MG_Purewhite 5mm -  ;  -  (u/_S2) ; (pasang_rakit)"/>
  </r>
  <r>
    <m/>
    <s v=""/>
    <m/>
    <s v=""/>
    <s v="..."/>
    <m/>
    <m/>
    <m/>
    <m/>
    <m/>
    <m/>
    <m/>
    <m/>
    <m/>
    <m/>
    <m/>
    <m/>
    <m/>
    <m/>
    <m/>
    <m/>
    <m/>
    <m/>
    <m/>
    <m/>
    <m/>
    <m/>
    <s v=" "/>
    <s v=" "/>
    <s v=" "/>
    <s v=" "/>
    <m/>
    <s v=""/>
    <m/>
    <s v=""/>
    <s v=""/>
    <m/>
    <m/>
    <m/>
    <s v=""/>
    <s v=""/>
    <s v=""/>
    <x v="0"/>
    <x v="0"/>
    <s v=""/>
    <m/>
    <m/>
    <s v="3333"/>
    <s v=""/>
    <s v=" -"/>
    <s v="0)  "/>
    <s v="0) "/>
  </r>
  <r>
    <s v="Ref"/>
    <s v="[ks]"/>
    <s v="B"/>
    <s v=""/>
    <s v="•"/>
    <s v="Kotak Laci (rakit tukang)"/>
    <m/>
    <n v="851"/>
    <s v="x"/>
    <n v="490"/>
    <s v="x"/>
    <n v="230"/>
    <s v="851 x 490 x 230"/>
    <n v="1"/>
    <n v="1"/>
    <m/>
    <m/>
    <m/>
    <m/>
    <m/>
    <m/>
    <m/>
    <m/>
    <m/>
    <m/>
    <m/>
    <m/>
    <s v=" "/>
    <s v=" "/>
    <s v=" "/>
    <s v=" "/>
    <m/>
    <s v=""/>
    <m/>
    <s v=""/>
    <s v=""/>
    <m/>
    <m/>
    <m/>
    <s v=""/>
    <s v=""/>
    <s v=""/>
    <x v="0"/>
    <x v="0"/>
    <s v=""/>
    <m/>
    <m/>
    <s v="3333"/>
    <s v=""/>
    <s v=" -"/>
    <s v="0) Kotak Laci (rakit tukang) 851"/>
    <s v="0B) Kotak Laci (rakit tukang)"/>
  </r>
  <r>
    <s v="prt"/>
    <s v="KS"/>
    <s v="B"/>
    <n v="1"/>
    <s v="..."/>
    <s v="Samping laci"/>
    <m/>
    <n v="490"/>
    <s v="x"/>
    <n v="230"/>
    <s v="x"/>
    <n v="13"/>
    <s v="490 x 230 x 13"/>
    <n v="2"/>
    <n v="2"/>
    <s v="Ply"/>
    <n v="12"/>
    <n v="11"/>
    <n v="11"/>
    <s v="HB_41130"/>
    <n v="0.5"/>
    <s v="HB_41130"/>
    <n v="0.5"/>
    <n v="11"/>
    <n v="11"/>
    <n v="11"/>
    <n v="11"/>
    <s v="Edg_Décor_1723_B"/>
    <s v="Edg_Décor_1723_B"/>
    <s v="Edg_Décor_1723_B"/>
    <s v="Edg_Décor_1723_B"/>
    <n v="0"/>
    <n v="0"/>
    <n v="0"/>
    <n v="0"/>
    <n v="0"/>
    <m/>
    <n v="0"/>
    <n v="0"/>
    <s v=""/>
    <s v=""/>
    <s v=""/>
    <x v="1"/>
    <x v="1"/>
    <n v="0"/>
    <m/>
    <s v="22"/>
    <s v="1111"/>
    <s v="HB_41130_2mk"/>
    <s v="Edg_Décor_1723_B_Keliling"/>
    <s v="176)Samping laci_HB_41130_2mk"/>
    <s v="176)Samping laci Ply 12mm - HB_41130_2mk ; Edg_Décor_1723_B_Keliling  "/>
  </r>
  <r>
    <s v="prt"/>
    <s v="KS"/>
    <s v="B"/>
    <n v="1"/>
    <s v="..."/>
    <s v="Depan belakang laci"/>
    <m/>
    <n v="825"/>
    <s v="x"/>
    <n v="213"/>
    <s v="x"/>
    <n v="13"/>
    <s v="825 x 213 x 13"/>
    <n v="2"/>
    <n v="2"/>
    <s v="Ply"/>
    <n v="12"/>
    <n v="11"/>
    <n v="11"/>
    <s v="HB_41130"/>
    <n v="0.5"/>
    <s v="HB_41130"/>
    <n v="0.5"/>
    <n v="11"/>
    <n v="0"/>
    <n v="0"/>
    <n v="0"/>
    <s v="Edg_Décor_1723_B"/>
    <s v=" "/>
    <s v=" "/>
    <s v=" "/>
    <n v="0"/>
    <n v="0"/>
    <n v="0"/>
    <n v="0"/>
    <n v="0"/>
    <m/>
    <n v="0"/>
    <n v="0"/>
    <s v=""/>
    <s v=""/>
    <s v=""/>
    <x v="1"/>
    <x v="1"/>
    <n v="0"/>
    <m/>
    <s v="22"/>
    <s v="1333"/>
    <s v="HB_41130_2mk"/>
    <s v="Edg_Décor_1723_B_1sisi_pjg"/>
    <s v="179)Depan belakang laci_HB_41130_2mk"/>
    <s v="179)Depan belakang laci Ply 12mm - HB_41130_2mk ; Edg_Décor_1723_B_1sisi_pjg  "/>
  </r>
  <r>
    <s v="prt"/>
    <s v="KS"/>
    <s v="B"/>
    <n v="1"/>
    <s v="..."/>
    <s v="Dasar laci"/>
    <m/>
    <n v="837"/>
    <s v="x"/>
    <n v="488"/>
    <s v="x"/>
    <n v="7"/>
    <s v="837 x 488 x 7"/>
    <n v="1"/>
    <n v="1"/>
    <s v="Ply"/>
    <n v="6"/>
    <n v="9"/>
    <n v="11"/>
    <s v="[Aica]"/>
    <n v="0.5"/>
    <s v="HB_41130"/>
    <n v="0.5"/>
    <n v="0"/>
    <n v="0"/>
    <n v="0"/>
    <n v="0"/>
    <s v=" "/>
    <s v=" "/>
    <s v=" "/>
    <s v=" "/>
    <n v="0"/>
    <n v="0"/>
    <n v="0"/>
    <n v="0"/>
    <n v="0"/>
    <m/>
    <s v="REL TANDEM BLUM FULL EXT INTG P.500"/>
    <n v="0"/>
    <s v=""/>
    <s v=""/>
    <s v=""/>
    <x v="1"/>
    <x v="1"/>
    <n v="0"/>
    <m/>
    <s v="52"/>
    <s v="3333"/>
    <s v="HB_41130+[Aica]"/>
    <s v=" -"/>
    <s v="185)Dasar laci_HB_41130+[Aica]"/>
    <s v="185)Dasar laci Ply 6mm - HB_41130+[Aica] ;  -  "/>
  </r>
  <r>
    <m/>
    <m/>
    <m/>
    <s v=""/>
    <m/>
    <m/>
    <m/>
    <m/>
    <m/>
    <m/>
    <m/>
    <m/>
    <m/>
    <m/>
    <m/>
    <m/>
    <m/>
    <m/>
    <m/>
    <m/>
    <m/>
    <m/>
    <m/>
    <m/>
    <m/>
    <m/>
    <m/>
    <s v=" "/>
    <s v=" "/>
    <s v=" "/>
    <s v=" "/>
    <m/>
    <s v=""/>
    <m/>
    <s v=""/>
    <s v=""/>
    <m/>
    <m/>
    <m/>
    <s v=""/>
    <s v=""/>
    <s v=""/>
    <x v="0"/>
    <x v="0"/>
    <m/>
    <m/>
    <m/>
    <s v="3333"/>
    <s v=""/>
    <s v=" -"/>
    <m/>
    <s v="0) "/>
  </r>
  <r>
    <s v="Set_up"/>
    <s v="…"/>
    <s v="B"/>
    <s v=""/>
    <s v="•"/>
    <s v="Tutup laci Kaca S2(rakit tukang)"/>
    <m/>
    <n v="185"/>
    <s v="x"/>
    <n v="902"/>
    <s v="x"/>
    <n v="20"/>
    <s v="185 x 902 x 20"/>
    <n v="2"/>
    <n v="2"/>
    <m/>
    <m/>
    <m/>
    <m/>
    <m/>
    <m/>
    <m/>
    <m/>
    <m/>
    <m/>
    <m/>
    <m/>
    <s v=" "/>
    <s v=" "/>
    <s v=" "/>
    <s v=" "/>
    <m/>
    <s v=""/>
    <m/>
    <s v=""/>
    <s v=""/>
    <m/>
    <m/>
    <m/>
    <s v=""/>
    <s v=""/>
    <s v=""/>
    <x v="0"/>
    <x v="0"/>
    <s v=""/>
    <m/>
    <m/>
    <s v="3333"/>
    <s v=""/>
    <s v=" -"/>
    <s v="0) Tutup laci Kaca S2(rakit tukang) 185"/>
    <s v="0B) Tutup laci Kaca S2(rakit tukang)"/>
  </r>
  <r>
    <s v="prt"/>
    <s v="─"/>
    <s v="B"/>
    <n v="0"/>
    <s v="..."/>
    <s v="Tutup laci Kaca S2"/>
    <m/>
    <n v="181"/>
    <s v="x"/>
    <n v="902"/>
    <s v="x"/>
    <n v="14.5"/>
    <s v="181 x 902 x 14,5"/>
    <n v="1"/>
    <n v="2"/>
    <s v="Ply"/>
    <n v="13.5"/>
    <n v="22"/>
    <n v="11"/>
    <s v="Aica"/>
    <n v="0.5"/>
    <s v="HB_41130"/>
    <n v="0.5"/>
    <n v="1"/>
    <n v="1"/>
    <n v="0"/>
    <n v="0"/>
    <s v="Edg_EAW_5216D1"/>
    <s v="Edg_EAW_5216D1"/>
    <s v=" "/>
    <s v=" "/>
    <s v="SILICONE SIKAFLEX 221 PUTIH"/>
    <n v="0"/>
    <n v="0"/>
    <n v="0"/>
    <n v="0"/>
    <m/>
    <n v="0"/>
    <n v="0"/>
    <s v=""/>
    <s v=""/>
    <s v=""/>
    <x v="2"/>
    <x v="2"/>
    <n v="4"/>
    <m/>
    <s v="72"/>
    <s v="4433"/>
    <s v="HB_41130+Aica"/>
    <s v="Edg_EAW_5216D1_2sisi_pjg"/>
    <s v="333)Tutup laci Kaca S2_HB_41130+Aica"/>
    <s v="333)Tutup laci Kaca S2 Ply 13,5mm - HB_41130+Aica ; Edg_EAW_5216D1_2sisi_pjg  "/>
  </r>
  <r>
    <s v="prt"/>
    <s v="k¢"/>
    <s v="B"/>
    <n v="1"/>
    <s v="..."/>
    <s v="Kaca_"/>
    <s v="(u/_S2) ; (pasang_rakit)"/>
    <n v="180"/>
    <s v="x"/>
    <n v="901"/>
    <s v="x"/>
    <n v="5"/>
    <s v="180 x 901 x 5"/>
    <n v="1"/>
    <n v="2"/>
    <s v="MG_Purewhite"/>
    <n v="5"/>
    <n v="0"/>
    <n v="0"/>
    <s v="Polos"/>
    <n v="0"/>
    <s v="Polos"/>
    <n v="0"/>
    <n v="0"/>
    <n v="0"/>
    <n v="0"/>
    <n v="0"/>
    <s v=" "/>
    <s v=" "/>
    <s v=" "/>
    <s v=" "/>
    <n v="0"/>
    <n v="0"/>
    <n v="0"/>
    <n v="0"/>
    <n v="0"/>
    <m/>
    <n v="0"/>
    <n v="0"/>
    <n v="0"/>
    <n v="0"/>
    <n v="0"/>
    <x v="1"/>
    <x v="1"/>
    <n v="0"/>
    <m/>
    <s v="33"/>
    <s v="3333"/>
    <s v="Polos"/>
    <s v=" -"/>
    <s v="535)Kaca__Polos"/>
    <s v="535)Kaca_ MG_Purewhite 5mm -  ;  -  (u/_S2) ; (pasang_rakit)"/>
  </r>
  <r>
    <m/>
    <s v=""/>
    <m/>
    <s v=""/>
    <s v="..."/>
    <m/>
    <m/>
    <m/>
    <m/>
    <m/>
    <m/>
    <m/>
    <m/>
    <m/>
    <m/>
    <m/>
    <m/>
    <m/>
    <m/>
    <m/>
    <m/>
    <m/>
    <m/>
    <m/>
    <m/>
    <m/>
    <m/>
    <s v=" "/>
    <s v=" "/>
    <s v=" "/>
    <s v=" "/>
    <m/>
    <s v=""/>
    <m/>
    <s v=""/>
    <s v=""/>
    <m/>
    <m/>
    <m/>
    <s v=""/>
    <s v=""/>
    <s v=""/>
    <x v="0"/>
    <x v="0"/>
    <s v=""/>
    <m/>
    <m/>
    <s v="3333"/>
    <s v=""/>
    <s v=" -"/>
    <s v="0)  "/>
    <s v="0) "/>
  </r>
  <r>
    <s v="Ref"/>
    <s v="[ks]"/>
    <s v="B"/>
    <s v=""/>
    <s v="•"/>
    <s v="Kotak Laci (rakit tukang)"/>
    <m/>
    <n v="851"/>
    <s v="x"/>
    <n v="490"/>
    <s v="x"/>
    <n v="135"/>
    <s v="851 x 490 x 135"/>
    <n v="1"/>
    <n v="2"/>
    <m/>
    <m/>
    <m/>
    <m/>
    <m/>
    <m/>
    <m/>
    <m/>
    <m/>
    <m/>
    <m/>
    <m/>
    <s v=" "/>
    <s v=" "/>
    <s v=" "/>
    <s v=" "/>
    <m/>
    <s v=""/>
    <m/>
    <s v=""/>
    <s v=""/>
    <m/>
    <m/>
    <m/>
    <s v=""/>
    <s v=""/>
    <s v=""/>
    <x v="0"/>
    <x v="0"/>
    <s v=""/>
    <m/>
    <m/>
    <s v="3333"/>
    <s v=""/>
    <s v=" -"/>
    <s v="0) Kotak Laci (rakit tukang) 851"/>
    <s v="0B) Kotak Laci (rakit tukang)"/>
  </r>
  <r>
    <s v="prt"/>
    <s v="KS"/>
    <s v="B"/>
    <n v="1"/>
    <s v="..."/>
    <s v="Samping laci"/>
    <m/>
    <n v="490"/>
    <s v="x"/>
    <n v="135"/>
    <s v="x"/>
    <n v="13"/>
    <s v="490 x 135 x 13"/>
    <n v="2"/>
    <n v="4"/>
    <s v="Ply"/>
    <n v="12"/>
    <n v="11"/>
    <n v="11"/>
    <s v="HB_41130"/>
    <n v="0.5"/>
    <s v="HB_41130"/>
    <n v="0.5"/>
    <n v="11"/>
    <n v="11"/>
    <n v="11"/>
    <n v="11"/>
    <s v="Edg_Décor_1723_B"/>
    <s v="Edg_Décor_1723_B"/>
    <s v="Edg_Décor_1723_B"/>
    <s v="Edg_Décor_1723_B"/>
    <n v="0"/>
    <n v="0"/>
    <n v="0"/>
    <n v="0"/>
    <n v="0"/>
    <m/>
    <n v="0"/>
    <n v="0"/>
    <s v=""/>
    <s v=""/>
    <s v=""/>
    <x v="1"/>
    <x v="1"/>
    <n v="0"/>
    <m/>
    <s v="22"/>
    <s v="1111"/>
    <s v="HB_41130_2mk"/>
    <s v="Edg_Décor_1723_B_Keliling"/>
    <s v="176)Samping laci_HB_41130_2mk"/>
    <s v="176)Samping laci Ply 12mm - HB_41130_2mk ; Edg_Décor_1723_B_Keliling  "/>
  </r>
  <r>
    <s v="prt"/>
    <s v="KS"/>
    <s v="B"/>
    <n v="1"/>
    <s v="..."/>
    <s v="Depan belakang laci"/>
    <m/>
    <n v="825"/>
    <s v="x"/>
    <n v="118"/>
    <s v="x"/>
    <n v="13"/>
    <s v="825 x 118 x 13"/>
    <n v="2"/>
    <n v="4"/>
    <s v="Ply"/>
    <n v="12"/>
    <n v="11"/>
    <n v="11"/>
    <s v="HB_41130"/>
    <n v="0.5"/>
    <s v="HB_41130"/>
    <n v="0.5"/>
    <n v="11"/>
    <n v="0"/>
    <n v="0"/>
    <n v="0"/>
    <s v="Edg_Décor_1723_B"/>
    <s v=" "/>
    <s v=" "/>
    <s v=" "/>
    <n v="0"/>
    <n v="0"/>
    <n v="0"/>
    <n v="0"/>
    <n v="0"/>
    <m/>
    <n v="0"/>
    <n v="0"/>
    <s v=""/>
    <s v=""/>
    <s v=""/>
    <x v="1"/>
    <x v="1"/>
    <n v="0"/>
    <m/>
    <s v="22"/>
    <s v="1333"/>
    <s v="HB_41130_2mk"/>
    <s v="Edg_Décor_1723_B_1sisi_pjg"/>
    <s v="179)Depan belakang laci_HB_41130_2mk"/>
    <s v="179)Depan belakang laci Ply 12mm - HB_41130_2mk ; Edg_Décor_1723_B_1sisi_pjg  "/>
  </r>
  <r>
    <s v="prt"/>
    <s v="KS"/>
    <s v="B"/>
    <n v="1"/>
    <s v="..."/>
    <s v="Dasar laci"/>
    <m/>
    <n v="837"/>
    <s v="x"/>
    <n v="488"/>
    <s v="x"/>
    <n v="7"/>
    <s v="837 x 488 x 7"/>
    <n v="1"/>
    <n v="2"/>
    <s v="Ply"/>
    <n v="6"/>
    <n v="9"/>
    <n v="11"/>
    <s v="[Aica]"/>
    <n v="0.5"/>
    <s v="HB_41130"/>
    <n v="0.5"/>
    <n v="0"/>
    <n v="0"/>
    <n v="0"/>
    <n v="0"/>
    <s v=" "/>
    <s v=" "/>
    <s v=" "/>
    <s v=" "/>
    <n v="0"/>
    <n v="0"/>
    <n v="0"/>
    <n v="0"/>
    <n v="0"/>
    <m/>
    <s v="REL TANDEM BLUM FULL EXT INTG P.500"/>
    <n v="0"/>
    <s v=""/>
    <s v=""/>
    <s v=""/>
    <x v="1"/>
    <x v="1"/>
    <n v="0"/>
    <m/>
    <s v="52"/>
    <s v="3333"/>
    <s v="HB_41130+[Aica]"/>
    <s v=" -"/>
    <s v="185)Dasar laci_HB_41130+[Aica]"/>
    <s v="185)Dasar laci Ply 6mm - HB_41130+[Aica] ;  -  "/>
  </r>
  <r>
    <m/>
    <s v=""/>
    <m/>
    <s v=""/>
    <s v="..."/>
    <m/>
    <m/>
    <m/>
    <m/>
    <m/>
    <m/>
    <m/>
    <m/>
    <m/>
    <m/>
    <m/>
    <m/>
    <m/>
    <m/>
    <m/>
    <m/>
    <m/>
    <m/>
    <m/>
    <m/>
    <m/>
    <m/>
    <s v=" "/>
    <s v=" "/>
    <s v=" "/>
    <s v=" "/>
    <m/>
    <s v=""/>
    <m/>
    <s v=""/>
    <s v=""/>
    <m/>
    <m/>
    <m/>
    <s v=""/>
    <s v=""/>
    <s v=""/>
    <x v="0"/>
    <x v="0"/>
    <s v=""/>
    <m/>
    <m/>
    <s v="3333"/>
    <s v=""/>
    <s v=" -"/>
    <s v="0)  "/>
    <s v="0) "/>
  </r>
  <r>
    <s v="Ref"/>
    <e v="#N/A"/>
    <s v="B"/>
    <s v=""/>
    <s v="..."/>
    <s v="TC Mw+Disp-║H◄5'+2+│-sw3K29a-pu0h50"/>
    <m/>
    <n v="602"/>
    <s v="x"/>
    <n v="600"/>
    <s v="x"/>
    <n v="2404"/>
    <s v="602 x 600 x 2404"/>
    <m/>
    <n v="1"/>
    <m/>
    <m/>
    <m/>
    <m/>
    <m/>
    <m/>
    <m/>
    <m/>
    <m/>
    <m/>
    <m/>
    <m/>
    <s v=" "/>
    <s v=" "/>
    <s v=" "/>
    <s v=" "/>
    <m/>
    <s v=""/>
    <m/>
    <s v=""/>
    <s v=""/>
    <m/>
    <m/>
    <m/>
    <s v=""/>
    <s v=""/>
    <s v=""/>
    <x v="0"/>
    <x v="0"/>
    <s v=""/>
    <m/>
    <m/>
    <s v="3333"/>
    <s v=""/>
    <s v=" -"/>
    <s v="0) TC Mw+Disp-║H◄5'+2+│-sw3K29a-pu0h50 602"/>
    <s v="0B) TC Mw+Disp-║H◄5'+2+│-sw3K29a-pu0h50"/>
  </r>
  <r>
    <s v="prt"/>
    <s v="KS"/>
    <s v="B"/>
    <n v="1"/>
    <s v="..."/>
    <s v="Dinding Samping I"/>
    <m/>
    <n v="2404"/>
    <s v="x"/>
    <n v="600"/>
    <s v="x"/>
    <n v="19.5"/>
    <s v="2404 x 600 x 19,5"/>
    <n v="1"/>
    <n v="1"/>
    <s v="Ply"/>
    <n v="18"/>
    <n v="1"/>
    <n v="11"/>
    <s v="WY_5216_D(V)"/>
    <n v="1"/>
    <s v="HB_41130"/>
    <n v="0.5"/>
    <n v="1"/>
    <n v="1"/>
    <n v="1"/>
    <n v="1"/>
    <s v="Edg_EAW_5216D1"/>
    <s v="Edg_EAW_5216D1"/>
    <s v="Edg_EAW_5216D1"/>
    <s v="Edg_EAW_5216D1"/>
    <n v="0"/>
    <n v="0"/>
    <n v="0"/>
    <n v="0"/>
    <n v="0"/>
    <m/>
    <n v="0"/>
    <n v="0"/>
    <s v=""/>
    <s v=""/>
    <s v=""/>
    <x v="1"/>
    <x v="1"/>
    <n v="0"/>
    <m/>
    <s v="12"/>
    <s v="4444"/>
    <s v="WY_5216_D(V)_+_HB_41130"/>
    <s v="Edg_EAW_5216D1_Keliling"/>
    <s v="104)Dinding Samping I_WY_5216_D(V)_+_HB_41130"/>
    <s v="104)Dinding Samping I Ply 18mm - WY_5216_D(V)_+_HB_41130 ; Edg_EAW_5216D1_Keliling  "/>
  </r>
  <r>
    <s v="prt"/>
    <s v="KS"/>
    <s v="B"/>
    <n v="1"/>
    <s v="..."/>
    <s v="Dinding Samping"/>
    <m/>
    <n v="2404"/>
    <s v="x"/>
    <n v="600"/>
    <s v="x"/>
    <n v="18.5"/>
    <s v="2404 x 600 x 18,5"/>
    <n v="1"/>
    <n v="1"/>
    <s v="Ply"/>
    <n v="18"/>
    <n v="0"/>
    <n v="11"/>
    <s v="Polos"/>
    <n v="0"/>
    <s v="HB_41130"/>
    <n v="0.5"/>
    <n v="11"/>
    <n v="9"/>
    <n v="9"/>
    <n v="9"/>
    <s v="Edg_Décor_1723_B"/>
    <s v="Melanor"/>
    <s v="Melanor"/>
    <s v="Melanor"/>
    <n v="0"/>
    <n v="0"/>
    <n v="0"/>
    <n v="0"/>
    <n v="0"/>
    <m/>
    <n v="0"/>
    <n v="0"/>
    <s v=""/>
    <s v=""/>
    <s v=""/>
    <x v="1"/>
    <x v="1"/>
    <n v="0"/>
    <m/>
    <s v="32"/>
    <s v="1222"/>
    <s v="HB_41130_1mk_Polos"/>
    <s v="Edg Kll standart"/>
    <s v="101)Dinding Samping_HB_41130_1mk_Polos"/>
    <s v="101)Dinding Samping Ply 18mm - HB_41130_1mk_Polos ; Edg Kll standart  "/>
  </r>
  <r>
    <s v="prt"/>
    <s v="KS"/>
    <s v="B•"/>
    <n v="1"/>
    <s v="..."/>
    <s v="Dinding Atas Bawah"/>
    <m/>
    <n v="564"/>
    <s v="x"/>
    <n v="600"/>
    <s v="x"/>
    <n v="19"/>
    <s v="564 x 600 x 19"/>
    <n v="1"/>
    <n v="1"/>
    <s v="Ply"/>
    <n v="18"/>
    <n v="9"/>
    <n v="11"/>
    <s v="[Aica]"/>
    <n v="0.5"/>
    <s v="HB_41130"/>
    <n v="0.5"/>
    <n v="11"/>
    <n v="9"/>
    <n v="0"/>
    <n v="0"/>
    <s v="Edg_Décor_1723_B"/>
    <s v="Melanor"/>
    <s v=" "/>
    <s v=" "/>
    <n v="0"/>
    <n v="0"/>
    <n v="0"/>
    <n v="0"/>
    <n v="0"/>
    <m/>
    <n v="0"/>
    <n v="0"/>
    <s v=""/>
    <s v=""/>
    <s v=""/>
    <x v="1"/>
    <x v="1"/>
    <n v="0"/>
    <m/>
    <s v="52"/>
    <s v="1233"/>
    <s v="HB_41130+[Aica]"/>
    <s v="Edg 2sisi standart"/>
    <s v="119)Dinding Atas Bawah_HB_41130+[Aica]"/>
    <s v="119)Dinding Atas Bawah Ply 18mm - HB_41130+[Aica] ; Edg 2sisi standart  "/>
  </r>
  <r>
    <s v="prt"/>
    <s v="KS"/>
    <s v="B"/>
    <n v="1"/>
    <s v="..."/>
    <s v="Dinding Atas Bawah"/>
    <m/>
    <n v="564"/>
    <s v="x"/>
    <n v="550"/>
    <s v="x"/>
    <n v="19"/>
    <s v="564 x 550 x 19"/>
    <n v="1"/>
    <n v="1"/>
    <s v="Ply"/>
    <n v="18"/>
    <n v="9"/>
    <n v="11"/>
    <s v="[Aica]"/>
    <n v="0.5"/>
    <s v="HB_41130"/>
    <n v="0.5"/>
    <n v="11"/>
    <n v="9"/>
    <n v="0"/>
    <n v="0"/>
    <s v="Edg_Décor_1723_B"/>
    <s v="Melanor"/>
    <s v=" "/>
    <s v=" "/>
    <n v="0"/>
    <n v="0"/>
    <n v="0"/>
    <n v="0"/>
    <n v="0"/>
    <m/>
    <n v="0"/>
    <n v="0"/>
    <s v=""/>
    <s v=""/>
    <s v=""/>
    <x v="1"/>
    <x v="1"/>
    <n v="0"/>
    <m/>
    <s v="52"/>
    <s v="1233"/>
    <s v="HB_41130+[Aica]"/>
    <s v="Edg 2sisi standart"/>
    <s v="119)Dinding Atas Bawah_HB_41130+[Aica]"/>
    <s v="119)Dinding Atas Bawah Ply 18mm - HB_41130+[Aica] ; Edg 2sisi standart  "/>
  </r>
  <r>
    <s v="prt"/>
    <s v="KS"/>
    <s v="B"/>
    <n v="1"/>
    <s v="..."/>
    <s v="Dinding Atas Bawah ≈"/>
    <m/>
    <n v="564"/>
    <s v="x"/>
    <n v="550"/>
    <s v="x"/>
    <n v="19"/>
    <s v="564 x 550 x 19"/>
    <n v="1"/>
    <n v="1"/>
    <s v="Ply"/>
    <n v="18"/>
    <n v="11"/>
    <n v="11"/>
    <s v="HB_41130"/>
    <n v="0.5"/>
    <s v="HB_41130"/>
    <n v="0.5"/>
    <n v="11"/>
    <n v="9"/>
    <n v="0"/>
    <n v="0"/>
    <s v="Edg_Décor_1723_B"/>
    <s v="Melanor"/>
    <s v=" "/>
    <s v=" "/>
    <n v="0"/>
    <n v="0"/>
    <n v="0"/>
    <n v="0"/>
    <n v="0"/>
    <m/>
    <n v="0"/>
    <n v="0"/>
    <s v=""/>
    <s v=""/>
    <s v=""/>
    <x v="1"/>
    <x v="1"/>
    <n v="0"/>
    <m/>
    <s v="22"/>
    <s v="1233"/>
    <s v="HB_41130_2mk"/>
    <s v="Edg 2sisi standart"/>
    <s v="122)Dinding Atas Bawah ≈_HB_41130_2mk"/>
    <s v="122)Dinding Atas Bawah ≈ Ply 18mm - HB_41130_2mk ; Edg 2sisi standart  "/>
  </r>
  <r>
    <s v="prt"/>
    <s v="KS"/>
    <s v="B"/>
    <n v="1"/>
    <s v="..."/>
    <s v="Dinding Belakang"/>
    <m/>
    <n v="2343"/>
    <s v="x"/>
    <n v="581"/>
    <s v="x"/>
    <n v="7"/>
    <s v="2343 x 581 x 7"/>
    <n v="1"/>
    <n v="1"/>
    <s v="Ply"/>
    <n v="6"/>
    <n v="9"/>
    <n v="11"/>
    <s v="[Aica]"/>
    <n v="0.5"/>
    <s v="HB_41130"/>
    <n v="0.5"/>
    <n v="0"/>
    <n v="0"/>
    <n v="0"/>
    <n v="0"/>
    <s v=" "/>
    <s v=" "/>
    <s v=" "/>
    <s v=" "/>
    <n v="0"/>
    <n v="0"/>
    <n v="0"/>
    <n v="0"/>
    <n v="0"/>
    <m/>
    <n v="0"/>
    <n v="0"/>
    <s v=""/>
    <s v=""/>
    <s v=""/>
    <x v="1"/>
    <x v="1"/>
    <n v="0"/>
    <m/>
    <s v="52"/>
    <s v="3333"/>
    <s v="HB_41130+[Aica]"/>
    <s v=" -"/>
    <s v="139)Dinding Belakang_HB_41130+[Aica]"/>
    <s v="139)Dinding Belakang Ply 6mm - HB_41130+[Aica] ;  -  "/>
  </r>
  <r>
    <s v="prt"/>
    <s v="KS"/>
    <s v="B"/>
    <n v="1"/>
    <s v="..."/>
    <s v="Dinding Belakang"/>
    <m/>
    <n v="683"/>
    <s v="x"/>
    <n v="581"/>
    <s v="x"/>
    <n v="7"/>
    <s v="683 x 581 x 7"/>
    <n v="1"/>
    <n v="1"/>
    <s v="Ply"/>
    <n v="6"/>
    <n v="9"/>
    <n v="11"/>
    <s v="[Aica]"/>
    <n v="0.5"/>
    <s v="HB_41130"/>
    <n v="0.5"/>
    <n v="0"/>
    <n v="0"/>
    <n v="0"/>
    <n v="0"/>
    <s v=" "/>
    <s v=" "/>
    <s v=" "/>
    <s v=" "/>
    <n v="0"/>
    <n v="0"/>
    <n v="0"/>
    <n v="0"/>
    <n v="0"/>
    <m/>
    <n v="0"/>
    <n v="0"/>
    <s v=""/>
    <s v=""/>
    <s v=""/>
    <x v="1"/>
    <x v="1"/>
    <n v="0"/>
    <m/>
    <s v="52"/>
    <s v="3333"/>
    <s v="HB_41130+[Aica]"/>
    <s v=" -"/>
    <s v="139)Dinding Belakang_HB_41130+[Aica]"/>
    <s v="139)Dinding Belakang Ply 6mm - HB_41130+[Aica] ;  -  "/>
  </r>
  <r>
    <s v="prt"/>
    <s v="KS"/>
    <s v="B"/>
    <n v="1"/>
    <s v="..."/>
    <s v="Ambalan mati"/>
    <m/>
    <n v="564"/>
    <s v="x"/>
    <n v="582"/>
    <s v="x"/>
    <n v="19"/>
    <s v="564 x 582 x 19"/>
    <n v="1"/>
    <n v="1"/>
    <s v="Ply"/>
    <n v="18"/>
    <n v="11"/>
    <n v="11"/>
    <s v="HB_41130"/>
    <n v="0.5"/>
    <s v="HB_41130"/>
    <n v="0.5"/>
    <n v="11"/>
    <n v="0"/>
    <n v="0"/>
    <n v="0"/>
    <s v="Edg_Décor_1723_B"/>
    <s v=" "/>
    <s v=" "/>
    <s v=" "/>
    <n v="0"/>
    <n v="0"/>
    <n v="0"/>
    <n v="0"/>
    <n v="0"/>
    <m/>
    <n v="0"/>
    <n v="0"/>
    <s v=""/>
    <s v=""/>
    <s v=""/>
    <x v="1"/>
    <x v="1"/>
    <n v="0"/>
    <m/>
    <s v="22"/>
    <s v="1333"/>
    <s v="HB_41130_2mk"/>
    <s v="Edg_Décor_1723_B_1sisi_pjg"/>
    <s v="152)Ambalan mati_HB_41130_2mk"/>
    <s v="152)Ambalan mati Ply 18mm - HB_41130_2mk ; Edg_Décor_1723_B_1sisi_pjg  "/>
  </r>
  <r>
    <s v="prt"/>
    <s v="KS"/>
    <s v="B"/>
    <n v="1"/>
    <s v="..."/>
    <s v="Ambalan mati"/>
    <m/>
    <n v="564"/>
    <s v="x"/>
    <n v="526"/>
    <s v="x"/>
    <n v="19"/>
    <s v="564 x 526 x 19"/>
    <n v="1"/>
    <n v="1"/>
    <s v="Ply"/>
    <n v="18"/>
    <n v="11"/>
    <n v="11"/>
    <s v="HB_41130"/>
    <n v="0.5"/>
    <s v="HB_41130"/>
    <n v="0.5"/>
    <n v="11"/>
    <n v="0"/>
    <n v="0"/>
    <n v="0"/>
    <s v="Edg_Décor_1723_B"/>
    <s v=" "/>
    <s v=" "/>
    <s v=" "/>
    <n v="0"/>
    <n v="0"/>
    <n v="0"/>
    <n v="0"/>
    <n v="0"/>
    <m/>
    <n v="0"/>
    <n v="0"/>
    <s v=""/>
    <s v=""/>
    <s v=""/>
    <x v="1"/>
    <x v="1"/>
    <n v="0"/>
    <m/>
    <s v="22"/>
    <s v="1333"/>
    <s v="HB_41130_2mk"/>
    <s v="Edg_Décor_1723_B_1sisi_pjg"/>
    <s v="152)Ambalan mati_HB_41130_2mk"/>
    <s v="152)Ambalan mati Ply 18mm - HB_41130_2mk ; Edg_Décor_1723_B_1sisi_pjg  "/>
  </r>
  <r>
    <s v="prt"/>
    <s v="KS"/>
    <s v="B"/>
    <n v="1"/>
    <s v="..."/>
    <s v="Sekat"/>
    <m/>
    <n v="1149"/>
    <s v="x"/>
    <n v="582"/>
    <s v="x"/>
    <n v="19.5"/>
    <s v="1149 x 582 x 19,5"/>
    <n v="1"/>
    <n v="1"/>
    <s v="Ply"/>
    <n v="18"/>
    <n v="1"/>
    <n v="11"/>
    <s v="WY_5216_D(V)"/>
    <n v="1"/>
    <s v="HB_41130"/>
    <n v="0.5"/>
    <n v="11"/>
    <n v="0"/>
    <n v="0"/>
    <n v="0"/>
    <s v="Edg_Décor_1723_B"/>
    <s v=" "/>
    <s v=" "/>
    <s v=" "/>
    <n v="0"/>
    <n v="0"/>
    <n v="0"/>
    <n v="0"/>
    <n v="0"/>
    <m/>
    <n v="0"/>
    <n v="0"/>
    <s v=""/>
    <s v=""/>
    <s v=""/>
    <x v="1"/>
    <x v="1"/>
    <n v="0"/>
    <m/>
    <s v="12"/>
    <s v="1333"/>
    <s v="WY_5216_D(V)_+_HB_41130"/>
    <s v="Edg_Décor_1723_B_1sisi_pjg"/>
    <s v="160)Sekat_WY_5216_D(V)_+_HB_41130"/>
    <s v="160)Sekat Ply 18mm - WY_5216_D(V)_+_HB_41130 ; Edg_Décor_1723_B_1sisi_pjg  "/>
  </r>
  <r>
    <s v="prt"/>
    <s v="KS"/>
    <s v="B"/>
    <n v="0"/>
    <s v="..."/>
    <s v="Ambalan mati OS"/>
    <m/>
    <n v="154"/>
    <s v="x"/>
    <n v="579"/>
    <s v="x"/>
    <n v="20"/>
    <s v="154 x 579 x 20"/>
    <n v="3"/>
    <n v="3"/>
    <s v="Ply"/>
    <n v="18"/>
    <n v="1"/>
    <n v="1"/>
    <s v="WY_5216_D(V)"/>
    <n v="1"/>
    <s v="WY_5216_D(V)"/>
    <n v="1"/>
    <n v="1"/>
    <n v="0"/>
    <n v="0"/>
    <n v="0"/>
    <s v="Edg_EAW_5216D1"/>
    <s v=" "/>
    <s v=" "/>
    <s v=" "/>
    <n v="0"/>
    <n v="0"/>
    <n v="0"/>
    <n v="0"/>
    <n v="0"/>
    <m/>
    <n v="0"/>
    <n v="0"/>
    <s v=""/>
    <s v=""/>
    <s v=""/>
    <x v="1"/>
    <x v="1"/>
    <n v="0"/>
    <m/>
    <s v="11"/>
    <s v="4333"/>
    <s v="WY_5216_D(V)_2mk"/>
    <s v="Edg_EAW_5216D1_1sisi_pjg"/>
    <s v="156)Ambalan mati OS_WY_5216_D(V)_2mk"/>
    <s v="156)Ambalan mati OS Ply 18mm - WY_5216_D(V)_2mk ; Edg_EAW_5216D1_1sisi_pjg  "/>
  </r>
  <r>
    <s v="prt"/>
    <s v="─"/>
    <s v="B"/>
    <n v="1"/>
    <s v="••"/>
    <s v="Ambalan hidup"/>
    <m/>
    <n v="563"/>
    <s v="x"/>
    <n v="575"/>
    <s v="x"/>
    <n v="19"/>
    <s v="563 x 575 x 19"/>
    <n v="1"/>
    <n v="1"/>
    <s v="Ply"/>
    <n v="18"/>
    <n v="11"/>
    <n v="11"/>
    <s v="HB_41130"/>
    <n v="0.5"/>
    <s v="HB_41130"/>
    <n v="0.5"/>
    <n v="11"/>
    <n v="11"/>
    <n v="11"/>
    <n v="11"/>
    <s v="Edg_Décor_1723_B"/>
    <s v="Edg_Décor_1723_B"/>
    <s v="Edg_Décor_1723_B"/>
    <s v="Edg_Décor_1723_B"/>
    <n v="0"/>
    <n v="0"/>
    <n v="0"/>
    <n v="0"/>
    <n v="0"/>
    <m/>
    <n v="0"/>
    <n v="0"/>
    <s v=""/>
    <s v=""/>
    <s v=""/>
    <x v="1"/>
    <x v="1"/>
    <n v="0"/>
    <m/>
    <s v="22"/>
    <s v="1111"/>
    <s v="HB_41130_2mk"/>
    <s v="Edg_Décor_1723_B_Keliling"/>
    <s v="145)Ambalan hidup_HB_41130_2mk"/>
    <s v="145)Ambalan hidup Ply 18mm - HB_41130_2mk ; Edg_Décor_1723_B_Keliling  "/>
  </r>
  <r>
    <m/>
    <m/>
    <m/>
    <s v=""/>
    <s v="..."/>
    <m/>
    <m/>
    <m/>
    <m/>
    <m/>
    <m/>
    <m/>
    <m/>
    <m/>
    <m/>
    <m/>
    <m/>
    <m/>
    <m/>
    <m/>
    <m/>
    <m/>
    <m/>
    <m/>
    <m/>
    <m/>
    <m/>
    <s v=" "/>
    <s v=" "/>
    <s v=" "/>
    <s v=" "/>
    <m/>
    <s v=""/>
    <m/>
    <s v=""/>
    <s v=""/>
    <m/>
    <m/>
    <m/>
    <s v=""/>
    <s v=""/>
    <s v=""/>
    <x v="0"/>
    <x v="0"/>
    <m/>
    <m/>
    <m/>
    <s v="3333"/>
    <s v=""/>
    <s v=" -"/>
    <m/>
    <s v="0) "/>
  </r>
  <r>
    <s v="Set_up"/>
    <s v="[ks]"/>
    <s v="B"/>
    <s v=""/>
    <s v="•"/>
    <s v="Dasar Laci Pull Out (rakit tukang)"/>
    <m/>
    <n v="360"/>
    <s v="x"/>
    <n v="490"/>
    <s v="x"/>
    <s v="19/28"/>
    <s v="360 x 490 x 19/28"/>
    <n v="1"/>
    <n v="1"/>
    <m/>
    <m/>
    <m/>
    <m/>
    <m/>
    <m/>
    <m/>
    <m/>
    <m/>
    <m/>
    <m/>
    <m/>
    <s v=" "/>
    <s v=" "/>
    <s v=" "/>
    <s v=" "/>
    <m/>
    <s v=""/>
    <m/>
    <s v=""/>
    <s v=""/>
    <m/>
    <m/>
    <m/>
    <s v=""/>
    <s v=""/>
    <s v=""/>
    <x v="0"/>
    <x v="0"/>
    <s v=""/>
    <m/>
    <m/>
    <s v="3333"/>
    <s v=""/>
    <s v=" -"/>
    <s v="0) Dasar Laci Pull Out (rakit tukang) 360"/>
    <s v="0B) Dasar Laci Pull Out (rakit tukang)"/>
  </r>
  <r>
    <s v="prt"/>
    <s v="─"/>
    <s v="B"/>
    <n v="1"/>
    <s v="••"/>
    <s v="Ambalan hidup"/>
    <m/>
    <n v="506"/>
    <s v="x"/>
    <n v="50"/>
    <s v="x"/>
    <n v="19"/>
    <s v="506 x 50 x 19"/>
    <n v="1"/>
    <n v="1"/>
    <s v="Ply"/>
    <n v="18"/>
    <n v="11"/>
    <n v="11"/>
    <s v="HB_41130"/>
    <n v="0.5"/>
    <s v="HB_41130"/>
    <n v="0.5"/>
    <n v="11"/>
    <n v="11"/>
    <n v="11"/>
    <n v="11"/>
    <s v="Edg_Décor_1723_B"/>
    <s v="Edg_Décor_1723_B"/>
    <s v="Edg_Décor_1723_B"/>
    <s v="Edg_Décor_1723_B"/>
    <n v="0"/>
    <n v="0"/>
    <n v="0"/>
    <n v="0"/>
    <n v="0"/>
    <m/>
    <n v="0"/>
    <n v="0"/>
    <s v=""/>
    <s v=""/>
    <s v=""/>
    <x v="1"/>
    <x v="1"/>
    <n v="0"/>
    <m/>
    <s v="22"/>
    <s v="1111"/>
    <s v="HB_41130_2mk"/>
    <s v="Edg_Décor_1723_B_Keliling"/>
    <s v="145)Ambalan hidup_HB_41130_2mk"/>
    <s v="145)Ambalan hidup Ply 18mm - HB_41130_2mk ; Edg_Décor_1723_B_Keliling  "/>
  </r>
  <r>
    <s v="prt"/>
    <s v="KS"/>
    <s v="B"/>
    <n v="1"/>
    <s v="••"/>
    <s v="Tutup laci dalam"/>
    <m/>
    <n v="65"/>
    <s v="x"/>
    <n v="370"/>
    <s v="x"/>
    <n v="19"/>
    <s v="65 x 370 x 19"/>
    <n v="1"/>
    <n v="1"/>
    <s v="Ply"/>
    <n v="18"/>
    <n v="11"/>
    <n v="11"/>
    <s v="HB_41130"/>
    <n v="0.5"/>
    <s v="HB_41130"/>
    <n v="0.5"/>
    <n v="11"/>
    <n v="11"/>
    <n v="11"/>
    <n v="11"/>
    <s v="Edg_Décor_1723_B"/>
    <s v="Edg_Décor_1723_B"/>
    <s v="Edg_Décor_1723_B"/>
    <s v="Edg_Décor_1723_B"/>
    <n v="0"/>
    <n v="0"/>
    <n v="0"/>
    <n v="0"/>
    <n v="0"/>
    <m/>
    <n v="0"/>
    <n v="0"/>
    <s v=""/>
    <s v=""/>
    <s v=""/>
    <x v="1"/>
    <x v="1"/>
    <n v="0"/>
    <m/>
    <s v="22"/>
    <s v="1111"/>
    <s v="HB_41130_2mk"/>
    <s v="Edg_Décor_1723_B_Keliling"/>
    <s v="358)Tutup laci dalam_HB_41130_2mk"/>
    <s v="358)Tutup laci dalam Ply 18mm - HB_41130_2mk ; Edg_Décor_1723_B_Keliling  "/>
  </r>
  <r>
    <s v="prt"/>
    <s v="KS"/>
    <s v="B"/>
    <n v="1"/>
    <s v="…"/>
    <s v="Dasar laci Pull Out"/>
    <m/>
    <n v="360"/>
    <s v="x"/>
    <n v="490"/>
    <s v="x"/>
    <n v="19"/>
    <s v="360 x 490 x 19"/>
    <n v="1"/>
    <n v="1"/>
    <s v="Ply"/>
    <n v="18"/>
    <n v="11"/>
    <n v="11"/>
    <s v="HB_41130"/>
    <n v="0.5"/>
    <s v="HB_41130"/>
    <n v="0.5"/>
    <n v="11"/>
    <n v="11"/>
    <n v="11"/>
    <n v="11"/>
    <s v="Edg_Décor_1723_B"/>
    <s v="Edg_Décor_1723_B"/>
    <s v="Edg_Décor_1723_B"/>
    <s v="Edg_Décor_1723_B"/>
    <n v="0"/>
    <n v="0"/>
    <n v="0"/>
    <s v="SIKU BR 012"/>
    <n v="0"/>
    <m/>
    <s v="REL TANDEM BLUM FULL EXT INTG P.500"/>
    <n v="0"/>
    <s v=""/>
    <s v=""/>
    <s v=""/>
    <x v="1"/>
    <x v="1"/>
    <n v="0"/>
    <m/>
    <s v="22"/>
    <s v="1111"/>
    <s v="HB_41130_2mk"/>
    <s v="Edg_Décor_1723_B_Keliling"/>
    <s v="186)Dasar laci Pull Out_HB_41130_2mk"/>
    <s v="186)Dasar laci Pull Out Ply 18mm - HB_41130_2mk ; Edg_Décor_1723_B_Keliling  "/>
  </r>
  <r>
    <m/>
    <m/>
    <m/>
    <s v=""/>
    <s v="..."/>
    <m/>
    <m/>
    <m/>
    <m/>
    <m/>
    <m/>
    <m/>
    <m/>
    <m/>
    <m/>
    <m/>
    <m/>
    <m/>
    <m/>
    <m/>
    <m/>
    <m/>
    <m/>
    <m/>
    <m/>
    <m/>
    <m/>
    <s v=" "/>
    <s v=" "/>
    <s v=" "/>
    <s v=" "/>
    <m/>
    <s v=""/>
    <m/>
    <s v=""/>
    <s v=""/>
    <m/>
    <m/>
    <m/>
    <s v=""/>
    <s v=""/>
    <s v=""/>
    <x v="0"/>
    <x v="0"/>
    <m/>
    <m/>
    <m/>
    <s v="3333"/>
    <s v=""/>
    <s v=" -"/>
    <m/>
    <s v="0) "/>
  </r>
  <r>
    <s v="Set_up"/>
    <s v="…"/>
    <s v="B"/>
    <s v=""/>
    <s v="•"/>
    <s v="Pintu Kaca (ukuran tunggu info)"/>
    <m/>
    <n v="718"/>
    <s v="x"/>
    <n v="600"/>
    <s v="x"/>
    <n v="20"/>
    <s v="718 x 600 x 20"/>
    <n v="1"/>
    <n v="1"/>
    <m/>
    <m/>
    <m/>
    <m/>
    <m/>
    <m/>
    <m/>
    <m/>
    <m/>
    <m/>
    <m/>
    <m/>
    <s v=" "/>
    <s v=" "/>
    <s v=" "/>
    <s v=" "/>
    <m/>
    <s v=""/>
    <m/>
    <s v=""/>
    <s v=""/>
    <m/>
    <m/>
    <m/>
    <s v=""/>
    <s v=""/>
    <s v=""/>
    <x v="0"/>
    <x v="0"/>
    <s v=""/>
    <m/>
    <m/>
    <s v="3333"/>
    <s v=""/>
    <s v=" -"/>
    <s v="0) Pintu Kaca (ukuran tunggu info) 718"/>
    <s v="0B) Pintu Kaca (ukuran tunggu info)"/>
  </r>
  <r>
    <s v="prt"/>
    <s v="─"/>
    <s v="B•"/>
    <n v="0"/>
    <s v="..."/>
    <s v="Pintu Kaca S2"/>
    <m/>
    <n v="714"/>
    <s v="x"/>
    <n v="600"/>
    <s v="x"/>
    <n v="14.5"/>
    <s v="714 x 600 x 14,5"/>
    <n v="1"/>
    <n v="1"/>
    <s v="Ply"/>
    <n v="13.5"/>
    <n v="22"/>
    <n v="11"/>
    <s v="Aica"/>
    <n v="0.5"/>
    <s v="HB_41130"/>
    <n v="0.5"/>
    <n v="1"/>
    <n v="1"/>
    <n v="0"/>
    <n v="0"/>
    <s v="Edg_EAW_5216D1"/>
    <s v="Edg_EAW_5216D1"/>
    <s v=" "/>
    <s v=" "/>
    <s v="SILICONE SIKAFLEX 221 PUTIH"/>
    <n v="0"/>
    <n v="0"/>
    <n v="0"/>
    <n v="0"/>
    <m/>
    <n v="0"/>
    <s v="ENGSEL CLIP TOP  107 DEG INTEGRATED 75 B 1550 + 173 L 6100"/>
    <s v=""/>
    <s v=""/>
    <s v=""/>
    <x v="2"/>
    <x v="3"/>
    <n v="2"/>
    <m/>
    <s v="72"/>
    <s v="4433"/>
    <s v="HB_41130+Aica"/>
    <s v="Edg_EAW_5216D1_2sisi_pjg"/>
    <s v="278)Pintu Kaca S2_HB_41130+Aica"/>
    <s v="278)Pintu Kaca S2 Ply 13,5mm - HB_41130+Aica ; Edg_EAW_5216D1_2sisi_pjg  "/>
  </r>
  <r>
    <s v="prt"/>
    <s v="k¢"/>
    <s v="B"/>
    <n v="1"/>
    <s v="..."/>
    <s v="Kaca_"/>
    <s v="(u/_S2) ; (pasang_rakit)"/>
    <n v="713"/>
    <s v="x"/>
    <n v="599"/>
    <s v="x"/>
    <n v="5"/>
    <s v="713 x 599 x 5"/>
    <n v="1"/>
    <n v="1"/>
    <s v="MG_Purewhite"/>
    <n v="5"/>
    <n v="0"/>
    <n v="0"/>
    <s v="Polos"/>
    <n v="0"/>
    <s v="Polos"/>
    <n v="0"/>
    <n v="0"/>
    <n v="0"/>
    <n v="0"/>
    <n v="0"/>
    <s v=" "/>
    <s v=" "/>
    <s v=" "/>
    <s v=" "/>
    <n v="0"/>
    <n v="0"/>
    <n v="0"/>
    <n v="0"/>
    <n v="0"/>
    <m/>
    <n v="0"/>
    <n v="0"/>
    <n v="0"/>
    <n v="0"/>
    <n v="0"/>
    <x v="1"/>
    <x v="1"/>
    <n v="0"/>
    <m/>
    <s v="33"/>
    <s v="3333"/>
    <s v="Polos"/>
    <s v=" -"/>
    <s v="535)Kaca__Polos"/>
    <s v="535)Kaca_ MG_Purewhite 5mm -  ;  -  (u/_S2) ; (pasang_rakit)"/>
  </r>
  <r>
    <m/>
    <m/>
    <m/>
    <s v=""/>
    <m/>
    <m/>
    <m/>
    <m/>
    <m/>
    <m/>
    <m/>
    <m/>
    <m/>
    <m/>
    <m/>
    <m/>
    <m/>
    <m/>
    <m/>
    <m/>
    <m/>
    <m/>
    <m/>
    <m/>
    <m/>
    <m/>
    <m/>
    <s v=" "/>
    <s v=" "/>
    <s v=" "/>
    <s v=" "/>
    <m/>
    <s v=""/>
    <m/>
    <s v=""/>
    <s v=""/>
    <m/>
    <m/>
    <m/>
    <s v=""/>
    <s v=""/>
    <s v=""/>
    <x v="0"/>
    <x v="0"/>
    <m/>
    <m/>
    <m/>
    <s v="3333"/>
    <s v=""/>
    <s v=" -"/>
    <m/>
    <s v="0) "/>
  </r>
  <r>
    <s v="Set_up"/>
    <s v="…"/>
    <s v="B"/>
    <s v=""/>
    <s v="•"/>
    <s v="Pintu Kaca (ukuran tunggu info)"/>
    <m/>
    <n v="1200"/>
    <s v="x"/>
    <n v="408"/>
    <s v="x"/>
    <n v="20"/>
    <s v="1200 x 408 x 20"/>
    <n v="1"/>
    <n v="1"/>
    <m/>
    <m/>
    <m/>
    <m/>
    <m/>
    <m/>
    <m/>
    <m/>
    <m/>
    <m/>
    <m/>
    <m/>
    <s v=" "/>
    <s v=" "/>
    <s v=" "/>
    <s v=" "/>
    <m/>
    <s v=""/>
    <m/>
    <s v=""/>
    <s v=""/>
    <m/>
    <m/>
    <m/>
    <s v=""/>
    <s v=""/>
    <s v=""/>
    <x v="0"/>
    <x v="0"/>
    <s v=""/>
    <m/>
    <m/>
    <s v="3333"/>
    <s v=""/>
    <s v=" -"/>
    <s v="0) Pintu Kaca (ukuran tunggu info) 1200"/>
    <s v="0B) Pintu Kaca (ukuran tunggu info)"/>
  </r>
  <r>
    <s v="prt"/>
    <s v="─"/>
    <s v="B•"/>
    <n v="0"/>
    <s v="..."/>
    <s v="Pintu Kaca S2"/>
    <m/>
    <n v="1196"/>
    <s v="x"/>
    <n v="408"/>
    <s v="x"/>
    <n v="14.5"/>
    <s v="1196 x 408 x 14,5"/>
    <n v="1"/>
    <n v="1"/>
    <s v="Ply"/>
    <n v="13.5"/>
    <n v="22"/>
    <n v="11"/>
    <s v="Aica"/>
    <n v="0.5"/>
    <s v="HB_41130"/>
    <n v="0.5"/>
    <n v="1"/>
    <n v="1"/>
    <n v="0"/>
    <n v="0"/>
    <s v="Edg_EAW_5216D1"/>
    <s v="Edg_EAW_5216D1"/>
    <s v=" "/>
    <s v=" "/>
    <s v="SILICONE SIKAFLEX 221 PUTIH"/>
    <n v="0"/>
    <n v="0"/>
    <n v="0"/>
    <n v="0"/>
    <m/>
    <n v="0"/>
    <s v="ENGSEL CLIP TOP  107 DEG INTEGRATED 75 B 1550 + 173 L 6100"/>
    <s v=""/>
    <s v=""/>
    <s v=""/>
    <x v="2"/>
    <x v="4"/>
    <n v="2"/>
    <m/>
    <s v="72"/>
    <s v="4433"/>
    <s v="HB_41130+Aica"/>
    <s v="Edg_EAW_5216D1_2sisi_pjg"/>
    <s v="278)Pintu Kaca S2_HB_41130+Aica"/>
    <s v="278)Pintu Kaca S2 Ply 13,5mm - HB_41130+Aica ; Edg_EAW_5216D1_2sisi_pjg  "/>
  </r>
  <r>
    <s v="prt"/>
    <s v="k¢"/>
    <s v="B"/>
    <n v="1"/>
    <s v="..."/>
    <s v="Kaca_"/>
    <s v="(u/_S2) ; (pasang_rakit)"/>
    <n v="1195"/>
    <s v="x"/>
    <n v="407"/>
    <s v="x"/>
    <n v="5"/>
    <s v="1195 x 407 x 5"/>
    <n v="1"/>
    <n v="1"/>
    <s v="MG_Purewhite"/>
    <n v="5"/>
    <n v="0"/>
    <n v="0"/>
    <s v="Polos"/>
    <n v="0"/>
    <s v="Polos"/>
    <n v="0"/>
    <n v="0"/>
    <n v="0"/>
    <n v="0"/>
    <n v="0"/>
    <s v=" "/>
    <s v=" "/>
    <s v=" "/>
    <s v=" "/>
    <n v="0"/>
    <n v="0"/>
    <m/>
    <n v="0"/>
    <n v="0"/>
    <m/>
    <n v="0"/>
    <n v="0"/>
    <n v="0"/>
    <n v="0"/>
    <n v="0"/>
    <x v="1"/>
    <x v="1"/>
    <s v=""/>
    <m/>
    <s v="33"/>
    <s v="3333"/>
    <s v="Polos"/>
    <s v=" -"/>
    <s v="535)Kaca__Polos"/>
    <s v="535)Kaca_ MG_Purewhite 5mm -  ;  -  (u/_S2) ; (pasang_rakit)"/>
  </r>
  <r>
    <m/>
    <m/>
    <m/>
    <s v=""/>
    <m/>
    <m/>
    <m/>
    <m/>
    <m/>
    <m/>
    <m/>
    <m/>
    <m/>
    <m/>
    <m/>
    <m/>
    <m/>
    <m/>
    <m/>
    <m/>
    <m/>
    <m/>
    <m/>
    <m/>
    <m/>
    <m/>
    <m/>
    <s v=" "/>
    <s v=" "/>
    <s v=" "/>
    <s v=" "/>
    <m/>
    <s v=""/>
    <m/>
    <s v=""/>
    <s v=""/>
    <m/>
    <m/>
    <m/>
    <s v=""/>
    <s v=""/>
    <s v=""/>
    <x v="0"/>
    <x v="0"/>
    <m/>
    <m/>
    <m/>
    <s v="3333"/>
    <s v=""/>
    <s v=" -"/>
    <m/>
    <s v="0) "/>
  </r>
  <r>
    <s v="Set_up"/>
    <s v="…"/>
    <s v="B"/>
    <s v=""/>
    <s v="•"/>
    <s v="Pintu Kaca S2 (rakit tukang)"/>
    <m/>
    <n v="1200"/>
    <s v="x"/>
    <n v="190"/>
    <s v="x"/>
    <n v="20"/>
    <s v="1200 x 190 x 20"/>
    <n v="1"/>
    <n v="1"/>
    <m/>
    <m/>
    <m/>
    <m/>
    <m/>
    <m/>
    <m/>
    <m/>
    <m/>
    <m/>
    <m/>
    <m/>
    <s v=" "/>
    <s v=" "/>
    <s v=" "/>
    <s v=" "/>
    <m/>
    <s v=""/>
    <m/>
    <s v=""/>
    <s v=""/>
    <m/>
    <m/>
    <m/>
    <s v=""/>
    <s v=""/>
    <s v=""/>
    <x v="0"/>
    <x v="0"/>
    <s v=""/>
    <m/>
    <m/>
    <s v="3333"/>
    <s v=""/>
    <s v=" -"/>
    <s v="0) Pintu Kaca S2 (rakit tukang) 1200"/>
    <s v="0B) Pintu Kaca S2 (rakit tukang)"/>
  </r>
  <r>
    <s v="prt"/>
    <s v="─"/>
    <s v="B•"/>
    <n v="0"/>
    <s v="..."/>
    <s v="Pintu Kaca S2"/>
    <m/>
    <n v="1196"/>
    <s v="x"/>
    <n v="190"/>
    <s v="x"/>
    <n v="14.5"/>
    <s v="1196 x 190 x 14,5"/>
    <n v="1"/>
    <n v="1"/>
    <s v="Ply"/>
    <n v="13.5"/>
    <n v="22"/>
    <n v="11"/>
    <s v="Aica"/>
    <n v="0.5"/>
    <s v="HB_41130"/>
    <n v="0.5"/>
    <n v="1"/>
    <n v="1"/>
    <n v="0"/>
    <n v="0"/>
    <s v="Edg_EAW_5216D1"/>
    <s v="Edg_EAW_5216D1"/>
    <s v=" "/>
    <s v=" "/>
    <s v="SILICONE SIKAFLEX 221 PUTIH"/>
    <n v="0"/>
    <n v="0"/>
    <n v="0"/>
    <n v="0"/>
    <m/>
    <n v="0"/>
    <s v="ENGSEL CLIP TOP  107 DEG INTEGRATED 75 B 1550 + 173 L 6100"/>
    <s v=""/>
    <s v=""/>
    <s v=""/>
    <x v="2"/>
    <x v="5"/>
    <n v="2"/>
    <m/>
    <s v="72"/>
    <s v="4433"/>
    <s v="HB_41130+Aica"/>
    <s v="Edg_EAW_5216D1_2sisi_pjg"/>
    <s v="278)Pintu Kaca S2_HB_41130+Aica"/>
    <s v="278)Pintu Kaca S2 Ply 13,5mm - HB_41130+Aica ; Edg_EAW_5216D1_2sisi_pjg  "/>
  </r>
  <r>
    <s v="prt"/>
    <s v="k¢"/>
    <s v="B"/>
    <n v="1"/>
    <s v="..."/>
    <s v="Kaca_"/>
    <s v="(u/_S2) ; (pasang_rakit)"/>
    <n v="1195"/>
    <s v="x"/>
    <n v="189"/>
    <s v="x"/>
    <n v="5"/>
    <s v="1195 x 189 x 5"/>
    <n v="1"/>
    <n v="1"/>
    <s v="MG_Purewhite"/>
    <n v="5"/>
    <n v="0"/>
    <n v="0"/>
    <s v="Polos"/>
    <n v="0"/>
    <s v="Polos"/>
    <n v="0"/>
    <n v="0"/>
    <n v="0"/>
    <n v="0"/>
    <n v="0"/>
    <s v=" "/>
    <s v=" "/>
    <s v=" "/>
    <s v=" "/>
    <n v="0"/>
    <n v="0"/>
    <m/>
    <n v="0"/>
    <n v="0"/>
    <m/>
    <n v="0"/>
    <n v="0"/>
    <n v="0"/>
    <n v="0"/>
    <n v="0"/>
    <x v="1"/>
    <x v="1"/>
    <s v=""/>
    <m/>
    <s v="33"/>
    <s v="3333"/>
    <s v="Polos"/>
    <s v=" -"/>
    <s v="535)Kaca__Polos"/>
    <s v="535)Kaca_ MG_Purewhite 5mm -  ;  -  (u/_S2) ; (pasang_rakit)"/>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m/>
  </r>
  <r>
    <m/>
    <m/>
    <m/>
    <s v=""/>
    <m/>
    <m/>
    <m/>
    <m/>
    <m/>
    <m/>
    <m/>
    <m/>
    <m/>
    <m/>
    <m/>
    <m/>
    <m/>
    <m/>
    <m/>
    <m/>
    <m/>
    <m/>
    <m/>
    <m/>
    <m/>
    <m/>
    <m/>
    <m/>
    <m/>
    <m/>
    <m/>
    <m/>
    <m/>
    <m/>
    <m/>
    <m/>
    <m/>
    <m/>
    <m/>
    <m/>
    <m/>
    <m/>
    <x v="0"/>
    <x v="0"/>
    <m/>
    <m/>
    <m/>
    <m/>
    <m/>
    <m/>
    <m/>
    <e v="#N/A"/>
  </r>
  <r>
    <s v="prt"/>
    <s v=""/>
    <s v="…"/>
    <s v=""/>
    <s v="fr"/>
    <s v="M-LED-02 Brown Doff ( Alm. 75111 ) P3"/>
    <m/>
    <n v="3000"/>
    <m/>
    <m/>
    <m/>
    <m/>
    <s v="3000    "/>
    <n v="2"/>
    <n v="2"/>
    <s v=""/>
    <m/>
    <e v="#N/A"/>
    <e v="#N/A"/>
    <s v=""/>
    <s v=""/>
    <s v=""/>
    <s v=""/>
    <e v="#N/A"/>
    <e v="#N/A"/>
    <e v="#N/A"/>
    <e v="#N/A"/>
    <e v="#N/A"/>
    <e v="#N/A"/>
    <e v="#N/A"/>
    <e v="#N/A"/>
    <s v=""/>
    <s v=""/>
    <s v=""/>
    <s v=""/>
    <s v=""/>
    <m/>
    <s v=""/>
    <s v=""/>
    <s v=""/>
    <s v=""/>
    <s v=""/>
    <x v="3"/>
    <x v="1"/>
    <s v=""/>
    <m/>
    <e v="#N/A"/>
    <e v="#N/A"/>
    <s v=""/>
    <e v="#N/A"/>
    <e v="#N/A"/>
    <s v="0…) M-LED-02 Brown Doff ( Alm. 75111 ) P3"/>
  </r>
  <r>
    <m/>
    <m/>
    <m/>
    <s v=""/>
    <m/>
    <m/>
    <m/>
    <m/>
    <m/>
    <m/>
    <m/>
    <m/>
    <m/>
    <m/>
    <m/>
    <m/>
    <m/>
    <m/>
    <m/>
    <m/>
    <m/>
    <m/>
    <m/>
    <m/>
    <m/>
    <m/>
    <m/>
    <m/>
    <m/>
    <m/>
    <m/>
    <m/>
    <m/>
    <m/>
    <m/>
    <m/>
    <m/>
    <m/>
    <m/>
    <s v=""/>
    <s v=""/>
    <s v=""/>
    <x v="0"/>
    <x v="0"/>
    <m/>
    <m/>
    <m/>
    <m/>
    <m/>
    <m/>
    <m/>
    <e v="#N/A"/>
  </r>
  <r>
    <m/>
    <s v="…"/>
    <s v="…"/>
    <m/>
    <s v=" "/>
    <s v="LEGRA S1 ORION GREY (OG"/>
    <m/>
    <m/>
    <m/>
    <m/>
    <m/>
    <m/>
    <s v="…"/>
    <m/>
    <n v="0"/>
    <m/>
    <m/>
    <m/>
    <m/>
    <m/>
    <m/>
    <m/>
    <m/>
    <m/>
    <m/>
    <m/>
    <m/>
    <m/>
    <m/>
    <m/>
    <m/>
    <m/>
    <m/>
    <m/>
    <m/>
    <m/>
    <m/>
    <m/>
    <m/>
    <m/>
    <m/>
    <m/>
    <x v="0"/>
    <x v="0"/>
    <m/>
    <m/>
    <m/>
    <m/>
    <m/>
    <m/>
    <m/>
    <m/>
  </r>
  <r>
    <m/>
    <s v="…"/>
    <s v="…"/>
    <m/>
    <s v=" "/>
    <s v="LEGRABOX S4 OG (ORION GREY)"/>
    <m/>
    <m/>
    <m/>
    <m/>
    <m/>
    <m/>
    <s v="…"/>
    <m/>
    <n v="0"/>
    <m/>
    <m/>
    <m/>
    <m/>
    <m/>
    <m/>
    <m/>
    <m/>
    <m/>
    <m/>
    <m/>
    <m/>
    <m/>
    <m/>
    <m/>
    <m/>
    <m/>
    <m/>
    <m/>
    <m/>
    <m/>
    <m/>
    <m/>
    <m/>
    <m/>
    <m/>
    <m/>
    <x v="0"/>
    <x v="0"/>
    <m/>
    <m/>
    <m/>
    <m/>
    <m/>
    <m/>
    <m/>
    <m/>
  </r>
  <r>
    <m/>
    <s v="…"/>
    <s v="…"/>
    <m/>
    <s v=" "/>
    <s v="REL TANDEM BLUM SINGLE EXT INTG P.500"/>
    <m/>
    <m/>
    <m/>
    <m/>
    <m/>
    <m/>
    <s v="…"/>
    <m/>
    <n v="0"/>
    <m/>
    <m/>
    <m/>
    <m/>
    <m/>
    <m/>
    <m/>
    <m/>
    <m/>
    <m/>
    <m/>
    <m/>
    <m/>
    <m/>
    <m/>
    <m/>
    <m/>
    <m/>
    <m/>
    <m/>
    <m/>
    <m/>
    <m/>
    <m/>
    <m/>
    <m/>
    <m/>
    <x v="0"/>
    <x v="0"/>
    <m/>
    <m/>
    <m/>
    <m/>
    <m/>
    <m/>
    <m/>
    <m/>
  </r>
  <r>
    <m/>
    <s v="…"/>
    <s v="…"/>
    <m/>
    <s v="ft"/>
    <s v="REL TANDEM BLUM FULL EXT INTG P.500"/>
    <m/>
    <m/>
    <m/>
    <m/>
    <m/>
    <m/>
    <s v="…"/>
    <m/>
    <n v="4"/>
    <m/>
    <m/>
    <m/>
    <m/>
    <m/>
    <m/>
    <m/>
    <m/>
    <m/>
    <m/>
    <m/>
    <m/>
    <m/>
    <m/>
    <m/>
    <m/>
    <m/>
    <m/>
    <m/>
    <m/>
    <m/>
    <m/>
    <m/>
    <m/>
    <m/>
    <m/>
    <m/>
    <x v="0"/>
    <x v="0"/>
    <m/>
    <m/>
    <m/>
    <m/>
    <m/>
    <m/>
    <m/>
    <m/>
  </r>
  <r>
    <m/>
    <s v="…"/>
    <s v="…"/>
    <m/>
    <s v=" "/>
    <s v="REL TANDEM BLUM FULL EXT INTG P.400"/>
    <m/>
    <m/>
    <m/>
    <m/>
    <m/>
    <m/>
    <s v="…"/>
    <m/>
    <n v="0"/>
    <m/>
    <m/>
    <m/>
    <m/>
    <m/>
    <m/>
    <m/>
    <m/>
    <m/>
    <m/>
    <m/>
    <m/>
    <m/>
    <m/>
    <m/>
    <m/>
    <m/>
    <m/>
    <m/>
    <m/>
    <m/>
    <m/>
    <m/>
    <m/>
    <m/>
    <m/>
    <m/>
    <x v="0"/>
    <x v="0"/>
    <m/>
    <m/>
    <m/>
    <m/>
    <m/>
    <m/>
    <m/>
    <m/>
  </r>
  <r>
    <m/>
    <s v="…"/>
    <s v="…"/>
    <m/>
    <s v=" "/>
    <s v="LACI B1S1 INTE BLUMO"/>
    <m/>
    <m/>
    <m/>
    <m/>
    <m/>
    <m/>
    <s v="…"/>
    <m/>
    <n v="0"/>
    <m/>
    <m/>
    <m/>
    <m/>
    <m/>
    <m/>
    <m/>
    <m/>
    <m/>
    <m/>
    <m/>
    <m/>
    <m/>
    <m/>
    <m/>
    <m/>
    <m/>
    <m/>
    <m/>
    <m/>
    <m/>
    <m/>
    <m/>
    <m/>
    <m/>
    <m/>
    <m/>
    <x v="0"/>
    <x v="0"/>
    <m/>
    <m/>
    <m/>
    <m/>
    <m/>
    <m/>
    <m/>
    <m/>
  </r>
  <r>
    <m/>
    <s v="…"/>
    <s v="…"/>
    <m/>
    <s v=" "/>
    <s v="B1S2 GREY INTEG.BM"/>
    <m/>
    <m/>
    <m/>
    <m/>
    <m/>
    <m/>
    <s v="…"/>
    <m/>
    <n v="0"/>
    <m/>
    <m/>
    <m/>
    <m/>
    <m/>
    <m/>
    <m/>
    <m/>
    <m/>
    <m/>
    <m/>
    <m/>
    <m/>
    <m/>
    <m/>
    <m/>
    <m/>
    <m/>
    <m/>
    <m/>
    <m/>
    <m/>
    <m/>
    <m/>
    <m/>
    <m/>
    <m/>
    <x v="0"/>
    <x v="0"/>
    <m/>
    <m/>
    <m/>
    <m/>
    <m/>
    <m/>
    <m/>
    <m/>
  </r>
  <r>
    <m/>
    <s v="…"/>
    <s v="…"/>
    <m/>
    <s v=" "/>
    <s v="REL TANDEM BLUM SINGLE EXT INTG P.450"/>
    <m/>
    <m/>
    <m/>
    <m/>
    <m/>
    <m/>
    <s v="…"/>
    <m/>
    <n v="0"/>
    <m/>
    <m/>
    <m/>
    <m/>
    <m/>
    <m/>
    <m/>
    <m/>
    <m/>
    <m/>
    <m/>
    <m/>
    <m/>
    <m/>
    <m/>
    <m/>
    <m/>
    <m/>
    <m/>
    <m/>
    <m/>
    <m/>
    <m/>
    <m/>
    <m/>
    <m/>
    <m/>
    <x v="0"/>
    <x v="0"/>
    <m/>
    <m/>
    <m/>
    <m/>
    <m/>
    <m/>
    <m/>
    <m/>
  </r>
  <r>
    <m/>
    <s v="…"/>
    <s v="…"/>
    <m/>
    <s v=" "/>
    <s v="MERIVOBOX MVX S1 SW 500 40 BM"/>
    <m/>
    <m/>
    <m/>
    <m/>
    <m/>
    <m/>
    <s v="…"/>
    <m/>
    <n v="0"/>
    <m/>
    <m/>
    <m/>
    <m/>
    <m/>
    <m/>
    <m/>
    <m/>
    <m/>
    <m/>
    <m/>
    <m/>
    <m/>
    <m/>
    <m/>
    <m/>
    <m/>
    <m/>
    <m/>
    <m/>
    <m/>
    <m/>
    <m/>
    <m/>
    <m/>
    <m/>
    <m/>
    <x v="0"/>
    <x v="0"/>
    <m/>
    <m/>
    <m/>
    <m/>
    <m/>
    <m/>
    <m/>
    <m/>
  </r>
  <r>
    <m/>
    <s v="…"/>
    <s v="…"/>
    <m/>
    <s v=" "/>
    <s v="MERIVOBOX MVX S4 SW 500 70 BM"/>
    <m/>
    <m/>
    <m/>
    <m/>
    <m/>
    <m/>
    <s v="…"/>
    <m/>
    <n v="0"/>
    <m/>
    <m/>
    <m/>
    <m/>
    <m/>
    <m/>
    <m/>
    <m/>
    <m/>
    <m/>
    <m/>
    <m/>
    <m/>
    <m/>
    <m/>
    <m/>
    <m/>
    <m/>
    <m/>
    <m/>
    <m/>
    <m/>
    <m/>
    <m/>
    <m/>
    <m/>
    <m/>
    <x v="0"/>
    <x v="0"/>
    <m/>
    <m/>
    <m/>
    <m/>
    <m/>
    <m/>
    <m/>
    <m/>
  </r>
  <r>
    <m/>
    <s v="…"/>
    <s v="…"/>
    <m/>
    <s v=" "/>
    <s v="LACI MERIVOBOX S2 + KACA ORION GREY"/>
    <m/>
    <m/>
    <m/>
    <m/>
    <m/>
    <m/>
    <s v="…"/>
    <m/>
    <n v="0"/>
    <m/>
    <m/>
    <m/>
    <m/>
    <m/>
    <m/>
    <m/>
    <m/>
    <m/>
    <m/>
    <m/>
    <m/>
    <m/>
    <m/>
    <m/>
    <m/>
    <m/>
    <m/>
    <m/>
    <m/>
    <m/>
    <m/>
    <m/>
    <m/>
    <m/>
    <m/>
    <m/>
    <x v="0"/>
    <x v="0"/>
    <m/>
    <m/>
    <m/>
    <m/>
    <m/>
    <m/>
    <m/>
    <m/>
  </r>
  <r>
    <m/>
    <s v="…"/>
    <s v="…"/>
    <m/>
    <s v=" "/>
    <s v="QUADRO V6 SFP FL 500 EB 20 TIP ON HETTICH L/R"/>
    <m/>
    <m/>
    <m/>
    <m/>
    <m/>
    <m/>
    <s v="…"/>
    <m/>
    <n v="0"/>
    <m/>
    <m/>
    <m/>
    <m/>
    <m/>
    <m/>
    <m/>
    <m/>
    <m/>
    <m/>
    <m/>
    <m/>
    <m/>
    <m/>
    <m/>
    <m/>
    <m/>
    <m/>
    <m/>
    <m/>
    <m/>
    <m/>
    <m/>
    <m/>
    <m/>
    <m/>
    <m/>
    <x v="0"/>
    <x v="0"/>
    <m/>
    <m/>
    <m/>
    <m/>
    <m/>
    <m/>
    <m/>
    <m/>
  </r>
  <r>
    <m/>
    <s v="…"/>
    <s v="…"/>
    <m/>
    <s v=" "/>
    <s v="Avantech You 101 P.500mm"/>
    <m/>
    <m/>
    <m/>
    <m/>
    <m/>
    <m/>
    <s v="…"/>
    <m/>
    <n v="0"/>
    <m/>
    <m/>
    <m/>
    <m/>
    <m/>
    <m/>
    <m/>
    <m/>
    <m/>
    <m/>
    <m/>
    <m/>
    <m/>
    <m/>
    <m/>
    <m/>
    <m/>
    <m/>
    <m/>
    <m/>
    <m/>
    <m/>
    <m/>
    <m/>
    <m/>
    <m/>
    <m/>
    <x v="0"/>
    <x v="0"/>
    <m/>
    <m/>
    <m/>
    <m/>
    <m/>
    <m/>
    <m/>
    <m/>
  </r>
  <r>
    <m/>
    <s v="…"/>
    <s v="…"/>
    <m/>
    <s v=" "/>
    <s v="Avantech You 251 P.500mm"/>
    <m/>
    <m/>
    <m/>
    <m/>
    <m/>
    <m/>
    <s v="…"/>
    <m/>
    <n v="0"/>
    <m/>
    <m/>
    <m/>
    <m/>
    <m/>
    <m/>
    <m/>
    <m/>
    <m/>
    <m/>
    <m/>
    <m/>
    <m/>
    <m/>
    <m/>
    <m/>
    <m/>
    <m/>
    <m/>
    <m/>
    <m/>
    <m/>
    <m/>
    <m/>
    <m/>
    <m/>
    <m/>
    <x v="0"/>
    <x v="0"/>
    <m/>
    <m/>
    <m/>
    <m/>
    <m/>
    <m/>
    <m/>
    <m/>
  </r>
  <r>
    <m/>
    <s v="…"/>
    <s v="…"/>
    <m/>
    <s v=" "/>
    <m/>
    <m/>
    <m/>
    <m/>
    <m/>
    <m/>
    <m/>
    <m/>
    <m/>
    <m/>
    <m/>
    <m/>
    <m/>
    <m/>
    <m/>
    <m/>
    <m/>
    <m/>
    <m/>
    <m/>
    <m/>
    <m/>
    <m/>
    <m/>
    <m/>
    <m/>
    <m/>
    <m/>
    <m/>
    <m/>
    <m/>
    <m/>
    <m/>
    <m/>
    <m/>
    <m/>
    <m/>
    <x v="0"/>
    <x v="0"/>
    <m/>
    <m/>
    <m/>
    <m/>
    <m/>
    <m/>
    <m/>
    <m/>
  </r>
  <r>
    <m/>
    <s v="…"/>
    <s v="…"/>
    <m/>
    <s v=" "/>
    <m/>
    <m/>
    <m/>
    <m/>
    <m/>
    <m/>
    <m/>
    <m/>
    <m/>
    <m/>
    <m/>
    <m/>
    <m/>
    <m/>
    <m/>
    <m/>
    <m/>
    <m/>
    <m/>
    <m/>
    <m/>
    <m/>
    <m/>
    <m/>
    <m/>
    <m/>
    <m/>
    <m/>
    <m/>
    <m/>
    <m/>
    <m/>
    <m/>
    <m/>
    <m/>
    <m/>
    <m/>
    <x v="0"/>
    <x v="0"/>
    <m/>
    <m/>
    <m/>
    <m/>
    <m/>
    <m/>
    <m/>
    <m/>
  </r>
  <r>
    <m/>
    <s v="…"/>
    <s v="…"/>
    <m/>
    <s v="ft"/>
    <s v="ENGSEL CLIP TOP  107 DEG INTEGRATED 75 B 1550 + 173 L 6100"/>
    <m/>
    <m/>
    <m/>
    <m/>
    <m/>
    <m/>
    <s v="…"/>
    <m/>
    <n v="8"/>
    <m/>
    <m/>
    <m/>
    <m/>
    <m/>
    <m/>
    <m/>
    <m/>
    <m/>
    <m/>
    <m/>
    <m/>
    <m/>
    <m/>
    <m/>
    <m/>
    <m/>
    <m/>
    <m/>
    <m/>
    <m/>
    <m/>
    <m/>
    <m/>
    <m/>
    <m/>
    <m/>
    <x v="0"/>
    <x v="0"/>
    <m/>
    <m/>
    <m/>
    <m/>
    <m/>
    <m/>
    <m/>
    <m/>
  </r>
  <r>
    <m/>
    <s v="…"/>
    <s v="…"/>
    <m/>
    <s v=" "/>
    <s v="ENGSEL SALICE PUSH.TIP ON FOR DOOR"/>
    <m/>
    <m/>
    <m/>
    <m/>
    <m/>
    <m/>
    <s v="…"/>
    <m/>
    <n v="0"/>
    <m/>
    <m/>
    <m/>
    <m/>
    <m/>
    <m/>
    <m/>
    <m/>
    <m/>
    <m/>
    <m/>
    <m/>
    <m/>
    <m/>
    <m/>
    <m/>
    <m/>
    <m/>
    <m/>
    <m/>
    <m/>
    <m/>
    <m/>
    <m/>
    <m/>
    <m/>
    <m/>
    <x v="0"/>
    <x v="0"/>
    <m/>
    <m/>
    <m/>
    <m/>
    <m/>
    <m/>
    <m/>
    <m/>
  </r>
  <r>
    <m/>
    <s v="…"/>
    <s v="…"/>
    <m/>
    <s v=" "/>
    <s v="ENGSEL 155 DRAJAT  71 B 7550   "/>
    <m/>
    <m/>
    <m/>
    <m/>
    <m/>
    <m/>
    <s v="…"/>
    <m/>
    <n v="0"/>
    <m/>
    <m/>
    <m/>
    <m/>
    <m/>
    <m/>
    <m/>
    <m/>
    <m/>
    <m/>
    <m/>
    <m/>
    <m/>
    <m/>
    <m/>
    <m/>
    <m/>
    <m/>
    <m/>
    <m/>
    <m/>
    <m/>
    <m/>
    <m/>
    <m/>
    <m/>
    <m/>
    <x v="0"/>
    <x v="0"/>
    <m/>
    <m/>
    <m/>
    <m/>
    <m/>
    <m/>
    <m/>
    <m/>
  </r>
  <r>
    <m/>
    <s v="…"/>
    <s v="…"/>
    <m/>
    <s v=" "/>
    <s v="ENGSEL BIFOLD"/>
    <m/>
    <m/>
    <m/>
    <m/>
    <m/>
    <m/>
    <s v="…"/>
    <m/>
    <n v="0"/>
    <m/>
    <m/>
    <m/>
    <m/>
    <m/>
    <m/>
    <m/>
    <m/>
    <m/>
    <m/>
    <m/>
    <m/>
    <m/>
    <m/>
    <m/>
    <m/>
    <m/>
    <m/>
    <m/>
    <m/>
    <m/>
    <m/>
    <m/>
    <m/>
    <m/>
    <m/>
    <m/>
    <x v="0"/>
    <x v="0"/>
    <m/>
    <m/>
    <m/>
    <m/>
    <m/>
    <m/>
    <m/>
    <m/>
  </r>
  <r>
    <m/>
    <s v="…"/>
    <s v="…"/>
    <m/>
    <s v=" "/>
    <s v="ENGSEL 79M9550 BLIND CORNER"/>
    <m/>
    <m/>
    <m/>
    <m/>
    <m/>
    <m/>
    <s v="…"/>
    <m/>
    <n v="0"/>
    <m/>
    <m/>
    <m/>
    <m/>
    <m/>
    <m/>
    <m/>
    <m/>
    <m/>
    <m/>
    <m/>
    <m/>
    <m/>
    <m/>
    <m/>
    <m/>
    <m/>
    <m/>
    <m/>
    <m/>
    <m/>
    <m/>
    <m/>
    <m/>
    <m/>
    <m/>
    <m/>
    <x v="0"/>
    <x v="0"/>
    <m/>
    <m/>
    <m/>
    <m/>
    <m/>
    <m/>
    <m/>
    <m/>
  </r>
  <r>
    <m/>
    <s v="…"/>
    <s v="…"/>
    <m/>
    <s v=" "/>
    <s v="ENGSEL  S 8657i B12 TH52"/>
    <m/>
    <m/>
    <m/>
    <m/>
    <m/>
    <m/>
    <s v="…"/>
    <m/>
    <n v="0"/>
    <m/>
    <m/>
    <m/>
    <m/>
    <m/>
    <m/>
    <m/>
    <m/>
    <m/>
    <m/>
    <m/>
    <m/>
    <m/>
    <m/>
    <m/>
    <m/>
    <m/>
    <m/>
    <m/>
    <m/>
    <m/>
    <m/>
    <m/>
    <m/>
    <m/>
    <m/>
    <m/>
    <x v="0"/>
    <x v="0"/>
    <m/>
    <m/>
    <m/>
    <m/>
    <m/>
    <m/>
    <m/>
    <m/>
  </r>
  <r>
    <m/>
    <s v="…"/>
    <s v="…"/>
    <m/>
    <s v=" "/>
    <s v="ENGSEL 9936 W45 C6"/>
    <m/>
    <m/>
    <m/>
    <m/>
    <m/>
    <m/>
    <s v="…"/>
    <m/>
    <n v="0"/>
    <m/>
    <m/>
    <m/>
    <m/>
    <m/>
    <m/>
    <m/>
    <m/>
    <m/>
    <m/>
    <m/>
    <m/>
    <m/>
    <m/>
    <m/>
    <m/>
    <m/>
    <m/>
    <m/>
    <m/>
    <m/>
    <m/>
    <m/>
    <m/>
    <m/>
    <m/>
    <m/>
    <x v="0"/>
    <x v="0"/>
    <m/>
    <m/>
    <m/>
    <m/>
    <m/>
    <m/>
    <m/>
    <m/>
  </r>
  <r>
    <m/>
    <s v="…"/>
    <s v="…"/>
    <m/>
    <s v=" "/>
    <s v="Engsel Sensys Full Bengkok C 16-110 DERAJAT 907 1207"/>
    <m/>
    <m/>
    <m/>
    <m/>
    <m/>
    <m/>
    <s v="…"/>
    <m/>
    <n v="0"/>
    <m/>
    <m/>
    <m/>
    <m/>
    <m/>
    <m/>
    <m/>
    <m/>
    <m/>
    <m/>
    <m/>
    <m/>
    <m/>
    <m/>
    <m/>
    <m/>
    <m/>
    <m/>
    <m/>
    <m/>
    <m/>
    <m/>
    <m/>
    <m/>
    <m/>
    <m/>
    <m/>
    <x v="0"/>
    <x v="0"/>
    <m/>
    <m/>
    <m/>
    <m/>
    <m/>
    <m/>
    <m/>
    <m/>
  </r>
  <r>
    <m/>
    <s v="…"/>
    <s v="…"/>
    <m/>
    <s v=" "/>
    <s v="ENGSEL MEPLA FLAP DOOR"/>
    <m/>
    <m/>
    <m/>
    <m/>
    <m/>
    <m/>
    <s v="…"/>
    <m/>
    <n v="0"/>
    <m/>
    <m/>
    <m/>
    <m/>
    <m/>
    <m/>
    <m/>
    <m/>
    <m/>
    <m/>
    <m/>
    <m/>
    <m/>
    <m/>
    <m/>
    <m/>
    <m/>
    <m/>
    <m/>
    <m/>
    <m/>
    <m/>
    <m/>
    <m/>
    <m/>
    <m/>
    <m/>
    <x v="0"/>
    <x v="0"/>
    <m/>
    <m/>
    <m/>
    <m/>
    <m/>
    <m/>
    <m/>
    <m/>
  </r>
  <r>
    <m/>
    <s v="…"/>
    <s v="…"/>
    <m/>
    <s v=" "/>
    <s v="RDK-52A FOLDING HINGE"/>
    <m/>
    <m/>
    <m/>
    <m/>
    <m/>
    <m/>
    <s v="…"/>
    <m/>
    <n v="0"/>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m/>
    <m/>
    <m/>
    <m/>
    <m/>
    <m/>
    <m/>
    <m/>
    <m/>
    <m/>
    <m/>
    <m/>
    <m/>
    <m/>
    <m/>
    <m/>
    <m/>
    <m/>
    <m/>
    <m/>
    <m/>
    <m/>
    <m/>
    <m/>
    <m/>
    <m/>
    <m/>
    <m/>
    <m/>
    <m/>
    <m/>
    <m/>
    <m/>
    <m/>
    <m/>
    <m/>
    <m/>
    <m/>
    <m/>
    <m/>
    <m/>
    <x v="0"/>
    <x v="0"/>
    <m/>
    <m/>
    <m/>
    <m/>
    <m/>
    <m/>
    <m/>
    <m/>
  </r>
  <r>
    <m/>
    <s v=""/>
    <m/>
    <s v=""/>
    <s v="..."/>
    <m/>
    <m/>
    <m/>
    <m/>
    <m/>
    <m/>
    <m/>
    <s v="    "/>
    <m/>
    <m/>
    <m/>
    <m/>
    <m/>
    <m/>
    <m/>
    <m/>
    <m/>
    <m/>
    <m/>
    <m/>
    <m/>
    <m/>
    <s v=" "/>
    <s v=" "/>
    <s v=" "/>
    <s v=" "/>
    <m/>
    <m/>
    <m/>
    <s v=""/>
    <s v=""/>
    <m/>
    <m/>
    <m/>
    <s v=""/>
    <s v=""/>
    <s v=""/>
    <x v="0"/>
    <x v="0"/>
    <s v=""/>
    <m/>
    <m/>
    <s v="3333"/>
    <s v=""/>
    <s v=" -"/>
    <m/>
    <s v="0)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1" cacheId="20" autoFormatId="0" applyNumberFormats="0" applyBorderFormats="0" applyFontFormats="0" applyPatternFormats="0" applyAlignmentFormats="0" applyWidthHeightFormats="1" dataCaption="Values" updatedVersion="8" minRefreshableVersion="3" showMultipleLabel="0" showDrill="0" showMemberPropertyTips="0" enableDrill="0" itemPrintTitles="1" mergeItem="1" createdVersion="4" indent="0" compact="0" compactData="0" gridDropZones="1" multipleFieldFilters="0" fieldListSortAscending="1">
  <location ref="B13:F32" firstHeaderRow="2" firstDataRow="2" firstDataCol="4"/>
  <pivotFields count="84">
    <pivotField compact="0" outline="0" showAll="0" defaultSubtotal="0"/>
    <pivotField compact="0" outline="0" showAll="0" defaultSubtotal="0"/>
    <pivotField compact="0" outline="0" showAll="0" topAutoShow="0" nonAutoSortDefault="1" defaultSubtotal="0"/>
    <pivotField axis="axisRow" compact="0" outline="0" showAll="0" topAutoShow="0" nonAutoSortDefault="1" defaultSubtotal="0">
      <items count="8">
        <item h="1" x="0"/>
        <item h="1" x="6"/>
        <item h="1" x="4"/>
        <item h="1" x="2"/>
        <item h="1" x="3"/>
        <item x="1"/>
        <item h="1" x="5"/>
        <item h="1" x="7"/>
      </items>
    </pivotField>
    <pivotField axis="axisRow" compact="0" outline="0" showAll="0" topAutoShow="0" nonAutoSortDefault="1" defaultSubtotal="0">
      <items count="10">
        <item x="0"/>
        <item x="9"/>
        <item x="7"/>
        <item x="8"/>
        <item x="1"/>
        <item x="5"/>
        <item x="3"/>
        <item x="2"/>
        <item x="4"/>
        <item x="6"/>
      </items>
    </pivotField>
    <pivotField compact="0" outline="0" showAll="0"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axis="axisRow" compact="0" outline="0" showAll="0" topAutoShow="0" nonAutoSortDefault="1" defaultSubtotal="0">
      <items count="114">
        <item x="113"/>
        <item x="0"/>
        <item x="111"/>
        <item x="112"/>
        <item x="55"/>
        <item x="13"/>
        <item x="1"/>
        <item x="2"/>
        <item x="3"/>
        <item x="4"/>
        <item x="5"/>
        <item x="6"/>
        <item x="7"/>
        <item x="8"/>
        <item x="9"/>
        <item x="10"/>
        <item x="11"/>
        <item x="12"/>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s>
    </pivotField>
    <pivotField compact="0" outline="0" showAll="0" topAutoShow="0" nonAutoSortDefault="1" defaultSubtotal="0"/>
    <pivotField dataField="1"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axis="axisRow" compact="0" outline="0" showAll="0" topAutoShow="0" nonAutoSortDefault="1" defaultSubtotal="0">
      <items count="54">
        <item x="0"/>
        <item x="30"/>
        <item x="52"/>
        <item x="3"/>
        <item x="4"/>
        <item x="6"/>
        <item x="21"/>
        <item x="53"/>
        <item x="1"/>
        <item x="2"/>
        <item x="5"/>
        <item x="7"/>
        <item x="8"/>
        <item x="9"/>
        <item x="10"/>
        <item x="11"/>
        <item x="12"/>
        <item x="13"/>
        <item x="14"/>
        <item x="15"/>
        <item x="16"/>
        <item x="17"/>
        <item x="18"/>
        <item x="19"/>
        <item x="20"/>
        <item x="22"/>
        <item x="23"/>
        <item x="24"/>
        <item x="25"/>
        <item x="26"/>
        <item x="27"/>
        <item x="28"/>
        <item x="29"/>
        <item x="31"/>
        <item x="32"/>
        <item x="33"/>
        <item x="34"/>
        <item x="35"/>
        <item x="36"/>
        <item x="37"/>
        <item x="38"/>
        <item x="39"/>
        <item x="40"/>
        <item x="41"/>
        <item x="42"/>
        <item x="43"/>
        <item x="44"/>
        <item x="45"/>
        <item x="46"/>
        <item x="47"/>
        <item x="48"/>
        <item x="49"/>
        <item x="50"/>
        <item x="5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4">
    <field x="53"/>
    <field x="14"/>
    <field x="4"/>
    <field x="3"/>
  </rowFields>
  <rowItems count="18">
    <i>
      <x v="8"/>
      <x v="6"/>
      <x v="4"/>
      <x v="5"/>
    </i>
    <i r="1">
      <x v="10"/>
      <x v="4"/>
      <x v="5"/>
    </i>
    <i r="1">
      <x v="12"/>
      <x v="4"/>
      <x v="5"/>
    </i>
    <i r="1">
      <x v="15"/>
      <x v="4"/>
      <x v="5"/>
    </i>
    <i r="1">
      <x v="39"/>
      <x v="4"/>
      <x v="5"/>
    </i>
    <i r="1">
      <x v="43"/>
      <x v="4"/>
      <x v="5"/>
    </i>
    <i>
      <x v="13"/>
      <x v="20"/>
      <x v="4"/>
      <x v="5"/>
    </i>
    <i r="1">
      <x v="23"/>
      <x v="4"/>
      <x v="5"/>
    </i>
    <i r="1">
      <x v="26"/>
      <x v="4"/>
      <x v="5"/>
    </i>
    <i r="1">
      <x v="29"/>
      <x v="4"/>
      <x v="5"/>
    </i>
    <i>
      <x v="16"/>
      <x v="32"/>
      <x v="4"/>
      <x v="5"/>
    </i>
    <i>
      <x v="17"/>
      <x v="36"/>
      <x v="4"/>
      <x v="5"/>
    </i>
    <i>
      <x v="20"/>
      <x v="45"/>
      <x v="4"/>
      <x v="5"/>
    </i>
    <i r="1">
      <x v="49"/>
      <x v="4"/>
      <x v="5"/>
    </i>
    <i>
      <x v="36"/>
      <x v="79"/>
      <x v="2"/>
      <x v="5"/>
    </i>
    <i r="1">
      <x v="86"/>
      <x v="2"/>
      <x v="5"/>
    </i>
    <i>
      <x v="48"/>
      <x v="101"/>
      <x v="2"/>
      <x v="5"/>
    </i>
    <i t="grand">
      <x/>
    </i>
  </rowItems>
  <colItems count="1">
    <i/>
  </colItems>
  <dataFields count="1">
    <dataField name="Rekap" fld="16" baseField="1" baseItem="0"/>
  </dataFields>
  <formats count="14">
    <format dxfId="8064">
      <pivotArea outline="0" collapsedLevelsAreSubtotals="1" fieldPosition="0"/>
    </format>
    <format dxfId="8063">
      <pivotArea type="topRight" dataOnly="0" labelOnly="1" outline="0" fieldPosition="0"/>
    </format>
    <format dxfId="8062">
      <pivotArea dataOnly="0" labelOnly="1" grandRow="1" outline="0" fieldPosition="0"/>
    </format>
    <format dxfId="8061">
      <pivotArea dataOnly="0" labelOnly="1" grandRow="1" outline="0" fieldPosition="0"/>
    </format>
    <format dxfId="8060">
      <pivotArea dataOnly="0" labelOnly="1" grandRow="1" outline="0" fieldPosition="0"/>
    </format>
    <format dxfId="8059">
      <pivotArea dataOnly="0" labelOnly="1" outline="0" fieldPosition="0">
        <references count="1">
          <reference field="53" count="0"/>
        </references>
      </pivotArea>
    </format>
    <format dxfId="8058">
      <pivotArea dataOnly="0" labelOnly="1" grandRow="1" outline="0" fieldPosition="0"/>
    </format>
    <format dxfId="8057">
      <pivotArea dataOnly="0" labelOnly="1" outline="0" fieldPosition="0">
        <references count="1">
          <reference field="53" count="0"/>
        </references>
      </pivotArea>
    </format>
    <format dxfId="8056">
      <pivotArea dataOnly="0" labelOnly="1" grandRow="1" outline="0" fieldPosition="0"/>
    </format>
    <format dxfId="8055">
      <pivotArea grandRow="1" outline="0" collapsedLevelsAreSubtotals="1" fieldPosition="0"/>
    </format>
    <format dxfId="8054">
      <pivotArea dataOnly="0" labelOnly="1" grandRow="1" outline="0" fieldPosition="0"/>
    </format>
    <format dxfId="8053">
      <pivotArea type="origin" dataOnly="0" labelOnly="1" outline="0" fieldPosition="0"/>
    </format>
    <format dxfId="8052">
      <pivotArea field="53" type="button" dataOnly="0" labelOnly="1" outline="0" axis="axisRow" fieldPosition="0"/>
    </format>
    <format dxfId="8051">
      <pivotArea dataOnly="0" labelOnly="1" grandRow="1" outline="0" fieldPosition="0"/>
    </format>
  </formats>
  <pivotTableStyleInfo name="Non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1" cacheId="20" autoFormatId="0" applyNumberFormats="0" applyBorderFormats="0" applyFontFormats="0" applyPatternFormats="0" applyAlignmentFormats="0" applyWidthHeightFormats="1" dataCaption="Values" updatedVersion="8" minRefreshableVersion="3" showMultipleLabel="0" showDrill="0" showMemberPropertyTips="0" enableDrill="0" itemPrintTitles="1" mergeItem="1" createdVersion="4" indent="0" compact="0" compactData="0" gridDropZones="1" multipleFieldFilters="0" fieldListSortAscending="1">
  <location ref="B13:F112" firstHeaderRow="2" firstDataRow="2" firstDataCol="4"/>
  <pivotFields count="84">
    <pivotField compact="0" outline="0" showAll="0" defaultSubtotal="0"/>
    <pivotField compact="0" outline="0" showAll="0" defaultSubtotal="0"/>
    <pivotField compact="0" outline="0" showAll="0" topAutoShow="0" nonAutoSortDefault="1" defaultSubtotal="0"/>
    <pivotField axis="axisRow" compact="0" outline="0" showAll="0" topAutoShow="0" nonAutoSortDefault="1" defaultSubtotal="0">
      <items count="8">
        <item h="1" x="0"/>
        <item h="1" x="6"/>
        <item h="1" x="4"/>
        <item x="2"/>
        <item h="1" x="3"/>
        <item h="1" x="1"/>
        <item h="1" x="5"/>
        <item h="1" x="7"/>
      </items>
    </pivotField>
    <pivotField axis="axisRow" compact="0" outline="0" showAll="0" topAutoShow="0" nonAutoSortDefault="1" defaultSubtotal="0">
      <items count="10">
        <item x="0"/>
        <item x="9"/>
        <item x="7"/>
        <item x="8"/>
        <item x="1"/>
        <item x="5"/>
        <item x="3"/>
        <item x="2"/>
        <item x="4"/>
        <item x="6"/>
      </items>
    </pivotField>
    <pivotField compact="0" outline="0" showAll="0"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axis="axisRow" compact="0" outline="0" showAll="0" topAutoShow="0" nonAutoSortDefault="1" defaultSubtotal="0">
      <items count="114">
        <item x="113"/>
        <item x="0"/>
        <item x="111"/>
        <item x="112"/>
        <item x="55"/>
        <item x="13"/>
        <item x="1"/>
        <item x="2"/>
        <item x="3"/>
        <item x="4"/>
        <item x="5"/>
        <item x="6"/>
        <item x="7"/>
        <item x="8"/>
        <item x="9"/>
        <item x="10"/>
        <item x="11"/>
        <item x="12"/>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s>
    </pivotField>
    <pivotField compact="0" outline="0" showAll="0" topAutoShow="0" nonAutoSortDefault="1" defaultSubtotal="0"/>
    <pivotField dataField="1"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axis="axisRow" compact="0" outline="0" showAll="0" insertBlankRow="1" topAutoShow="0" nonAutoSortDefault="1" defaultSubtotal="0">
      <items count="54">
        <item x="30"/>
        <item x="0"/>
        <item x="52"/>
        <item x="3"/>
        <item x="4"/>
        <item x="6"/>
        <item x="21"/>
        <item x="53"/>
        <item x="1"/>
        <item x="2"/>
        <item x="5"/>
        <item x="7"/>
        <item x="8"/>
        <item x="9"/>
        <item x="10"/>
        <item x="11"/>
        <item x="12"/>
        <item x="13"/>
        <item x="14"/>
        <item x="15"/>
        <item x="16"/>
        <item x="17"/>
        <item x="18"/>
        <item x="19"/>
        <item x="20"/>
        <item x="22"/>
        <item x="23"/>
        <item x="24"/>
        <item x="25"/>
        <item x="26"/>
        <item x="27"/>
        <item x="28"/>
        <item x="29"/>
        <item x="31"/>
        <item x="32"/>
        <item x="33"/>
        <item x="34"/>
        <item x="35"/>
        <item x="36"/>
        <item x="37"/>
        <item x="38"/>
        <item x="39"/>
        <item x="40"/>
        <item x="41"/>
        <item x="42"/>
        <item x="43"/>
        <item x="44"/>
        <item x="45"/>
        <item x="46"/>
        <item x="47"/>
        <item x="48"/>
        <item x="49"/>
        <item x="50"/>
        <item x="5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4">
    <field x="53"/>
    <field x="14"/>
    <field x="4"/>
    <field x="3"/>
  </rowFields>
  <rowItems count="98">
    <i>
      <x v="3"/>
      <x v="8"/>
      <x v="4"/>
      <x v="3"/>
    </i>
    <i r="1">
      <x v="42"/>
      <x v="4"/>
      <x v="3"/>
    </i>
    <i t="blank">
      <x v="3"/>
    </i>
    <i>
      <x v="4"/>
      <x v="9"/>
      <x v="4"/>
      <x v="3"/>
    </i>
    <i r="1">
      <x v="14"/>
      <x v="4"/>
      <x v="3"/>
    </i>
    <i t="blank">
      <x v="4"/>
    </i>
    <i>
      <x v="5"/>
      <x v="4"/>
      <x v="4"/>
      <x v="3"/>
    </i>
    <i r="1">
      <x v="5"/>
      <x v="2"/>
      <x v="3"/>
    </i>
    <i r="2">
      <x v="4"/>
      <x v="3"/>
    </i>
    <i r="1">
      <x v="67"/>
      <x v="2"/>
      <x v="3"/>
    </i>
    <i t="blank">
      <x v="5"/>
    </i>
    <i>
      <x v="6"/>
      <x v="56"/>
      <x v="4"/>
      <x v="3"/>
    </i>
    <i r="1">
      <x v="57"/>
      <x v="4"/>
      <x v="3"/>
    </i>
    <i r="1">
      <x v="58"/>
      <x v="4"/>
      <x v="3"/>
    </i>
    <i t="blank">
      <x v="6"/>
    </i>
    <i>
      <x v="9"/>
      <x v="7"/>
      <x v="7"/>
      <x v="3"/>
    </i>
    <i r="1">
      <x v="11"/>
      <x v="7"/>
      <x v="3"/>
    </i>
    <i r="1">
      <x v="13"/>
      <x v="6"/>
      <x v="3"/>
    </i>
    <i r="1">
      <x v="16"/>
      <x v="6"/>
      <x v="3"/>
    </i>
    <i t="blank">
      <x v="9"/>
    </i>
    <i>
      <x v="10"/>
      <x v="17"/>
      <x v="2"/>
      <x v="3"/>
    </i>
    <i r="2">
      <x v="4"/>
      <x v="3"/>
    </i>
    <i t="blank">
      <x v="10"/>
    </i>
    <i>
      <x v="12"/>
      <x v="19"/>
      <x v="4"/>
      <x v="3"/>
    </i>
    <i t="blank">
      <x v="12"/>
    </i>
    <i>
      <x v="14"/>
      <x v="21"/>
      <x v="4"/>
      <x v="3"/>
    </i>
    <i r="1">
      <x v="24"/>
      <x v="4"/>
      <x v="3"/>
    </i>
    <i r="1">
      <x v="27"/>
      <x v="4"/>
      <x v="3"/>
    </i>
    <i r="1">
      <x v="30"/>
      <x v="4"/>
      <x v="3"/>
    </i>
    <i r="1">
      <x v="33"/>
      <x v="4"/>
      <x v="3"/>
    </i>
    <i r="2">
      <x v="8"/>
      <x v="3"/>
    </i>
    <i r="1">
      <x v="34"/>
      <x v="8"/>
      <x v="3"/>
    </i>
    <i r="1">
      <x v="35"/>
      <x v="8"/>
      <x v="3"/>
    </i>
    <i r="1">
      <x v="47"/>
      <x v="4"/>
      <x v="3"/>
    </i>
    <i t="blank">
      <x v="14"/>
    </i>
    <i>
      <x v="18"/>
      <x v="37"/>
      <x v="4"/>
      <x v="3"/>
    </i>
    <i r="1">
      <x v="38"/>
      <x v="4"/>
      <x v="3"/>
    </i>
    <i t="blank">
      <x v="18"/>
    </i>
    <i>
      <x v="19"/>
      <x v="40"/>
      <x v="5"/>
      <x v="3"/>
    </i>
    <i r="1">
      <x v="41"/>
      <x v="5"/>
      <x v="3"/>
    </i>
    <i r="1">
      <x v="44"/>
      <x v="4"/>
      <x v="3"/>
    </i>
    <i t="blank">
      <x v="19"/>
    </i>
    <i>
      <x v="21"/>
      <x v="46"/>
      <x v="4"/>
      <x v="3"/>
    </i>
    <i r="1">
      <x v="50"/>
      <x v="4"/>
      <x v="3"/>
    </i>
    <i t="blank">
      <x v="21"/>
    </i>
    <i>
      <x v="23"/>
      <x v="51"/>
      <x v="9"/>
      <x v="3"/>
    </i>
    <i r="1">
      <x v="52"/>
      <x v="9"/>
      <x v="3"/>
    </i>
    <i r="1">
      <x v="65"/>
      <x v="2"/>
      <x v="3"/>
    </i>
    <i t="blank">
      <x v="23"/>
    </i>
    <i>
      <x v="24"/>
      <x v="53"/>
      <x v="4"/>
      <x v="3"/>
    </i>
    <i r="1">
      <x v="54"/>
      <x v="4"/>
      <x v="3"/>
    </i>
    <i r="1">
      <x v="55"/>
      <x v="2"/>
      <x v="3"/>
    </i>
    <i r="2">
      <x v="4"/>
      <x v="3"/>
    </i>
    <i t="blank">
      <x v="24"/>
    </i>
    <i>
      <x v="26"/>
      <x v="63"/>
      <x v="4"/>
      <x v="3"/>
    </i>
    <i r="1">
      <x v="64"/>
      <x v="4"/>
      <x v="3"/>
    </i>
    <i r="1">
      <x v="68"/>
      <x v="2"/>
      <x v="3"/>
    </i>
    <i t="blank">
      <x v="26"/>
    </i>
    <i>
      <x v="27"/>
      <x v="66"/>
      <x v="3"/>
      <x v="3"/>
    </i>
    <i t="blank">
      <x v="27"/>
    </i>
    <i>
      <x v="29"/>
      <x v="72"/>
      <x v="2"/>
      <x v="3"/>
    </i>
    <i r="1">
      <x v="91"/>
      <x v="2"/>
      <x v="3"/>
    </i>
    <i t="blank">
      <x v="29"/>
    </i>
    <i>
      <x v="30"/>
      <x v="73"/>
      <x v="2"/>
      <x v="3"/>
    </i>
    <i t="blank">
      <x v="30"/>
    </i>
    <i>
      <x v="31"/>
      <x v="74"/>
      <x v="2"/>
      <x v="3"/>
    </i>
    <i t="blank">
      <x v="31"/>
    </i>
    <i>
      <x v="32"/>
      <x v="75"/>
      <x v="2"/>
      <x v="3"/>
    </i>
    <i r="1">
      <x v="94"/>
      <x v="2"/>
      <x v="3"/>
    </i>
    <i r="1">
      <x v="95"/>
      <x v="2"/>
      <x v="3"/>
    </i>
    <i t="blank">
      <x v="32"/>
    </i>
    <i>
      <x v="37"/>
      <x v="80"/>
      <x v="2"/>
      <x v="3"/>
    </i>
    <i r="1">
      <x v="87"/>
      <x v="2"/>
      <x v="3"/>
    </i>
    <i t="blank">
      <x v="37"/>
    </i>
    <i>
      <x v="38"/>
      <x v="81"/>
      <x v="2"/>
      <x v="3"/>
    </i>
    <i r="1">
      <x v="88"/>
      <x v="2"/>
      <x v="3"/>
    </i>
    <i t="blank">
      <x v="38"/>
    </i>
    <i>
      <x v="39"/>
      <x v="82"/>
      <x v="2"/>
      <x v="3"/>
    </i>
    <i t="blank">
      <x v="39"/>
    </i>
    <i>
      <x v="41"/>
      <x v="90"/>
      <x v="2"/>
      <x v="3"/>
    </i>
    <i t="blank">
      <x v="41"/>
    </i>
    <i>
      <x v="42"/>
      <x v="92"/>
      <x v="3"/>
      <x v="3"/>
    </i>
    <i r="1">
      <x v="93"/>
      <x v="2"/>
      <x v="3"/>
    </i>
    <i t="blank">
      <x v="42"/>
    </i>
    <i>
      <x v="43"/>
      <x v="93"/>
      <x v="2"/>
      <x v="3"/>
    </i>
    <i t="blank">
      <x v="43"/>
    </i>
    <i>
      <x v="44"/>
      <x v="96"/>
      <x v="2"/>
      <x v="3"/>
    </i>
    <i r="1">
      <x v="97"/>
      <x v="2"/>
      <x v="3"/>
    </i>
    <i t="blank">
      <x v="44"/>
    </i>
    <i>
      <x v="45"/>
      <x v="98"/>
      <x v="2"/>
      <x v="3"/>
    </i>
    <i t="blank">
      <x v="45"/>
    </i>
    <i>
      <x v="46"/>
      <x v="99"/>
      <x v="2"/>
      <x v="3"/>
    </i>
    <i t="blank">
      <x v="46"/>
    </i>
    <i>
      <x v="49"/>
      <x v="103"/>
      <x v="2"/>
      <x v="3"/>
    </i>
    <i t="blank">
      <x v="49"/>
    </i>
    <i>
      <x v="50"/>
      <x v="104"/>
      <x v="2"/>
      <x v="3"/>
    </i>
    <i t="blank">
      <x v="50"/>
    </i>
    <i t="grand">
      <x/>
    </i>
  </rowItems>
  <colItems count="1">
    <i/>
  </colItems>
  <dataFields count="1">
    <dataField name="Rekap" fld="16" baseField="1" baseItem="0"/>
  </dataFields>
  <formats count="12">
    <format dxfId="8050">
      <pivotArea outline="0" collapsedLevelsAreSubtotals="1" fieldPosition="0"/>
    </format>
    <format dxfId="8049">
      <pivotArea type="topRight" dataOnly="0" labelOnly="1" outline="0" fieldPosition="0"/>
    </format>
    <format dxfId="8048">
      <pivotArea type="origin" dataOnly="0" labelOnly="1" outline="0" fieldPosition="0"/>
    </format>
    <format dxfId="8047">
      <pivotArea field="53" type="button" dataOnly="0" labelOnly="1" outline="0" axis="axisRow" fieldPosition="0"/>
    </format>
    <format dxfId="8046">
      <pivotArea type="origin" dataOnly="0" labelOnly="1" outline="0" fieldPosition="0"/>
    </format>
    <format dxfId="8045">
      <pivotArea outline="0" collapsedLevelsAreSubtotals="1" fieldPosition="0"/>
    </format>
    <format dxfId="8044">
      <pivotArea dataOnly="0" labelOnly="1" outline="0" fieldPosition="0">
        <references count="1">
          <reference field="53" count="0"/>
        </references>
      </pivotArea>
    </format>
    <format dxfId="8043">
      <pivotArea dataOnly="0" labelOnly="1" grandRow="1" outline="0" fieldPosition="0"/>
    </format>
    <format dxfId="8042">
      <pivotArea grandRow="1" outline="0" collapsedLevelsAreSubtotals="1" fieldPosition="0"/>
    </format>
    <format dxfId="8041">
      <pivotArea dataOnly="0" labelOnly="1" grandRow="1" outline="0" fieldPosition="0"/>
    </format>
    <format dxfId="8040">
      <pivotArea grandRow="1" outline="0" collapsedLevelsAreSubtotals="1" fieldPosition="0"/>
    </format>
    <format dxfId="8039">
      <pivotArea dataOnly="0" labelOnly="1" grandRow="1" outline="0" fieldPosition="0"/>
    </format>
  </formats>
  <pivotTableStyleInfo name="Non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1" cacheId="20" autoFormatId="0" applyNumberFormats="0" applyBorderFormats="0" applyFontFormats="0" applyPatternFormats="0" applyAlignmentFormats="0" applyWidthHeightFormats="1" dataCaption="Values" updatedVersion="8" minRefreshableVersion="3" showMultipleLabel="0" showDrill="0" showMemberPropertyTips="0" enableDrill="0" itemPrintTitles="1" mergeItem="1" createdVersion="4" indent="0" compact="0" compactData="0" gridDropZones="1" multipleFieldFilters="0" fieldListSortAscending="1">
  <location ref="B13:F39" firstHeaderRow="2" firstDataRow="2" firstDataCol="4"/>
  <pivotFields count="84">
    <pivotField compact="0" outline="0" showAll="0" defaultSubtotal="0"/>
    <pivotField compact="0" outline="0" showAll="0" defaultSubtotal="0"/>
    <pivotField compact="0" outline="0" showAll="0" topAutoShow="0" nonAutoSortDefault="1" defaultSubtotal="0"/>
    <pivotField axis="axisRow" compact="0" outline="0" showAll="0" topAutoShow="0" nonAutoSortDefault="1" defaultSubtotal="0">
      <items count="8">
        <item h="1" x="0"/>
        <item h="1" x="6"/>
        <item h="1" x="4"/>
        <item h="1" x="2"/>
        <item x="3"/>
        <item h="1" x="1"/>
        <item h="1" x="5"/>
        <item h="1" x="7"/>
      </items>
    </pivotField>
    <pivotField axis="axisRow" compact="0" outline="0" showAll="0" topAutoShow="0" nonAutoSortDefault="1" defaultSubtotal="0">
      <items count="10">
        <item x="0"/>
        <item x="9"/>
        <item x="7"/>
        <item x="8"/>
        <item x="1"/>
        <item x="5"/>
        <item x="3"/>
        <item x="2"/>
        <item x="4"/>
        <item x="6"/>
      </items>
    </pivotField>
    <pivotField compact="0" outline="0" showAll="0"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axis="axisRow" compact="0" outline="0" showAll="0" topAutoShow="0" nonAutoSortDefault="1" defaultSubtotal="0">
      <items count="114">
        <item x="113"/>
        <item x="0"/>
        <item x="111"/>
        <item x="112"/>
        <item x="55"/>
        <item x="13"/>
        <item x="1"/>
        <item x="2"/>
        <item x="3"/>
        <item x="4"/>
        <item x="5"/>
        <item x="6"/>
        <item x="7"/>
        <item x="8"/>
        <item x="9"/>
        <item x="10"/>
        <item x="11"/>
        <item x="12"/>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s>
    </pivotField>
    <pivotField compact="0" outline="0" showAll="0" topAutoShow="0" nonAutoSortDefault="1" defaultSubtotal="0"/>
    <pivotField dataField="1"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axis="axisRow" compact="0" outline="0" showAll="0" insertBlankRow="1" topAutoShow="0" nonAutoSortDefault="1" defaultSubtotal="0">
      <items count="54">
        <item x="0"/>
        <item x="30"/>
        <item x="52"/>
        <item x="3"/>
        <item x="4"/>
        <item x="6"/>
        <item x="21"/>
        <item x="53"/>
        <item x="1"/>
        <item x="2"/>
        <item x="5"/>
        <item x="7"/>
        <item x="8"/>
        <item x="9"/>
        <item x="10"/>
        <item x="11"/>
        <item x="12"/>
        <item x="13"/>
        <item x="14"/>
        <item x="15"/>
        <item x="16"/>
        <item x="17"/>
        <item x="18"/>
        <item x="19"/>
        <item x="20"/>
        <item x="22"/>
        <item x="23"/>
        <item x="24"/>
        <item x="25"/>
        <item x="26"/>
        <item x="27"/>
        <item x="28"/>
        <item x="29"/>
        <item x="31"/>
        <item x="32"/>
        <item x="33"/>
        <item x="34"/>
        <item x="35"/>
        <item x="36"/>
        <item x="37"/>
        <item x="38"/>
        <item x="39"/>
        <item x="40"/>
        <item x="41"/>
        <item x="42"/>
        <item x="43"/>
        <item x="44"/>
        <item x="45"/>
        <item x="46"/>
        <item x="47"/>
        <item x="48"/>
        <item x="49"/>
        <item x="50"/>
        <item x="5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4">
    <field x="53"/>
    <field x="14"/>
    <field x="4"/>
    <field x="3"/>
  </rowFields>
  <rowItems count="25">
    <i>
      <x v="11"/>
      <x v="18"/>
      <x v="4"/>
      <x v="4"/>
    </i>
    <i r="1">
      <x v="61"/>
      <x v="7"/>
      <x v="4"/>
    </i>
    <i r="1">
      <x v="62"/>
      <x v="6"/>
      <x v="4"/>
    </i>
    <i r="1">
      <x v="70"/>
      <x v="2"/>
      <x v="4"/>
    </i>
    <i t="blank">
      <x v="11"/>
    </i>
    <i>
      <x v="15"/>
      <x v="22"/>
      <x v="4"/>
      <x v="4"/>
    </i>
    <i r="1">
      <x v="25"/>
      <x v="4"/>
      <x v="4"/>
    </i>
    <i r="1">
      <x v="28"/>
      <x v="4"/>
      <x v="4"/>
    </i>
    <i r="1">
      <x v="31"/>
      <x v="4"/>
      <x v="4"/>
    </i>
    <i t="blank">
      <x v="15"/>
    </i>
    <i>
      <x v="25"/>
      <x v="59"/>
      <x v="4"/>
      <x v="4"/>
    </i>
    <i r="1">
      <x v="60"/>
      <x v="4"/>
      <x v="4"/>
    </i>
    <i r="1">
      <x v="69"/>
      <x v="2"/>
      <x v="4"/>
    </i>
    <i t="blank">
      <x v="25"/>
    </i>
    <i>
      <x v="34"/>
      <x v="77"/>
      <x v="2"/>
      <x v="4"/>
    </i>
    <i r="1">
      <x v="84"/>
      <x v="2"/>
      <x v="4"/>
    </i>
    <i t="blank">
      <x v="34"/>
    </i>
    <i>
      <x v="47"/>
      <x v="100"/>
      <x v="2"/>
      <x v="4"/>
    </i>
    <i r="1">
      <x v="102"/>
      <x v="2"/>
      <x v="4"/>
    </i>
    <i t="blank">
      <x v="47"/>
    </i>
    <i>
      <x v="52"/>
      <x v="106"/>
      <x v="3"/>
      <x v="4"/>
    </i>
    <i r="1">
      <x v="109"/>
      <x v="3"/>
      <x v="4"/>
    </i>
    <i r="1">
      <x v="112"/>
      <x v="3"/>
      <x v="4"/>
    </i>
    <i t="blank">
      <x v="52"/>
    </i>
    <i t="grand">
      <x/>
    </i>
  </rowItems>
  <colItems count="1">
    <i/>
  </colItems>
  <dataFields count="1">
    <dataField name="Rekap" fld="16" baseField="1" baseItem="0"/>
  </dataFields>
  <formats count="12">
    <format dxfId="8038">
      <pivotArea outline="0" collapsedLevelsAreSubtotals="1" fieldPosition="0"/>
    </format>
    <format dxfId="8037">
      <pivotArea type="topRight" dataOnly="0" labelOnly="1" outline="0" fieldPosition="0"/>
    </format>
    <format dxfId="8036">
      <pivotArea type="origin" dataOnly="0" labelOnly="1" outline="0" fieldPosition="0"/>
    </format>
    <format dxfId="8035">
      <pivotArea field="53" type="button" dataOnly="0" labelOnly="1" outline="0" axis="axisRow" fieldPosition="0"/>
    </format>
    <format dxfId="8034">
      <pivotArea type="origin" dataOnly="0" labelOnly="1" outline="0" fieldPosition="0"/>
    </format>
    <format dxfId="8033">
      <pivotArea outline="0" collapsedLevelsAreSubtotals="1" fieldPosition="0"/>
    </format>
    <format dxfId="8032">
      <pivotArea dataOnly="0" labelOnly="1" outline="0" fieldPosition="0">
        <references count="1">
          <reference field="53" count="0"/>
        </references>
      </pivotArea>
    </format>
    <format dxfId="8031">
      <pivotArea dataOnly="0" labelOnly="1" grandRow="1" outline="0" fieldPosition="0"/>
    </format>
    <format dxfId="8030">
      <pivotArea grandRow="1" outline="0" collapsedLevelsAreSubtotals="1" fieldPosition="0"/>
    </format>
    <format dxfId="8029">
      <pivotArea dataOnly="0" labelOnly="1" grandRow="1" outline="0" fieldPosition="0"/>
    </format>
    <format dxfId="8028">
      <pivotArea grandRow="1" outline="0" collapsedLevelsAreSubtotals="1" fieldPosition="0"/>
    </format>
    <format dxfId="8027">
      <pivotArea dataOnly="0" labelOnly="1" grandRow="1" outline="0" fieldPosition="0"/>
    </format>
  </formats>
  <pivotTableStyleInfo name="Non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1" cacheId="20" autoFormatId="0" applyNumberFormats="0" applyBorderFormats="0" applyFontFormats="0" applyPatternFormats="0" applyAlignmentFormats="0" applyWidthHeightFormats="1" dataCaption="Values" updatedVersion="8" minRefreshableVersion="3" showMultipleLabel="0" showDrill="0" showMemberPropertyTips="0" enableDrill="0" itemPrintTitles="1" mergeItem="1" createdVersion="4" indent="0" compact="0" compactData="0" gridDropZones="1" multipleFieldFilters="0" fieldListSortAscending="1">
  <location ref="B13:F21" firstHeaderRow="2" firstDataRow="2" firstDataCol="4"/>
  <pivotFields count="84">
    <pivotField compact="0" outline="0" showAll="0" defaultSubtotal="0"/>
    <pivotField compact="0" outline="0" showAll="0" defaultSubtotal="0"/>
    <pivotField compact="0" outline="0" showAll="0" topAutoShow="0" nonAutoSortDefault="1" defaultSubtotal="0"/>
    <pivotField axis="axisRow" compact="0" outline="0" showAll="0" topAutoShow="0" nonAutoSortDefault="1" defaultSubtotal="0">
      <items count="8">
        <item x="0"/>
        <item h="1" x="6"/>
        <item h="1" x="4"/>
        <item h="1" x="2"/>
        <item h="1" x="3"/>
        <item h="1" x="1"/>
        <item h="1" x="5"/>
        <item h="1" x="7"/>
      </items>
    </pivotField>
    <pivotField axis="axisRow" compact="0" outline="0" showAll="0" topAutoShow="0" nonAutoSortDefault="1" defaultSubtotal="0">
      <items count="10">
        <item x="0"/>
        <item x="9"/>
        <item x="7"/>
        <item x="8"/>
        <item x="1"/>
        <item x="5"/>
        <item x="3"/>
        <item x="2"/>
        <item x="4"/>
        <item x="6"/>
      </items>
    </pivotField>
    <pivotField compact="0" outline="0" showAll="0"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axis="axisRow" compact="0" outline="0" showAll="0" topAutoShow="0" nonAutoSortDefault="1" defaultSubtotal="0">
      <items count="114">
        <item x="113"/>
        <item x="0"/>
        <item x="111"/>
        <item x="112"/>
        <item x="55"/>
        <item x="13"/>
        <item x="1"/>
        <item x="2"/>
        <item x="3"/>
        <item x="4"/>
        <item x="5"/>
        <item x="6"/>
        <item x="7"/>
        <item x="8"/>
        <item x="9"/>
        <item x="10"/>
        <item x="11"/>
        <item x="12"/>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s>
    </pivotField>
    <pivotField compact="0" outline="0" showAll="0" topAutoShow="0" nonAutoSortDefault="1" defaultSubtotal="0"/>
    <pivotField dataField="1"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axis="axisRow" compact="0" outline="0" showAll="0" insertBlankRow="1" topAutoShow="0" nonAutoSortDefault="1" defaultSubtotal="0">
      <items count="54">
        <item x="0"/>
        <item x="30"/>
        <item x="52"/>
        <item x="3"/>
        <item x="4"/>
        <item x="6"/>
        <item x="21"/>
        <item x="53"/>
        <item x="1"/>
        <item x="2"/>
        <item x="5"/>
        <item x="7"/>
        <item x="8"/>
        <item x="9"/>
        <item x="10"/>
        <item x="11"/>
        <item x="12"/>
        <item x="13"/>
        <item x="14"/>
        <item x="15"/>
        <item x="16"/>
        <item x="17"/>
        <item x="18"/>
        <item x="19"/>
        <item x="20"/>
        <item x="22"/>
        <item x="23"/>
        <item x="24"/>
        <item x="25"/>
        <item x="26"/>
        <item x="27"/>
        <item x="28"/>
        <item x="29"/>
        <item x="31"/>
        <item x="32"/>
        <item x="33"/>
        <item x="34"/>
        <item x="35"/>
        <item x="36"/>
        <item x="37"/>
        <item x="38"/>
        <item x="39"/>
        <item x="40"/>
        <item x="41"/>
        <item x="42"/>
        <item x="43"/>
        <item x="44"/>
        <item x="45"/>
        <item x="46"/>
        <item x="47"/>
        <item x="48"/>
        <item x="49"/>
        <item x="50"/>
        <item x="5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4">
    <field x="53"/>
    <field x="14"/>
    <field x="4"/>
    <field x="3"/>
  </rowFields>
  <rowItems count="7">
    <i>
      <x/>
      <x v="1"/>
      <x/>
      <x/>
    </i>
    <i t="blank">
      <x/>
    </i>
    <i>
      <x v="1"/>
      <x v="1"/>
      <x/>
      <x/>
    </i>
    <i t="blank">
      <x v="1"/>
    </i>
    <i>
      <x v="2"/>
      <x v="1"/>
      <x/>
      <x/>
    </i>
    <i t="blank">
      <x v="2"/>
    </i>
    <i t="grand">
      <x/>
    </i>
  </rowItems>
  <colItems count="1">
    <i/>
  </colItems>
  <dataFields count="1">
    <dataField name="Rekap" fld="16" baseField="1" baseItem="0"/>
  </dataFields>
  <formats count="12">
    <format dxfId="8026">
      <pivotArea outline="0" collapsedLevelsAreSubtotals="1" fieldPosition="0"/>
    </format>
    <format dxfId="8025">
      <pivotArea type="topRight" dataOnly="0" labelOnly="1" outline="0" fieldPosition="0"/>
    </format>
    <format dxfId="8024">
      <pivotArea type="origin" dataOnly="0" labelOnly="1" outline="0" fieldPosition="0"/>
    </format>
    <format dxfId="8023">
      <pivotArea field="53" type="button" dataOnly="0" labelOnly="1" outline="0" axis="axisRow" fieldPosition="0"/>
    </format>
    <format dxfId="8022">
      <pivotArea type="origin" dataOnly="0" labelOnly="1" outline="0" fieldPosition="0"/>
    </format>
    <format dxfId="8021">
      <pivotArea outline="0" collapsedLevelsAreSubtotals="1" fieldPosition="0"/>
    </format>
    <format dxfId="8020">
      <pivotArea dataOnly="0" labelOnly="1" outline="0" fieldPosition="0">
        <references count="1">
          <reference field="53" count="0"/>
        </references>
      </pivotArea>
    </format>
    <format dxfId="8019">
      <pivotArea dataOnly="0" labelOnly="1" grandRow="1" outline="0" fieldPosition="0"/>
    </format>
    <format dxfId="8018">
      <pivotArea grandRow="1" outline="0" collapsedLevelsAreSubtotals="1" fieldPosition="0"/>
    </format>
    <format dxfId="8017">
      <pivotArea dataOnly="0" labelOnly="1" grandRow="1" outline="0" fieldPosition="0"/>
    </format>
    <format dxfId="8016">
      <pivotArea grandRow="1" outline="0" collapsedLevelsAreSubtotals="1" fieldPosition="0"/>
    </format>
    <format dxfId="8015">
      <pivotArea dataOnly="0" labelOnly="1" grandRow="1" outline="0" fieldPosition="0"/>
    </format>
  </formats>
  <pivotTableStyleInfo name="Non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1" cacheId="20" autoFormatId="0" applyNumberFormats="0" applyBorderFormats="0" applyFontFormats="0" applyPatternFormats="0" applyAlignmentFormats="0" applyWidthHeightFormats="1" dataCaption="Values" updatedVersion="8" minRefreshableVersion="3" showMultipleLabel="0" showDrill="0" showMemberPropertyTips="0" enableDrill="0" rowGrandTotals="0" colGrandTotals="0" itemPrintTitles="1" mergeItem="1" createdVersion="4" indent="0" compact="0" compactData="0" gridDropZones="1" multipleFieldFilters="0" fieldListSortAscending="1">
  <location ref="A13:G70" firstHeaderRow="2" firstDataRow="2" firstDataCol="6"/>
  <pivotFields count="84">
    <pivotField axis="axisRow" compact="0" outline="0" showAll="0" defaultSubtotal="0">
      <items count="25">
        <item x="1"/>
        <item x="0"/>
        <item x="3"/>
        <item x="4"/>
        <item x="8"/>
        <item x="9"/>
        <item x="10"/>
        <item x="14"/>
        <item x="17"/>
        <item x="18"/>
        <item x="19"/>
        <item x="20"/>
        <item x="21"/>
        <item x="22"/>
        <item x="23"/>
        <item x="24"/>
        <item x="5"/>
        <item x="6"/>
        <item x="7"/>
        <item x="11"/>
        <item x="12"/>
        <item x="13"/>
        <item x="2"/>
        <item x="15"/>
        <item x="16"/>
      </items>
    </pivotField>
    <pivotField compact="0" outline="0" showAll="0" defaultSubtotal="0"/>
    <pivotField compact="0" outline="0" showAll="0" topAutoShow="0" nonAutoSortDefault="1" defaultSubtotal="0"/>
    <pivotField axis="axisRow" compact="0" outline="0" showAll="0" topAutoShow="0" nonAutoSortDefault="1" defaultSubtotal="0">
      <items count="8">
        <item x="0"/>
        <item x="6"/>
        <item x="4"/>
        <item x="2"/>
        <item x="3"/>
        <item x="1"/>
        <item x="5"/>
        <item x="7"/>
      </items>
    </pivotField>
    <pivotField axis="axisRow" compact="0" outline="0" showAll="0" topAutoShow="0" nonAutoSortDefault="1" defaultSubtotal="0">
      <items count="10">
        <item x="0"/>
        <item x="9"/>
        <item x="7"/>
        <item x="8"/>
        <item x="1"/>
        <item x="5"/>
        <item x="3"/>
        <item x="2"/>
        <item x="4"/>
        <item x="6"/>
      </items>
    </pivotField>
    <pivotField compact="0" outline="0" showAll="0" defaultSubtotal="0"/>
    <pivotField axis="axisRow" compact="0" outline="0" showAll="0" topAutoShow="0" nonAutoSortDefault="1" defaultSubtotal="0">
      <items count="9">
        <item x="3"/>
        <item h="1" x="0"/>
        <item h="1" x="2"/>
        <item h="1" x="7"/>
        <item x="4"/>
        <item x="6"/>
        <item x="1"/>
        <item h="1" x="5"/>
        <item x="8"/>
      </items>
    </pivotField>
    <pivotField axis="axisRow" compact="0" outline="0" showAll="0" topAutoShow="0" nonAutoSortDefault="1" defaultSubtotal="0">
      <items count="76">
        <item x="64"/>
        <item x="65"/>
        <item x="58"/>
        <item x="71"/>
        <item x="68"/>
        <item x="70"/>
        <item x="72"/>
        <item x="69"/>
        <item x="74"/>
        <item x="73"/>
        <item x="57"/>
        <item x="52"/>
        <item x="53"/>
        <item x="63"/>
        <item x="75"/>
        <item x="59"/>
        <item x="0"/>
        <item x="54"/>
        <item x="55"/>
        <item x="56"/>
        <item x="60"/>
        <item x="61"/>
        <item x="62"/>
        <item x="6"/>
        <item x="21"/>
        <item x="7"/>
        <item x="23"/>
        <item x="24"/>
        <item x="3"/>
        <item x="4"/>
        <item x="51"/>
        <item x="66"/>
        <item x="67"/>
        <item x="1"/>
        <item x="2"/>
        <item x="5"/>
        <item x="8"/>
        <item x="9"/>
        <item x="10"/>
        <item x="11"/>
        <item x="12"/>
        <item x="13"/>
        <item x="14"/>
        <item x="15"/>
        <item x="16"/>
        <item x="17"/>
        <item x="18"/>
        <item x="19"/>
        <item x="20"/>
        <item x="22"/>
        <item x="25"/>
        <item x="26"/>
        <item x="27"/>
        <item x="28"/>
        <item x="29"/>
        <item x="30"/>
        <item x="31"/>
        <item x="32"/>
        <item x="33"/>
        <item x="34"/>
        <item x="35"/>
        <item x="36"/>
        <item x="37"/>
        <item x="38"/>
        <item x="39"/>
        <item x="40"/>
        <item x="41"/>
        <item x="42"/>
        <item x="43"/>
        <item x="44"/>
        <item x="45"/>
        <item x="46"/>
        <item x="47"/>
        <item x="48"/>
        <item x="49"/>
        <item x="50"/>
      </items>
    </pivotField>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axis="axisRow" compact="0" outline="0" showAll="0" topAutoShow="0" nonAutoSortDefault="1" defaultSubtotal="0">
      <items count="114">
        <item x="113"/>
        <item x="0"/>
        <item x="111"/>
        <item x="112"/>
        <item x="55"/>
        <item x="13"/>
        <item x="1"/>
        <item x="2"/>
        <item x="3"/>
        <item x="4"/>
        <item x="5"/>
        <item x="6"/>
        <item x="7"/>
        <item x="8"/>
        <item x="9"/>
        <item x="10"/>
        <item x="11"/>
        <item x="12"/>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s>
    </pivotField>
    <pivotField compact="0" outline="0" showAll="0" topAutoShow="0" nonAutoSortDefault="1" defaultSubtotal="0"/>
    <pivotField dataField="1"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items count="62">
        <item x="0"/>
        <item x="61"/>
        <item x="30"/>
        <item x="3"/>
        <item x="4"/>
        <item x="9"/>
        <item x="28"/>
        <item x="10"/>
        <item x="31"/>
        <item x="1"/>
        <item x="2"/>
        <item x="5"/>
        <item x="6"/>
        <item x="7"/>
        <item x="8"/>
        <item x="11"/>
        <item x="12"/>
        <item x="13"/>
        <item x="14"/>
        <item x="15"/>
        <item x="16"/>
        <item x="17"/>
        <item x="18"/>
        <item x="19"/>
        <item x="20"/>
        <item x="21"/>
        <item x="22"/>
        <item x="23"/>
        <item x="24"/>
        <item x="25"/>
        <item x="26"/>
        <item x="27"/>
        <item x="29"/>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compact="0" outline="0" showAll="0" topAutoShow="0" nonAutoSortDefault="1" defaultSubtotal="0">
      <items count="54">
        <item x="0"/>
        <item h="1" x="30"/>
        <item h="1" x="52"/>
        <item h="1" x="3"/>
        <item h="1" x="4"/>
        <item h="1" x="6"/>
        <item h="1" x="21"/>
        <item h="1" x="53"/>
        <item h="1" x="1"/>
        <item h="1" x="2"/>
        <item h="1" x="5"/>
        <item h="1" x="7"/>
        <item h="1" x="8"/>
        <item h="1" x="9"/>
        <item h="1" x="10"/>
        <item h="1" x="11"/>
        <item h="1" x="12"/>
        <item h="1" x="13"/>
        <item h="1" x="14"/>
        <item h="1" x="15"/>
        <item h="1" x="16"/>
        <item h="1" x="17"/>
        <item h="1" x="18"/>
        <item h="1" x="19"/>
        <item h="1" x="20"/>
        <item h="1" x="22"/>
        <item h="1" x="23"/>
        <item h="1" x="24"/>
        <item h="1" x="25"/>
        <item h="1" x="26"/>
        <item h="1" x="27"/>
        <item h="1" x="28"/>
        <item h="1" x="29"/>
        <item h="1" x="31"/>
        <item h="1" x="32"/>
        <item h="1" x="33"/>
        <item h="1" x="34"/>
        <item h="1" x="35"/>
        <item h="1" x="36"/>
        <item h="1" x="37"/>
        <item h="1" x="38"/>
        <item h="1" x="39"/>
        <item h="1" x="40"/>
        <item h="1" x="41"/>
        <item h="1" x="42"/>
        <item h="1" x="43"/>
        <item h="1" x="44"/>
        <item h="1" x="45"/>
        <item h="1" x="46"/>
        <item h="1" x="47"/>
        <item h="1" x="48"/>
        <item h="1" x="49"/>
        <item h="1" x="50"/>
        <item h="1" x="5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6">
    <field x="6"/>
    <field x="0"/>
    <field x="7"/>
    <field x="14"/>
    <field x="4"/>
    <field x="3"/>
  </rowFields>
  <rowItems count="56">
    <i>
      <x/>
      <x/>
      <x v="23"/>
      <x v="4"/>
      <x v="4"/>
      <x v="3"/>
    </i>
    <i r="3">
      <x v="5"/>
      <x v="2"/>
      <x v="3"/>
    </i>
    <i r="4">
      <x v="4"/>
      <x v="3"/>
    </i>
    <i r="3">
      <x v="67"/>
      <x v="2"/>
      <x v="3"/>
    </i>
    <i r="2">
      <x v="24"/>
      <x v="56"/>
      <x v="4"/>
      <x v="3"/>
    </i>
    <i r="3">
      <x v="57"/>
      <x v="4"/>
      <x v="3"/>
    </i>
    <i r="3">
      <x v="58"/>
      <x v="4"/>
      <x v="3"/>
    </i>
    <i r="2">
      <x v="35"/>
      <x v="17"/>
      <x v="2"/>
      <x v="3"/>
    </i>
    <i r="4">
      <x v="4"/>
      <x v="3"/>
    </i>
    <i r="2">
      <x v="48"/>
      <x v="53"/>
      <x v="4"/>
      <x v="3"/>
    </i>
    <i r="3">
      <x v="54"/>
      <x v="4"/>
      <x v="3"/>
    </i>
    <i r="3">
      <x v="55"/>
      <x v="2"/>
      <x v="3"/>
    </i>
    <i r="4">
      <x v="4"/>
      <x v="3"/>
    </i>
    <i>
      <x v="4"/>
      <x/>
      <x v="25"/>
      <x v="18"/>
      <x v="4"/>
      <x v="4"/>
    </i>
    <i r="3">
      <x v="61"/>
      <x v="7"/>
      <x v="4"/>
    </i>
    <i r="3">
      <x v="62"/>
      <x v="6"/>
      <x v="4"/>
    </i>
    <i r="3">
      <x v="70"/>
      <x v="2"/>
      <x v="4"/>
    </i>
    <i r="2">
      <x v="26"/>
      <x v="63"/>
      <x v="4"/>
      <x v="3"/>
    </i>
    <i r="3">
      <x v="64"/>
      <x v="4"/>
      <x v="3"/>
    </i>
    <i r="3">
      <x v="68"/>
      <x v="2"/>
      <x v="3"/>
    </i>
    <i r="2">
      <x v="27"/>
      <x v="66"/>
      <x v="3"/>
      <x v="3"/>
    </i>
    <i r="2">
      <x v="36"/>
      <x v="19"/>
      <x v="4"/>
      <x v="3"/>
    </i>
    <i r="2">
      <x v="47"/>
      <x v="51"/>
      <x v="9"/>
      <x v="3"/>
    </i>
    <i r="3">
      <x v="52"/>
      <x v="9"/>
      <x v="3"/>
    </i>
    <i r="3">
      <x v="65"/>
      <x v="2"/>
      <x v="3"/>
    </i>
    <i r="2">
      <x v="49"/>
      <x v="59"/>
      <x v="4"/>
      <x v="4"/>
    </i>
    <i r="3">
      <x v="60"/>
      <x v="4"/>
      <x v="4"/>
    </i>
    <i r="3">
      <x v="69"/>
      <x v="2"/>
      <x v="4"/>
    </i>
    <i r="2">
      <x v="69"/>
      <x v="100"/>
      <x v="2"/>
      <x v="4"/>
    </i>
    <i r="3">
      <x v="102"/>
      <x v="2"/>
      <x v="4"/>
    </i>
    <i r="2">
      <x v="71"/>
      <x v="103"/>
      <x v="2"/>
      <x v="3"/>
    </i>
    <i>
      <x v="5"/>
      <x v="22"/>
      <x v="30"/>
      <x v="2"/>
      <x v="1"/>
      <x v="1"/>
    </i>
    <i>
      <x v="6"/>
      <x/>
      <x v="33"/>
      <x v="6"/>
      <x v="4"/>
      <x v="5"/>
    </i>
    <i r="3">
      <x v="10"/>
      <x v="4"/>
      <x v="5"/>
    </i>
    <i r="3">
      <x v="12"/>
      <x v="4"/>
      <x v="5"/>
    </i>
    <i r="3">
      <x v="15"/>
      <x v="4"/>
      <x v="5"/>
    </i>
    <i r="3">
      <x v="39"/>
      <x v="4"/>
      <x v="5"/>
    </i>
    <i r="3">
      <x v="43"/>
      <x v="4"/>
      <x v="5"/>
    </i>
    <i r="2">
      <x v="37"/>
      <x v="20"/>
      <x v="4"/>
      <x v="5"/>
    </i>
    <i r="3">
      <x v="23"/>
      <x v="4"/>
      <x v="5"/>
    </i>
    <i r="3">
      <x v="26"/>
      <x v="4"/>
      <x v="5"/>
    </i>
    <i r="3">
      <x v="29"/>
      <x v="4"/>
      <x v="5"/>
    </i>
    <i r="2">
      <x v="40"/>
      <x v="32"/>
      <x v="4"/>
      <x v="5"/>
    </i>
    <i r="2">
      <x v="44"/>
      <x v="45"/>
      <x v="4"/>
      <x v="5"/>
    </i>
    <i r="3">
      <x v="49"/>
      <x v="4"/>
      <x v="5"/>
    </i>
    <i r="2">
      <x v="55"/>
      <x v="76"/>
      <x v="2"/>
      <x v="2"/>
    </i>
    <i r="3">
      <x v="83"/>
      <x v="2"/>
      <x v="2"/>
    </i>
    <i r="2">
      <x v="58"/>
      <x v="79"/>
      <x v="2"/>
      <x v="5"/>
    </i>
    <i r="3">
      <x v="86"/>
      <x v="2"/>
      <x v="5"/>
    </i>
    <i r="2">
      <x v="70"/>
      <x v="101"/>
      <x v="2"/>
      <x v="5"/>
    </i>
    <i r="2">
      <x v="73"/>
      <x v="105"/>
      <x v="2"/>
      <x v="2"/>
    </i>
    <i r="3">
      <x v="108"/>
      <x v="2"/>
      <x v="2"/>
    </i>
    <i r="2">
      <x v="75"/>
      <x v="111"/>
      <x v="2"/>
      <x v="2"/>
    </i>
    <i r="1">
      <x v="1"/>
      <x v="41"/>
      <x v="36"/>
      <x v="4"/>
      <x v="5"/>
    </i>
    <i>
      <x v="8"/>
      <x v="17"/>
      <x v="18"/>
      <x v="3"/>
      <x v="1"/>
      <x v="2"/>
    </i>
    <i r="1">
      <x v="23"/>
      <x v="31"/>
      <x v="3"/>
      <x v="1"/>
      <x v="2"/>
    </i>
  </rowItems>
  <colItems count="1">
    <i/>
  </colItems>
  <dataFields count="1">
    <dataField name="√" fld="16" baseField="1" baseItem="3"/>
  </dataFields>
  <formats count="21">
    <format dxfId="8014">
      <pivotArea outline="0" collapsedLevelsAreSubtotals="1" fieldPosition="0"/>
    </format>
    <format dxfId="8013">
      <pivotArea type="topRight" dataOnly="0" labelOnly="1" outline="0" fieldPosition="0"/>
    </format>
    <format dxfId="8012">
      <pivotArea type="origin" dataOnly="0" labelOnly="1" outline="0" fieldPosition="0"/>
    </format>
    <format dxfId="8011">
      <pivotArea field="53" type="button" dataOnly="0" labelOnly="1" outline="0"/>
    </format>
    <format dxfId="8010">
      <pivotArea dataOnly="0" labelOnly="1" grandRow="1" outline="0" fieldPosition="0"/>
    </format>
    <format dxfId="8009">
      <pivotArea type="origin" dataOnly="0" labelOnly="1" outline="0" fieldPosition="0"/>
    </format>
    <format dxfId="8008">
      <pivotArea field="6" type="button" dataOnly="0" labelOnly="1" outline="0" axis="axisRow" fieldPosition="0"/>
    </format>
    <format dxfId="8007">
      <pivotArea field="7" type="button" dataOnly="0" labelOnly="1" outline="0" axis="axisRow" fieldPosition="2"/>
    </format>
    <format dxfId="8006">
      <pivotArea field="14" type="button" dataOnly="0" labelOnly="1" outline="0" axis="axisRow" fieldPosition="3"/>
    </format>
    <format dxfId="8005">
      <pivotArea field="4" type="button" dataOnly="0" labelOnly="1" outline="0" axis="axisRow" fieldPosition="4"/>
    </format>
    <format dxfId="8004">
      <pivotArea field="3" type="button" dataOnly="0" labelOnly="1" outline="0" axis="axisRow" fieldPosition="5"/>
    </format>
    <format dxfId="8003">
      <pivotArea field="52" type="button" dataOnly="0" labelOnly="1" outline="0"/>
    </format>
    <format dxfId="8002">
      <pivotArea type="origin" dataOnly="0" labelOnly="1" outline="0" fieldPosition="0"/>
    </format>
    <format dxfId="8001">
      <pivotArea type="origin" dataOnly="0" labelOnly="1" outline="0" fieldPosition="0"/>
    </format>
    <format dxfId="8000">
      <pivotArea field="6" type="button" dataOnly="0" labelOnly="1" outline="0" axis="axisRow" fieldPosition="0"/>
    </format>
    <format dxfId="7999">
      <pivotArea type="origin" dataOnly="0" labelOnly="1" outline="0" offset="F1" fieldPosition="0"/>
    </format>
    <format dxfId="7998">
      <pivotArea type="topRight" dataOnly="0" labelOnly="1" outline="0" fieldPosition="0"/>
    </format>
    <format dxfId="7997">
      <pivotArea type="topRight" dataOnly="0" labelOnly="1" outline="0" fieldPosition="0"/>
    </format>
    <format dxfId="7996">
      <pivotArea type="topRight" dataOnly="0" labelOnly="1" outline="0" fieldPosition="0"/>
    </format>
    <format dxfId="7995">
      <pivotArea field="3" type="button" dataOnly="0" labelOnly="1" outline="0" axis="axisRow" fieldPosition="5"/>
    </format>
    <format dxfId="7994">
      <pivotArea field="7" type="button" dataOnly="0" labelOnly="1" outline="0" axis="axisRow" fieldPosition="2"/>
    </format>
  </formats>
  <pivotTableStyleInfo name="Non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11" cacheId="20" autoFormatId="0" applyNumberFormats="0" applyBorderFormats="0" applyFontFormats="0" applyPatternFormats="0" applyAlignmentFormats="0" applyWidthHeightFormats="1" dataCaption="Values" updatedVersion="8" minRefreshableVersion="3" showMultipleLabel="0" showDrill="0" showMemberPropertyTips="0" enableDrill="0" rowGrandTotals="0" colGrandTotals="0" itemPrintTitles="1" mergeItem="1" createdVersion="4" indent="0" compact="0" compactData="0" gridDropZones="1" multipleFieldFilters="0" fieldListSortAscending="1">
  <location ref="B13:F18" firstHeaderRow="2" firstDataRow="2" firstDataCol="4"/>
  <pivotFields count="84">
    <pivotField compact="0" outline="0" showAll="0" defaultSubtotal="0"/>
    <pivotField compact="0" outline="0" showAll="0" defaultSubtotal="0"/>
    <pivotField compact="0" outline="0" showAll="0" topAutoShow="0" nonAutoSortDefault="1" defaultSubtotal="0"/>
    <pivotField axis="axisRow" compact="0" outline="0" showAll="0" topAutoShow="0" nonAutoSortDefault="1" defaultSubtotal="0">
      <items count="8">
        <item x="0"/>
        <item x="6"/>
        <item x="4"/>
        <item x="2"/>
        <item x="3"/>
        <item x="1"/>
        <item x="5"/>
        <item x="7"/>
      </items>
    </pivotField>
    <pivotField axis="axisRow" compact="0" outline="0" showAll="0" topAutoShow="0" nonAutoSortDefault="1" defaultSubtotal="0">
      <items count="10">
        <item x="0"/>
        <item x="9"/>
        <item x="7"/>
        <item x="8"/>
        <item x="1"/>
        <item x="5"/>
        <item x="3"/>
        <item x="2"/>
        <item x="4"/>
        <item x="6"/>
      </items>
    </pivotField>
    <pivotField compact="0" outline="0" showAll="0"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axis="axisRow" compact="0" outline="0" showAll="0" topAutoShow="0" nonAutoSortDefault="1" defaultSubtotal="0">
      <items count="114">
        <item x="113"/>
        <item x="0"/>
        <item x="111"/>
        <item x="112"/>
        <item x="55"/>
        <item x="13"/>
        <item x="1"/>
        <item x="2"/>
        <item x="3"/>
        <item x="4"/>
        <item x="5"/>
        <item x="6"/>
        <item x="7"/>
        <item x="8"/>
        <item x="9"/>
        <item x="10"/>
        <item x="11"/>
        <item x="12"/>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s>
    </pivotField>
    <pivotField compact="0" outline="0" showAll="0" topAutoShow="0" nonAutoSortDefault="1" defaultSubtotal="0"/>
    <pivotField dataField="1"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axis="axisRow" compact="0" outline="0" showAll="0" insertBlankRow="1" topAutoShow="0" nonAutoSortDefault="1" defaultSubtotal="0">
      <items count="54">
        <item x="0"/>
        <item h="1" x="30"/>
        <item h="1" x="52"/>
        <item h="1" x="3"/>
        <item h="1" x="4"/>
        <item h="1" x="6"/>
        <item h="1" x="21"/>
        <item h="1" x="53"/>
        <item h="1" x="1"/>
        <item h="1" x="2"/>
        <item h="1" x="5"/>
        <item h="1" x="7"/>
        <item h="1" x="8"/>
        <item h="1" x="9"/>
        <item h="1" x="10"/>
        <item h="1" x="11"/>
        <item h="1" x="12"/>
        <item h="1" x="13"/>
        <item h="1" x="14"/>
        <item h="1" x="15"/>
        <item h="1" x="16"/>
        <item h="1" x="17"/>
        <item h="1" x="18"/>
        <item h="1" x="19"/>
        <item h="1" x="20"/>
        <item h="1" x="22"/>
        <item h="1" x="23"/>
        <item h="1" x="24"/>
        <item h="1" x="25"/>
        <item h="1" x="26"/>
        <item h="1" x="27"/>
        <item h="1" x="28"/>
        <item h="1" x="29"/>
        <item h="1" x="31"/>
        <item h="1" x="32"/>
        <item h="1" x="33"/>
        <item h="1" x="34"/>
        <item h="1" x="35"/>
        <item h="1" x="36"/>
        <item h="1" x="37"/>
        <item h="1" x="38"/>
        <item h="1" x="39"/>
        <item h="1" x="40"/>
        <item h="1" x="41"/>
        <item h="1" x="42"/>
        <item h="1" x="43"/>
        <item h="1" x="44"/>
        <item h="1" x="45"/>
        <item h="1" x="46"/>
        <item h="1" x="47"/>
        <item h="1" x="48"/>
        <item h="1" x="49"/>
        <item h="1" x="50"/>
        <item h="1" x="5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4">
    <field x="53"/>
    <field x="14"/>
    <field x="4"/>
    <field x="3"/>
  </rowFields>
  <rowItems count="4">
    <i>
      <x/>
      <x v="1"/>
      <x/>
      <x/>
    </i>
    <i r="2">
      <x v="1"/>
      <x v="2"/>
    </i>
    <i r="1">
      <x v="3"/>
      <x v="1"/>
      <x v="2"/>
    </i>
    <i t="blank">
      <x/>
    </i>
  </rowItems>
  <colItems count="1">
    <i/>
  </colItems>
  <dataFields count="1">
    <dataField name="checklist" fld="16" baseField="1" baseItem="0"/>
  </dataFields>
  <formats count="7">
    <format dxfId="7993">
      <pivotArea outline="0" collapsedLevelsAreSubtotals="1" fieldPosition="0"/>
    </format>
    <format dxfId="7992">
      <pivotArea type="topRight" dataOnly="0" labelOnly="1" outline="0" fieldPosition="0"/>
    </format>
    <format dxfId="7991">
      <pivotArea dataOnly="0" labelOnly="1" outline="0" fieldPosition="0">
        <references count="1">
          <reference field="53" count="1">
            <x v="0"/>
          </reference>
        </references>
      </pivotArea>
    </format>
    <format dxfId="7990">
      <pivotArea dataOnly="0" labelOnly="1" outline="0" fieldPosition="0">
        <references count="1">
          <reference field="53" count="1">
            <x v="1"/>
          </reference>
        </references>
      </pivotArea>
    </format>
    <format dxfId="7989">
      <pivotArea dataOnly="0" labelOnly="1" grandRow="1" outline="0" fieldPosition="0"/>
    </format>
    <format dxfId="7988">
      <pivotArea type="origin" dataOnly="0" labelOnly="1" outline="0" fieldPosition="0"/>
    </format>
    <format dxfId="7987">
      <pivotArea field="53" type="button" dataOnly="0" labelOnly="1" outline="0" axis="axisRow" fieldPosition="0"/>
    </format>
  </formats>
  <pivotTableStyleInfo name="Non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1" cacheId="20" autoFormatId="0" applyNumberFormats="0" applyBorderFormats="0" applyFontFormats="0" applyPatternFormats="0" applyAlignmentFormats="0" applyWidthHeightFormats="1" dataCaption="Values" updatedVersion="8" minRefreshableVersion="3" showMultipleLabel="0" showDrill="0" showMemberPropertyTips="0" enableDrill="0" itemPrintTitles="1" mergeItem="1" createdVersion="4" indent="0" compact="0" compactData="0" gridDropZones="1" multipleFieldFilters="0" fieldListSortAscending="1">
  <location ref="B13:F27" firstHeaderRow="2" firstDataRow="2" firstDataCol="4"/>
  <pivotFields count="84">
    <pivotField compact="0" outline="0" showAll="0" defaultSubtotal="0"/>
    <pivotField compact="0" outline="0" showAll="0" defaultSubtotal="0"/>
    <pivotField compact="0" outline="0" showAll="0" topAutoShow="0" nonAutoSortDefault="1" defaultSubtotal="0"/>
    <pivotField axis="axisRow" compact="0" outline="0" showAll="0" topAutoShow="0" nonAutoSortDefault="1" defaultSubtotal="0">
      <items count="8">
        <item x="0"/>
        <item h="1" x="6"/>
        <item h="1" x="4"/>
        <item h="1" x="2"/>
        <item h="1" x="3"/>
        <item h="1" x="1"/>
        <item h="1" x="5"/>
        <item x="7"/>
      </items>
    </pivotField>
    <pivotField axis="axisRow" compact="0" outline="0" showAll="0" topAutoShow="0" nonAutoSortDefault="1" defaultSubtotal="0">
      <items count="10">
        <item x="0"/>
        <item x="9"/>
        <item x="7"/>
        <item x="8"/>
        <item x="1"/>
        <item x="5"/>
        <item x="3"/>
        <item x="2"/>
        <item x="4"/>
        <item x="6"/>
      </items>
    </pivotField>
    <pivotField compact="0" outline="0" showAll="0"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axis="axisRow" compact="0" outline="0" showAll="0" topAutoShow="0" nonAutoSortDefault="1" defaultSubtotal="0">
      <items count="114">
        <item x="113"/>
        <item x="0"/>
        <item x="111"/>
        <item x="112"/>
        <item x="55"/>
        <item x="13"/>
        <item x="1"/>
        <item x="2"/>
        <item x="3"/>
        <item x="4"/>
        <item x="5"/>
        <item x="6"/>
        <item x="7"/>
        <item x="8"/>
        <item x="9"/>
        <item x="10"/>
        <item x="11"/>
        <item x="12"/>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s>
    </pivotField>
    <pivotField compact="0" outline="0" showAll="0" topAutoShow="0" nonAutoSortDefault="1" defaultSubtotal="0"/>
    <pivotField dataField="1"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axis="axisRow" compact="0" outline="0" showAll="0" insertBlankRow="1" topAutoShow="0" nonAutoSortDefault="1" defaultSubtotal="0">
      <items count="54">
        <item x="0"/>
        <item x="30"/>
        <item x="52"/>
        <item x="3"/>
        <item x="4"/>
        <item x="6"/>
        <item x="21"/>
        <item x="53"/>
        <item x="1"/>
        <item x="2"/>
        <item x="5"/>
        <item x="7"/>
        <item x="8"/>
        <item x="9"/>
        <item x="10"/>
        <item x="11"/>
        <item x="12"/>
        <item x="13"/>
        <item x="14"/>
        <item x="15"/>
        <item x="16"/>
        <item x="17"/>
        <item x="18"/>
        <item x="19"/>
        <item x="20"/>
        <item x="22"/>
        <item x="23"/>
        <item x="24"/>
        <item x="25"/>
        <item x="26"/>
        <item x="27"/>
        <item x="28"/>
        <item x="29"/>
        <item x="31"/>
        <item x="32"/>
        <item x="33"/>
        <item x="34"/>
        <item x="35"/>
        <item x="36"/>
        <item x="37"/>
        <item x="38"/>
        <item x="39"/>
        <item x="40"/>
        <item x="41"/>
        <item x="42"/>
        <item x="43"/>
        <item x="44"/>
        <item x="45"/>
        <item x="46"/>
        <item x="47"/>
        <item x="48"/>
        <item x="49"/>
        <item x="50"/>
        <item x="5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4">
    <field x="53"/>
    <field x="14"/>
    <field x="4"/>
    <field x="3"/>
  </rowFields>
  <rowItems count="13">
    <i>
      <x/>
      <x v="1"/>
      <x/>
      <x/>
    </i>
    <i t="blank">
      <x/>
    </i>
    <i>
      <x v="1"/>
      <x v="1"/>
      <x/>
      <x/>
    </i>
    <i t="blank">
      <x v="1"/>
    </i>
    <i>
      <x v="2"/>
      <x v="1"/>
      <x/>
      <x/>
    </i>
    <i t="blank">
      <x v="2"/>
    </i>
    <i>
      <x v="35"/>
      <x v="78"/>
      <x v="2"/>
      <x v="7"/>
    </i>
    <i r="1">
      <x v="85"/>
      <x v="2"/>
      <x v="7"/>
    </i>
    <i r="1">
      <x v="107"/>
      <x v="2"/>
      <x v="7"/>
    </i>
    <i r="1">
      <x v="110"/>
      <x v="2"/>
      <x v="7"/>
    </i>
    <i r="1">
      <x v="113"/>
      <x v="2"/>
      <x v="7"/>
    </i>
    <i t="blank">
      <x v="35"/>
    </i>
    <i t="grand">
      <x/>
    </i>
  </rowItems>
  <colItems count="1">
    <i/>
  </colItems>
  <dataFields count="1">
    <dataField name="Rekap" fld="16" baseField="1" baseItem="0"/>
  </dataFields>
  <formats count="7">
    <format dxfId="7986">
      <pivotArea outline="0" collapsedLevelsAreSubtotals="1" fieldPosition="0"/>
    </format>
    <format dxfId="7985">
      <pivotArea type="topRight" dataOnly="0" labelOnly="1" outline="0" fieldPosition="0"/>
    </format>
    <format dxfId="7984">
      <pivotArea dataOnly="0" labelOnly="1" grandRow="1" outline="0" fieldPosition="0"/>
    </format>
    <format dxfId="7983">
      <pivotArea outline="0" collapsedLevelsAreSubtotals="1" fieldPosition="0"/>
    </format>
    <format dxfId="7982">
      <pivotArea dataOnly="0" labelOnly="1" grandRow="1" outline="0" fieldPosition="0"/>
    </format>
    <format dxfId="7981">
      <pivotArea type="origin" dataOnly="0" labelOnly="1" outline="0" fieldPosition="0"/>
    </format>
    <format dxfId="7980">
      <pivotArea type="origin" dataOnly="0" labelOnly="1" outline="0" fieldPosition="0"/>
    </format>
  </formats>
  <pivotTableStyleInfo name="Non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 cacheId="20" autoFormatId="0" applyNumberFormats="0" applyBorderFormats="0" applyFontFormats="0" applyPatternFormats="0" applyAlignmentFormats="0" applyWidthHeightFormats="1" dataCaption="Values" updatedVersion="8" minRefreshableVersion="3" showMultipleLabel="0" showDrill="0" showMemberPropertyTips="0" enableDrill="0" itemPrintTitles="1" mergeItem="1" createdVersion="4" indent="0" compact="0" compactData="0" gridDropZones="1" multipleFieldFilters="0" fieldListSortAscending="1">
  <location ref="B13:F21" firstHeaderRow="2" firstDataRow="2" firstDataCol="4"/>
  <pivotFields count="84">
    <pivotField compact="0" outline="0" showAll="0" defaultSubtotal="0"/>
    <pivotField compact="0" outline="0" showAll="0" defaultSubtotal="0"/>
    <pivotField compact="0" outline="0" showAll="0" topAutoShow="0" nonAutoSortDefault="1" defaultSubtotal="0"/>
    <pivotField axis="axisRow" compact="0" outline="0" showAll="0" topAutoShow="0" nonAutoSortDefault="1" defaultSubtotal="0">
      <items count="8">
        <item x="0"/>
        <item h="1" x="6"/>
        <item h="1" x="4"/>
        <item h="1" x="2"/>
        <item h="1" x="3"/>
        <item h="1" x="1"/>
        <item h="1" x="5"/>
        <item h="1" x="7"/>
      </items>
    </pivotField>
    <pivotField axis="axisRow" compact="0" outline="0" showAll="0" topAutoShow="0" nonAutoSortDefault="1" defaultSubtotal="0">
      <items count="10">
        <item x="0"/>
        <item x="9"/>
        <item x="7"/>
        <item x="8"/>
        <item x="1"/>
        <item x="5"/>
        <item x="3"/>
        <item x="2"/>
        <item x="4"/>
        <item x="6"/>
      </items>
    </pivotField>
    <pivotField compact="0" outline="0" showAll="0"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axis="axisRow" compact="0" outline="0" showAll="0" topAutoShow="0" nonAutoSortDefault="1" defaultSubtotal="0">
      <items count="114">
        <item x="113"/>
        <item x="0"/>
        <item x="111"/>
        <item x="112"/>
        <item x="55"/>
        <item x="13"/>
        <item x="1"/>
        <item x="2"/>
        <item x="3"/>
        <item x="4"/>
        <item x="5"/>
        <item x="6"/>
        <item x="7"/>
        <item x="8"/>
        <item x="9"/>
        <item x="10"/>
        <item x="11"/>
        <item x="12"/>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s>
    </pivotField>
    <pivotField compact="0" outline="0" showAll="0" topAutoShow="0" nonAutoSortDefault="1" defaultSubtotal="0"/>
    <pivotField dataField="1"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axis="axisRow" compact="0" outline="0" showAll="0" insertBlankRow="1" topAutoShow="0" nonAutoSortDefault="1" defaultSubtotal="0">
      <items count="54">
        <item x="0"/>
        <item x="30"/>
        <item x="52"/>
        <item x="3"/>
        <item x="4"/>
        <item x="6"/>
        <item x="21"/>
        <item x="53"/>
        <item x="1"/>
        <item x="2"/>
        <item x="5"/>
        <item x="7"/>
        <item x="8"/>
        <item x="9"/>
        <item x="10"/>
        <item x="11"/>
        <item x="12"/>
        <item x="13"/>
        <item x="14"/>
        <item x="15"/>
        <item x="16"/>
        <item x="17"/>
        <item x="18"/>
        <item x="19"/>
        <item x="20"/>
        <item x="22"/>
        <item x="23"/>
        <item x="24"/>
        <item x="25"/>
        <item x="26"/>
        <item x="27"/>
        <item x="28"/>
        <item x="29"/>
        <item x="31"/>
        <item x="32"/>
        <item x="33"/>
        <item x="34"/>
        <item x="35"/>
        <item x="36"/>
        <item x="37"/>
        <item x="38"/>
        <item x="39"/>
        <item x="40"/>
        <item x="41"/>
        <item x="42"/>
        <item x="43"/>
        <item x="44"/>
        <item x="45"/>
        <item x="46"/>
        <item x="47"/>
        <item x="48"/>
        <item x="49"/>
        <item x="50"/>
        <item x="5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4">
    <field x="53"/>
    <field x="14"/>
    <field x="4"/>
    <field x="3"/>
  </rowFields>
  <rowItems count="7">
    <i>
      <x/>
      <x v="1"/>
      <x/>
      <x/>
    </i>
    <i t="blank">
      <x/>
    </i>
    <i>
      <x v="1"/>
      <x v="1"/>
      <x/>
      <x/>
    </i>
    <i t="blank">
      <x v="1"/>
    </i>
    <i>
      <x v="2"/>
      <x v="1"/>
      <x/>
      <x/>
    </i>
    <i t="blank">
      <x v="2"/>
    </i>
    <i t="grand">
      <x/>
    </i>
  </rowItems>
  <colItems count="1">
    <i/>
  </colItems>
  <dataFields count="1">
    <dataField name="Rekap" fld="16" baseField="1" baseItem="0"/>
  </dataFields>
  <formats count="7">
    <format dxfId="7979">
      <pivotArea outline="0" collapsedLevelsAreSubtotals="1" fieldPosition="0"/>
    </format>
    <format dxfId="7978">
      <pivotArea type="topRight" dataOnly="0" labelOnly="1" outline="0" fieldPosition="0"/>
    </format>
    <format dxfId="7977">
      <pivotArea dataOnly="0" labelOnly="1" grandRow="1" outline="0" fieldPosition="0"/>
    </format>
    <format dxfId="7976">
      <pivotArea outline="0" collapsedLevelsAreSubtotals="1" fieldPosition="0"/>
    </format>
    <format dxfId="7975">
      <pivotArea dataOnly="0" labelOnly="1" grandRow="1" outline="0" fieldPosition="0"/>
    </format>
    <format dxfId="7974">
      <pivotArea type="origin" dataOnly="0" labelOnly="1" outline="0" fieldPosition="0"/>
    </format>
    <format dxfId="7973">
      <pivotArea type="origin" dataOnly="0" labelOnly="1" outline="0" fieldPosition="0"/>
    </format>
  </formats>
  <pivotTableStyleInfo name="Non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PivotTable11" cacheId="20" autoFormatId="0" applyNumberFormats="0" applyBorderFormats="0" applyFontFormats="0" applyPatternFormats="0" applyAlignmentFormats="0" applyWidthHeightFormats="1" dataCaption="Values" updatedVersion="8" minRefreshableVersion="3" showMultipleLabel="0" showDrill="0" showMemberPropertyTips="0" enableDrill="0" itemPrintTitles="1" mergeItem="1" createdVersion="4" indent="0" compact="0" compactData="0" gridDropZones="1" multipleFieldFilters="0" fieldListSortAscending="1">
  <location ref="B13:F21" firstHeaderRow="2" firstDataRow="2" firstDataCol="4"/>
  <pivotFields count="84">
    <pivotField compact="0" outline="0" showAll="0" defaultSubtotal="0"/>
    <pivotField compact="0" outline="0" showAll="0" defaultSubtotal="0"/>
    <pivotField compact="0" outline="0" showAll="0" topAutoShow="0" nonAutoSortDefault="1" defaultSubtotal="0"/>
    <pivotField axis="axisRow" compact="0" outline="0" showAll="0" topAutoShow="0" nonAutoSortDefault="1" defaultSubtotal="0">
      <items count="8">
        <item x="0"/>
        <item h="1" x="6"/>
        <item h="1" x="4"/>
        <item h="1" x="2"/>
        <item h="1" x="3"/>
        <item h="1" x="1"/>
        <item h="1" x="5"/>
        <item h="1" x="7"/>
      </items>
    </pivotField>
    <pivotField axis="axisRow" compact="0" outline="0" showAll="0" topAutoShow="0" nonAutoSortDefault="1" defaultSubtotal="0">
      <items count="10">
        <item x="0"/>
        <item x="9"/>
        <item x="7"/>
        <item x="8"/>
        <item x="1"/>
        <item x="5"/>
        <item x="3"/>
        <item x="2"/>
        <item x="4"/>
        <item x="6"/>
      </items>
    </pivotField>
    <pivotField compact="0" outline="0" showAll="0"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axis="axisRow" compact="0" outline="0" showAll="0" topAutoShow="0" nonAutoSortDefault="1" defaultSubtotal="0">
      <items count="114">
        <item x="113"/>
        <item x="0"/>
        <item x="111"/>
        <item x="112"/>
        <item x="55"/>
        <item x="13"/>
        <item x="1"/>
        <item x="2"/>
        <item x="3"/>
        <item x="4"/>
        <item x="5"/>
        <item x="6"/>
        <item x="7"/>
        <item x="8"/>
        <item x="9"/>
        <item x="10"/>
        <item x="11"/>
        <item x="12"/>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s>
    </pivotField>
    <pivotField compact="0" outline="0" showAll="0" topAutoShow="0" nonAutoSortDefault="1" defaultSubtotal="0"/>
    <pivotField dataField="1"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axis="axisRow" compact="0" outline="0" showAll="0" insertBlankRow="1" topAutoShow="0" nonAutoSortDefault="1" defaultSubtotal="0">
      <items count="54">
        <item x="0"/>
        <item x="30"/>
        <item x="52"/>
        <item x="3"/>
        <item x="4"/>
        <item x="6"/>
        <item x="21"/>
        <item x="53"/>
        <item x="1"/>
        <item x="2"/>
        <item x="5"/>
        <item x="7"/>
        <item x="8"/>
        <item x="9"/>
        <item x="10"/>
        <item x="11"/>
        <item x="12"/>
        <item x="13"/>
        <item x="14"/>
        <item x="15"/>
        <item x="16"/>
        <item x="17"/>
        <item x="18"/>
        <item x="19"/>
        <item x="20"/>
        <item x="22"/>
        <item x="23"/>
        <item x="24"/>
        <item x="25"/>
        <item x="26"/>
        <item x="27"/>
        <item x="28"/>
        <item x="29"/>
        <item x="31"/>
        <item x="32"/>
        <item x="33"/>
        <item x="34"/>
        <item x="35"/>
        <item x="36"/>
        <item x="37"/>
        <item x="38"/>
        <item x="39"/>
        <item x="40"/>
        <item x="41"/>
        <item x="42"/>
        <item x="43"/>
        <item x="44"/>
        <item x="45"/>
        <item x="46"/>
        <item x="47"/>
        <item x="48"/>
        <item x="49"/>
        <item x="50"/>
        <item x="5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4">
    <field x="53"/>
    <field x="14"/>
    <field x="4"/>
    <field x="3"/>
  </rowFields>
  <rowItems count="7">
    <i>
      <x/>
      <x v="1"/>
      <x/>
      <x/>
    </i>
    <i t="blank">
      <x/>
    </i>
    <i>
      <x v="1"/>
      <x v="1"/>
      <x/>
      <x/>
    </i>
    <i t="blank">
      <x v="1"/>
    </i>
    <i>
      <x v="2"/>
      <x v="1"/>
      <x/>
      <x/>
    </i>
    <i t="blank">
      <x v="2"/>
    </i>
    <i t="grand">
      <x/>
    </i>
  </rowItems>
  <colItems count="1">
    <i/>
  </colItems>
  <dataFields count="1">
    <dataField name="Rekap" fld="16" baseField="1" baseItem="0"/>
  </dataFields>
  <formats count="5">
    <format dxfId="7972">
      <pivotArea outline="0" collapsedLevelsAreSubtotals="1" fieldPosition="0"/>
    </format>
    <format dxfId="7971">
      <pivotArea type="topRight" dataOnly="0" labelOnly="1" outline="0" fieldPosition="0"/>
    </format>
    <format dxfId="7970">
      <pivotArea type="origin" dataOnly="0" labelOnly="1" outline="0" fieldPosition="0"/>
    </format>
    <format dxfId="7969">
      <pivotArea field="53" type="button" dataOnly="0" labelOnly="1" outline="0" axis="axisRow" fieldPosition="0"/>
    </format>
    <format dxfId="7968">
      <pivotArea dataOnly="0" labelOnly="1" grandRow="1" outline="0" fieldPosition="0"/>
    </format>
  </formats>
  <pivotTableStyleInfo name="Non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PivotTable11" cacheId="20" autoFormatId="0" applyNumberFormats="0" applyBorderFormats="0" applyFontFormats="0" applyPatternFormats="0" applyAlignmentFormats="0" applyWidthHeightFormats="1" dataCaption="Values" updatedVersion="8" minRefreshableVersion="3" showMultipleLabel="0" showDrill="0" showMemberPropertyTips="0" enableDrill="0" itemPrintTitles="1" mergeItem="1" createdVersion="4" indent="0" compact="0" compactData="0" gridDropZones="1" multipleFieldFilters="0" fieldListSortAscending="1">
  <location ref="B13:F21" firstHeaderRow="2" firstDataRow="2" firstDataCol="4"/>
  <pivotFields count="84">
    <pivotField compact="0" outline="0" showAll="0" defaultSubtotal="0"/>
    <pivotField compact="0" outline="0" showAll="0" defaultSubtotal="0"/>
    <pivotField compact="0" outline="0" showAll="0" topAutoShow="0" nonAutoSortDefault="1" defaultSubtotal="0"/>
    <pivotField axis="axisRow" compact="0" outline="0" showAll="0" topAutoShow="0" nonAutoSortDefault="1" defaultSubtotal="0">
      <items count="8">
        <item x="0"/>
        <item h="1" x="6"/>
        <item h="1" x="4"/>
        <item h="1" x="2"/>
        <item h="1" x="3"/>
        <item h="1" x="1"/>
        <item h="1" x="5"/>
        <item h="1" x="7"/>
      </items>
    </pivotField>
    <pivotField axis="axisRow" compact="0" outline="0" showAll="0" topAutoShow="0" nonAutoSortDefault="1" defaultSubtotal="0">
      <items count="10">
        <item x="0"/>
        <item x="9"/>
        <item x="7"/>
        <item x="8"/>
        <item x="1"/>
        <item x="5"/>
        <item x="3"/>
        <item x="2"/>
        <item x="4"/>
        <item x="6"/>
      </items>
    </pivotField>
    <pivotField compact="0" outline="0" showAll="0"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axis="axisRow" compact="0" outline="0" showAll="0" topAutoShow="0" nonAutoSortDefault="1" defaultSubtotal="0">
      <items count="114">
        <item x="113"/>
        <item x="0"/>
        <item x="111"/>
        <item x="112"/>
        <item x="55"/>
        <item x="13"/>
        <item x="1"/>
        <item x="2"/>
        <item x="3"/>
        <item x="4"/>
        <item x="5"/>
        <item x="6"/>
        <item x="7"/>
        <item x="8"/>
        <item x="9"/>
        <item x="10"/>
        <item x="11"/>
        <item x="12"/>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s>
    </pivotField>
    <pivotField compact="0" outline="0" showAll="0" topAutoShow="0" nonAutoSortDefault="1" defaultSubtotal="0"/>
    <pivotField dataField="1"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compact="0" outline="0" showAll="0" topAutoShow="0" nonAutoSortDefault="1" defaultSubtotal="0"/>
    <pivotField axis="axisRow" compact="0" outline="0" showAll="0" insertBlankRow="1" topAutoShow="0" nonAutoSortDefault="1" defaultSubtotal="0">
      <items count="54">
        <item x="0"/>
        <item x="30"/>
        <item x="52"/>
        <item x="3"/>
        <item x="4"/>
        <item x="6"/>
        <item x="21"/>
        <item x="53"/>
        <item x="1"/>
        <item x="2"/>
        <item x="5"/>
        <item x="7"/>
        <item x="8"/>
        <item x="9"/>
        <item x="10"/>
        <item x="11"/>
        <item x="12"/>
        <item x="13"/>
        <item x="14"/>
        <item x="15"/>
        <item x="16"/>
        <item x="17"/>
        <item x="18"/>
        <item x="19"/>
        <item x="20"/>
        <item x="22"/>
        <item x="23"/>
        <item x="24"/>
        <item x="25"/>
        <item x="26"/>
        <item x="27"/>
        <item x="28"/>
        <item x="29"/>
        <item x="31"/>
        <item x="32"/>
        <item x="33"/>
        <item x="34"/>
        <item x="35"/>
        <item x="36"/>
        <item x="37"/>
        <item x="38"/>
        <item x="39"/>
        <item x="40"/>
        <item x="41"/>
        <item x="42"/>
        <item x="43"/>
        <item x="44"/>
        <item x="45"/>
        <item x="46"/>
        <item x="47"/>
        <item x="48"/>
        <item x="49"/>
        <item x="50"/>
        <item x="5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4">
    <field x="53"/>
    <field x="14"/>
    <field x="4"/>
    <field x="3"/>
  </rowFields>
  <rowItems count="7">
    <i>
      <x/>
      <x v="1"/>
      <x/>
      <x/>
    </i>
    <i t="blank">
      <x/>
    </i>
    <i>
      <x v="1"/>
      <x v="1"/>
      <x/>
      <x/>
    </i>
    <i t="blank">
      <x v="1"/>
    </i>
    <i>
      <x v="2"/>
      <x v="1"/>
      <x/>
      <x/>
    </i>
    <i t="blank">
      <x v="2"/>
    </i>
    <i t="grand">
      <x/>
    </i>
  </rowItems>
  <colItems count="1">
    <i/>
  </colItems>
  <dataFields count="1">
    <dataField name="Rekap" fld="16" baseField="1" baseItem="0"/>
  </dataFields>
  <formats count="5">
    <format dxfId="7967">
      <pivotArea outline="0" collapsedLevelsAreSubtotals="1" fieldPosition="0"/>
    </format>
    <format dxfId="7966">
      <pivotArea type="topRight" dataOnly="0" labelOnly="1" outline="0" fieldPosition="0"/>
    </format>
    <format dxfId="7965">
      <pivotArea type="origin" dataOnly="0" labelOnly="1" outline="0" fieldPosition="0"/>
    </format>
    <format dxfId="7964">
      <pivotArea field="53" type="button" dataOnly="0" labelOnly="1" outline="0" axis="axisRow" fieldPosition="0"/>
    </format>
    <format dxfId="7963">
      <pivotArea dataOnly="0" labelOnly="1" grandRow="1" outline="0" fieldPosition="0"/>
    </format>
  </formats>
  <pivotTableStyleInfo name="Non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1600-000000000000}" name="PivotTable1" cacheId="5" dataOnRows="1" autoFormatId="0" applyNumberFormats="0" applyBorderFormats="0" applyFontFormats="0" applyPatternFormats="0" applyAlignmentFormats="0" applyWidthHeightFormats="1" dataCaption="Data" updatedVersion="8" minRefreshableVersion="3" showMultipleLabel="0" showDrill="0" showMemberPropertyTips="0" enableDrill="0" rowGrandTotals="0" colGrandTotals="0" itemPrintTitles="1" mergeItem="1" createdVersion="4" indent="0" compact="0" compactData="0" gridDropZones="1">
  <location ref="C41:E49" firstHeaderRow="2" firstDataRow="2" firstDataCol="2"/>
  <pivotFields count="52">
    <pivotField compact="0" outline="0" subtotalTop="0" showAll="0" topAutoShow="0" includeNewItemsInFilter="1" nonAutoSortDefault="1" defaultSubtotal="0"/>
    <pivotField compact="0" outline="0" showAll="0" topAutoShow="0" nonAutoSortDefault="1" defaultSubtotal="0"/>
    <pivotField compact="0" outline="0" subtotalTop="0" showAll="0" topAutoShow="0" includeNewItemsInFilter="1" nonAutoSortDefault="1"/>
    <pivotField compact="0" outline="0" showAll="0" defaultSubtotal="0"/>
    <pivotField compact="0" outline="0" subtotalTop="0" showAll="0" topAutoShow="0" includeNewItemsInFilter="1" nonAutoSortDefault="1" defaultSubtotal="0"/>
    <pivotField compact="0" outline="0" subtotalTop="0" showAll="0" topAutoShow="0" includeNewItemsInFilter="1" nonAutoSortDefault="1"/>
    <pivotField compact="0" outline="0" subtotalTop="0" showAll="0" topAutoShow="0" includeNewItemsInFilter="1" nonAutoSortDefault="1" defaultSubtotal="0"/>
    <pivotField compact="0" outline="0" subtotalTop="0" showAll="0" topAutoShow="0" includeNewItemsInFilter="1" nonAutoSortDefault="1"/>
    <pivotField compact="0" outline="0" subtotalTop="0" showAll="0" topAutoShow="0" includeNewItemsInFilter="1" nonAutoSortDefault="1"/>
    <pivotField compact="0" outline="0" subtotalTop="0" showAll="0" topAutoShow="0" includeNewItemsInFilter="1" nonAutoSortDefault="1"/>
    <pivotField compact="0" outline="0" subtotalTop="0" showAll="0" topAutoShow="0" includeNewItemsInFilter="1" nonAutoSortDefault="1"/>
    <pivotField compact="0" outline="0" subtotalTop="0" showAll="0" topAutoShow="0" includeNewItemsInFilter="1" nonAutoSortDefault="1"/>
    <pivotField compact="0" outline="0" subtotalTop="0" showAll="0" topAutoShow="0" includeNewItemsInFilter="1" nonAutoSortDefault="1"/>
    <pivotField compact="0" outline="0" subtotalTop="0" showAll="0" topAutoShow="0" includeNewItemsInFilter="1" nonAutoSortDefault="1" defaultSubtotal="0"/>
    <pivotField compact="0" outline="0" subtotalTop="0" showAll="0" topAutoShow="0" includeNewItemsInFilter="1" nonAutoSortDefault="1"/>
    <pivotField compact="0" outline="0" subtotalTop="0" showAll="0" topAutoShow="0" includeNewItemsInFilter="1" nonAutoSortDefault="1"/>
    <pivotField compact="0" outline="0" subtotalTop="0" showAll="0" topAutoShow="0" includeNewItemsInFilter="1" nonAutoSortDefault="1"/>
    <pivotField compact="0" outline="0" subtotalTop="0" showAll="0" topAutoShow="0" includeNewItemsInFilter="1" nonAutoSortDefault="1"/>
    <pivotField compact="0" outline="0" subtotalTop="0" showAll="0" topAutoShow="0" includeNewItemsInFilter="1" nonAutoSortDefault="1" defaultSubtotal="0"/>
    <pivotField compact="0" outline="0" subtotalTop="0" showAll="0" topAutoShow="0" includeNewItemsInFilter="1" nonAutoSortDefault="1"/>
    <pivotField compact="0" outline="0" subtotalTop="0" showAll="0" topAutoShow="0" includeNewItemsInFilter="1" nonAutoSortDefault="1"/>
    <pivotField compact="0" outline="0" subtotalTop="0" showAll="0" topAutoShow="0" includeNewItemsInFilter="1" nonAutoSortDefault="1"/>
    <pivotField compact="0" outline="0" subtotalTop="0" showAll="0" topAutoShow="0" includeNewItemsInFilter="1" nonAutoSortDefault="1"/>
    <pivotField compact="0" outline="0" subtotalTop="0" showAll="0" topAutoShow="0" includeNewItemsInFilter="1" nonAutoSortDefault="1"/>
    <pivotField compact="0" outline="0" subtotalTop="0" showAll="0" topAutoShow="0" includeNewItemsInFilter="1" nonAutoSortDefault="1"/>
    <pivotField compact="0" outline="0" subtotalTop="0" showAll="0" topAutoShow="0" includeNewItemsInFilter="1" nonAutoSortDefault="1"/>
    <pivotField compact="0" outline="0" subtotalTop="0" showAll="0" topAutoShow="0" includeNewItemsInFilter="1" nonAutoSortDefault="1" defaultSubtotal="0"/>
    <pivotField compact="0" outline="0" subtotalTop="0" showAll="0" topAutoShow="0" includeNewItemsInFilter="1" nonAutoSortDefault="1" defaultSubtotal="0"/>
    <pivotField compact="0" outline="0" subtotalTop="0" showAll="0" topAutoShow="0" includeNewItemsInFilter="1" nonAutoSortDefault="1" defaultSubtotal="0"/>
    <pivotField compact="0" outline="0" subtotalTop="0" showAll="0" topAutoShow="0" includeNewItemsInFilter="1" nonAutoSortDefault="1" defaultSubtotal="0"/>
    <pivotField compact="0" outline="0" subtotalTop="0" showAll="0" topAutoShow="0" includeNewItemsInFilter="1" nonAutoSortDefault="1" defaultSubtotal="0"/>
    <pivotField compact="0" outline="0" subtotalTop="0" showAll="0" topAutoShow="0" includeNewItemsInFilter="1" nonAutoSortDefault="1" defaultSubtotal="0"/>
    <pivotField compact="0" outline="0" subtotalTop="0" showAll="0" topAutoShow="0" includeNewItemsInFilter="1" nonAutoSortDefault="1" defaultSubtotal="0"/>
    <pivotField compact="0" outline="0" subtotalTop="0" showAll="0" topAutoShow="0" includeNewItemsInFilter="1" nonAutoSortDefault="1" defaultSubtotal="0"/>
    <pivotField compact="0" outline="0" showAll="0" defaultSubtotal="0"/>
    <pivotField compact="0" outline="0" subtotalTop="0" showAll="0" topAutoShow="0" includeNewItemsInFilter="1" nonAutoSortDefault="1" defaultSubtotal="0"/>
    <pivotField compact="0" outline="0" subtotalTop="0" showAll="0" topAutoShow="0" includeNewItemsInFilter="1" nonAutoSortDefault="1" defaultSubtotal="0"/>
    <pivotField compact="0" outline="0" subtotalTop="0" showAll="0" topAutoShow="0" includeNewItemsInFilter="1" nonAutoSortDefault="1" defaultSubtotal="0"/>
    <pivotField compact="0" outline="0" subtotalTop="0" showAll="0" topAutoShow="0" includeNewItemsInFilter="1" nonAutoSortDefault="1"/>
    <pivotField compact="0" outline="0" subtotalTop="0" showAll="0" topAutoShow="0" includeNewItemsInFilter="1" nonAutoSortDefault="1"/>
    <pivotField compact="0" outline="0" subtotalTop="0" showAll="0" topAutoShow="0" includeNewItemsInFilter="1" nonAutoSortDefault="1" defaultSubtotal="0"/>
    <pivotField compact="0" outline="0" subtotalTop="0" showAll="0" topAutoShow="0" includeNewItemsInFilter="1" nonAutoSortDefault="1" defaultSubtotal="0"/>
    <pivotField axis="axisRow" compact="0" outline="0" subtotalTop="0" showAll="0" topAutoShow="0" includeNewItemsInFilter="1" nonAutoSortDefault="1" defaultSubtotal="0">
      <items count="4">
        <item x="0"/>
        <item x="3"/>
        <item x="1"/>
        <item x="2"/>
      </items>
    </pivotField>
    <pivotField axis="axisRow" compact="0" outline="0" subtotalTop="0" showAll="0" topAutoShow="0" includeNewItemsInFilter="1" nonAutoSortDefault="1" defaultSubtotal="0">
      <items count="6">
        <item x="0"/>
        <item x="1"/>
        <item x="2"/>
        <item x="3"/>
        <item x="4"/>
        <item x="5"/>
      </items>
    </pivotField>
    <pivotField dataField="1" compact="0" outline="0" subtotalTop="0" showAll="0" topAutoShow="0" includeNewItemsInFilter="1" nonAutoSortDefault="1" defaultSubtotal="0"/>
    <pivotField compact="0" outline="0" subtotalTop="0" showAll="0" topAutoShow="0" includeNewItemsInFilter="1" nonAutoSortDefault="1" defaultSubtotal="0"/>
    <pivotField compact="0" outline="0" subtotalTop="0" showAll="0" topAutoShow="0" includeNewItemsInFilter="1" nonAutoSortDefault="1"/>
    <pivotField compact="0" outline="0" subtotalTop="0" showAll="0" topAutoShow="0" includeNewItemsInFilter="1" nonAutoSortDefault="1"/>
    <pivotField compact="0" outline="0" subtotalTop="0" showAll="0" topAutoShow="0" includeNewItemsInFilter="1" nonAutoSortDefault="1" defaultSubtotal="0"/>
    <pivotField compact="0" outline="0" subtotalTop="0" showAll="0" topAutoShow="0" includeNewItemsInFilter="1" nonAutoSortDefault="1" defaultSubtotal="0"/>
    <pivotField compact="0" outline="0" subtotalTop="0" showAll="0" topAutoShow="0" includeNewItemsInFilter="1" nonAutoSortDefault="1" defaultSubtotal="0"/>
    <pivotField compact="0" outline="0" subtotalTop="0" showAll="0" topAutoShow="0" includeNewItemsInFilter="1" nonAutoSortDefault="1"/>
  </pivotFields>
  <rowFields count="2">
    <field x="42"/>
    <field x="43"/>
  </rowFields>
  <rowItems count="7">
    <i>
      <x/>
      <x/>
    </i>
    <i>
      <x v="1"/>
      <x v="1"/>
    </i>
    <i>
      <x v="2"/>
      <x v="1"/>
    </i>
    <i>
      <x v="3"/>
      <x v="2"/>
    </i>
    <i r="1">
      <x v="3"/>
    </i>
    <i r="1">
      <x v="4"/>
    </i>
    <i r="1">
      <x v="5"/>
    </i>
  </rowItems>
  <colItems count="1">
    <i/>
  </colItems>
  <dataFields count="1">
    <dataField name="Rekap" fld="44" baseField="42" baseItem="4"/>
  </dataFields>
  <formats count="10">
    <format dxfId="7962">
      <pivotArea outline="0" collapsedLevelsAreSubtotals="1" fieldPosition="0"/>
    </format>
    <format dxfId="7961">
      <pivotArea type="topRight" dataOnly="0" labelOnly="1" outline="0" fieldPosition="0"/>
    </format>
    <format dxfId="7960">
      <pivotArea type="topRight" dataOnly="0" labelOnly="1" outline="0" fieldPosition="0"/>
    </format>
    <format dxfId="7959">
      <pivotArea type="origin" dataOnly="0" labelOnly="1" outline="0" offset="B1" fieldPosition="0"/>
    </format>
    <format dxfId="7958">
      <pivotArea type="origin" dataOnly="0" labelOnly="1" outline="0" offset="B1" fieldPosition="0"/>
    </format>
    <format dxfId="7957">
      <pivotArea type="topRight" dataOnly="0" labelOnly="1" outline="0" fieldPosition="0"/>
    </format>
    <format dxfId="7956">
      <pivotArea type="origin" dataOnly="0" labelOnly="1" outline="0" offset="A1" fieldPosition="0"/>
    </format>
    <format dxfId="7955">
      <pivotArea type="origin" dataOnly="0" labelOnly="1" outline="0" fieldPosition="0"/>
    </format>
    <format dxfId="7954">
      <pivotArea field="42" type="button" dataOnly="0" labelOnly="1" outline="0" axis="axisRow" fieldPosition="0"/>
    </format>
    <format dxfId="7953">
      <pivotArea dataOnly="0" labelOnly="1" outline="0" fieldPosition="0">
        <references count="1">
          <reference field="42" count="0"/>
        </references>
      </pivotArea>
    </format>
  </formats>
  <pivotTableStyleInfo name="Non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1800-000000000000}" name="PivotTable3" cacheId="20" dataOnRows="1" applyNumberFormats="0" applyBorderFormats="0" applyFontFormats="0" applyPatternFormats="0" applyAlignmentFormats="0" applyWidthHeightFormats="1" dataCaption="Data" updatedVersion="8" minRefreshableVersion="3" showDrill="0" showMemberPropertyTips="0" itemPrintTitles="1" createdVersion="4" indent="127" compact="0" compactData="0" gridDropZones="1" fieldListSortAscending="1">
  <location ref="B14:I190" firstHeaderRow="2" firstDataRow="2" firstDataCol="7" rowPageCount="1" colPageCount="1"/>
  <pivotFields count="8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sortType="ascending" defaultSubtotal="0">
      <items count="8">
        <item h="1" x="6"/>
        <item x="4"/>
        <item x="1"/>
        <item x="3"/>
        <item x="7"/>
        <item x="2"/>
        <item x="5"/>
        <item h="1" x="0"/>
      </items>
      <extLst>
        <ext xmlns:x14="http://schemas.microsoft.com/office/spreadsheetml/2009/9/main" uri="{2946ED86-A175-432a-8AC1-64E0C546D7DE}">
          <x14:pivotField fillDownLabels="1"/>
        </ext>
      </extLst>
    </pivotField>
    <pivotField axis="axisRow" compact="0" outline="0" subtotalTop="0" showAll="0" includeNewItemsInFilter="1" defaultSubtotal="0">
      <items count="10">
        <item x="9"/>
        <item x="0"/>
        <item x="7"/>
        <item x="8"/>
        <item x="1"/>
        <item x="5"/>
        <item x="3"/>
        <item x="2"/>
        <item x="4"/>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includeNewItemsInFilter="1" defaultSubtotal="0">
      <items count="9">
        <item x="2"/>
        <item h="1" x="0"/>
        <item x="3"/>
        <item x="7"/>
        <item x="4"/>
        <item x="6"/>
        <item x="1"/>
        <item x="5"/>
        <item x="8"/>
      </items>
      <extLst>
        <ext xmlns:x14="http://schemas.microsoft.com/office/spreadsheetml/2009/9/main" uri="{2946ED86-A175-432a-8AC1-64E0C546D7DE}">
          <x14:pivotField fillDownLabels="1"/>
        </ext>
      </extLst>
    </pivotField>
    <pivotField axis="axisRow" compact="0" outline="0" subtotalTop="0" showAll="0" includeNewItemsInFilter="1" defaultSubtotal="0">
      <items count="76">
        <item x="0"/>
        <item x="52"/>
        <item x="53"/>
        <item x="57"/>
        <item x="58"/>
        <item x="59"/>
        <item x="63"/>
        <item x="64"/>
        <item x="65"/>
        <item x="68"/>
        <item x="69"/>
        <item x="70"/>
        <item x="71"/>
        <item x="72"/>
        <item x="73"/>
        <item x="74"/>
        <item x="75"/>
        <item x="54"/>
        <item x="55"/>
        <item x="56"/>
        <item x="60"/>
        <item x="61"/>
        <item x="62"/>
        <item x="6"/>
        <item x="21"/>
        <item x="7"/>
        <item x="23"/>
        <item x="24"/>
        <item x="3"/>
        <item x="4"/>
        <item x="51"/>
        <item x="66"/>
        <item x="67"/>
        <item x="1"/>
        <item x="2"/>
        <item x="5"/>
        <item x="8"/>
        <item x="9"/>
        <item x="10"/>
        <item x="11"/>
        <item x="12"/>
        <item x="13"/>
        <item x="14"/>
        <item x="15"/>
        <item x="16"/>
        <item x="17"/>
        <item x="18"/>
        <item x="19"/>
        <item x="20"/>
        <item x="22"/>
        <item x="25"/>
        <item x="26"/>
        <item x="27"/>
        <item x="28"/>
        <item x="29"/>
        <item x="30"/>
        <item x="31"/>
        <item x="32"/>
        <item x="33"/>
        <item x="34"/>
        <item x="35"/>
        <item x="36"/>
        <item x="37"/>
        <item x="38"/>
        <item x="39"/>
        <item x="40"/>
        <item x="41"/>
        <item x="42"/>
        <item x="43"/>
        <item x="44"/>
        <item x="45"/>
        <item x="46"/>
        <item x="47"/>
        <item x="48"/>
        <item x="49"/>
        <item x="50"/>
      </items>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axis="axisRow" compact="0" outline="0" subtotalTop="0" showAll="0" includeNewItemsInFilter="1" defaultSubtotal="0">
      <items count="66">
        <item x="0"/>
        <item x="65"/>
        <item x="2"/>
        <item x="28"/>
        <item x="8"/>
        <item x="19"/>
        <item x="15"/>
        <item x="1"/>
        <item x="3"/>
        <item x="4"/>
        <item x="5"/>
        <item x="6"/>
        <item x="7"/>
        <item x="9"/>
        <item x="10"/>
        <item x="11"/>
        <item x="12"/>
        <item x="13"/>
        <item x="14"/>
        <item x="16"/>
        <item x="17"/>
        <item x="18"/>
        <item x="20"/>
        <item x="21"/>
        <item x="22"/>
        <item x="23"/>
        <item x="24"/>
        <item x="25"/>
        <item x="26"/>
        <item x="27"/>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s>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axis="axisRow" compact="0" outline="0" subtotalTop="0" showAll="0" includeNewItemsInFilter="1" defaultSubtotal="0">
      <items count="52">
        <item x="0"/>
        <item x="23"/>
        <item x="22"/>
        <item x="26"/>
        <item x="16"/>
        <item x="14"/>
        <item x="5"/>
        <item x="10"/>
        <item x="7"/>
        <item x="11"/>
        <item x="6"/>
        <item x="8"/>
        <item x="3"/>
        <item x="1"/>
        <item x="2"/>
        <item x="4"/>
        <item x="9"/>
        <item x="12"/>
        <item x="13"/>
        <item x="15"/>
        <item x="17"/>
        <item x="18"/>
        <item x="19"/>
        <item x="20"/>
        <item x="21"/>
        <item x="24"/>
        <item x="25"/>
        <item x="27"/>
        <item x="28"/>
        <item x="29"/>
        <item x="30"/>
        <item x="31"/>
        <item x="32"/>
        <item x="33"/>
        <item x="34"/>
        <item x="35"/>
        <item x="36"/>
        <item x="37"/>
        <item x="38"/>
        <item x="39"/>
        <item x="40"/>
        <item x="41"/>
        <item x="42"/>
        <item x="43"/>
        <item x="44"/>
        <item x="45"/>
        <item x="46"/>
        <item x="47"/>
        <item x="48"/>
        <item x="49"/>
        <item x="50"/>
        <item x="51"/>
      </items>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items count="114">
        <item x="113"/>
        <item x="0"/>
        <item x="111"/>
        <item x="112"/>
        <item x="55"/>
        <item x="13"/>
        <item x="1"/>
        <item x="2"/>
        <item x="3"/>
        <item x="4"/>
        <item x="5"/>
        <item x="6"/>
        <item x="7"/>
        <item x="8"/>
        <item x="9"/>
        <item x="10"/>
        <item x="11"/>
        <item x="12"/>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s>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axis="axisRow" compact="0" outline="0" subtotalTop="0" showAll="0" includeNewItemsInFilter="1" defaultSubtotal="0">
      <items count="8">
        <item x="0"/>
        <item x="1"/>
        <item x="7"/>
        <item x="4"/>
        <item x="2"/>
        <item x="3"/>
        <item x="5"/>
        <item x="6"/>
      </items>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axis="axisRow" compact="0" outline="0" subtotalTop="0" showAll="0" insertBlankRow="1" includeNewItemsInFilter="1" sortType="ascending" defaultSubtotal="0">
      <items count="25">
        <item x="1"/>
        <item x="11"/>
        <item x="22"/>
        <item x="8"/>
        <item x="23"/>
        <item x="10"/>
        <item x="21"/>
        <item x="3"/>
        <item x="6"/>
        <item x="9"/>
        <item x="18"/>
        <item x="24"/>
        <item x="19"/>
        <item x="15"/>
        <item x="4"/>
        <item x="13"/>
        <item x="2"/>
        <item x="17"/>
        <item x="12"/>
        <item x="5"/>
        <item x="14"/>
        <item x="16"/>
        <item x="20"/>
        <item x="7"/>
        <item x="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extLst>
        <ext xmlns:x14="http://schemas.microsoft.com/office/spreadsheetml/2009/9/main" uri="{2946ED86-A175-432a-8AC1-64E0C546D7DE}">
          <x14:pivotField fillDownLabels="1"/>
        </ext>
      </extLst>
    </pivotField>
  </pivotFields>
  <rowFields count="7">
    <field x="67"/>
    <field x="7"/>
    <field x="9"/>
    <field x="11"/>
    <field x="16"/>
    <field x="4"/>
    <field x="83"/>
  </rowFields>
  <rowItems count="175">
    <i>
      <x/>
      <x v="30"/>
      <x v="1"/>
      <x/>
      <x v="4"/>
      <x/>
      <x v="1"/>
    </i>
    <i r="1">
      <x v="33"/>
      <x v="6"/>
      <x v="19"/>
      <x v="1"/>
      <x v="4"/>
      <x v="1"/>
    </i>
    <i r="2">
      <x v="7"/>
      <x v="13"/>
      <x v="1"/>
      <x v="4"/>
      <x v="1"/>
    </i>
    <i r="2">
      <x v="9"/>
      <x v="13"/>
      <x v="1"/>
      <x v="4"/>
      <x v="1"/>
    </i>
    <i r="2">
      <x v="10"/>
      <x v="15"/>
      <x v="1"/>
      <x v="4"/>
      <x v="1"/>
    </i>
    <i r="2">
      <x v="12"/>
      <x v="15"/>
      <x v="1"/>
      <x v="4"/>
      <x v="1"/>
    </i>
    <i r="2">
      <x v="16"/>
      <x v="19"/>
      <x v="1"/>
      <x v="4"/>
      <x v="1"/>
    </i>
    <i r="1">
      <x v="37"/>
      <x v="7"/>
      <x v="11"/>
      <x v="1"/>
      <x v="4"/>
      <x v="1"/>
    </i>
    <i r="3">
      <x v="16"/>
      <x v="1"/>
      <x v="4"/>
      <x v="1"/>
    </i>
    <i r="2">
      <x v="9"/>
      <x v="11"/>
      <x v="1"/>
      <x v="4"/>
      <x v="1"/>
    </i>
    <i r="3">
      <x v="16"/>
      <x v="1"/>
      <x v="4"/>
      <x v="1"/>
    </i>
    <i r="1">
      <x v="40"/>
      <x v="13"/>
      <x v="7"/>
      <x v="1"/>
      <x v="4"/>
      <x v="1"/>
    </i>
    <i r="1">
      <x v="41"/>
      <x v="15"/>
      <x v="18"/>
      <x v="4"/>
      <x v="4"/>
      <x v="1"/>
    </i>
    <i r="1">
      <x v="44"/>
      <x v="6"/>
      <x v="23"/>
      <x v="1"/>
      <x v="4"/>
      <x v="1"/>
    </i>
    <i r="2">
      <x v="19"/>
      <x v="20"/>
      <x v="1"/>
      <x v="4"/>
      <x v="1"/>
    </i>
    <i r="1">
      <x v="50"/>
      <x v="36"/>
      <x v="31"/>
      <x v="1"/>
      <x v="2"/>
      <x v="1"/>
    </i>
    <i r="1">
      <x v="55"/>
      <x v="40"/>
      <x v="34"/>
      <x v="1"/>
      <x v="2"/>
      <x v="1"/>
    </i>
    <i r="2">
      <x v="47"/>
      <x v="34"/>
      <x v="4"/>
      <x v="2"/>
      <x v="1"/>
    </i>
    <i r="1">
      <x v="58"/>
      <x v="43"/>
      <x v="36"/>
      <x v="1"/>
      <x v="2"/>
      <x v="1"/>
    </i>
    <i r="4">
      <x v="4"/>
      <x v="2"/>
      <x v="1"/>
    </i>
    <i r="1">
      <x v="62"/>
      <x v="5"/>
      <x v="7"/>
      <x v="1"/>
      <x v="2"/>
      <x v="1"/>
    </i>
    <i r="1">
      <x v="70"/>
      <x v="57"/>
      <x v="36"/>
      <x v="1"/>
      <x v="2"/>
      <x v="1"/>
    </i>
    <i r="1">
      <x v="73"/>
      <x v="60"/>
      <x v="7"/>
      <x v="1"/>
      <x v="2"/>
      <x v="1"/>
    </i>
    <i r="2">
      <x v="63"/>
      <x v="48"/>
      <x v="1"/>
      <x v="2"/>
      <x v="1"/>
    </i>
    <i r="1">
      <x v="75"/>
      <x v="63"/>
      <x v="50"/>
      <x v="1"/>
      <x v="2"/>
      <x v="1"/>
    </i>
    <i t="blank">
      <x/>
    </i>
    <i>
      <x v="1"/>
      <x v="46"/>
      <x v="2"/>
      <x v="22"/>
      <x v="1"/>
      <x v="4"/>
      <x v="25"/>
    </i>
    <i r="4">
      <x v="3"/>
      <x v="4"/>
      <x v="22"/>
    </i>
    <i t="blank">
      <x v="1"/>
    </i>
    <i>
      <x v="2"/>
      <x v="57"/>
      <x v="42"/>
      <x v="35"/>
      <x v="1"/>
      <x v="2"/>
      <x v="33"/>
    </i>
    <i r="2">
      <x v="49"/>
      <x v="35"/>
      <x v="4"/>
      <x v="2"/>
      <x v="37"/>
    </i>
    <i r="2">
      <x v="62"/>
      <x v="47"/>
      <x v="1"/>
      <x v="2"/>
      <x v="55"/>
    </i>
    <i r="2">
      <x v="65"/>
      <x v="49"/>
      <x v="1"/>
      <x v="2"/>
      <x v="56"/>
    </i>
    <i r="3">
      <x v="51"/>
      <x v="1"/>
      <x v="2"/>
      <x v="57"/>
    </i>
    <i t="blank">
      <x v="2"/>
    </i>
    <i>
      <x v="3"/>
      <x v="42"/>
      <x v="2"/>
      <x v="5"/>
      <x v="6"/>
      <x v="4"/>
      <x v="16"/>
    </i>
    <i r="2">
      <x v="15"/>
      <x v="18"/>
      <x v="4"/>
      <x v="4"/>
      <x v="15"/>
    </i>
    <i t="blank">
      <x v="3"/>
    </i>
    <i>
      <x v="4"/>
      <x v="59"/>
      <x v="44"/>
      <x v="37"/>
      <x v="4"/>
      <x v="2"/>
      <x v="34"/>
    </i>
    <i r="3">
      <x v="40"/>
      <x v="5"/>
      <x v="2"/>
      <x v="38"/>
    </i>
    <i r="1">
      <x v="60"/>
      <x v="45"/>
      <x v="38"/>
      <x v="4"/>
      <x v="2"/>
      <x v="35"/>
    </i>
    <i r="3">
      <x v="41"/>
      <x v="5"/>
      <x v="2"/>
      <x v="39"/>
    </i>
    <i t="blank">
      <x v="4"/>
    </i>
    <i>
      <x v="5"/>
      <x v="45"/>
      <x v="2"/>
      <x v="20"/>
      <x v="3"/>
      <x v="4"/>
      <x v="19"/>
    </i>
    <i r="3">
      <x v="23"/>
      <x v="1"/>
      <x v="4"/>
      <x v="23"/>
    </i>
    <i t="blank">
      <x v="5"/>
    </i>
    <i>
      <x v="6"/>
      <x v="56"/>
      <x v="41"/>
      <x v="34"/>
      <x v="1"/>
      <x v="2"/>
      <x v="1"/>
    </i>
    <i r="2">
      <x v="48"/>
      <x v="34"/>
      <x v="4"/>
      <x v="2"/>
      <x v="1"/>
    </i>
    <i r="1">
      <x v="74"/>
      <x v="61"/>
      <x v="7"/>
      <x v="1"/>
      <x v="3"/>
      <x v="1"/>
    </i>
    <i r="2">
      <x v="64"/>
      <x v="48"/>
      <x v="1"/>
      <x v="3"/>
      <x v="1"/>
    </i>
    <i r="3">
      <x v="50"/>
      <x v="1"/>
      <x v="3"/>
      <x v="1"/>
    </i>
    <i t="blank">
      <x v="6"/>
    </i>
    <i>
      <x v="7"/>
      <x v="28"/>
      <x v="2"/>
      <x v="4"/>
      <x v="1"/>
      <x v="4"/>
      <x v="18"/>
    </i>
    <i r="4">
      <x v="3"/>
      <x v="4"/>
      <x v="17"/>
    </i>
    <i r="3">
      <x v="14"/>
      <x v="3"/>
      <x v="4"/>
      <x v="3"/>
    </i>
    <i r="4">
      <x v="4"/>
      <x v="4"/>
      <x v="2"/>
    </i>
    <i t="blank">
      <x v="7"/>
    </i>
    <i>
      <x v="8"/>
      <x v="38"/>
      <x v="2"/>
      <x v="12"/>
      <x v="1"/>
      <x v="4"/>
      <x v="12"/>
    </i>
    <i r="5">
      <x v="8"/>
      <x v="12"/>
    </i>
    <i r="4">
      <x v="4"/>
      <x v="4"/>
      <x v="21"/>
    </i>
    <i r="3">
      <x v="17"/>
      <x v="3"/>
      <x v="8"/>
      <x v="14"/>
    </i>
    <i r="3">
      <x v="21"/>
      <x v="5"/>
      <x v="4"/>
      <x v="24"/>
    </i>
    <i r="4">
      <x v="7"/>
      <x v="4"/>
      <x v="20"/>
    </i>
    <i r="2">
      <x v="7"/>
      <x v="11"/>
      <x v="4"/>
      <x v="4"/>
      <x v="4"/>
    </i>
    <i r="3">
      <x v="16"/>
      <x v="4"/>
      <x v="4"/>
      <x v="8"/>
    </i>
    <i r="2">
      <x v="9"/>
      <x v="11"/>
      <x v="4"/>
      <x v="4"/>
      <x v="6"/>
    </i>
    <i r="3">
      <x v="16"/>
      <x v="4"/>
      <x v="4"/>
      <x v="10"/>
    </i>
    <i r="2">
      <x v="14"/>
      <x v="9"/>
      <x v="1"/>
      <x v="8"/>
      <x v="13"/>
    </i>
    <i t="blank">
      <x v="8"/>
    </i>
    <i>
      <x v="9"/>
      <x v="43"/>
      <x v="6"/>
      <x v="19"/>
      <x v="1"/>
      <x v="4"/>
      <x v="1"/>
    </i>
    <i r="2">
      <x v="17"/>
      <x v="19"/>
      <x v="1"/>
      <x v="5"/>
      <x v="1"/>
    </i>
    <i r="2">
      <x v="18"/>
      <x v="19"/>
      <x v="1"/>
      <x v="5"/>
      <x v="1"/>
    </i>
    <i t="blank">
      <x v="9"/>
    </i>
    <i>
      <x v="10"/>
      <x v="51"/>
      <x v="37"/>
      <x v="31"/>
      <x v="1"/>
      <x v="2"/>
      <x v="29"/>
    </i>
    <i r="2">
      <x v="50"/>
      <x v="7"/>
      <x v="1"/>
      <x v="2"/>
      <x v="42"/>
    </i>
    <i r="1">
      <x v="52"/>
      <x v="38"/>
      <x v="31"/>
      <x v="1"/>
      <x v="2"/>
      <x v="30"/>
    </i>
    <i t="blank">
      <x v="10"/>
    </i>
    <i>
      <x v="11"/>
      <x v="65"/>
      <x v="51"/>
      <x v="10"/>
      <x v="1"/>
      <x v="2"/>
      <x v="45"/>
    </i>
    <i r="1">
      <x v="66"/>
      <x v="51"/>
      <x v="42"/>
      <x v="1"/>
      <x v="2"/>
      <x v="48"/>
    </i>
    <i r="3">
      <x v="43"/>
      <x v="1"/>
      <x v="2"/>
      <x v="49"/>
    </i>
    <i r="1">
      <x v="69"/>
      <x v="56"/>
      <x v="45"/>
      <x v="1"/>
      <x v="2"/>
      <x v="51"/>
    </i>
    <i r="2">
      <x v="58"/>
      <x v="5"/>
      <x v="1"/>
      <x v="2"/>
      <x v="52"/>
    </i>
    <i r="1">
      <x v="71"/>
      <x v="59"/>
      <x v="46"/>
      <x v="1"/>
      <x v="2"/>
      <x v="53"/>
    </i>
    <i r="1">
      <x v="72"/>
      <x v="57"/>
      <x v="36"/>
      <x v="1"/>
      <x v="2"/>
      <x v="54"/>
    </i>
    <i t="blank">
      <x v="11"/>
    </i>
    <i>
      <x v="12"/>
      <x v="53"/>
      <x v="38"/>
      <x v="32"/>
      <x v="4"/>
      <x v="2"/>
      <x v="31"/>
    </i>
    <i r="1">
      <x v="64"/>
      <x v="51"/>
      <x v="7"/>
      <x v="1"/>
      <x v="3"/>
      <x v="43"/>
    </i>
    <i r="3">
      <x v="10"/>
      <x v="1"/>
      <x v="2"/>
      <x v="44"/>
    </i>
    <i t="blank">
      <x v="12"/>
    </i>
    <i>
      <x v="13"/>
      <x v="49"/>
      <x v="26"/>
      <x v="25"/>
      <x v="1"/>
      <x v="4"/>
      <x v="1"/>
    </i>
    <i r="2">
      <x v="27"/>
      <x v="25"/>
      <x v="1"/>
      <x v="4"/>
      <x v="1"/>
    </i>
    <i r="2">
      <x v="35"/>
      <x v="25"/>
      <x v="1"/>
      <x v="2"/>
      <x v="1"/>
    </i>
    <i t="blank">
      <x v="13"/>
    </i>
    <i>
      <x v="14"/>
      <x v="29"/>
      <x v="8"/>
      <x v="12"/>
      <x v="5"/>
      <x v="4"/>
      <x v="1"/>
    </i>
    <i r="2">
      <x v="11"/>
      <x v="12"/>
      <x v="5"/>
      <x v="4"/>
      <x v="1"/>
    </i>
    <i t="blank">
      <x v="14"/>
    </i>
    <i>
      <x v="15"/>
      <x v="48"/>
      <x v="2"/>
      <x v="5"/>
      <x v="1"/>
      <x v="2"/>
      <x v="1"/>
    </i>
    <i r="4">
      <x v="3"/>
      <x v="4"/>
      <x v="1"/>
    </i>
    <i r="2">
      <x v="5"/>
      <x v="5"/>
      <x v="4"/>
      <x v="4"/>
      <x v="1"/>
    </i>
    <i r="2">
      <x v="22"/>
      <x v="6"/>
      <x v="1"/>
      <x v="4"/>
      <x v="1"/>
    </i>
    <i r="1">
      <x v="63"/>
      <x v="50"/>
      <x v="7"/>
      <x v="1"/>
      <x v="2"/>
      <x v="41"/>
    </i>
    <i r="1">
      <x v="67"/>
      <x v="54"/>
      <x v="42"/>
      <x v="1"/>
      <x v="2"/>
      <x v="50"/>
    </i>
    <i t="blank">
      <x v="15"/>
    </i>
    <i>
      <x v="16"/>
      <x v="23"/>
      <x v="2"/>
      <x v="1"/>
      <x v="5"/>
      <x v="4"/>
      <x v="1"/>
    </i>
    <i r="3">
      <x v="6"/>
      <x v="4"/>
      <x v="2"/>
      <x v="1"/>
    </i>
    <i r="4">
      <x v="5"/>
      <x v="4"/>
      <x v="1"/>
    </i>
    <i r="2">
      <x v="33"/>
      <x v="1"/>
      <x v="1"/>
      <x v="2"/>
      <x v="1"/>
    </i>
    <i r="1">
      <x v="25"/>
      <x v="4"/>
      <x v="10"/>
      <x v="1"/>
      <x v="4"/>
      <x v="1"/>
    </i>
    <i r="2">
      <x v="28"/>
      <x v="26"/>
      <x v="1"/>
      <x v="7"/>
      <x v="1"/>
    </i>
    <i r="2">
      <x v="29"/>
      <x v="26"/>
      <x v="1"/>
      <x v="6"/>
      <x v="1"/>
    </i>
    <i r="2">
      <x v="35"/>
      <x v="30"/>
      <x v="1"/>
      <x v="2"/>
      <x v="1"/>
    </i>
    <i r="1">
      <x v="34"/>
      <x v="7"/>
      <x v="13"/>
      <x v="1"/>
      <x v="7"/>
      <x v="1"/>
    </i>
    <i r="2">
      <x v="9"/>
      <x v="13"/>
      <x v="1"/>
      <x v="7"/>
      <x v="1"/>
    </i>
    <i r="2">
      <x v="10"/>
      <x v="15"/>
      <x v="1"/>
      <x v="6"/>
      <x v="1"/>
    </i>
    <i r="2">
      <x v="12"/>
      <x v="15"/>
      <x v="1"/>
      <x v="6"/>
      <x v="1"/>
    </i>
    <i r="1">
      <x v="35"/>
      <x v="2"/>
      <x v="12"/>
      <x v="3"/>
      <x v="4"/>
      <x v="1"/>
    </i>
    <i r="4">
      <x v="4"/>
      <x v="2"/>
      <x v="1"/>
    </i>
    <i r="5">
      <x v="4"/>
      <x v="1"/>
    </i>
    <i t="blank">
      <x v="16"/>
    </i>
    <i>
      <x v="17"/>
      <x v="27"/>
      <x v="32"/>
      <x v="28"/>
      <x v="4"/>
      <x v="3"/>
      <x v="1"/>
    </i>
    <i r="1">
      <x v="68"/>
      <x v="55"/>
      <x v="44"/>
      <x v="3"/>
      <x v="2"/>
      <x v="1"/>
    </i>
    <i t="blank">
      <x v="17"/>
    </i>
    <i>
      <x v="18"/>
      <x v="47"/>
      <x v="20"/>
      <x v="24"/>
      <x v="4"/>
      <x v="9"/>
      <x v="1"/>
    </i>
    <i r="2">
      <x v="21"/>
      <x v="24"/>
      <x v="4"/>
      <x v="9"/>
      <x v="1"/>
    </i>
    <i r="2">
      <x v="31"/>
      <x v="27"/>
      <x v="1"/>
      <x v="2"/>
      <x v="1"/>
    </i>
    <i t="blank">
      <x v="18"/>
    </i>
    <i>
      <x v="19"/>
      <x v="36"/>
      <x v="7"/>
      <x v="8"/>
      <x v="1"/>
      <x v="4"/>
      <x v="1"/>
    </i>
    <i t="blank">
      <x v="19"/>
    </i>
    <i>
      <x v="20"/>
      <x v="24"/>
      <x v="23"/>
      <x v="2"/>
      <x v="1"/>
      <x v="4"/>
      <x v="1"/>
    </i>
    <i r="2">
      <x v="24"/>
      <x v="2"/>
      <x v="1"/>
      <x v="4"/>
      <x v="1"/>
    </i>
    <i r="2">
      <x v="25"/>
      <x v="2"/>
      <x v="1"/>
      <x v="4"/>
      <x v="1"/>
    </i>
    <i t="blank">
      <x v="20"/>
    </i>
    <i>
      <x v="21"/>
      <x v="26"/>
      <x v="3"/>
      <x v="3"/>
      <x v="1"/>
      <x v="4"/>
      <x v="26"/>
    </i>
    <i r="2">
      <x v="30"/>
      <x v="3"/>
      <x v="1"/>
      <x v="4"/>
      <x v="27"/>
    </i>
    <i r="2">
      <x v="34"/>
      <x v="29"/>
      <x v="1"/>
      <x v="2"/>
      <x v="28"/>
    </i>
    <i t="blank">
      <x v="21"/>
    </i>
    <i>
      <x v="22"/>
      <x v="54"/>
      <x v="39"/>
      <x v="33"/>
      <x v="1"/>
      <x v="2"/>
      <x v="32"/>
    </i>
    <i r="2">
      <x v="52"/>
      <x v="9"/>
      <x v="1"/>
      <x v="2"/>
      <x v="46"/>
    </i>
    <i r="2">
      <x v="53"/>
      <x v="9"/>
      <x v="1"/>
      <x v="2"/>
      <x v="47"/>
    </i>
    <i r="1">
      <x v="61"/>
      <x v="46"/>
      <x v="39"/>
      <x v="1"/>
      <x v="2"/>
      <x v="36"/>
    </i>
    <i r="4">
      <x v="4"/>
      <x v="2"/>
      <x v="40"/>
    </i>
    <i t="blank">
      <x v="22"/>
    </i>
    <i>
      <x v="23"/>
      <x v="39"/>
      <x v="7"/>
      <x v="11"/>
      <x v="4"/>
      <x v="4"/>
      <x v="5"/>
    </i>
    <i r="3">
      <x v="16"/>
      <x v="4"/>
      <x v="4"/>
      <x v="9"/>
    </i>
    <i r="2">
      <x v="9"/>
      <x v="11"/>
      <x v="4"/>
      <x v="4"/>
      <x v="7"/>
    </i>
    <i r="3">
      <x v="16"/>
      <x v="4"/>
      <x v="4"/>
      <x v="11"/>
    </i>
    <i t="blank">
      <x v="23"/>
    </i>
    <i>
      <x v="24"/>
      <x/>
      <x/>
      <x/>
      <x/>
      <x/>
      <x/>
    </i>
    <i r="5">
      <x v="1"/>
      <x v="1"/>
    </i>
    <i r="1">
      <x v="1"/>
      <x/>
      <x/>
      <x v="2"/>
      <x/>
      <x/>
    </i>
    <i r="1">
      <x v="2"/>
      <x/>
      <x/>
      <x v="2"/>
      <x/>
      <x/>
    </i>
    <i r="1">
      <x v="3"/>
      <x/>
      <x/>
      <x v="2"/>
      <x/>
      <x/>
    </i>
    <i r="1">
      <x v="4"/>
      <x/>
      <x/>
      <x v="2"/>
      <x/>
      <x/>
    </i>
    <i r="1">
      <x v="5"/>
      <x/>
      <x/>
      <x v="2"/>
      <x/>
      <x/>
    </i>
    <i r="1">
      <x v="6"/>
      <x/>
      <x/>
      <x v="2"/>
      <x/>
      <x/>
    </i>
    <i r="1">
      <x v="7"/>
      <x/>
      <x/>
      <x v="2"/>
      <x/>
      <x/>
    </i>
    <i r="1">
      <x v="8"/>
      <x/>
      <x/>
      <x v="2"/>
      <x/>
      <x/>
    </i>
    <i r="1">
      <x v="9"/>
      <x/>
      <x/>
      <x v="2"/>
      <x/>
      <x/>
    </i>
    <i r="1">
      <x v="10"/>
      <x/>
      <x/>
      <x v="2"/>
      <x/>
      <x/>
    </i>
    <i r="1">
      <x v="11"/>
      <x/>
      <x/>
      <x v="2"/>
      <x/>
      <x/>
    </i>
    <i r="1">
      <x v="12"/>
      <x/>
      <x/>
      <x v="2"/>
      <x/>
      <x/>
    </i>
    <i r="1">
      <x v="13"/>
      <x/>
      <x/>
      <x v="2"/>
      <x/>
      <x/>
    </i>
    <i r="1">
      <x v="14"/>
      <x/>
      <x/>
      <x v="2"/>
      <x/>
      <x/>
    </i>
    <i r="1">
      <x v="15"/>
      <x/>
      <x/>
      <x v="2"/>
      <x/>
      <x/>
    </i>
    <i r="1">
      <x v="16"/>
      <x/>
      <x/>
      <x v="2"/>
      <x/>
      <x/>
    </i>
    <i r="1">
      <x v="17"/>
      <x/>
      <x/>
      <x v="2"/>
      <x/>
      <x/>
    </i>
    <i r="1">
      <x v="18"/>
      <x/>
      <x/>
      <x v="5"/>
      <x/>
      <x/>
    </i>
    <i r="1">
      <x v="19"/>
      <x/>
      <x/>
      <x v="2"/>
      <x/>
      <x/>
    </i>
    <i r="1">
      <x v="20"/>
      <x/>
      <x/>
      <x v="2"/>
      <x/>
      <x/>
    </i>
    <i r="1">
      <x v="21"/>
      <x/>
      <x/>
      <x v="2"/>
      <x/>
      <x/>
    </i>
    <i r="1">
      <x v="22"/>
      <x/>
      <x/>
      <x v="2"/>
      <x/>
      <x/>
    </i>
    <i r="1">
      <x v="31"/>
      <x/>
      <x/>
      <x v="7"/>
      <x/>
      <x/>
    </i>
    <i r="1">
      <x v="32"/>
      <x/>
      <x/>
      <x v="2"/>
      <x/>
      <x/>
    </i>
    <i t="blank">
      <x v="24"/>
    </i>
    <i t="grand">
      <x/>
    </i>
  </rowItems>
  <colItems count="1">
    <i/>
  </colItems>
  <pageFields count="1">
    <pageField fld="6" hier="-1"/>
  </pageFields>
  <dataFields count="1">
    <dataField name="Sum of /panel" fld="68" baseField="82" baseItem="2"/>
  </dataFields>
  <formats count="21">
    <format dxfId="7952">
      <pivotArea outline="0" fieldPosition="0"/>
    </format>
    <format dxfId="7951">
      <pivotArea type="topRight" dataOnly="0" labelOnly="1" outline="0" fieldPosition="0"/>
    </format>
    <format dxfId="7950">
      <pivotArea type="origin" dataOnly="0" labelOnly="1" outline="0" fieldPosition="0"/>
    </format>
    <format dxfId="7949">
      <pivotArea field="67" type="button" dataOnly="0" labelOnly="1" outline="0" axis="axisRow" fieldPosition="0"/>
    </format>
    <format dxfId="7948">
      <pivotArea field="7" type="button" dataOnly="0" labelOnly="1" outline="0" axis="axisRow" fieldPosition="1"/>
    </format>
    <format dxfId="7947">
      <pivotArea field="14" type="button" dataOnly="0" labelOnly="1" outline="0"/>
    </format>
    <format dxfId="7946">
      <pivotArea field="3" type="button" dataOnly="0" labelOnly="1" outline="0"/>
    </format>
    <format dxfId="7945">
      <pivotArea type="topRight" dataOnly="0" labelOnly="1" outline="0" fieldPosition="0"/>
    </format>
    <format dxfId="7944">
      <pivotArea dataOnly="0" labelOnly="1" grandRow="1" outline="0" fieldPosition="0"/>
    </format>
    <format dxfId="7943">
      <pivotArea field="7" type="button" dataOnly="0" labelOnly="1" outline="0" axis="axisRow" fieldPosition="1"/>
    </format>
    <format dxfId="7942">
      <pivotArea type="origin" dataOnly="0" labelOnly="1" outline="0" fieldPosition="0"/>
    </format>
    <format dxfId="7941">
      <pivotArea type="all" dataOnly="0" outline="0" fieldPosition="0"/>
    </format>
    <format dxfId="7940">
      <pivotArea outline="0" collapsedLevelsAreSubtotals="1" fieldPosition="0"/>
    </format>
    <format dxfId="7939">
      <pivotArea dataOnly="0" labelOnly="1" grandRow="1" outline="0" fieldPosition="0"/>
    </format>
    <format dxfId="7938">
      <pivotArea field="67" type="button" dataOnly="0" labelOnly="1" outline="0" axis="axisRow" fieldPosition="0"/>
    </format>
    <format dxfId="7937">
      <pivotArea outline="0" collapsedLevelsAreSubtotals="1" fieldPosition="0"/>
    </format>
    <format dxfId="7936">
      <pivotArea dataOnly="0" labelOnly="1" grandRow="1" outline="0" fieldPosition="0"/>
    </format>
    <format dxfId="7935">
      <pivotArea grandRow="1" outline="0" collapsedLevelsAreSubtotals="1" fieldPosition="0"/>
    </format>
    <format dxfId="7934">
      <pivotArea grandRow="1" outline="0" collapsedLevelsAreSubtotals="1" fieldPosition="0"/>
    </format>
    <format dxfId="7933">
      <pivotArea outline="0" collapsedLevelsAreSubtotals="1" fieldPosition="0"/>
    </format>
    <format dxfId="7932">
      <pivotArea type="topRight" dataOnly="0" labelOnly="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A00-000000000000}" name="PivotTable3" cacheId="20" dataOnRows="1" applyNumberFormats="0" applyBorderFormats="0" applyFontFormats="0" applyPatternFormats="0" applyAlignmentFormats="0" applyWidthHeightFormats="1" dataCaption="Data" updatedVersion="8" minRefreshableVersion="3" showDrill="0" showMemberPropertyTips="0" itemPrintTitles="1" createdVersion="4" indent="127" compact="0" compactData="0" gridDropZones="1" fieldListSortAscending="1">
  <location ref="B13:H185" firstHeaderRow="2" firstDataRow="2" firstDataCol="6"/>
  <pivotFields count="8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axis="axisRow" compact="0" outline="0" subtotalTop="0" showAll="0" includeNewItemsInFilter="1" sortType="ascending" defaultSubtotal="0">
      <items count="8">
        <item h="1" x="6"/>
        <item x="4"/>
        <item x="1"/>
        <item x="3"/>
        <item x="7"/>
        <item x="2"/>
        <item x="5"/>
        <item h="1" x="0"/>
      </items>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axis="axisRow" compact="0" outline="0" subtotalTop="0" showAll="0" includeNewItemsInFilter="1" defaultSubtotal="0">
      <items count="76">
        <item x="0"/>
        <item x="52"/>
        <item x="53"/>
        <item x="57"/>
        <item x="58"/>
        <item x="59"/>
        <item x="63"/>
        <item x="64"/>
        <item x="65"/>
        <item x="68"/>
        <item x="69"/>
        <item x="70"/>
        <item x="71"/>
        <item x="72"/>
        <item x="73"/>
        <item x="74"/>
        <item x="75"/>
        <item x="54"/>
        <item x="55"/>
        <item x="56"/>
        <item x="60"/>
        <item x="61"/>
        <item x="62"/>
        <item x="6"/>
        <item x="21"/>
        <item x="7"/>
        <item x="23"/>
        <item x="24"/>
        <item x="3"/>
        <item x="4"/>
        <item x="51"/>
        <item x="66"/>
        <item x="67"/>
        <item x="1"/>
        <item x="2"/>
        <item x="5"/>
        <item x="8"/>
        <item x="9"/>
        <item x="10"/>
        <item x="11"/>
        <item x="12"/>
        <item x="13"/>
        <item x="14"/>
        <item x="15"/>
        <item x="16"/>
        <item x="17"/>
        <item x="18"/>
        <item x="19"/>
        <item x="20"/>
        <item x="22"/>
        <item x="25"/>
        <item x="26"/>
        <item x="27"/>
        <item x="28"/>
        <item x="29"/>
        <item x="30"/>
        <item x="31"/>
        <item x="32"/>
        <item x="33"/>
        <item x="34"/>
        <item x="35"/>
        <item x="36"/>
        <item x="37"/>
        <item x="38"/>
        <item x="39"/>
        <item x="40"/>
        <item x="41"/>
        <item x="42"/>
        <item x="43"/>
        <item x="44"/>
        <item x="45"/>
        <item x="46"/>
        <item x="47"/>
        <item x="48"/>
        <item x="49"/>
        <item x="50"/>
      </items>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axis="axisRow" compact="0" outline="0" subtotalTop="0" showAll="0" includeNewItemsInFilter="1" defaultSubtotal="0">
      <items count="66">
        <item x="0"/>
        <item x="65"/>
        <item x="2"/>
        <item x="28"/>
        <item x="8"/>
        <item x="19"/>
        <item x="15"/>
        <item x="1"/>
        <item x="3"/>
        <item x="4"/>
        <item x="5"/>
        <item x="6"/>
        <item x="7"/>
        <item x="9"/>
        <item x="10"/>
        <item x="11"/>
        <item x="12"/>
        <item x="13"/>
        <item x="14"/>
        <item x="16"/>
        <item x="17"/>
        <item x="18"/>
        <item x="20"/>
        <item x="21"/>
        <item x="22"/>
        <item x="23"/>
        <item x="24"/>
        <item x="25"/>
        <item x="26"/>
        <item x="27"/>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s>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axis="axisRow" compact="0" outline="0" subtotalTop="0" showAll="0" includeNewItemsInFilter="1" defaultSubtotal="0">
      <items count="52">
        <item x="0"/>
        <item x="23"/>
        <item x="22"/>
        <item x="26"/>
        <item x="16"/>
        <item x="14"/>
        <item x="5"/>
        <item x="10"/>
        <item x="7"/>
        <item x="11"/>
        <item x="6"/>
        <item x="8"/>
        <item x="3"/>
        <item x="1"/>
        <item x="2"/>
        <item x="4"/>
        <item x="9"/>
        <item x="12"/>
        <item x="13"/>
        <item x="15"/>
        <item x="17"/>
        <item x="18"/>
        <item x="19"/>
        <item x="20"/>
        <item x="21"/>
        <item x="24"/>
        <item x="25"/>
        <item x="27"/>
        <item x="28"/>
        <item x="29"/>
        <item x="30"/>
        <item x="31"/>
        <item x="32"/>
        <item x="33"/>
        <item x="34"/>
        <item x="35"/>
        <item x="36"/>
        <item x="37"/>
        <item x="38"/>
        <item x="39"/>
        <item x="40"/>
        <item x="41"/>
        <item x="42"/>
        <item x="43"/>
        <item x="44"/>
        <item x="45"/>
        <item x="46"/>
        <item x="47"/>
        <item x="48"/>
        <item x="49"/>
        <item x="50"/>
        <item x="51"/>
      </items>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items count="114">
        <item x="113"/>
        <item x="0"/>
        <item x="111"/>
        <item x="112"/>
        <item x="55"/>
        <item x="13"/>
        <item x="1"/>
        <item x="2"/>
        <item x="3"/>
        <item x="4"/>
        <item x="5"/>
        <item x="6"/>
        <item x="7"/>
        <item x="8"/>
        <item x="9"/>
        <item x="10"/>
        <item x="11"/>
        <item x="12"/>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s>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dataField="1"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axis="axisRow" compact="0" outline="0" subtotalTop="0" showAll="0" insertBlankRow="1" includeNewItemsInFilter="1" sortType="ascending" defaultSubtotal="0">
      <items count="25">
        <item x="1"/>
        <item x="11"/>
        <item x="22"/>
        <item x="8"/>
        <item x="23"/>
        <item x="10"/>
        <item x="21"/>
        <item x="3"/>
        <item x="6"/>
        <item x="9"/>
        <item x="18"/>
        <item x="24"/>
        <item x="19"/>
        <item x="15"/>
        <item x="4"/>
        <item x="13"/>
        <item x="2"/>
        <item x="17"/>
        <item x="12"/>
        <item x="5"/>
        <item x="14"/>
        <item x="16"/>
        <item x="20"/>
        <item x="7"/>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extLst>
        <ext xmlns:x14="http://schemas.microsoft.com/office/spreadsheetml/2009/9/main" uri="{2946ED86-A175-432a-8AC1-64E0C546D7DE}">
          <x14:pivotField fillDownLabels="1"/>
        </ext>
      </extLst>
    </pivotField>
  </pivotFields>
  <rowFields count="6">
    <field x="3"/>
    <field x="67"/>
    <field x="7"/>
    <field x="9"/>
    <field x="11"/>
    <field x="83"/>
  </rowFields>
  <rowItems count="171">
    <i>
      <x v="1"/>
      <x/>
      <x v="55"/>
      <x v="40"/>
      <x v="34"/>
      <x v="1"/>
    </i>
    <i r="3">
      <x v="47"/>
      <x v="34"/>
      <x v="1"/>
    </i>
    <i r="2">
      <x v="73"/>
      <x v="60"/>
      <x v="7"/>
      <x v="1"/>
    </i>
    <i r="3">
      <x v="63"/>
      <x v="48"/>
      <x v="1"/>
    </i>
    <i r="2">
      <x v="75"/>
      <x v="63"/>
      <x v="50"/>
      <x v="1"/>
    </i>
    <i t="blank" r="1">
      <x/>
    </i>
    <i r="1">
      <x v="1"/>
      <x v="46"/>
      <x v="2"/>
      <x v="22"/>
      <x v="22"/>
    </i>
    <i r="5">
      <x v="25"/>
    </i>
    <i t="blank" r="1">
      <x v="1"/>
    </i>
    <i r="1">
      <x v="24"/>
      <x/>
      <x/>
      <x/>
      <x/>
    </i>
    <i r="2">
      <x v="1"/>
      <x/>
      <x/>
      <x/>
    </i>
    <i r="2">
      <x v="2"/>
      <x/>
      <x/>
      <x/>
    </i>
    <i r="2">
      <x v="3"/>
      <x/>
      <x/>
      <x/>
    </i>
    <i r="2">
      <x v="4"/>
      <x/>
      <x/>
      <x/>
    </i>
    <i r="2">
      <x v="5"/>
      <x/>
      <x/>
      <x/>
    </i>
    <i r="2">
      <x v="6"/>
      <x/>
      <x/>
      <x/>
    </i>
    <i r="2">
      <x v="7"/>
      <x/>
      <x/>
      <x/>
    </i>
    <i r="2">
      <x v="8"/>
      <x/>
      <x/>
      <x/>
    </i>
    <i r="2">
      <x v="9"/>
      <x/>
      <x/>
      <x/>
    </i>
    <i r="2">
      <x v="10"/>
      <x/>
      <x/>
      <x/>
    </i>
    <i r="2">
      <x v="11"/>
      <x/>
      <x/>
      <x/>
    </i>
    <i r="2">
      <x v="12"/>
      <x/>
      <x/>
      <x/>
    </i>
    <i r="2">
      <x v="13"/>
      <x/>
      <x/>
      <x/>
    </i>
    <i r="2">
      <x v="14"/>
      <x/>
      <x/>
      <x/>
    </i>
    <i r="2">
      <x v="15"/>
      <x/>
      <x/>
      <x/>
    </i>
    <i r="2">
      <x v="16"/>
      <x/>
      <x/>
      <x/>
    </i>
    <i r="2">
      <x v="17"/>
      <x/>
      <x/>
      <x/>
    </i>
    <i r="2">
      <x v="18"/>
      <x/>
      <x/>
      <x/>
    </i>
    <i r="2">
      <x v="19"/>
      <x/>
      <x/>
      <x/>
    </i>
    <i r="2">
      <x v="20"/>
      <x/>
      <x/>
      <x/>
    </i>
    <i r="2">
      <x v="21"/>
      <x/>
      <x/>
      <x/>
    </i>
    <i r="2">
      <x v="22"/>
      <x/>
      <x/>
      <x/>
    </i>
    <i r="2">
      <x v="31"/>
      <x/>
      <x/>
      <x/>
    </i>
    <i r="2">
      <x v="32"/>
      <x/>
      <x/>
      <x/>
    </i>
    <i t="blank" r="1">
      <x v="24"/>
    </i>
    <i>
      <x v="2"/>
      <x/>
      <x v="33"/>
      <x v="6"/>
      <x v="19"/>
      <x v="1"/>
    </i>
    <i r="3">
      <x v="7"/>
      <x v="13"/>
      <x v="1"/>
    </i>
    <i r="3">
      <x v="9"/>
      <x v="13"/>
      <x v="1"/>
    </i>
    <i r="3">
      <x v="10"/>
      <x v="15"/>
      <x v="1"/>
    </i>
    <i r="3">
      <x v="12"/>
      <x v="15"/>
      <x v="1"/>
    </i>
    <i r="3">
      <x v="16"/>
      <x v="19"/>
      <x v="1"/>
    </i>
    <i r="2">
      <x v="37"/>
      <x v="7"/>
      <x v="11"/>
      <x v="1"/>
    </i>
    <i r="4">
      <x v="16"/>
      <x v="1"/>
    </i>
    <i r="3">
      <x v="9"/>
      <x v="11"/>
      <x v="1"/>
    </i>
    <i r="4">
      <x v="16"/>
      <x v="1"/>
    </i>
    <i r="2">
      <x v="40"/>
      <x v="13"/>
      <x v="7"/>
      <x v="1"/>
    </i>
    <i r="2">
      <x v="41"/>
      <x v="15"/>
      <x v="18"/>
      <x v="1"/>
    </i>
    <i r="2">
      <x v="44"/>
      <x v="6"/>
      <x v="23"/>
      <x v="1"/>
    </i>
    <i r="3">
      <x v="19"/>
      <x v="20"/>
      <x v="1"/>
    </i>
    <i r="2">
      <x v="58"/>
      <x v="43"/>
      <x v="36"/>
      <x v="1"/>
    </i>
    <i r="2">
      <x v="70"/>
      <x v="57"/>
      <x v="36"/>
      <x v="1"/>
    </i>
    <i t="blank" r="1">
      <x/>
    </i>
    <i>
      <x v="3"/>
      <x v="6"/>
      <x v="56"/>
      <x v="41"/>
      <x v="34"/>
      <x v="1"/>
    </i>
    <i r="3">
      <x v="48"/>
      <x v="34"/>
      <x v="1"/>
    </i>
    <i r="2">
      <x v="74"/>
      <x v="61"/>
      <x v="7"/>
      <x v="1"/>
    </i>
    <i r="3">
      <x v="64"/>
      <x v="48"/>
      <x v="1"/>
    </i>
    <i r="4">
      <x v="50"/>
      <x v="1"/>
    </i>
    <i t="blank" r="1">
      <x v="6"/>
    </i>
    <i r="1">
      <x v="11"/>
      <x v="69"/>
      <x v="56"/>
      <x v="45"/>
      <x v="51"/>
    </i>
    <i r="3">
      <x v="58"/>
      <x v="5"/>
      <x v="52"/>
    </i>
    <i t="blank" r="1">
      <x v="11"/>
    </i>
    <i r="1">
      <x v="13"/>
      <x v="49"/>
      <x v="26"/>
      <x v="25"/>
      <x v="1"/>
    </i>
    <i r="3">
      <x v="27"/>
      <x v="25"/>
      <x v="1"/>
    </i>
    <i r="3">
      <x v="35"/>
      <x v="25"/>
      <x v="1"/>
    </i>
    <i t="blank" r="1">
      <x v="13"/>
    </i>
    <i r="1">
      <x v="16"/>
      <x v="25"/>
      <x v="4"/>
      <x v="10"/>
      <x v="1"/>
    </i>
    <i r="3">
      <x v="28"/>
      <x v="26"/>
      <x v="1"/>
    </i>
    <i r="3">
      <x v="29"/>
      <x v="26"/>
      <x v="1"/>
    </i>
    <i r="3">
      <x v="35"/>
      <x v="30"/>
      <x v="1"/>
    </i>
    <i t="blank" r="1">
      <x v="16"/>
    </i>
    <i r="1">
      <x v="23"/>
      <x v="39"/>
      <x v="7"/>
      <x v="11"/>
      <x v="5"/>
    </i>
    <i r="4">
      <x v="16"/>
      <x v="9"/>
    </i>
    <i r="3">
      <x v="9"/>
      <x v="11"/>
      <x v="7"/>
    </i>
    <i r="4">
      <x v="16"/>
      <x v="11"/>
    </i>
    <i t="blank" r="1">
      <x v="23"/>
    </i>
    <i>
      <x v="4"/>
      <x v="2"/>
      <x v="57"/>
      <x v="42"/>
      <x v="35"/>
      <x v="33"/>
    </i>
    <i r="3">
      <x v="49"/>
      <x v="35"/>
      <x v="37"/>
    </i>
    <i r="3">
      <x v="62"/>
      <x v="47"/>
      <x v="55"/>
    </i>
    <i r="3">
      <x v="65"/>
      <x v="49"/>
      <x v="56"/>
    </i>
    <i r="4">
      <x v="51"/>
      <x v="57"/>
    </i>
    <i t="blank" r="1">
      <x v="2"/>
    </i>
    <i>
      <x v="5"/>
      <x v="3"/>
      <x v="42"/>
      <x v="2"/>
      <x v="5"/>
      <x v="16"/>
    </i>
    <i r="3">
      <x v="15"/>
      <x v="18"/>
      <x v="15"/>
    </i>
    <i t="blank" r="1">
      <x v="3"/>
    </i>
    <i r="1">
      <x v="4"/>
      <x v="59"/>
      <x v="44"/>
      <x v="37"/>
      <x v="34"/>
    </i>
    <i r="4">
      <x v="40"/>
      <x v="38"/>
    </i>
    <i r="2">
      <x v="60"/>
      <x v="45"/>
      <x v="38"/>
      <x v="35"/>
    </i>
    <i r="4">
      <x v="41"/>
      <x v="39"/>
    </i>
    <i t="blank" r="1">
      <x v="4"/>
    </i>
    <i r="1">
      <x v="5"/>
      <x v="45"/>
      <x v="2"/>
      <x v="20"/>
      <x v="19"/>
    </i>
    <i r="4">
      <x v="23"/>
      <x v="23"/>
    </i>
    <i t="blank" r="1">
      <x v="5"/>
    </i>
    <i r="1">
      <x v="7"/>
      <x v="28"/>
      <x v="2"/>
      <x v="4"/>
      <x v="17"/>
    </i>
    <i r="5">
      <x v="18"/>
    </i>
    <i r="4">
      <x v="14"/>
      <x v="2"/>
    </i>
    <i r="5">
      <x v="3"/>
    </i>
    <i t="blank" r="1">
      <x v="7"/>
    </i>
    <i r="1">
      <x v="8"/>
      <x v="38"/>
      <x v="2"/>
      <x v="12"/>
      <x v="12"/>
    </i>
    <i r="5">
      <x v="21"/>
    </i>
    <i r="4">
      <x v="17"/>
      <x v="14"/>
    </i>
    <i r="4">
      <x v="21"/>
      <x v="20"/>
    </i>
    <i r="5">
      <x v="24"/>
    </i>
    <i r="3">
      <x v="7"/>
      <x v="11"/>
      <x v="4"/>
    </i>
    <i r="4">
      <x v="16"/>
      <x v="8"/>
    </i>
    <i r="3">
      <x v="9"/>
      <x v="11"/>
      <x v="6"/>
    </i>
    <i r="4">
      <x v="16"/>
      <x v="10"/>
    </i>
    <i r="3">
      <x v="14"/>
      <x v="9"/>
      <x v="13"/>
    </i>
    <i t="blank" r="1">
      <x v="8"/>
    </i>
    <i r="1">
      <x v="9"/>
      <x v="43"/>
      <x v="6"/>
      <x v="19"/>
      <x v="1"/>
    </i>
    <i r="3">
      <x v="17"/>
      <x v="19"/>
      <x v="1"/>
    </i>
    <i r="3">
      <x v="18"/>
      <x v="19"/>
      <x v="1"/>
    </i>
    <i t="blank" r="1">
      <x v="9"/>
    </i>
    <i r="1">
      <x v="10"/>
      <x v="51"/>
      <x v="37"/>
      <x v="31"/>
      <x v="29"/>
    </i>
    <i r="3">
      <x v="50"/>
      <x v="7"/>
      <x v="42"/>
    </i>
    <i r="2">
      <x v="52"/>
      <x v="38"/>
      <x v="31"/>
      <x v="30"/>
    </i>
    <i t="blank" r="1">
      <x v="10"/>
    </i>
    <i r="1">
      <x v="11"/>
      <x v="65"/>
      <x v="51"/>
      <x v="10"/>
      <x v="45"/>
    </i>
    <i r="2">
      <x v="66"/>
      <x v="51"/>
      <x v="42"/>
      <x v="48"/>
    </i>
    <i r="4">
      <x v="43"/>
      <x v="49"/>
    </i>
    <i r="2">
      <x v="71"/>
      <x v="59"/>
      <x v="46"/>
      <x v="53"/>
    </i>
    <i r="2">
      <x v="72"/>
      <x v="57"/>
      <x v="36"/>
      <x v="54"/>
    </i>
    <i t="blank" r="1">
      <x v="11"/>
    </i>
    <i r="1">
      <x v="12"/>
      <x v="53"/>
      <x v="38"/>
      <x v="32"/>
      <x v="31"/>
    </i>
    <i r="2">
      <x v="64"/>
      <x v="51"/>
      <x v="7"/>
      <x v="43"/>
    </i>
    <i r="4">
      <x v="10"/>
      <x v="44"/>
    </i>
    <i t="blank" r="1">
      <x v="12"/>
    </i>
    <i r="1">
      <x v="14"/>
      <x v="29"/>
      <x v="8"/>
      <x v="12"/>
      <x v="1"/>
    </i>
    <i r="3">
      <x v="11"/>
      <x v="12"/>
      <x v="1"/>
    </i>
    <i t="blank" r="1">
      <x v="14"/>
    </i>
    <i r="1">
      <x v="15"/>
      <x v="48"/>
      <x v="2"/>
      <x v="5"/>
      <x v="1"/>
    </i>
    <i r="3">
      <x v="5"/>
      <x v="5"/>
      <x v="1"/>
    </i>
    <i r="3">
      <x v="22"/>
      <x v="6"/>
      <x v="1"/>
    </i>
    <i r="2">
      <x v="63"/>
      <x v="50"/>
      <x v="7"/>
      <x v="41"/>
    </i>
    <i r="2">
      <x v="67"/>
      <x v="54"/>
      <x v="42"/>
      <x v="50"/>
    </i>
    <i t="blank" r="1">
      <x v="15"/>
    </i>
    <i r="1">
      <x v="16"/>
      <x v="23"/>
      <x v="2"/>
      <x v="1"/>
      <x v="1"/>
    </i>
    <i r="4">
      <x v="6"/>
      <x v="1"/>
    </i>
    <i r="3">
      <x v="33"/>
      <x v="1"/>
      <x v="1"/>
    </i>
    <i r="2">
      <x v="34"/>
      <x v="7"/>
      <x v="13"/>
      <x v="1"/>
    </i>
    <i r="3">
      <x v="9"/>
      <x v="13"/>
      <x v="1"/>
    </i>
    <i r="3">
      <x v="10"/>
      <x v="15"/>
      <x v="1"/>
    </i>
    <i r="3">
      <x v="12"/>
      <x v="15"/>
      <x v="1"/>
    </i>
    <i r="2">
      <x v="35"/>
      <x v="2"/>
      <x v="12"/>
      <x v="1"/>
    </i>
    <i t="blank" r="1">
      <x v="16"/>
    </i>
    <i r="1">
      <x v="17"/>
      <x v="27"/>
      <x v="32"/>
      <x v="28"/>
      <x v="1"/>
    </i>
    <i r="2">
      <x v="68"/>
      <x v="55"/>
      <x v="44"/>
      <x v="1"/>
    </i>
    <i t="blank" r="1">
      <x v="17"/>
    </i>
    <i r="1">
      <x v="18"/>
      <x v="47"/>
      <x v="20"/>
      <x v="24"/>
      <x v="1"/>
    </i>
    <i r="3">
      <x v="21"/>
      <x v="24"/>
      <x v="1"/>
    </i>
    <i r="3">
      <x v="31"/>
      <x v="27"/>
      <x v="1"/>
    </i>
    <i t="blank" r="1">
      <x v="18"/>
    </i>
    <i r="1">
      <x v="19"/>
      <x v="36"/>
      <x v="7"/>
      <x v="8"/>
      <x v="1"/>
    </i>
    <i t="blank" r="1">
      <x v="19"/>
    </i>
    <i r="1">
      <x v="20"/>
      <x v="24"/>
      <x v="23"/>
      <x v="2"/>
      <x v="1"/>
    </i>
    <i r="3">
      <x v="24"/>
      <x v="2"/>
      <x v="1"/>
    </i>
    <i r="3">
      <x v="25"/>
      <x v="2"/>
      <x v="1"/>
    </i>
    <i t="blank" r="1">
      <x v="20"/>
    </i>
    <i r="1">
      <x v="21"/>
      <x v="26"/>
      <x v="3"/>
      <x v="3"/>
      <x v="26"/>
    </i>
    <i r="3">
      <x v="30"/>
      <x v="3"/>
      <x v="27"/>
    </i>
    <i r="3">
      <x v="34"/>
      <x v="29"/>
      <x v="28"/>
    </i>
    <i t="blank" r="1">
      <x v="21"/>
    </i>
    <i r="1">
      <x v="22"/>
      <x v="54"/>
      <x v="39"/>
      <x v="33"/>
      <x v="32"/>
    </i>
    <i r="3">
      <x v="52"/>
      <x v="9"/>
      <x v="46"/>
    </i>
    <i r="3">
      <x v="53"/>
      <x v="9"/>
      <x v="47"/>
    </i>
    <i r="2">
      <x v="61"/>
      <x v="46"/>
      <x v="39"/>
      <x v="36"/>
    </i>
    <i r="5">
      <x v="40"/>
    </i>
    <i t="blank" r="1">
      <x v="22"/>
    </i>
    <i>
      <x v="6"/>
      <x/>
      <x v="50"/>
      <x v="36"/>
      <x v="31"/>
      <x v="1"/>
    </i>
    <i r="2">
      <x v="62"/>
      <x v="5"/>
      <x v="7"/>
      <x v="1"/>
    </i>
    <i t="blank" r="1">
      <x/>
    </i>
    <i t="grand">
      <x/>
    </i>
  </rowItems>
  <colItems count="1">
    <i/>
  </colItems>
  <dataFields count="1">
    <dataField name="Cutting Order" fld="16" baseField="65" baseItem="141"/>
  </dataFields>
  <formats count="21">
    <format dxfId="7931">
      <pivotArea outline="0" fieldPosition="0"/>
    </format>
    <format dxfId="7930">
      <pivotArea type="topRight" dataOnly="0" labelOnly="1" outline="0" fieldPosition="0"/>
    </format>
    <format dxfId="7929">
      <pivotArea type="origin" dataOnly="0" labelOnly="1" outline="0" fieldPosition="0"/>
    </format>
    <format dxfId="7928">
      <pivotArea field="67" type="button" dataOnly="0" labelOnly="1" outline="0" axis="axisRow" fieldPosition="1"/>
    </format>
    <format dxfId="7927">
      <pivotArea field="7" type="button" dataOnly="0" labelOnly="1" outline="0" axis="axisRow" fieldPosition="2"/>
    </format>
    <format dxfId="7926">
      <pivotArea field="14" type="button" dataOnly="0" labelOnly="1" outline="0"/>
    </format>
    <format dxfId="7925">
      <pivotArea field="3" type="button" dataOnly="0" labelOnly="1" outline="0" axis="axisRow" fieldPosition="0"/>
    </format>
    <format dxfId="7924">
      <pivotArea type="topRight" dataOnly="0" labelOnly="1" outline="0" fieldPosition="0"/>
    </format>
    <format dxfId="7923">
      <pivotArea dataOnly="0" labelOnly="1" grandRow="1" outline="0" fieldPosition="0"/>
    </format>
    <format dxfId="7922">
      <pivotArea field="7" type="button" dataOnly="0" labelOnly="1" outline="0" axis="axisRow" fieldPosition="2"/>
    </format>
    <format dxfId="7921">
      <pivotArea type="origin" dataOnly="0" labelOnly="1" outline="0" fieldPosition="0"/>
    </format>
    <format dxfId="7920">
      <pivotArea type="all" dataOnly="0" outline="0" fieldPosition="0"/>
    </format>
    <format dxfId="7919">
      <pivotArea outline="0" collapsedLevelsAreSubtotals="1" fieldPosition="0"/>
    </format>
    <format dxfId="7918">
      <pivotArea dataOnly="0" labelOnly="1" outline="0" fieldPosition="0">
        <references count="1">
          <reference field="3" count="0"/>
        </references>
      </pivotArea>
    </format>
    <format dxfId="7917">
      <pivotArea dataOnly="0" labelOnly="1" grandRow="1" outline="0" fieldPosition="0"/>
    </format>
    <format dxfId="7916">
      <pivotArea field="67" type="button" dataOnly="0" labelOnly="1" outline="0" axis="axisRow" fieldPosition="1"/>
    </format>
    <format dxfId="7915">
      <pivotArea outline="0" collapsedLevelsAreSubtotals="1" fieldPosition="0"/>
    </format>
    <format dxfId="7914">
      <pivotArea dataOnly="0" labelOnly="1" outline="0" fieldPosition="0">
        <references count="1">
          <reference field="3" count="0"/>
        </references>
      </pivotArea>
    </format>
    <format dxfId="7913">
      <pivotArea dataOnly="0" labelOnly="1" grandRow="1" outline="0" fieldPosition="0"/>
    </format>
    <format dxfId="7912">
      <pivotArea grandRow="1" outline="0" collapsedLevelsAreSubtotals="1" fieldPosition="0"/>
    </format>
    <format dxfId="7911">
      <pivotArea grandRow="1"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1B00-000000000000}" name="PivotTable3" cacheId="20" dataOnRows="1" applyNumberFormats="0" applyBorderFormats="0" applyFontFormats="0" applyPatternFormats="0" applyAlignmentFormats="0" applyWidthHeightFormats="1" dataCaption="Data" updatedVersion="8" minRefreshableVersion="3" showDrill="0" showMemberPropertyTips="0" itemPrintTitles="1" createdVersion="4" indent="127" compact="0" compactData="0" gridDropZones="1" fieldListSortAscending="1">
  <location ref="B13:H189" firstHeaderRow="2" firstDataRow="2" firstDataCol="6"/>
  <pivotFields count="8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axis="axisRow" compact="0" outline="0" subtotalTop="0" showAll="0" includeNewItemsInFilter="1" sortType="ascending" defaultSubtotal="0">
      <items count="8">
        <item x="6"/>
        <item x="4"/>
        <item x="1"/>
        <item x="3"/>
        <item x="7"/>
        <item x="2"/>
        <item x="5"/>
        <item h="1" x="0"/>
      </items>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axis="axisRow" compact="0" outline="0" subtotalTop="0" showAll="0" includeNewItemsInFilter="1" defaultSubtotal="0">
      <items count="76">
        <item x="0"/>
        <item x="52"/>
        <item x="53"/>
        <item x="57"/>
        <item x="58"/>
        <item x="59"/>
        <item x="63"/>
        <item x="64"/>
        <item x="65"/>
        <item x="68"/>
        <item x="69"/>
        <item x="70"/>
        <item x="71"/>
        <item x="72"/>
        <item x="73"/>
        <item x="74"/>
        <item x="75"/>
        <item x="54"/>
        <item x="55"/>
        <item x="56"/>
        <item x="60"/>
        <item x="61"/>
        <item x="62"/>
        <item x="6"/>
        <item x="21"/>
        <item x="7"/>
        <item x="23"/>
        <item x="24"/>
        <item x="3"/>
        <item x="4"/>
        <item x="51"/>
        <item x="66"/>
        <item x="67"/>
        <item x="1"/>
        <item x="2"/>
        <item x="5"/>
        <item x="8"/>
        <item x="9"/>
        <item x="10"/>
        <item x="11"/>
        <item x="12"/>
        <item x="13"/>
        <item x="14"/>
        <item x="15"/>
        <item x="16"/>
        <item x="17"/>
        <item x="18"/>
        <item x="19"/>
        <item x="20"/>
        <item x="22"/>
        <item x="25"/>
        <item x="26"/>
        <item x="27"/>
        <item x="28"/>
        <item x="29"/>
        <item x="30"/>
        <item x="31"/>
        <item x="32"/>
        <item x="33"/>
        <item x="34"/>
        <item x="35"/>
        <item x="36"/>
        <item x="37"/>
        <item x="38"/>
        <item x="39"/>
        <item x="40"/>
        <item x="41"/>
        <item x="42"/>
        <item x="43"/>
        <item x="44"/>
        <item x="45"/>
        <item x="46"/>
        <item x="47"/>
        <item x="48"/>
        <item x="49"/>
        <item x="50"/>
      </items>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axis="axisRow" compact="0" outline="0" subtotalTop="0" showAll="0" includeNewItemsInFilter="1" defaultSubtotal="0">
      <items count="66">
        <item x="0"/>
        <item x="65"/>
        <item x="2"/>
        <item x="28"/>
        <item x="8"/>
        <item x="19"/>
        <item x="15"/>
        <item x="1"/>
        <item x="3"/>
        <item x="4"/>
        <item x="5"/>
        <item x="6"/>
        <item x="7"/>
        <item x="9"/>
        <item x="10"/>
        <item x="11"/>
        <item x="12"/>
        <item x="13"/>
        <item x="14"/>
        <item x="16"/>
        <item x="17"/>
        <item x="18"/>
        <item x="20"/>
        <item x="21"/>
        <item x="22"/>
        <item x="23"/>
        <item x="24"/>
        <item x="25"/>
        <item x="26"/>
        <item x="27"/>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s>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axis="axisRow" compact="0" outline="0" subtotalTop="0" showAll="0" includeNewItemsInFilter="1" defaultSubtotal="0">
      <items count="52">
        <item x="0"/>
        <item x="23"/>
        <item x="22"/>
        <item x="26"/>
        <item x="16"/>
        <item x="14"/>
        <item x="5"/>
        <item x="10"/>
        <item x="7"/>
        <item x="11"/>
        <item x="6"/>
        <item x="8"/>
        <item x="3"/>
        <item x="1"/>
        <item x="2"/>
        <item x="4"/>
        <item x="9"/>
        <item x="12"/>
        <item x="13"/>
        <item x="15"/>
        <item x="17"/>
        <item x="18"/>
        <item x="19"/>
        <item x="20"/>
        <item x="21"/>
        <item x="24"/>
        <item x="25"/>
        <item x="27"/>
        <item x="28"/>
        <item x="29"/>
        <item x="30"/>
        <item x="31"/>
        <item x="32"/>
        <item x="33"/>
        <item x="34"/>
        <item x="35"/>
        <item x="36"/>
        <item x="37"/>
        <item x="38"/>
        <item x="39"/>
        <item x="40"/>
        <item x="41"/>
        <item x="42"/>
        <item x="43"/>
        <item x="44"/>
        <item x="45"/>
        <item x="46"/>
        <item x="47"/>
        <item x="48"/>
        <item x="49"/>
        <item x="50"/>
        <item x="51"/>
      </items>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items count="114">
        <item x="113"/>
        <item x="0"/>
        <item x="111"/>
        <item x="112"/>
        <item x="55"/>
        <item x="13"/>
        <item x="1"/>
        <item x="2"/>
        <item x="3"/>
        <item x="4"/>
        <item x="5"/>
        <item x="6"/>
        <item x="7"/>
        <item x="8"/>
        <item x="9"/>
        <item x="10"/>
        <item x="11"/>
        <item x="12"/>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s>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dataField="1"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axis="axisRow" compact="0" outline="0" subtotalTop="0" showAll="0" insertBlankRow="1" includeNewItemsInFilter="1" sortType="ascending" defaultSubtotal="0">
      <items count="25">
        <item x="1"/>
        <item x="11"/>
        <item x="22"/>
        <item x="8"/>
        <item x="23"/>
        <item x="10"/>
        <item x="21"/>
        <item x="3"/>
        <item x="6"/>
        <item x="9"/>
        <item x="18"/>
        <item x="24"/>
        <item x="19"/>
        <item x="15"/>
        <item x="4"/>
        <item x="13"/>
        <item x="2"/>
        <item x="17"/>
        <item x="12"/>
        <item x="5"/>
        <item x="14"/>
        <item x="16"/>
        <item x="20"/>
        <item x="7"/>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includeNewItemsInFilter="1"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extLst>
        <ext xmlns:x14="http://schemas.microsoft.com/office/spreadsheetml/2009/9/main" uri="{2946ED86-A175-432a-8AC1-64E0C546D7DE}">
          <x14:pivotField fillDownLabels="1"/>
        </ext>
      </extLst>
    </pivotField>
  </pivotFields>
  <rowFields count="6">
    <field x="3"/>
    <field x="67"/>
    <field x="7"/>
    <field x="9"/>
    <field x="11"/>
    <field x="83"/>
  </rowFields>
  <rowItems count="175">
    <i>
      <x/>
      <x/>
      <x v="30"/>
      <x v="1"/>
      <x/>
      <x v="1"/>
    </i>
    <i t="blank" r="1">
      <x/>
    </i>
    <i r="1">
      <x v="24"/>
      <x/>
      <x/>
      <x/>
      <x v="1"/>
    </i>
    <i t="blank" r="1">
      <x v="24"/>
    </i>
    <i>
      <x v="1"/>
      <x/>
      <x v="55"/>
      <x v="40"/>
      <x v="34"/>
      <x v="1"/>
    </i>
    <i r="3">
      <x v="47"/>
      <x v="34"/>
      <x v="1"/>
    </i>
    <i r="2">
      <x v="73"/>
      <x v="60"/>
      <x v="7"/>
      <x v="1"/>
    </i>
    <i r="3">
      <x v="63"/>
      <x v="48"/>
      <x v="1"/>
    </i>
    <i r="2">
      <x v="75"/>
      <x v="63"/>
      <x v="50"/>
      <x v="1"/>
    </i>
    <i t="blank" r="1">
      <x/>
    </i>
    <i r="1">
      <x v="1"/>
      <x v="46"/>
      <x v="2"/>
      <x v="22"/>
      <x v="22"/>
    </i>
    <i r="5">
      <x v="25"/>
    </i>
    <i t="blank" r="1">
      <x v="1"/>
    </i>
    <i r="1">
      <x v="24"/>
      <x/>
      <x/>
      <x/>
      <x/>
    </i>
    <i r="2">
      <x v="1"/>
      <x/>
      <x/>
      <x/>
    </i>
    <i r="2">
      <x v="2"/>
      <x/>
      <x/>
      <x/>
    </i>
    <i r="2">
      <x v="3"/>
      <x/>
      <x/>
      <x/>
    </i>
    <i r="2">
      <x v="4"/>
      <x/>
      <x/>
      <x/>
    </i>
    <i r="2">
      <x v="5"/>
      <x/>
      <x/>
      <x/>
    </i>
    <i r="2">
      <x v="6"/>
      <x/>
      <x/>
      <x/>
    </i>
    <i r="2">
      <x v="7"/>
      <x/>
      <x/>
      <x/>
    </i>
    <i r="2">
      <x v="8"/>
      <x/>
      <x/>
      <x/>
    </i>
    <i r="2">
      <x v="9"/>
      <x/>
      <x/>
      <x/>
    </i>
    <i r="2">
      <x v="10"/>
      <x/>
      <x/>
      <x/>
    </i>
    <i r="2">
      <x v="11"/>
      <x/>
      <x/>
      <x/>
    </i>
    <i r="2">
      <x v="12"/>
      <x/>
      <x/>
      <x/>
    </i>
    <i r="2">
      <x v="13"/>
      <x/>
      <x/>
      <x/>
    </i>
    <i r="2">
      <x v="14"/>
      <x/>
      <x/>
      <x/>
    </i>
    <i r="2">
      <x v="15"/>
      <x/>
      <x/>
      <x/>
    </i>
    <i r="2">
      <x v="16"/>
      <x/>
      <x/>
      <x/>
    </i>
    <i r="2">
      <x v="17"/>
      <x/>
      <x/>
      <x/>
    </i>
    <i r="2">
      <x v="18"/>
      <x/>
      <x/>
      <x/>
    </i>
    <i r="2">
      <x v="19"/>
      <x/>
      <x/>
      <x/>
    </i>
    <i r="2">
      <x v="20"/>
      <x/>
      <x/>
      <x/>
    </i>
    <i r="2">
      <x v="21"/>
      <x/>
      <x/>
      <x/>
    </i>
    <i r="2">
      <x v="22"/>
      <x/>
      <x/>
      <x/>
    </i>
    <i r="2">
      <x v="31"/>
      <x/>
      <x/>
      <x/>
    </i>
    <i r="2">
      <x v="32"/>
      <x/>
      <x/>
      <x/>
    </i>
    <i t="blank" r="1">
      <x v="24"/>
    </i>
    <i>
      <x v="2"/>
      <x/>
      <x v="33"/>
      <x v="6"/>
      <x v="19"/>
      <x v="1"/>
    </i>
    <i r="3">
      <x v="7"/>
      <x v="13"/>
      <x v="1"/>
    </i>
    <i r="3">
      <x v="9"/>
      <x v="13"/>
      <x v="1"/>
    </i>
    <i r="3">
      <x v="10"/>
      <x v="15"/>
      <x v="1"/>
    </i>
    <i r="3">
      <x v="12"/>
      <x v="15"/>
      <x v="1"/>
    </i>
    <i r="3">
      <x v="16"/>
      <x v="19"/>
      <x v="1"/>
    </i>
    <i r="2">
      <x v="37"/>
      <x v="7"/>
      <x v="11"/>
      <x v="1"/>
    </i>
    <i r="4">
      <x v="16"/>
      <x v="1"/>
    </i>
    <i r="3">
      <x v="9"/>
      <x v="11"/>
      <x v="1"/>
    </i>
    <i r="4">
      <x v="16"/>
      <x v="1"/>
    </i>
    <i r="2">
      <x v="40"/>
      <x v="13"/>
      <x v="7"/>
      <x v="1"/>
    </i>
    <i r="2">
      <x v="41"/>
      <x v="15"/>
      <x v="18"/>
      <x v="1"/>
    </i>
    <i r="2">
      <x v="44"/>
      <x v="6"/>
      <x v="23"/>
      <x v="1"/>
    </i>
    <i r="3">
      <x v="19"/>
      <x v="20"/>
      <x v="1"/>
    </i>
    <i r="2">
      <x v="58"/>
      <x v="43"/>
      <x v="36"/>
      <x v="1"/>
    </i>
    <i r="2">
      <x v="70"/>
      <x v="57"/>
      <x v="36"/>
      <x v="1"/>
    </i>
    <i t="blank" r="1">
      <x/>
    </i>
    <i>
      <x v="3"/>
      <x v="6"/>
      <x v="56"/>
      <x v="41"/>
      <x v="34"/>
      <x v="1"/>
    </i>
    <i r="3">
      <x v="48"/>
      <x v="34"/>
      <x v="1"/>
    </i>
    <i r="2">
      <x v="74"/>
      <x v="61"/>
      <x v="7"/>
      <x v="1"/>
    </i>
    <i r="3">
      <x v="64"/>
      <x v="48"/>
      <x v="1"/>
    </i>
    <i r="4">
      <x v="50"/>
      <x v="1"/>
    </i>
    <i t="blank" r="1">
      <x v="6"/>
    </i>
    <i r="1">
      <x v="11"/>
      <x v="69"/>
      <x v="56"/>
      <x v="45"/>
      <x v="51"/>
    </i>
    <i r="3">
      <x v="58"/>
      <x v="5"/>
      <x v="52"/>
    </i>
    <i t="blank" r="1">
      <x v="11"/>
    </i>
    <i r="1">
      <x v="13"/>
      <x v="49"/>
      <x v="26"/>
      <x v="25"/>
      <x v="1"/>
    </i>
    <i r="3">
      <x v="27"/>
      <x v="25"/>
      <x v="1"/>
    </i>
    <i r="3">
      <x v="35"/>
      <x v="25"/>
      <x v="1"/>
    </i>
    <i t="blank" r="1">
      <x v="13"/>
    </i>
    <i r="1">
      <x v="16"/>
      <x v="25"/>
      <x v="4"/>
      <x v="10"/>
      <x v="1"/>
    </i>
    <i r="3">
      <x v="28"/>
      <x v="26"/>
      <x v="1"/>
    </i>
    <i r="3">
      <x v="29"/>
      <x v="26"/>
      <x v="1"/>
    </i>
    <i r="3">
      <x v="35"/>
      <x v="30"/>
      <x v="1"/>
    </i>
    <i t="blank" r="1">
      <x v="16"/>
    </i>
    <i r="1">
      <x v="23"/>
      <x v="39"/>
      <x v="7"/>
      <x v="11"/>
      <x v="5"/>
    </i>
    <i r="4">
      <x v="16"/>
      <x v="9"/>
    </i>
    <i r="3">
      <x v="9"/>
      <x v="11"/>
      <x v="7"/>
    </i>
    <i r="4">
      <x v="16"/>
      <x v="11"/>
    </i>
    <i t="blank" r="1">
      <x v="23"/>
    </i>
    <i>
      <x v="4"/>
      <x v="2"/>
      <x v="57"/>
      <x v="42"/>
      <x v="35"/>
      <x v="33"/>
    </i>
    <i r="3">
      <x v="49"/>
      <x v="35"/>
      <x v="37"/>
    </i>
    <i r="3">
      <x v="62"/>
      <x v="47"/>
      <x v="55"/>
    </i>
    <i r="3">
      <x v="65"/>
      <x v="49"/>
      <x v="56"/>
    </i>
    <i r="4">
      <x v="51"/>
      <x v="57"/>
    </i>
    <i t="blank" r="1">
      <x v="2"/>
    </i>
    <i>
      <x v="5"/>
      <x v="3"/>
      <x v="42"/>
      <x v="2"/>
      <x v="5"/>
      <x v="16"/>
    </i>
    <i r="3">
      <x v="15"/>
      <x v="18"/>
      <x v="15"/>
    </i>
    <i t="blank" r="1">
      <x v="3"/>
    </i>
    <i r="1">
      <x v="4"/>
      <x v="59"/>
      <x v="44"/>
      <x v="37"/>
      <x v="34"/>
    </i>
    <i r="4">
      <x v="40"/>
      <x v="38"/>
    </i>
    <i r="2">
      <x v="60"/>
      <x v="45"/>
      <x v="38"/>
      <x v="35"/>
    </i>
    <i r="4">
      <x v="41"/>
      <x v="39"/>
    </i>
    <i t="blank" r="1">
      <x v="4"/>
    </i>
    <i r="1">
      <x v="5"/>
      <x v="45"/>
      <x v="2"/>
      <x v="20"/>
      <x v="19"/>
    </i>
    <i r="4">
      <x v="23"/>
      <x v="23"/>
    </i>
    <i t="blank" r="1">
      <x v="5"/>
    </i>
    <i r="1">
      <x v="7"/>
      <x v="28"/>
      <x v="2"/>
      <x v="4"/>
      <x v="17"/>
    </i>
    <i r="5">
      <x v="18"/>
    </i>
    <i r="4">
      <x v="14"/>
      <x v="2"/>
    </i>
    <i r="5">
      <x v="3"/>
    </i>
    <i t="blank" r="1">
      <x v="7"/>
    </i>
    <i r="1">
      <x v="8"/>
      <x v="38"/>
      <x v="2"/>
      <x v="12"/>
      <x v="12"/>
    </i>
    <i r="5">
      <x v="21"/>
    </i>
    <i r="4">
      <x v="17"/>
      <x v="14"/>
    </i>
    <i r="4">
      <x v="21"/>
      <x v="20"/>
    </i>
    <i r="5">
      <x v="24"/>
    </i>
    <i r="3">
      <x v="7"/>
      <x v="11"/>
      <x v="4"/>
    </i>
    <i r="4">
      <x v="16"/>
      <x v="8"/>
    </i>
    <i r="3">
      <x v="9"/>
      <x v="11"/>
      <x v="6"/>
    </i>
    <i r="4">
      <x v="16"/>
      <x v="10"/>
    </i>
    <i r="3">
      <x v="14"/>
      <x v="9"/>
      <x v="13"/>
    </i>
    <i t="blank" r="1">
      <x v="8"/>
    </i>
    <i r="1">
      <x v="9"/>
      <x v="43"/>
      <x v="6"/>
      <x v="19"/>
      <x v="1"/>
    </i>
    <i r="3">
      <x v="17"/>
      <x v="19"/>
      <x v="1"/>
    </i>
    <i r="3">
      <x v="18"/>
      <x v="19"/>
      <x v="1"/>
    </i>
    <i t="blank" r="1">
      <x v="9"/>
    </i>
    <i r="1">
      <x v="10"/>
      <x v="51"/>
      <x v="37"/>
      <x v="31"/>
      <x v="29"/>
    </i>
    <i r="3">
      <x v="50"/>
      <x v="7"/>
      <x v="42"/>
    </i>
    <i r="2">
      <x v="52"/>
      <x v="38"/>
      <x v="31"/>
      <x v="30"/>
    </i>
    <i t="blank" r="1">
      <x v="10"/>
    </i>
    <i r="1">
      <x v="11"/>
      <x v="65"/>
      <x v="51"/>
      <x v="10"/>
      <x v="45"/>
    </i>
    <i r="2">
      <x v="66"/>
      <x v="51"/>
      <x v="42"/>
      <x v="48"/>
    </i>
    <i r="4">
      <x v="43"/>
      <x v="49"/>
    </i>
    <i r="2">
      <x v="71"/>
      <x v="59"/>
      <x v="46"/>
      <x v="53"/>
    </i>
    <i r="2">
      <x v="72"/>
      <x v="57"/>
      <x v="36"/>
      <x v="54"/>
    </i>
    <i t="blank" r="1">
      <x v="11"/>
    </i>
    <i r="1">
      <x v="12"/>
      <x v="53"/>
      <x v="38"/>
      <x v="32"/>
      <x v="31"/>
    </i>
    <i r="2">
      <x v="64"/>
      <x v="51"/>
      <x v="7"/>
      <x v="43"/>
    </i>
    <i r="4">
      <x v="10"/>
      <x v="44"/>
    </i>
    <i t="blank" r="1">
      <x v="12"/>
    </i>
    <i r="1">
      <x v="14"/>
      <x v="29"/>
      <x v="8"/>
      <x v="12"/>
      <x v="1"/>
    </i>
    <i r="3">
      <x v="11"/>
      <x v="12"/>
      <x v="1"/>
    </i>
    <i t="blank" r="1">
      <x v="14"/>
    </i>
    <i r="1">
      <x v="15"/>
      <x v="48"/>
      <x v="2"/>
      <x v="5"/>
      <x v="1"/>
    </i>
    <i r="3">
      <x v="5"/>
      <x v="5"/>
      <x v="1"/>
    </i>
    <i r="3">
      <x v="22"/>
      <x v="6"/>
      <x v="1"/>
    </i>
    <i r="2">
      <x v="63"/>
      <x v="50"/>
      <x v="7"/>
      <x v="41"/>
    </i>
    <i r="2">
      <x v="67"/>
      <x v="54"/>
      <x v="42"/>
      <x v="50"/>
    </i>
    <i t="blank" r="1">
      <x v="15"/>
    </i>
    <i r="1">
      <x v="16"/>
      <x v="23"/>
      <x v="2"/>
      <x v="1"/>
      <x v="1"/>
    </i>
    <i r="4">
      <x v="6"/>
      <x v="1"/>
    </i>
    <i r="3">
      <x v="33"/>
      <x v="1"/>
      <x v="1"/>
    </i>
    <i r="2">
      <x v="34"/>
      <x v="7"/>
      <x v="13"/>
      <x v="1"/>
    </i>
    <i r="3">
      <x v="9"/>
      <x v="13"/>
      <x v="1"/>
    </i>
    <i r="3">
      <x v="10"/>
      <x v="15"/>
      <x v="1"/>
    </i>
    <i r="3">
      <x v="12"/>
      <x v="15"/>
      <x v="1"/>
    </i>
    <i r="2">
      <x v="35"/>
      <x v="2"/>
      <x v="12"/>
      <x v="1"/>
    </i>
    <i t="blank" r="1">
      <x v="16"/>
    </i>
    <i r="1">
      <x v="17"/>
      <x v="27"/>
      <x v="32"/>
      <x v="28"/>
      <x v="1"/>
    </i>
    <i r="2">
      <x v="68"/>
      <x v="55"/>
      <x v="44"/>
      <x v="1"/>
    </i>
    <i t="blank" r="1">
      <x v="17"/>
    </i>
    <i r="1">
      <x v="18"/>
      <x v="47"/>
      <x v="20"/>
      <x v="24"/>
      <x v="1"/>
    </i>
    <i r="3">
      <x v="21"/>
      <x v="24"/>
      <x v="1"/>
    </i>
    <i r="3">
      <x v="31"/>
      <x v="27"/>
      <x v="1"/>
    </i>
    <i t="blank" r="1">
      <x v="18"/>
    </i>
    <i r="1">
      <x v="19"/>
      <x v="36"/>
      <x v="7"/>
      <x v="8"/>
      <x v="1"/>
    </i>
    <i t="blank" r="1">
      <x v="19"/>
    </i>
    <i r="1">
      <x v="20"/>
      <x v="24"/>
      <x v="23"/>
      <x v="2"/>
      <x v="1"/>
    </i>
    <i r="3">
      <x v="24"/>
      <x v="2"/>
      <x v="1"/>
    </i>
    <i r="3">
      <x v="25"/>
      <x v="2"/>
      <x v="1"/>
    </i>
    <i t="blank" r="1">
      <x v="20"/>
    </i>
    <i r="1">
      <x v="21"/>
      <x v="26"/>
      <x v="3"/>
      <x v="3"/>
      <x v="26"/>
    </i>
    <i r="3">
      <x v="30"/>
      <x v="3"/>
      <x v="27"/>
    </i>
    <i r="3">
      <x v="34"/>
      <x v="29"/>
      <x v="28"/>
    </i>
    <i t="blank" r="1">
      <x v="21"/>
    </i>
    <i r="1">
      <x v="22"/>
      <x v="54"/>
      <x v="39"/>
      <x v="33"/>
      <x v="32"/>
    </i>
    <i r="3">
      <x v="52"/>
      <x v="9"/>
      <x v="46"/>
    </i>
    <i r="3">
      <x v="53"/>
      <x v="9"/>
      <x v="47"/>
    </i>
    <i r="2">
      <x v="61"/>
      <x v="46"/>
      <x v="39"/>
      <x v="36"/>
    </i>
    <i r="5">
      <x v="40"/>
    </i>
    <i t="blank" r="1">
      <x v="22"/>
    </i>
    <i>
      <x v="6"/>
      <x/>
      <x v="50"/>
      <x v="36"/>
      <x v="31"/>
      <x v="1"/>
    </i>
    <i r="2">
      <x v="62"/>
      <x v="5"/>
      <x v="7"/>
      <x v="1"/>
    </i>
    <i t="blank" r="1">
      <x/>
    </i>
    <i t="grand">
      <x/>
    </i>
  </rowItems>
  <colItems count="1">
    <i/>
  </colItems>
  <dataFields count="1">
    <dataField name="Cutting Order" fld="16" baseField="65" baseItem="141"/>
  </dataFields>
  <formats count="21">
    <format dxfId="7910">
      <pivotArea outline="0" fieldPosition="0"/>
    </format>
    <format dxfId="7909">
      <pivotArea type="topRight" dataOnly="0" labelOnly="1" outline="0" fieldPosition="0"/>
    </format>
    <format dxfId="7908">
      <pivotArea type="origin" dataOnly="0" labelOnly="1" outline="0" fieldPosition="0"/>
    </format>
    <format dxfId="7907">
      <pivotArea field="67" type="button" dataOnly="0" labelOnly="1" outline="0" axis="axisRow" fieldPosition="1"/>
    </format>
    <format dxfId="7906">
      <pivotArea field="7" type="button" dataOnly="0" labelOnly="1" outline="0" axis="axisRow" fieldPosition="2"/>
    </format>
    <format dxfId="7905">
      <pivotArea field="14" type="button" dataOnly="0" labelOnly="1" outline="0"/>
    </format>
    <format dxfId="7904">
      <pivotArea field="3" type="button" dataOnly="0" labelOnly="1" outline="0" axis="axisRow" fieldPosition="0"/>
    </format>
    <format dxfId="7903">
      <pivotArea type="topRight" dataOnly="0" labelOnly="1" outline="0" fieldPosition="0"/>
    </format>
    <format dxfId="7902">
      <pivotArea dataOnly="0" labelOnly="1" grandRow="1" outline="0" fieldPosition="0"/>
    </format>
    <format dxfId="7901">
      <pivotArea field="7" type="button" dataOnly="0" labelOnly="1" outline="0" axis="axisRow" fieldPosition="2"/>
    </format>
    <format dxfId="7900">
      <pivotArea type="origin" dataOnly="0" labelOnly="1" outline="0" fieldPosition="0"/>
    </format>
    <format dxfId="7899">
      <pivotArea type="all" dataOnly="0" outline="0" fieldPosition="0"/>
    </format>
    <format dxfId="7898">
      <pivotArea outline="0" collapsedLevelsAreSubtotals="1" fieldPosition="0"/>
    </format>
    <format dxfId="7897">
      <pivotArea dataOnly="0" labelOnly="1" outline="0" fieldPosition="0">
        <references count="1">
          <reference field="3" count="0"/>
        </references>
      </pivotArea>
    </format>
    <format dxfId="7896">
      <pivotArea dataOnly="0" labelOnly="1" grandRow="1" outline="0" fieldPosition="0"/>
    </format>
    <format dxfId="7895">
      <pivotArea field="67" type="button" dataOnly="0" labelOnly="1" outline="0" axis="axisRow" fieldPosition="1"/>
    </format>
    <format dxfId="7894">
      <pivotArea outline="0" collapsedLevelsAreSubtotals="1" fieldPosition="0"/>
    </format>
    <format dxfId="7893">
      <pivotArea dataOnly="0" labelOnly="1" outline="0" fieldPosition="0">
        <references count="1">
          <reference field="3" count="0"/>
        </references>
      </pivotArea>
    </format>
    <format dxfId="7892">
      <pivotArea dataOnly="0" labelOnly="1" grandRow="1" outline="0" fieldPosition="0"/>
    </format>
    <format dxfId="7891">
      <pivotArea grandRow="1" outline="0" collapsedLevelsAreSubtotals="1" fieldPosition="0"/>
    </format>
    <format dxfId="7890">
      <pivotArea grandRow="1"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gradFill rotWithShape="0">
          <a:gsLst>
            <a:gs pos="0">
              <a:srgbClr val="BBD5F0"/>
            </a:gs>
            <a:gs pos="100000">
              <a:srgbClr val="9CBEE0"/>
            </a:gs>
          </a:gsLst>
          <a:lin ang="5400000"/>
          <a:tileRect/>
        </a:gradFill>
        <a:ln w="15875" cap="flat" cmpd="sng">
          <a:solidFill>
            <a:srgbClr val="739CC3"/>
          </a:solidFill>
          <a:prstDash val="solid"/>
          <a:headEnd type="none" w="med" len="med"/>
          <a:tailEnd type="none" w="med" len="med"/>
        </a:ln>
      </a:spPr>
      <a:bodyPr/>
      <a:lst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5.bin"/><Relationship Id="rId1" Type="http://schemas.openxmlformats.org/officeDocument/2006/relationships/pivotTable" Target="../pivotTables/pivotTable1.xml"/><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6.bin"/><Relationship Id="rId1" Type="http://schemas.openxmlformats.org/officeDocument/2006/relationships/pivotTable" Target="../pivotTables/pivotTable2.xml"/><Relationship Id="rId5" Type="http://schemas.openxmlformats.org/officeDocument/2006/relationships/comments" Target="../comments5.xml"/><Relationship Id="rId4"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7.bin"/><Relationship Id="rId1" Type="http://schemas.openxmlformats.org/officeDocument/2006/relationships/pivotTable" Target="../pivotTables/pivotTable3.xml"/><Relationship Id="rId5" Type="http://schemas.openxmlformats.org/officeDocument/2006/relationships/comments" Target="../comments6.xml"/><Relationship Id="rId4"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8.bin"/><Relationship Id="rId1" Type="http://schemas.openxmlformats.org/officeDocument/2006/relationships/pivotTable" Target="../pivotTables/pivotTable4.xml"/><Relationship Id="rId5" Type="http://schemas.openxmlformats.org/officeDocument/2006/relationships/comments" Target="../comments7.xml"/><Relationship Id="rId4"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9.bin"/><Relationship Id="rId1" Type="http://schemas.openxmlformats.org/officeDocument/2006/relationships/pivotTable" Target="../pivotTables/pivotTable5.xml"/><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0.bin"/><Relationship Id="rId1" Type="http://schemas.openxmlformats.org/officeDocument/2006/relationships/pivotTable" Target="../pivotTables/pivotTable6.xml"/><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1.bin"/><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ivotTable" Target="../pivotTables/pivotTable10.xml"/></Relationships>
</file>

<file path=xl/worksheets/_rels/sheet18.xml.rels><?xml version="1.0" encoding="UTF-8" standalone="yes"?>
<Relationships xmlns="http://schemas.openxmlformats.org/package/2006/relationships"><Relationship Id="rId8" Type="http://schemas.openxmlformats.org/officeDocument/2006/relationships/comments" Target="../comments10.xml"/><Relationship Id="rId3" Type="http://schemas.openxmlformats.org/officeDocument/2006/relationships/vmlDrawing" Target="../drawings/vmlDrawing11.vml"/><Relationship Id="rId7" Type="http://schemas.openxmlformats.org/officeDocument/2006/relationships/oleObject" Target="../embeddings/oleObject3.bin"/><Relationship Id="rId2" Type="http://schemas.openxmlformats.org/officeDocument/2006/relationships/drawing" Target="../drawings/drawing6.xml"/><Relationship Id="rId1" Type="http://schemas.openxmlformats.org/officeDocument/2006/relationships/printerSettings" Target="../printerSettings/printerSettings18.bin"/><Relationship Id="rId6" Type="http://schemas.openxmlformats.org/officeDocument/2006/relationships/oleObject" Target="../embeddings/oleObject2.bin"/><Relationship Id="rId5" Type="http://schemas.openxmlformats.org/officeDocument/2006/relationships/image" Target="../media/image6.emf"/><Relationship Id="rId4" Type="http://schemas.openxmlformats.org/officeDocument/2006/relationships/oleObject" Target="../embeddings/oleObject1.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2.vml"/><Relationship Id="rId7" Type="http://schemas.openxmlformats.org/officeDocument/2006/relationships/oleObject" Target="../embeddings/oleObject6.bin"/><Relationship Id="rId2" Type="http://schemas.openxmlformats.org/officeDocument/2006/relationships/drawing" Target="../drawings/drawing7.xml"/><Relationship Id="rId1" Type="http://schemas.openxmlformats.org/officeDocument/2006/relationships/printerSettings" Target="../printerSettings/printerSettings19.bin"/><Relationship Id="rId6" Type="http://schemas.openxmlformats.org/officeDocument/2006/relationships/oleObject" Target="../embeddings/oleObject5.bin"/><Relationship Id="rId5" Type="http://schemas.openxmlformats.org/officeDocument/2006/relationships/image" Target="../media/image6.emf"/><Relationship Id="rId4" Type="http://schemas.openxmlformats.org/officeDocument/2006/relationships/oleObject" Target="../embeddings/oleObject4.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8.xml"/><Relationship Id="rId1" Type="http://schemas.openxmlformats.org/officeDocument/2006/relationships/printerSettings" Target="../printerSettings/printerSettings20.bin"/><Relationship Id="rId6" Type="http://schemas.openxmlformats.org/officeDocument/2006/relationships/comments" Target="../comments11.xml"/><Relationship Id="rId5" Type="http://schemas.openxmlformats.org/officeDocument/2006/relationships/image" Target="../media/image6.emf"/><Relationship Id="rId4" Type="http://schemas.openxmlformats.org/officeDocument/2006/relationships/oleObject" Target="../embeddings/oleObject7.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4.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5.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9.xml"/><Relationship Id="rId7" Type="http://schemas.openxmlformats.org/officeDocument/2006/relationships/comments" Target="../comments14.xml"/><Relationship Id="rId2" Type="http://schemas.openxmlformats.org/officeDocument/2006/relationships/printerSettings" Target="../printerSettings/printerSettings23.bin"/><Relationship Id="rId1" Type="http://schemas.openxmlformats.org/officeDocument/2006/relationships/pivotTable" Target="../pivotTables/pivotTable11.xml"/><Relationship Id="rId6" Type="http://schemas.openxmlformats.org/officeDocument/2006/relationships/image" Target="../media/image6.emf"/><Relationship Id="rId5" Type="http://schemas.openxmlformats.org/officeDocument/2006/relationships/oleObject" Target="../embeddings/oleObject8.bin"/><Relationship Id="rId4" Type="http://schemas.openxmlformats.org/officeDocument/2006/relationships/vmlDrawing" Target="../drawings/vmlDrawing16.v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0.xml"/><Relationship Id="rId1" Type="http://schemas.openxmlformats.org/officeDocument/2006/relationships/printerSettings" Target="../printerSettings/printerSettings24.bin"/><Relationship Id="rId6" Type="http://schemas.openxmlformats.org/officeDocument/2006/relationships/comments" Target="../comments15.xml"/><Relationship Id="rId5" Type="http://schemas.openxmlformats.org/officeDocument/2006/relationships/image" Target="../media/image6.emf"/><Relationship Id="rId4" Type="http://schemas.openxmlformats.org/officeDocument/2006/relationships/oleObject" Target="../embeddings/oleObject9.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printerSettings" Target="../printerSettings/printerSettings25.bin"/><Relationship Id="rId1" Type="http://schemas.openxmlformats.org/officeDocument/2006/relationships/pivotTable" Target="../pivotTables/pivotTable12.xml"/><Relationship Id="rId4" Type="http://schemas.openxmlformats.org/officeDocument/2006/relationships/comments" Target="../comments16.xml"/></Relationships>
</file>

<file path=xl/worksheets/_rels/sheet26.xml.rels><?xml version="1.0" encoding="UTF-8" standalone="yes"?>
<Relationships xmlns="http://schemas.openxmlformats.org/package/2006/relationships"><Relationship Id="rId8" Type="http://schemas.openxmlformats.org/officeDocument/2006/relationships/comments" Target="../comments17.xml"/><Relationship Id="rId3" Type="http://schemas.openxmlformats.org/officeDocument/2006/relationships/vmlDrawing" Target="../drawings/vmlDrawing19.vml"/><Relationship Id="rId7" Type="http://schemas.openxmlformats.org/officeDocument/2006/relationships/oleObject" Target="../embeddings/oleObject12.bin"/><Relationship Id="rId2" Type="http://schemas.openxmlformats.org/officeDocument/2006/relationships/drawing" Target="../drawings/drawing11.xml"/><Relationship Id="rId1" Type="http://schemas.openxmlformats.org/officeDocument/2006/relationships/printerSettings" Target="../printerSettings/printerSettings26.bin"/><Relationship Id="rId6" Type="http://schemas.openxmlformats.org/officeDocument/2006/relationships/oleObject" Target="../embeddings/oleObject11.bin"/><Relationship Id="rId5" Type="http://schemas.openxmlformats.org/officeDocument/2006/relationships/image" Target="../media/image6.emf"/><Relationship Id="rId4" Type="http://schemas.openxmlformats.org/officeDocument/2006/relationships/oleObject" Target="../embeddings/oleObject10.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printerSettings" Target="../printerSettings/printerSettings27.bin"/><Relationship Id="rId1" Type="http://schemas.openxmlformats.org/officeDocument/2006/relationships/pivotTable" Target="../pivotTables/pivotTable13.xml"/><Relationship Id="rId4" Type="http://schemas.openxmlformats.org/officeDocument/2006/relationships/comments" Target="../comments18.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printerSettings" Target="../printerSettings/printerSettings28.bin"/><Relationship Id="rId1" Type="http://schemas.openxmlformats.org/officeDocument/2006/relationships/pivotTable" Target="../pivotTables/pivotTable14.xml"/><Relationship Id="rId4" Type="http://schemas.openxmlformats.org/officeDocument/2006/relationships/comments" Target="../comments19.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12.xml"/><Relationship Id="rId1" Type="http://schemas.openxmlformats.org/officeDocument/2006/relationships/printerSettings" Target="../printerSettings/printerSettings29.bin"/><Relationship Id="rId5" Type="http://schemas.openxmlformats.org/officeDocument/2006/relationships/image" Target="../media/image6.emf"/><Relationship Id="rId4" Type="http://schemas.openxmlformats.org/officeDocument/2006/relationships/oleObject" Target="../embeddings/oleObject13.bin"/></Relationships>
</file>

<file path=xl/worksheets/_rels/sheet30.xml.rels><?xml version="1.0" encoding="UTF-8" standalone="yes"?>
<Relationships xmlns="http://schemas.openxmlformats.org/package/2006/relationships"><Relationship Id="rId8" Type="http://schemas.openxmlformats.org/officeDocument/2006/relationships/comments" Target="../comments20.xml"/><Relationship Id="rId3" Type="http://schemas.openxmlformats.org/officeDocument/2006/relationships/vmlDrawing" Target="../drawings/vmlDrawing23.vml"/><Relationship Id="rId7" Type="http://schemas.openxmlformats.org/officeDocument/2006/relationships/oleObject" Target="../embeddings/oleObject16.bin"/><Relationship Id="rId2" Type="http://schemas.openxmlformats.org/officeDocument/2006/relationships/drawing" Target="../drawings/drawing13.xml"/><Relationship Id="rId1" Type="http://schemas.openxmlformats.org/officeDocument/2006/relationships/printerSettings" Target="../printerSettings/printerSettings30.bin"/><Relationship Id="rId6" Type="http://schemas.openxmlformats.org/officeDocument/2006/relationships/oleObject" Target="../embeddings/oleObject15.bin"/><Relationship Id="rId5" Type="http://schemas.openxmlformats.org/officeDocument/2006/relationships/image" Target="../media/image6.emf"/><Relationship Id="rId4" Type="http://schemas.openxmlformats.org/officeDocument/2006/relationships/oleObject" Target="../embeddings/oleObject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N2812"/>
  <sheetViews>
    <sheetView zoomScale="85" zoomScaleNormal="85" workbookViewId="0">
      <pane ySplit="3" topLeftCell="A4" activePane="bottomLeft" state="frozen"/>
      <selection activeCell="E33" sqref="E33"/>
      <selection pane="bottomLeft" activeCell="G17" sqref="G17"/>
    </sheetView>
  </sheetViews>
  <sheetFormatPr baseColWidth="10" defaultColWidth="8.83203125" defaultRowHeight="16" outlineLevelRow="1"/>
  <cols>
    <col min="1" max="1" width="4" style="71" customWidth="1"/>
    <col min="2" max="2" width="15.1640625" style="121" customWidth="1"/>
    <col min="3" max="3" width="11.6640625" style="274" customWidth="1"/>
    <col min="4" max="4" width="40.1640625" style="71" customWidth="1"/>
    <col min="5" max="5" width="5" style="72" customWidth="1"/>
    <col min="6" max="6" width="7.1640625" style="71" customWidth="1"/>
    <col min="7" max="7" width="27.6640625" style="275" customWidth="1"/>
    <col min="8" max="8" width="2.83203125" style="71" customWidth="1"/>
    <col min="9" max="9" width="23.6640625" style="71" customWidth="1"/>
  </cols>
  <sheetData>
    <row r="1" spans="1:9" ht="18">
      <c r="A1" s="854" t="s">
        <v>326</v>
      </c>
      <c r="B1" s="854"/>
      <c r="C1" s="854"/>
      <c r="D1" s="854"/>
      <c r="E1" s="854"/>
      <c r="F1" s="854"/>
      <c r="G1" s="854"/>
      <c r="H1" s="69"/>
      <c r="I1" s="69"/>
    </row>
    <row r="2" spans="1:9" ht="18">
      <c r="A2" s="69"/>
      <c r="B2" s="276"/>
      <c r="C2" s="277"/>
      <c r="D2" s="277"/>
      <c r="E2" s="277"/>
      <c r="F2" s="277"/>
      <c r="G2" s="278"/>
      <c r="H2" s="69"/>
      <c r="I2" s="69"/>
    </row>
    <row r="3" spans="1:9" ht="50" customHeight="1">
      <c r="A3" s="82" t="s">
        <v>327</v>
      </c>
      <c r="B3" s="82" t="s">
        <v>328</v>
      </c>
      <c r="C3" s="279" t="s">
        <v>329</v>
      </c>
      <c r="D3" s="82" t="s">
        <v>330</v>
      </c>
      <c r="E3" s="109" t="s">
        <v>331</v>
      </c>
      <c r="F3" s="82" t="s">
        <v>332</v>
      </c>
      <c r="G3" s="280" t="s">
        <v>333</v>
      </c>
      <c r="H3" s="69"/>
      <c r="I3" s="69" t="s">
        <v>4383</v>
      </c>
    </row>
    <row r="4" spans="1:9">
      <c r="A4" s="123"/>
      <c r="B4" s="530"/>
      <c r="C4" s="281"/>
      <c r="D4" s="123"/>
      <c r="E4" s="282"/>
      <c r="F4" s="123"/>
      <c r="G4" s="283"/>
      <c r="H4" s="69"/>
      <c r="I4" s="69"/>
    </row>
    <row r="5" spans="1:9">
      <c r="A5" s="1">
        <v>3</v>
      </c>
      <c r="B5" s="530" t="s">
        <v>3158</v>
      </c>
      <c r="C5" s="526">
        <v>101079</v>
      </c>
      <c r="D5" s="349" t="s">
        <v>5</v>
      </c>
      <c r="E5" s="1"/>
      <c r="F5" s="1" t="s">
        <v>3147</v>
      </c>
      <c r="G5" s="1" t="s">
        <v>2</v>
      </c>
      <c r="H5" s="1"/>
      <c r="I5" s="69"/>
    </row>
    <row r="6" spans="1:9">
      <c r="A6" s="1">
        <v>6</v>
      </c>
      <c r="B6" s="530" t="s">
        <v>3158</v>
      </c>
      <c r="C6" s="526">
        <v>101080</v>
      </c>
      <c r="D6" s="349" t="s">
        <v>6</v>
      </c>
      <c r="E6" s="1"/>
      <c r="F6" s="1" t="s">
        <v>3147</v>
      </c>
      <c r="G6" s="1" t="s">
        <v>2</v>
      </c>
      <c r="H6" s="1"/>
      <c r="I6" s="69"/>
    </row>
    <row r="7" spans="1:9">
      <c r="A7" s="1">
        <v>6</v>
      </c>
      <c r="B7" s="530" t="s">
        <v>3158</v>
      </c>
      <c r="C7" s="526">
        <v>101081</v>
      </c>
      <c r="D7" s="349" t="s">
        <v>7</v>
      </c>
      <c r="E7" s="1"/>
      <c r="F7" s="1" t="s">
        <v>3147</v>
      </c>
      <c r="G7" s="1" t="s">
        <v>2</v>
      </c>
      <c r="H7" s="1"/>
      <c r="I7" s="69"/>
    </row>
    <row r="8" spans="1:9">
      <c r="A8" s="1">
        <v>6</v>
      </c>
      <c r="B8" s="530" t="s">
        <v>3158</v>
      </c>
      <c r="C8" s="526">
        <v>101082</v>
      </c>
      <c r="D8" s="349" t="s">
        <v>8</v>
      </c>
      <c r="E8" s="1"/>
      <c r="F8" s="1" t="s">
        <v>3147</v>
      </c>
      <c r="G8" s="1" t="s">
        <v>2</v>
      </c>
      <c r="H8" s="1"/>
      <c r="I8" s="69"/>
    </row>
    <row r="9" spans="1:9">
      <c r="A9" s="1">
        <v>9</v>
      </c>
      <c r="B9" s="530" t="s">
        <v>3158</v>
      </c>
      <c r="C9" s="526">
        <v>101083</v>
      </c>
      <c r="D9" s="349" t="s">
        <v>9</v>
      </c>
      <c r="E9" s="1"/>
      <c r="F9" s="1" t="s">
        <v>3147</v>
      </c>
      <c r="G9" s="1" t="s">
        <v>2</v>
      </c>
      <c r="H9" s="1"/>
      <c r="I9" s="69"/>
    </row>
    <row r="10" spans="1:9">
      <c r="A10" s="1">
        <v>9</v>
      </c>
      <c r="B10" s="530" t="s">
        <v>3158</v>
      </c>
      <c r="C10" s="526">
        <v>101084</v>
      </c>
      <c r="D10" s="349" t="s">
        <v>10</v>
      </c>
      <c r="E10" s="1"/>
      <c r="F10" s="1" t="s">
        <v>3147</v>
      </c>
      <c r="G10" s="1" t="s">
        <v>2</v>
      </c>
      <c r="H10" s="1"/>
      <c r="I10" s="69"/>
    </row>
    <row r="11" spans="1:9">
      <c r="A11" s="1">
        <v>9</v>
      </c>
      <c r="B11" s="530" t="s">
        <v>3158</v>
      </c>
      <c r="C11" s="526">
        <v>101085</v>
      </c>
      <c r="D11" s="349" t="s">
        <v>11</v>
      </c>
      <c r="E11" s="1"/>
      <c r="F11" s="1" t="s">
        <v>3147</v>
      </c>
      <c r="G11" s="1" t="s">
        <v>2</v>
      </c>
      <c r="H11" s="1"/>
      <c r="I11" s="69"/>
    </row>
    <row r="12" spans="1:9">
      <c r="A12" s="1">
        <v>12</v>
      </c>
      <c r="B12" s="530" t="s">
        <v>3158</v>
      </c>
      <c r="C12" s="526">
        <v>101086</v>
      </c>
      <c r="D12" s="349" t="s">
        <v>12</v>
      </c>
      <c r="E12" s="1"/>
      <c r="F12" s="1" t="s">
        <v>3147</v>
      </c>
      <c r="G12" s="1" t="s">
        <v>2</v>
      </c>
      <c r="H12" s="1"/>
      <c r="I12" s="69"/>
    </row>
    <row r="13" spans="1:9">
      <c r="A13" s="1">
        <v>12</v>
      </c>
      <c r="B13" s="530" t="s">
        <v>3158</v>
      </c>
      <c r="C13" s="526">
        <v>101087</v>
      </c>
      <c r="D13" s="349" t="s">
        <v>13</v>
      </c>
      <c r="E13" s="1"/>
      <c r="F13" s="1" t="s">
        <v>3147</v>
      </c>
      <c r="G13" s="1" t="s">
        <v>2</v>
      </c>
      <c r="H13" s="1"/>
      <c r="I13" s="69"/>
    </row>
    <row r="14" spans="1:9">
      <c r="A14" s="1">
        <v>13</v>
      </c>
      <c r="B14" s="530" t="s">
        <v>3158</v>
      </c>
      <c r="C14" s="526">
        <v>101088</v>
      </c>
      <c r="D14" s="349" t="s">
        <v>14</v>
      </c>
      <c r="E14" s="1"/>
      <c r="F14" s="1" t="s">
        <v>3147</v>
      </c>
      <c r="G14" s="1" t="s">
        <v>2</v>
      </c>
      <c r="H14" s="1"/>
      <c r="I14" s="69"/>
    </row>
    <row r="15" spans="1:9">
      <c r="A15" s="1">
        <v>14.5</v>
      </c>
      <c r="B15" s="530" t="s">
        <v>3158</v>
      </c>
      <c r="C15" s="526">
        <v>101089</v>
      </c>
      <c r="D15" s="349" t="s">
        <v>15</v>
      </c>
      <c r="E15" s="1"/>
      <c r="F15" s="1" t="s">
        <v>3147</v>
      </c>
      <c r="G15" s="1" t="s">
        <v>2</v>
      </c>
      <c r="H15" s="1"/>
      <c r="I15" s="69"/>
    </row>
    <row r="16" spans="1:9">
      <c r="A16" s="1">
        <v>14.5</v>
      </c>
      <c r="B16" s="530" t="s">
        <v>3158</v>
      </c>
      <c r="C16" s="526">
        <v>101090</v>
      </c>
      <c r="D16" s="349" t="s">
        <v>16</v>
      </c>
      <c r="E16" s="1"/>
      <c r="F16" s="1" t="s">
        <v>3147</v>
      </c>
      <c r="G16" s="1" t="s">
        <v>2</v>
      </c>
      <c r="H16" s="1"/>
      <c r="I16" s="69"/>
    </row>
    <row r="17" spans="1:9">
      <c r="A17" s="1">
        <v>17</v>
      </c>
      <c r="B17" s="530" t="s">
        <v>3158</v>
      </c>
      <c r="C17" s="526">
        <v>101091</v>
      </c>
      <c r="D17" s="349" t="s">
        <v>17</v>
      </c>
      <c r="E17" s="1"/>
      <c r="F17" s="1" t="s">
        <v>3147</v>
      </c>
      <c r="G17" s="1" t="s">
        <v>2</v>
      </c>
      <c r="H17" s="1"/>
      <c r="I17" s="69"/>
    </row>
    <row r="18" spans="1:9">
      <c r="A18" s="1">
        <v>17</v>
      </c>
      <c r="B18" s="530" t="s">
        <v>3158</v>
      </c>
      <c r="C18" s="526">
        <v>101092</v>
      </c>
      <c r="D18" s="349" t="s">
        <v>18</v>
      </c>
      <c r="E18" s="1"/>
      <c r="F18" s="1" t="s">
        <v>3147</v>
      </c>
      <c r="G18" s="1" t="s">
        <v>2</v>
      </c>
      <c r="H18" s="1"/>
      <c r="I18" s="69"/>
    </row>
    <row r="19" spans="1:9">
      <c r="A19" s="1">
        <v>18</v>
      </c>
      <c r="B19" s="530" t="s">
        <v>3158</v>
      </c>
      <c r="C19" s="526">
        <v>101093</v>
      </c>
      <c r="D19" s="349" t="s">
        <v>19</v>
      </c>
      <c r="E19" s="1"/>
      <c r="F19" s="1" t="s">
        <v>3147</v>
      </c>
      <c r="G19" s="1" t="s">
        <v>2</v>
      </c>
      <c r="H19" s="1"/>
      <c r="I19" s="69"/>
    </row>
    <row r="20" spans="1:9">
      <c r="A20" s="1">
        <v>18</v>
      </c>
      <c r="B20" s="530" t="s">
        <v>3158</v>
      </c>
      <c r="C20" s="526">
        <v>101094</v>
      </c>
      <c r="D20" s="349" t="s">
        <v>20</v>
      </c>
      <c r="E20" s="1"/>
      <c r="F20" s="1" t="s">
        <v>3147</v>
      </c>
      <c r="G20" s="1" t="s">
        <v>2</v>
      </c>
      <c r="H20" s="1"/>
      <c r="I20" s="69"/>
    </row>
    <row r="21" spans="1:9">
      <c r="A21" s="1">
        <v>18</v>
      </c>
      <c r="B21" s="530" t="s">
        <v>3158</v>
      </c>
      <c r="C21" s="526">
        <v>101095</v>
      </c>
      <c r="D21" s="349" t="s">
        <v>21</v>
      </c>
      <c r="E21" s="1"/>
      <c r="F21" s="1" t="s">
        <v>3147</v>
      </c>
      <c r="G21" s="1" t="s">
        <v>2</v>
      </c>
      <c r="H21" s="1"/>
      <c r="I21" s="69"/>
    </row>
    <row r="22" spans="1:9">
      <c r="A22" s="1">
        <v>24</v>
      </c>
      <c r="B22" s="530" t="s">
        <v>3158</v>
      </c>
      <c r="C22" s="526">
        <v>101096</v>
      </c>
      <c r="D22" s="349" t="s">
        <v>22</v>
      </c>
      <c r="E22" s="1"/>
      <c r="F22" s="1" t="s">
        <v>3147</v>
      </c>
      <c r="G22" s="1" t="s">
        <v>2</v>
      </c>
      <c r="H22" s="1"/>
      <c r="I22" s="69"/>
    </row>
    <row r="23" spans="1:9">
      <c r="A23" s="1">
        <v>38</v>
      </c>
      <c r="B23" s="530" t="s">
        <v>3158</v>
      </c>
      <c r="C23" s="526">
        <v>100835</v>
      </c>
      <c r="D23" s="349" t="s">
        <v>23</v>
      </c>
      <c r="E23" s="1"/>
      <c r="F23" s="1" t="s">
        <v>3147</v>
      </c>
      <c r="G23" s="1" t="s">
        <v>2</v>
      </c>
      <c r="H23" s="1"/>
      <c r="I23" s="69"/>
    </row>
    <row r="24" spans="1:9">
      <c r="A24" s="1">
        <v>38</v>
      </c>
      <c r="B24" s="530" t="s">
        <v>3158</v>
      </c>
      <c r="C24" s="526">
        <v>100892</v>
      </c>
      <c r="D24" s="349" t="s">
        <v>24</v>
      </c>
      <c r="E24" s="1"/>
      <c r="F24" s="1" t="s">
        <v>3147</v>
      </c>
      <c r="G24" s="1" t="s">
        <v>2</v>
      </c>
      <c r="H24" s="1"/>
      <c r="I24" s="69"/>
    </row>
    <row r="25" spans="1:9">
      <c r="A25" s="1">
        <v>38</v>
      </c>
      <c r="B25" s="530" t="s">
        <v>3158</v>
      </c>
      <c r="C25" s="526">
        <v>100893</v>
      </c>
      <c r="D25" s="349" t="s">
        <v>25</v>
      </c>
      <c r="E25" s="1"/>
      <c r="F25" s="1" t="s">
        <v>3147</v>
      </c>
      <c r="G25" s="1" t="s">
        <v>2</v>
      </c>
      <c r="H25" s="1"/>
      <c r="I25" s="69"/>
    </row>
    <row r="26" spans="1:9">
      <c r="A26" s="1"/>
      <c r="B26" s="530"/>
      <c r="C26" s="1"/>
      <c r="D26" s="1"/>
      <c r="E26" s="1"/>
      <c r="F26" s="1"/>
      <c r="G26" s="1"/>
      <c r="H26" s="1"/>
      <c r="I26" s="69"/>
    </row>
    <row r="27" spans="1:9">
      <c r="A27" s="1">
        <v>24</v>
      </c>
      <c r="B27" s="530" t="s">
        <v>3160</v>
      </c>
      <c r="C27" s="526">
        <v>101011</v>
      </c>
      <c r="D27" s="349" t="s">
        <v>27</v>
      </c>
      <c r="E27" s="1"/>
      <c r="F27" s="1" t="s">
        <v>3147</v>
      </c>
      <c r="G27" s="1" t="s">
        <v>2</v>
      </c>
      <c r="H27" s="1"/>
      <c r="I27" s="69"/>
    </row>
    <row r="28" spans="1:9">
      <c r="A28" s="1">
        <v>18</v>
      </c>
      <c r="B28" s="530" t="s">
        <v>3160</v>
      </c>
      <c r="C28" s="526">
        <v>101012</v>
      </c>
      <c r="D28" s="349" t="s">
        <v>28</v>
      </c>
      <c r="E28" s="1"/>
      <c r="F28" s="1" t="s">
        <v>3147</v>
      </c>
      <c r="G28" s="1" t="s">
        <v>2</v>
      </c>
      <c r="H28" s="1"/>
      <c r="I28" s="69"/>
    </row>
    <row r="29" spans="1:9">
      <c r="A29" s="1">
        <v>15</v>
      </c>
      <c r="B29" s="530" t="s">
        <v>3160</v>
      </c>
      <c r="C29" s="526">
        <v>101013</v>
      </c>
      <c r="D29" s="349" t="s">
        <v>29</v>
      </c>
      <c r="E29" s="1"/>
      <c r="F29" s="1" t="s">
        <v>3147</v>
      </c>
      <c r="G29" s="1" t="s">
        <v>2</v>
      </c>
      <c r="H29" s="1"/>
      <c r="I29" s="69"/>
    </row>
    <row r="30" spans="1:9">
      <c r="A30" s="1">
        <v>13</v>
      </c>
      <c r="B30" s="530" t="s">
        <v>3160</v>
      </c>
      <c r="C30" s="526">
        <v>101014</v>
      </c>
      <c r="D30" s="349" t="s">
        <v>30</v>
      </c>
      <c r="E30" s="1"/>
      <c r="F30" s="1" t="s">
        <v>3147</v>
      </c>
      <c r="G30" s="1" t="s">
        <v>2</v>
      </c>
      <c r="H30" s="1"/>
      <c r="I30" s="69"/>
    </row>
    <row r="31" spans="1:9">
      <c r="A31" s="1">
        <v>12</v>
      </c>
      <c r="B31" s="530" t="s">
        <v>3160</v>
      </c>
      <c r="C31" s="526">
        <v>101015</v>
      </c>
      <c r="D31" s="349" t="s">
        <v>31</v>
      </c>
      <c r="E31" s="1"/>
      <c r="F31" s="1" t="s">
        <v>3147</v>
      </c>
      <c r="G31" s="1" t="s">
        <v>2</v>
      </c>
      <c r="H31" s="1"/>
      <c r="I31" s="69"/>
    </row>
    <row r="32" spans="1:9">
      <c r="A32" s="1">
        <v>9</v>
      </c>
      <c r="B32" s="530" t="s">
        <v>3160</v>
      </c>
      <c r="C32" s="526">
        <v>101016</v>
      </c>
      <c r="D32" s="349" t="s">
        <v>32</v>
      </c>
      <c r="E32" s="1"/>
      <c r="F32" s="1" t="s">
        <v>3147</v>
      </c>
      <c r="G32" s="1" t="s">
        <v>2</v>
      </c>
      <c r="H32" s="1"/>
      <c r="I32" s="69"/>
    </row>
    <row r="33" spans="1:9">
      <c r="A33" s="1">
        <v>5.5</v>
      </c>
      <c r="B33" s="530" t="s">
        <v>3160</v>
      </c>
      <c r="C33" s="526">
        <v>101009</v>
      </c>
      <c r="D33" s="349" t="s">
        <v>33</v>
      </c>
      <c r="E33" s="1"/>
      <c r="F33" s="1" t="s">
        <v>3147</v>
      </c>
      <c r="G33" s="1" t="s">
        <v>2</v>
      </c>
      <c r="H33" s="1"/>
      <c r="I33" s="69"/>
    </row>
    <row r="34" spans="1:9">
      <c r="A34" s="1">
        <v>3</v>
      </c>
      <c r="B34" s="530" t="s">
        <v>3160</v>
      </c>
      <c r="C34" s="526">
        <v>101010</v>
      </c>
      <c r="D34" s="349" t="s">
        <v>34</v>
      </c>
      <c r="E34" s="1"/>
      <c r="F34" s="1" t="s">
        <v>3147</v>
      </c>
      <c r="G34" s="1" t="s">
        <v>2</v>
      </c>
      <c r="H34" s="1"/>
      <c r="I34" s="69"/>
    </row>
    <row r="35" spans="1:9">
      <c r="A35" s="1"/>
      <c r="B35" s="530" t="s">
        <v>35</v>
      </c>
      <c r="C35" s="526">
        <v>121531</v>
      </c>
      <c r="D35" s="349" t="s">
        <v>36</v>
      </c>
      <c r="E35" s="1"/>
      <c r="F35" s="1" t="s">
        <v>3147</v>
      </c>
      <c r="G35" s="1" t="s">
        <v>2</v>
      </c>
      <c r="H35" s="1"/>
      <c r="I35" s="69"/>
    </row>
    <row r="36" spans="1:9">
      <c r="A36" s="1"/>
      <c r="B36" s="530" t="s">
        <v>35</v>
      </c>
      <c r="C36" s="526">
        <v>121533</v>
      </c>
      <c r="D36" s="349" t="s">
        <v>37</v>
      </c>
      <c r="E36" s="1"/>
      <c r="F36" s="1" t="s">
        <v>3147</v>
      </c>
      <c r="G36" s="1" t="s">
        <v>2</v>
      </c>
      <c r="H36" s="1"/>
      <c r="I36" s="69"/>
    </row>
    <row r="37" spans="1:9">
      <c r="A37" s="1"/>
      <c r="B37" s="530" t="s">
        <v>52</v>
      </c>
      <c r="C37" s="1">
        <v>120125</v>
      </c>
      <c r="D37" s="349" t="s">
        <v>3146</v>
      </c>
      <c r="E37" s="1"/>
      <c r="F37" s="1" t="s">
        <v>3147</v>
      </c>
      <c r="G37" s="1"/>
      <c r="H37" s="1"/>
      <c r="I37" s="69"/>
    </row>
    <row r="38" spans="1:9">
      <c r="A38" s="1"/>
      <c r="B38" s="530"/>
      <c r="C38" s="1"/>
      <c r="D38" s="1"/>
      <c r="E38" s="1"/>
      <c r="F38" s="1"/>
      <c r="G38" s="1"/>
      <c r="H38" s="1"/>
      <c r="I38" s="69"/>
    </row>
    <row r="39" spans="1:9">
      <c r="A39" s="1">
        <v>18</v>
      </c>
      <c r="B39" s="530" t="s">
        <v>3158</v>
      </c>
      <c r="C39" s="526">
        <v>101099</v>
      </c>
      <c r="D39" s="349" t="s">
        <v>38</v>
      </c>
      <c r="E39" s="1"/>
      <c r="F39" s="1" t="s">
        <v>3147</v>
      </c>
      <c r="G39" s="1" t="s">
        <v>2</v>
      </c>
      <c r="H39" s="1"/>
      <c r="I39" s="69"/>
    </row>
    <row r="40" spans="1:9">
      <c r="A40" s="1"/>
      <c r="B40" s="530"/>
      <c r="C40" s="1"/>
      <c r="D40" s="1"/>
      <c r="E40" s="1"/>
      <c r="F40" s="1"/>
      <c r="G40" s="1"/>
      <c r="H40" s="1"/>
      <c r="I40" s="69"/>
    </row>
    <row r="41" spans="1:9">
      <c r="A41" s="1">
        <v>18</v>
      </c>
      <c r="B41" s="530" t="s">
        <v>3154</v>
      </c>
      <c r="C41" s="526">
        <v>100848</v>
      </c>
      <c r="D41" s="349" t="s">
        <v>40</v>
      </c>
      <c r="E41" s="1"/>
      <c r="F41" s="1" t="s">
        <v>3147</v>
      </c>
      <c r="G41" s="1" t="s">
        <v>2</v>
      </c>
      <c r="H41" s="1"/>
      <c r="I41" s="69"/>
    </row>
    <row r="42" spans="1:9">
      <c r="A42" s="1">
        <v>9</v>
      </c>
      <c r="B42" s="530" t="s">
        <v>3159</v>
      </c>
      <c r="C42" s="526">
        <v>100867</v>
      </c>
      <c r="D42" s="349" t="s">
        <v>42</v>
      </c>
      <c r="E42" s="1"/>
      <c r="F42" s="1" t="s">
        <v>3147</v>
      </c>
      <c r="G42" s="1" t="s">
        <v>2</v>
      </c>
      <c r="H42" s="1"/>
      <c r="I42" s="69"/>
    </row>
    <row r="43" spans="1:9">
      <c r="A43" s="1"/>
      <c r="B43" s="530"/>
      <c r="C43" s="1"/>
      <c r="D43" s="1"/>
      <c r="E43" s="1"/>
      <c r="F43" s="1"/>
      <c r="G43" s="1"/>
      <c r="H43" s="1"/>
      <c r="I43" s="69"/>
    </row>
    <row r="44" spans="1:9">
      <c r="A44" s="1">
        <v>18</v>
      </c>
      <c r="B44" s="530" t="s">
        <v>3154</v>
      </c>
      <c r="C44" s="526">
        <v>101025</v>
      </c>
      <c r="D44" s="349" t="s">
        <v>43</v>
      </c>
      <c r="E44" s="1"/>
      <c r="F44" s="1" t="s">
        <v>3147</v>
      </c>
      <c r="G44" s="1" t="s">
        <v>2</v>
      </c>
      <c r="H44" s="349" t="s">
        <v>44</v>
      </c>
      <c r="I44" s="69"/>
    </row>
    <row r="45" spans="1:9">
      <c r="A45" s="1">
        <v>18</v>
      </c>
      <c r="B45" s="530" t="s">
        <v>3155</v>
      </c>
      <c r="C45" s="526">
        <v>101026</v>
      </c>
      <c r="D45" s="349" t="s">
        <v>46</v>
      </c>
      <c r="E45" s="1"/>
      <c r="F45" s="1" t="s">
        <v>3147</v>
      </c>
      <c r="G45" s="1" t="s">
        <v>2</v>
      </c>
      <c r="H45" s="349" t="s">
        <v>44</v>
      </c>
      <c r="I45" s="69"/>
    </row>
    <row r="46" spans="1:9">
      <c r="A46" s="1">
        <v>15</v>
      </c>
      <c r="B46" s="530" t="s">
        <v>3156</v>
      </c>
      <c r="C46" s="526">
        <v>101027</v>
      </c>
      <c r="D46" s="349" t="s">
        <v>48</v>
      </c>
      <c r="E46" s="1"/>
      <c r="F46" s="1" t="s">
        <v>3147</v>
      </c>
      <c r="G46" s="1" t="s">
        <v>2</v>
      </c>
      <c r="H46" s="349" t="s">
        <v>44</v>
      </c>
      <c r="I46" s="69"/>
    </row>
    <row r="47" spans="1:9">
      <c r="A47" s="1">
        <v>5.5</v>
      </c>
      <c r="B47" s="530" t="s">
        <v>3155</v>
      </c>
      <c r="C47" s="526">
        <v>100849</v>
      </c>
      <c r="D47" s="349" t="s">
        <v>49</v>
      </c>
      <c r="E47" s="1"/>
      <c r="F47" s="1" t="s">
        <v>3147</v>
      </c>
      <c r="G47" s="1" t="s">
        <v>2</v>
      </c>
      <c r="H47" s="349" t="s">
        <v>44</v>
      </c>
      <c r="I47" s="69"/>
    </row>
    <row r="48" spans="1:9">
      <c r="A48" s="1">
        <v>6</v>
      </c>
      <c r="B48" s="530" t="s">
        <v>3157</v>
      </c>
      <c r="C48" s="526">
        <v>100924</v>
      </c>
      <c r="D48" s="349" t="s">
        <v>51</v>
      </c>
      <c r="E48" s="1"/>
      <c r="F48" s="1" t="s">
        <v>3147</v>
      </c>
      <c r="G48" s="1" t="s">
        <v>2</v>
      </c>
      <c r="H48" s="349" t="s">
        <v>44</v>
      </c>
      <c r="I48" s="69"/>
    </row>
    <row r="49" spans="1:9">
      <c r="A49" s="1"/>
      <c r="B49" s="530" t="s">
        <v>52</v>
      </c>
      <c r="C49" s="526">
        <v>120221</v>
      </c>
      <c r="D49" s="349" t="s">
        <v>53</v>
      </c>
      <c r="E49" s="1"/>
      <c r="F49" s="1" t="s">
        <v>3147</v>
      </c>
      <c r="G49" s="1" t="s">
        <v>2</v>
      </c>
      <c r="H49" s="349" t="s">
        <v>44</v>
      </c>
      <c r="I49" s="69"/>
    </row>
    <row r="50" spans="1:9">
      <c r="A50" s="1"/>
      <c r="B50" s="530" t="s">
        <v>54</v>
      </c>
      <c r="C50" s="526">
        <v>210049</v>
      </c>
      <c r="D50" s="349" t="s">
        <v>55</v>
      </c>
      <c r="E50" s="1"/>
      <c r="F50" s="1"/>
      <c r="G50" s="1"/>
      <c r="H50" s="1"/>
      <c r="I50" s="69"/>
    </row>
    <row r="51" spans="1:9">
      <c r="A51" s="1"/>
      <c r="B51" s="530"/>
      <c r="C51" s="1"/>
      <c r="D51" s="1"/>
      <c r="E51" s="1"/>
      <c r="F51" s="1"/>
      <c r="G51" s="1"/>
      <c r="H51" s="1"/>
      <c r="I51" s="69"/>
    </row>
    <row r="52" spans="1:9">
      <c r="A52" s="1">
        <v>18</v>
      </c>
      <c r="B52" s="530" t="s">
        <v>3152</v>
      </c>
      <c r="C52" s="526">
        <v>100968</v>
      </c>
      <c r="D52" s="349" t="s">
        <v>57</v>
      </c>
      <c r="E52" s="1"/>
      <c r="F52" s="1" t="s">
        <v>3147</v>
      </c>
      <c r="G52" s="1" t="s">
        <v>2</v>
      </c>
      <c r="H52" s="349" t="s">
        <v>58</v>
      </c>
      <c r="I52" s="69"/>
    </row>
    <row r="53" spans="1:9">
      <c r="A53" s="1">
        <v>18</v>
      </c>
      <c r="B53" s="530" t="s">
        <v>3153</v>
      </c>
      <c r="C53" s="526">
        <v>100969</v>
      </c>
      <c r="D53" s="349" t="s">
        <v>60</v>
      </c>
      <c r="E53" s="1"/>
      <c r="F53" s="1" t="s">
        <v>3147</v>
      </c>
      <c r="G53" s="1" t="s">
        <v>2</v>
      </c>
      <c r="H53" s="349" t="s">
        <v>58</v>
      </c>
      <c r="I53" s="69"/>
    </row>
    <row r="54" spans="1:9">
      <c r="A54" s="1">
        <v>15</v>
      </c>
      <c r="B54" s="530" t="s">
        <v>3152</v>
      </c>
      <c r="C54" s="526">
        <v>100852</v>
      </c>
      <c r="D54" s="349" t="s">
        <v>61</v>
      </c>
      <c r="E54" s="1"/>
      <c r="F54" s="1" t="s">
        <v>3147</v>
      </c>
      <c r="G54" s="1" t="s">
        <v>2</v>
      </c>
      <c r="H54" s="349" t="s">
        <v>58</v>
      </c>
      <c r="I54" s="69"/>
    </row>
    <row r="55" spans="1:9">
      <c r="A55" s="1">
        <v>6</v>
      </c>
      <c r="B55" s="530" t="s">
        <v>3153</v>
      </c>
      <c r="C55" s="526">
        <v>101111</v>
      </c>
      <c r="D55" s="349" t="s">
        <v>62</v>
      </c>
      <c r="E55" s="1"/>
      <c r="F55" s="1" t="s">
        <v>3147</v>
      </c>
      <c r="G55" s="1" t="s">
        <v>2</v>
      </c>
      <c r="H55" s="349" t="s">
        <v>58</v>
      </c>
      <c r="I55" s="69"/>
    </row>
    <row r="56" spans="1:9">
      <c r="A56" s="1"/>
      <c r="B56" s="530" t="s">
        <v>54</v>
      </c>
      <c r="C56" s="526">
        <v>210047</v>
      </c>
      <c r="D56" s="349" t="s">
        <v>63</v>
      </c>
      <c r="E56" s="1"/>
      <c r="F56" s="1"/>
      <c r="G56" s="1"/>
      <c r="H56" s="1"/>
      <c r="I56" s="69"/>
    </row>
    <row r="57" spans="1:9">
      <c r="A57" s="1"/>
      <c r="B57" s="530" t="s">
        <v>54</v>
      </c>
      <c r="C57" s="526">
        <v>210164</v>
      </c>
      <c r="D57" s="349" t="s">
        <v>64</v>
      </c>
      <c r="E57" s="1"/>
      <c r="F57" s="1"/>
      <c r="G57" s="1"/>
      <c r="H57" s="1"/>
      <c r="I57" s="69"/>
    </row>
    <row r="58" spans="1:9">
      <c r="A58" s="1"/>
      <c r="B58" s="530" t="s">
        <v>54</v>
      </c>
      <c r="C58" s="526">
        <v>220198</v>
      </c>
      <c r="D58" s="349" t="s">
        <v>65</v>
      </c>
      <c r="E58" s="1"/>
      <c r="F58" s="1"/>
      <c r="G58" s="1"/>
      <c r="H58" s="1"/>
      <c r="I58" s="69"/>
    </row>
    <row r="59" spans="1:9">
      <c r="A59" s="1"/>
      <c r="B59" s="530"/>
      <c r="C59" s="1"/>
      <c r="D59" s="1"/>
      <c r="E59" s="1"/>
      <c r="F59" s="1"/>
      <c r="G59" s="1"/>
      <c r="H59" s="1"/>
      <c r="I59" s="69"/>
    </row>
    <row r="60" spans="1:9">
      <c r="A60" s="1">
        <v>24</v>
      </c>
      <c r="B60" s="530" t="s">
        <v>3150</v>
      </c>
      <c r="C60" s="526">
        <v>100854</v>
      </c>
      <c r="D60" s="349" t="s">
        <v>67</v>
      </c>
      <c r="E60" s="1"/>
      <c r="F60" s="1" t="s">
        <v>3147</v>
      </c>
      <c r="G60" s="1" t="s">
        <v>2</v>
      </c>
      <c r="H60" s="349" t="s">
        <v>68</v>
      </c>
      <c r="I60" s="69"/>
    </row>
    <row r="61" spans="1:9">
      <c r="A61" s="1">
        <v>18</v>
      </c>
      <c r="B61" s="530" t="s">
        <v>3150</v>
      </c>
      <c r="C61" s="526">
        <v>100903</v>
      </c>
      <c r="D61" s="349" t="s">
        <v>69</v>
      </c>
      <c r="E61" s="1"/>
      <c r="F61" s="1" t="s">
        <v>3147</v>
      </c>
      <c r="G61" s="1" t="s">
        <v>2</v>
      </c>
      <c r="H61" s="349" t="s">
        <v>68</v>
      </c>
      <c r="I61" s="69"/>
    </row>
    <row r="62" spans="1:9">
      <c r="A62" s="1">
        <v>18</v>
      </c>
      <c r="B62" s="530" t="s">
        <v>3151</v>
      </c>
      <c r="C62" s="526">
        <v>100904</v>
      </c>
      <c r="D62" s="349" t="s">
        <v>71</v>
      </c>
      <c r="E62" s="1"/>
      <c r="F62" s="1" t="s">
        <v>3147</v>
      </c>
      <c r="G62" s="1" t="s">
        <v>2</v>
      </c>
      <c r="H62" s="349" t="s">
        <v>68</v>
      </c>
      <c r="I62" s="69"/>
    </row>
    <row r="63" spans="1:9">
      <c r="A63" s="1">
        <v>15</v>
      </c>
      <c r="B63" s="530" t="s">
        <v>3150</v>
      </c>
      <c r="C63" s="526">
        <v>100855</v>
      </c>
      <c r="D63" s="349" t="s">
        <v>72</v>
      </c>
      <c r="E63" s="1"/>
      <c r="F63" s="1" t="s">
        <v>3147</v>
      </c>
      <c r="G63" s="1" t="s">
        <v>2</v>
      </c>
      <c r="H63" s="349" t="s">
        <v>68</v>
      </c>
      <c r="I63" s="69"/>
    </row>
    <row r="64" spans="1:9">
      <c r="A64" s="1">
        <v>6</v>
      </c>
      <c r="B64" s="530" t="s">
        <v>3151</v>
      </c>
      <c r="C64" s="526">
        <v>100905</v>
      </c>
      <c r="D64" s="349" t="s">
        <v>73</v>
      </c>
      <c r="E64" s="1"/>
      <c r="F64" s="1" t="s">
        <v>3147</v>
      </c>
      <c r="G64" s="1" t="s">
        <v>2</v>
      </c>
      <c r="H64" s="349" t="s">
        <v>68</v>
      </c>
      <c r="I64" s="69"/>
    </row>
    <row r="65" spans="1:9">
      <c r="A65" s="1">
        <v>9</v>
      </c>
      <c r="B65" s="530" t="s">
        <v>3151</v>
      </c>
      <c r="C65" s="526">
        <v>100856</v>
      </c>
      <c r="D65" s="349" t="s">
        <v>74</v>
      </c>
      <c r="E65" s="1"/>
      <c r="F65" s="1" t="s">
        <v>3147</v>
      </c>
      <c r="G65" s="1" t="s">
        <v>2</v>
      </c>
      <c r="H65" s="349" t="s">
        <v>68</v>
      </c>
      <c r="I65" s="69"/>
    </row>
    <row r="66" spans="1:9">
      <c r="A66" s="1"/>
      <c r="B66" s="530" t="s">
        <v>52</v>
      </c>
      <c r="C66" s="526">
        <v>120952</v>
      </c>
      <c r="D66" s="349" t="s">
        <v>75</v>
      </c>
      <c r="E66" s="1"/>
      <c r="F66" s="1" t="s">
        <v>3147</v>
      </c>
      <c r="G66" s="1"/>
      <c r="H66" s="1"/>
      <c r="I66" s="69"/>
    </row>
    <row r="67" spans="1:9">
      <c r="A67" s="1"/>
      <c r="B67" s="530" t="s">
        <v>54</v>
      </c>
      <c r="C67" s="526">
        <v>210481</v>
      </c>
      <c r="D67" s="349" t="s">
        <v>76</v>
      </c>
      <c r="E67" s="1"/>
      <c r="F67" s="1"/>
      <c r="G67" s="1"/>
      <c r="H67" s="1"/>
      <c r="I67" s="69"/>
    </row>
    <row r="68" spans="1:9">
      <c r="A68" s="1"/>
      <c r="B68" s="530" t="s">
        <v>54</v>
      </c>
      <c r="C68" s="526">
        <v>220320</v>
      </c>
      <c r="D68" s="349" t="s">
        <v>77</v>
      </c>
      <c r="E68" s="1"/>
      <c r="F68" s="1"/>
      <c r="G68" s="1"/>
      <c r="H68" s="1"/>
      <c r="I68" s="69"/>
    </row>
    <row r="69" spans="1:9">
      <c r="A69" s="1"/>
      <c r="B69" s="530"/>
      <c r="C69" s="1"/>
      <c r="D69" s="1"/>
      <c r="E69" s="1"/>
      <c r="F69" s="1"/>
      <c r="G69" s="1"/>
      <c r="H69" s="1"/>
      <c r="I69" s="69"/>
    </row>
    <row r="70" spans="1:9">
      <c r="A70" s="1">
        <v>18</v>
      </c>
      <c r="B70" s="530" t="s">
        <v>3148</v>
      </c>
      <c r="C70" s="526">
        <v>100868</v>
      </c>
      <c r="D70" s="349" t="s">
        <v>79</v>
      </c>
      <c r="E70" s="1"/>
      <c r="F70" s="1" t="s">
        <v>3147</v>
      </c>
      <c r="G70" s="1" t="s">
        <v>2</v>
      </c>
      <c r="H70" s="349" t="s">
        <v>80</v>
      </c>
      <c r="I70" s="69"/>
    </row>
    <row r="71" spans="1:9">
      <c r="A71" s="1">
        <v>18</v>
      </c>
      <c r="B71" s="530" t="s">
        <v>3149</v>
      </c>
      <c r="C71" s="526">
        <v>100874</v>
      </c>
      <c r="D71" s="349" t="s">
        <v>82</v>
      </c>
      <c r="E71" s="1"/>
      <c r="F71" s="1" t="s">
        <v>3147</v>
      </c>
      <c r="G71" s="1" t="s">
        <v>2</v>
      </c>
      <c r="H71" s="349" t="s">
        <v>80</v>
      </c>
      <c r="I71" s="69"/>
    </row>
    <row r="72" spans="1:9">
      <c r="A72" s="1">
        <v>15</v>
      </c>
      <c r="B72" s="530" t="s">
        <v>3149</v>
      </c>
      <c r="C72" s="526">
        <v>100869</v>
      </c>
      <c r="D72" s="349" t="s">
        <v>83</v>
      </c>
      <c r="E72" s="1"/>
      <c r="F72" s="1" t="s">
        <v>3147</v>
      </c>
      <c r="G72" s="1" t="s">
        <v>2</v>
      </c>
      <c r="H72" s="349" t="s">
        <v>80</v>
      </c>
      <c r="I72" s="69"/>
    </row>
    <row r="73" spans="1:9">
      <c r="A73" s="1">
        <v>6</v>
      </c>
      <c r="B73" s="530" t="s">
        <v>3148</v>
      </c>
      <c r="C73" s="526">
        <v>101031</v>
      </c>
      <c r="D73" s="349" t="s">
        <v>84</v>
      </c>
      <c r="E73" s="1"/>
      <c r="F73" s="1" t="s">
        <v>3147</v>
      </c>
      <c r="G73" s="1" t="s">
        <v>2</v>
      </c>
      <c r="H73" s="349" t="s">
        <v>80</v>
      </c>
      <c r="I73" s="69"/>
    </row>
    <row r="74" spans="1:9">
      <c r="A74" s="1"/>
      <c r="B74" s="530" t="s">
        <v>54</v>
      </c>
      <c r="C74" s="526">
        <v>220140</v>
      </c>
      <c r="D74" s="349" t="s">
        <v>85</v>
      </c>
      <c r="E74" s="1"/>
      <c r="F74" s="1"/>
      <c r="G74" s="1"/>
      <c r="H74" s="1"/>
      <c r="I74" s="69"/>
    </row>
    <row r="75" spans="1:9">
      <c r="A75" s="1"/>
      <c r="B75" s="530" t="s">
        <v>54</v>
      </c>
      <c r="C75" s="526">
        <v>220141</v>
      </c>
      <c r="D75" s="349" t="s">
        <v>86</v>
      </c>
      <c r="E75" s="1"/>
      <c r="F75" s="1"/>
      <c r="G75" s="1"/>
      <c r="H75" s="1"/>
      <c r="I75" s="69"/>
    </row>
    <row r="76" spans="1:9">
      <c r="A76" s="1"/>
      <c r="B76" s="530" t="s">
        <v>54</v>
      </c>
      <c r="C76" s="526">
        <v>220217</v>
      </c>
      <c r="D76" s="349" t="s">
        <v>87</v>
      </c>
      <c r="E76" s="1"/>
      <c r="F76" s="1"/>
      <c r="G76" s="1"/>
      <c r="H76" s="1"/>
      <c r="I76" s="69"/>
    </row>
    <row r="77" spans="1:9">
      <c r="A77" s="1"/>
      <c r="B77" s="530"/>
      <c r="C77" s="1"/>
      <c r="D77" s="1"/>
      <c r="E77" s="1"/>
      <c r="F77" s="1"/>
      <c r="G77" s="1"/>
      <c r="H77" s="1"/>
      <c r="I77" s="69"/>
    </row>
    <row r="78" spans="1:9">
      <c r="A78" s="1">
        <v>3</v>
      </c>
      <c r="B78" s="530" t="s">
        <v>4</v>
      </c>
      <c r="C78" s="527">
        <v>101060</v>
      </c>
      <c r="D78" s="350" t="s">
        <v>88</v>
      </c>
      <c r="E78" s="1"/>
      <c r="F78" s="1" t="s">
        <v>3147</v>
      </c>
      <c r="G78" s="1" t="s">
        <v>89</v>
      </c>
      <c r="H78" s="1"/>
      <c r="I78" s="69"/>
    </row>
    <row r="79" spans="1:9">
      <c r="A79" s="1">
        <v>3</v>
      </c>
      <c r="B79" s="530" t="s">
        <v>4</v>
      </c>
      <c r="C79" s="526">
        <v>101061</v>
      </c>
      <c r="D79" s="351" t="s">
        <v>90</v>
      </c>
      <c r="E79" s="1"/>
      <c r="F79" s="1" t="s">
        <v>3147</v>
      </c>
      <c r="G79" s="1" t="s">
        <v>89</v>
      </c>
      <c r="H79" s="1"/>
      <c r="I79" s="69"/>
    </row>
    <row r="80" spans="1:9">
      <c r="A80" s="1">
        <v>4</v>
      </c>
      <c r="B80" s="530" t="s">
        <v>4</v>
      </c>
      <c r="C80" s="526">
        <v>100976</v>
      </c>
      <c r="D80" s="351" t="s">
        <v>91</v>
      </c>
      <c r="E80" s="1"/>
      <c r="F80" s="1" t="s">
        <v>3147</v>
      </c>
      <c r="G80" s="1" t="s">
        <v>89</v>
      </c>
      <c r="H80" s="1"/>
      <c r="I80" s="69"/>
    </row>
    <row r="81" spans="1:9">
      <c r="A81" s="1">
        <v>6</v>
      </c>
      <c r="B81" s="530" t="s">
        <v>4</v>
      </c>
      <c r="C81" s="526">
        <v>101062</v>
      </c>
      <c r="D81" s="351" t="s">
        <v>92</v>
      </c>
      <c r="E81" s="1"/>
      <c r="F81" s="1" t="s">
        <v>3147</v>
      </c>
      <c r="G81" s="1" t="s">
        <v>89</v>
      </c>
      <c r="H81" s="1"/>
      <c r="I81" s="69"/>
    </row>
    <row r="82" spans="1:9">
      <c r="A82" s="1">
        <v>6</v>
      </c>
      <c r="B82" s="530" t="s">
        <v>4</v>
      </c>
      <c r="C82" s="526">
        <v>101063</v>
      </c>
      <c r="D82" s="351" t="s">
        <v>93</v>
      </c>
      <c r="E82" s="1"/>
      <c r="F82" s="1" t="s">
        <v>3147</v>
      </c>
      <c r="G82" s="1" t="s">
        <v>89</v>
      </c>
      <c r="H82" s="1"/>
      <c r="I82" s="69"/>
    </row>
    <row r="83" spans="1:9">
      <c r="A83" s="1">
        <v>6</v>
      </c>
      <c r="B83" s="530" t="s">
        <v>4</v>
      </c>
      <c r="C83" s="526">
        <v>101064</v>
      </c>
      <c r="D83" s="351" t="s">
        <v>94</v>
      </c>
      <c r="E83" s="1"/>
      <c r="F83" s="1" t="s">
        <v>3147</v>
      </c>
      <c r="G83" s="1" t="s">
        <v>89</v>
      </c>
      <c r="H83" s="1"/>
      <c r="I83" s="69"/>
    </row>
    <row r="84" spans="1:9">
      <c r="A84" s="1">
        <v>9</v>
      </c>
      <c r="B84" s="530" t="s">
        <v>95</v>
      </c>
      <c r="C84" s="526">
        <v>100739</v>
      </c>
      <c r="D84" s="351" t="s">
        <v>96</v>
      </c>
      <c r="E84" s="1"/>
      <c r="F84" s="1" t="s">
        <v>3147</v>
      </c>
      <c r="G84" s="1" t="s">
        <v>89</v>
      </c>
      <c r="H84" s="1"/>
      <c r="I84" s="69"/>
    </row>
    <row r="85" spans="1:9">
      <c r="A85" s="1">
        <v>9</v>
      </c>
      <c r="B85" s="530" t="s">
        <v>4</v>
      </c>
      <c r="C85" s="526">
        <v>101065</v>
      </c>
      <c r="D85" s="351" t="s">
        <v>97</v>
      </c>
      <c r="E85" s="1"/>
      <c r="F85" s="1" t="s">
        <v>3147</v>
      </c>
      <c r="G85" s="1" t="s">
        <v>89</v>
      </c>
      <c r="H85" s="1"/>
      <c r="I85" s="69"/>
    </row>
    <row r="86" spans="1:9">
      <c r="A86" s="1">
        <v>9</v>
      </c>
      <c r="B86" s="530" t="s">
        <v>4</v>
      </c>
      <c r="C86" s="526">
        <v>101066</v>
      </c>
      <c r="D86" s="351" t="s">
        <v>98</v>
      </c>
      <c r="E86" s="1"/>
      <c r="F86" s="1" t="s">
        <v>3147</v>
      </c>
      <c r="G86" s="1" t="s">
        <v>89</v>
      </c>
      <c r="H86" s="1"/>
      <c r="I86" s="69"/>
    </row>
    <row r="87" spans="1:9">
      <c r="A87" s="1">
        <v>9</v>
      </c>
      <c r="B87" s="530" t="s">
        <v>4</v>
      </c>
      <c r="C87" s="526">
        <v>101067</v>
      </c>
      <c r="D87" s="351" t="s">
        <v>99</v>
      </c>
      <c r="E87" s="1"/>
      <c r="F87" s="1" t="s">
        <v>3147</v>
      </c>
      <c r="G87" s="1" t="s">
        <v>89</v>
      </c>
      <c r="H87" s="1"/>
      <c r="I87" s="69"/>
    </row>
    <row r="88" spans="1:9">
      <c r="A88" s="1">
        <v>12</v>
      </c>
      <c r="B88" s="530" t="s">
        <v>4</v>
      </c>
      <c r="C88" s="526">
        <v>101068</v>
      </c>
      <c r="D88" s="351" t="s">
        <v>100</v>
      </c>
      <c r="E88" s="1"/>
      <c r="F88" s="1" t="s">
        <v>3147</v>
      </c>
      <c r="G88" s="1" t="s">
        <v>89</v>
      </c>
      <c r="H88" s="1"/>
      <c r="I88" s="69"/>
    </row>
    <row r="89" spans="1:9">
      <c r="A89" s="1">
        <v>12</v>
      </c>
      <c r="B89" s="530" t="s">
        <v>4</v>
      </c>
      <c r="C89" s="526">
        <v>101069</v>
      </c>
      <c r="D89" s="351" t="s">
        <v>101</v>
      </c>
      <c r="E89" s="1"/>
      <c r="F89" s="1" t="s">
        <v>3147</v>
      </c>
      <c r="G89" s="1" t="s">
        <v>89</v>
      </c>
      <c r="H89" s="1"/>
      <c r="I89" s="69"/>
    </row>
    <row r="90" spans="1:9">
      <c r="A90" s="1">
        <v>13</v>
      </c>
      <c r="B90" s="530" t="s">
        <v>4</v>
      </c>
      <c r="C90" s="526">
        <v>100166</v>
      </c>
      <c r="D90" s="351" t="s">
        <v>102</v>
      </c>
      <c r="E90" s="1"/>
      <c r="F90" s="1" t="s">
        <v>3147</v>
      </c>
      <c r="G90" s="1" t="s">
        <v>89</v>
      </c>
      <c r="H90" s="1"/>
      <c r="I90" s="69"/>
    </row>
    <row r="91" spans="1:9">
      <c r="A91" s="1">
        <v>13</v>
      </c>
      <c r="B91" s="530" t="s">
        <v>4</v>
      </c>
      <c r="C91" s="526">
        <v>100563</v>
      </c>
      <c r="D91" s="351" t="s">
        <v>103</v>
      </c>
      <c r="E91" s="1"/>
      <c r="F91" s="1" t="s">
        <v>3147</v>
      </c>
      <c r="G91" s="1" t="s">
        <v>89</v>
      </c>
      <c r="H91" s="1"/>
      <c r="I91" s="69"/>
    </row>
    <row r="92" spans="1:9">
      <c r="A92" s="1">
        <v>13</v>
      </c>
      <c r="B92" s="530" t="s">
        <v>4</v>
      </c>
      <c r="C92" s="526">
        <v>1000026</v>
      </c>
      <c r="D92" s="351" t="s">
        <v>4391</v>
      </c>
      <c r="E92" s="1"/>
      <c r="F92" s="1" t="s">
        <v>3147</v>
      </c>
      <c r="G92" s="1"/>
      <c r="H92" s="1"/>
      <c r="I92" s="69"/>
    </row>
    <row r="93" spans="1:9">
      <c r="A93" s="1">
        <v>15</v>
      </c>
      <c r="B93" s="530" t="s">
        <v>95</v>
      </c>
      <c r="C93" s="526">
        <v>100738</v>
      </c>
      <c r="D93" s="351" t="s">
        <v>104</v>
      </c>
      <c r="E93" s="1"/>
      <c r="F93" s="1" t="s">
        <v>3147</v>
      </c>
      <c r="G93" s="1" t="s">
        <v>89</v>
      </c>
      <c r="H93" s="1"/>
      <c r="I93" s="69"/>
    </row>
    <row r="94" spans="1:9">
      <c r="A94" s="1">
        <v>14.5</v>
      </c>
      <c r="B94" s="530" t="s">
        <v>4</v>
      </c>
      <c r="C94" s="526">
        <v>101071</v>
      </c>
      <c r="D94" s="351" t="s">
        <v>105</v>
      </c>
      <c r="E94" s="1"/>
      <c r="F94" s="1" t="s">
        <v>3147</v>
      </c>
      <c r="G94" s="1" t="s">
        <v>89</v>
      </c>
      <c r="H94" s="1"/>
      <c r="I94" s="69"/>
    </row>
    <row r="95" spans="1:9">
      <c r="A95" s="1">
        <v>14.5</v>
      </c>
      <c r="B95" s="530" t="s">
        <v>4</v>
      </c>
      <c r="C95" s="526">
        <v>101072</v>
      </c>
      <c r="D95" s="351" t="s">
        <v>106</v>
      </c>
      <c r="E95" s="1"/>
      <c r="F95" s="1" t="s">
        <v>3147</v>
      </c>
      <c r="G95" s="1" t="s">
        <v>89</v>
      </c>
      <c r="H95" s="1"/>
      <c r="I95" s="69"/>
    </row>
    <row r="96" spans="1:9">
      <c r="A96" s="1">
        <v>14.5</v>
      </c>
      <c r="B96" s="530" t="s">
        <v>4</v>
      </c>
      <c r="C96" s="526">
        <v>101118</v>
      </c>
      <c r="D96" s="351" t="s">
        <v>4321</v>
      </c>
      <c r="E96" s="1"/>
      <c r="F96" s="1" t="s">
        <v>3147</v>
      </c>
      <c r="G96" s="1"/>
      <c r="H96" s="1"/>
      <c r="I96" s="69"/>
    </row>
    <row r="97" spans="1:9">
      <c r="A97" s="1">
        <v>17</v>
      </c>
      <c r="B97" s="530" t="s">
        <v>4</v>
      </c>
      <c r="C97" s="526">
        <v>101073</v>
      </c>
      <c r="D97" s="351" t="s">
        <v>107</v>
      </c>
      <c r="E97" s="1"/>
      <c r="F97" s="1" t="s">
        <v>3147</v>
      </c>
      <c r="G97" s="1" t="s">
        <v>89</v>
      </c>
      <c r="H97" s="1"/>
      <c r="I97" s="69"/>
    </row>
    <row r="98" spans="1:9">
      <c r="A98" s="1">
        <v>17</v>
      </c>
      <c r="B98" s="530" t="s">
        <v>4</v>
      </c>
      <c r="C98" s="526">
        <v>101105</v>
      </c>
      <c r="D98" s="351" t="s">
        <v>108</v>
      </c>
      <c r="E98" s="1"/>
      <c r="F98" s="1" t="s">
        <v>3147</v>
      </c>
      <c r="G98" s="1" t="s">
        <v>89</v>
      </c>
      <c r="H98" s="1"/>
      <c r="I98" s="69"/>
    </row>
    <row r="99" spans="1:9">
      <c r="A99" s="1">
        <v>17</v>
      </c>
      <c r="B99" s="530" t="s">
        <v>4</v>
      </c>
      <c r="C99" s="526">
        <v>101074</v>
      </c>
      <c r="D99" s="351" t="s">
        <v>109</v>
      </c>
      <c r="E99" s="1"/>
      <c r="F99" s="1" t="s">
        <v>3147</v>
      </c>
      <c r="G99" s="1" t="s">
        <v>89</v>
      </c>
      <c r="H99" s="1"/>
      <c r="I99" s="69"/>
    </row>
    <row r="100" spans="1:9">
      <c r="A100" s="1">
        <v>18</v>
      </c>
      <c r="B100" s="530" t="s">
        <v>95</v>
      </c>
      <c r="C100" s="526">
        <v>100636</v>
      </c>
      <c r="D100" s="351" t="s">
        <v>110</v>
      </c>
      <c r="E100" s="1"/>
      <c r="F100" s="1" t="s">
        <v>3147</v>
      </c>
      <c r="G100" s="1" t="s">
        <v>89</v>
      </c>
      <c r="H100" s="1"/>
      <c r="I100" s="69"/>
    </row>
    <row r="101" spans="1:9">
      <c r="A101" s="1">
        <v>18</v>
      </c>
      <c r="B101" s="530" t="s">
        <v>4</v>
      </c>
      <c r="C101" s="526">
        <v>101075</v>
      </c>
      <c r="D101" s="351" t="s">
        <v>111</v>
      </c>
      <c r="E101" s="1"/>
      <c r="F101" s="1" t="s">
        <v>3147</v>
      </c>
      <c r="G101" s="1" t="s">
        <v>89</v>
      </c>
      <c r="H101" s="1"/>
      <c r="I101" s="69"/>
    </row>
    <row r="102" spans="1:9">
      <c r="A102" s="1">
        <v>18</v>
      </c>
      <c r="B102" s="530" t="s">
        <v>4</v>
      </c>
      <c r="C102" s="526">
        <v>101103</v>
      </c>
      <c r="D102" s="351" t="s">
        <v>112</v>
      </c>
      <c r="E102" s="1"/>
      <c r="F102" s="1" t="s">
        <v>3147</v>
      </c>
      <c r="G102" s="1" t="s">
        <v>89</v>
      </c>
      <c r="H102" s="1"/>
      <c r="I102" s="69"/>
    </row>
    <row r="103" spans="1:9">
      <c r="A103" s="1">
        <v>18</v>
      </c>
      <c r="B103" s="530" t="s">
        <v>4</v>
      </c>
      <c r="C103" s="526">
        <v>101076</v>
      </c>
      <c r="D103" s="351" t="s">
        <v>113</v>
      </c>
      <c r="E103" s="1"/>
      <c r="F103" s="1" t="s">
        <v>3147</v>
      </c>
      <c r="G103" s="1" t="s">
        <v>89</v>
      </c>
      <c r="H103" s="1"/>
      <c r="I103" s="69"/>
    </row>
    <row r="104" spans="1:9">
      <c r="A104" s="1">
        <v>18</v>
      </c>
      <c r="B104" s="530" t="s">
        <v>4</v>
      </c>
      <c r="C104" s="526">
        <v>101077</v>
      </c>
      <c r="D104" s="351" t="s">
        <v>114</v>
      </c>
      <c r="E104" s="1"/>
      <c r="F104" s="1" t="s">
        <v>3147</v>
      </c>
      <c r="G104" s="1" t="s">
        <v>89</v>
      </c>
      <c r="H104" s="1"/>
      <c r="I104" s="69"/>
    </row>
    <row r="105" spans="1:9">
      <c r="A105" s="1">
        <v>24</v>
      </c>
      <c r="B105" s="530" t="s">
        <v>4</v>
      </c>
      <c r="C105" s="526">
        <v>101078</v>
      </c>
      <c r="D105" s="351" t="s">
        <v>115</v>
      </c>
      <c r="E105" s="1"/>
      <c r="F105" s="1" t="s">
        <v>3147</v>
      </c>
      <c r="G105" s="1" t="s">
        <v>89</v>
      </c>
      <c r="H105" s="1"/>
      <c r="I105" s="69"/>
    </row>
    <row r="106" spans="1:9">
      <c r="A106" s="1">
        <v>5</v>
      </c>
      <c r="B106" s="530" t="s">
        <v>4</v>
      </c>
      <c r="C106" s="753">
        <v>1000162</v>
      </c>
      <c r="D106" s="754" t="s">
        <v>4087</v>
      </c>
      <c r="E106" s="282"/>
      <c r="F106" s="1" t="s">
        <v>3147</v>
      </c>
      <c r="G106" s="283" t="s">
        <v>4091</v>
      </c>
      <c r="H106" s="1"/>
      <c r="I106" s="69"/>
    </row>
    <row r="107" spans="1:9">
      <c r="A107" s="1">
        <v>5</v>
      </c>
      <c r="B107" s="530" t="s">
        <v>4</v>
      </c>
      <c r="C107" s="753">
        <v>1000163</v>
      </c>
      <c r="D107" s="754" t="s">
        <v>4088</v>
      </c>
      <c r="E107" s="282"/>
      <c r="F107" s="1" t="s">
        <v>3147</v>
      </c>
      <c r="G107" s="283"/>
      <c r="H107" s="1"/>
      <c r="I107" s="69"/>
    </row>
    <row r="108" spans="1:9">
      <c r="A108" s="1">
        <v>8</v>
      </c>
      <c r="B108" s="530" t="s">
        <v>4</v>
      </c>
      <c r="C108" s="753">
        <v>1000186</v>
      </c>
      <c r="D108" s="754" t="s">
        <v>4089</v>
      </c>
      <c r="E108" s="282"/>
      <c r="F108" s="1" t="s">
        <v>3147</v>
      </c>
      <c r="G108" s="283" t="s">
        <v>4091</v>
      </c>
      <c r="H108" s="1"/>
      <c r="I108" s="69"/>
    </row>
    <row r="109" spans="1:9">
      <c r="A109" s="1">
        <v>8</v>
      </c>
      <c r="B109" s="530" t="s">
        <v>4</v>
      </c>
      <c r="C109" s="753">
        <v>1000187</v>
      </c>
      <c r="D109" s="754" t="s">
        <v>4090</v>
      </c>
      <c r="E109" s="282"/>
      <c r="F109" s="1" t="s">
        <v>3147</v>
      </c>
      <c r="G109" s="283"/>
      <c r="H109" s="1"/>
      <c r="I109" s="69"/>
    </row>
    <row r="110" spans="1:9">
      <c r="A110" s="1">
        <v>38</v>
      </c>
      <c r="B110" s="530" t="s">
        <v>4</v>
      </c>
      <c r="C110" s="526">
        <v>100765</v>
      </c>
      <c r="D110" s="351" t="s">
        <v>116</v>
      </c>
      <c r="E110" s="1"/>
      <c r="F110" s="1" t="s">
        <v>3147</v>
      </c>
      <c r="G110" s="1" t="s">
        <v>89</v>
      </c>
      <c r="H110" s="1"/>
      <c r="I110" s="69"/>
    </row>
    <row r="111" spans="1:9">
      <c r="A111" s="1">
        <v>38</v>
      </c>
      <c r="B111" s="530" t="s">
        <v>4</v>
      </c>
      <c r="C111" s="526">
        <v>100766</v>
      </c>
      <c r="D111" s="351" t="s">
        <v>117</v>
      </c>
      <c r="E111" s="1"/>
      <c r="F111" s="1" t="s">
        <v>3147</v>
      </c>
      <c r="G111" s="1" t="s">
        <v>89</v>
      </c>
      <c r="H111" s="1"/>
      <c r="I111" s="69"/>
    </row>
    <row r="112" spans="1:9">
      <c r="A112" s="1">
        <v>38</v>
      </c>
      <c r="B112" s="530" t="s">
        <v>4</v>
      </c>
      <c r="C112" s="526">
        <v>100767</v>
      </c>
      <c r="D112" s="351" t="s">
        <v>118</v>
      </c>
      <c r="E112" s="1"/>
      <c r="F112" s="1" t="s">
        <v>3147</v>
      </c>
      <c r="G112" s="1" t="s">
        <v>89</v>
      </c>
      <c r="H112" s="1"/>
      <c r="I112" s="69"/>
    </row>
    <row r="113" spans="1:9">
      <c r="A113" s="1"/>
      <c r="B113" s="530"/>
      <c r="C113" s="1"/>
      <c r="D113" s="1"/>
      <c r="E113" s="1"/>
      <c r="F113" s="1"/>
      <c r="G113" s="1"/>
      <c r="H113" s="1"/>
      <c r="I113" s="69"/>
    </row>
    <row r="114" spans="1:9">
      <c r="A114" s="1">
        <v>24</v>
      </c>
      <c r="B114" s="530" t="s">
        <v>26</v>
      </c>
      <c r="C114" s="526">
        <v>101003</v>
      </c>
      <c r="D114" s="351" t="s">
        <v>119</v>
      </c>
      <c r="E114" s="1"/>
      <c r="F114" s="1" t="s">
        <v>3147</v>
      </c>
      <c r="G114" s="1" t="s">
        <v>89</v>
      </c>
      <c r="H114" s="1"/>
      <c r="I114" s="69"/>
    </row>
    <row r="115" spans="1:9">
      <c r="A115" s="1">
        <v>18</v>
      </c>
      <c r="B115" s="530" t="s">
        <v>26</v>
      </c>
      <c r="C115" s="526">
        <v>101004</v>
      </c>
      <c r="D115" s="351" t="s">
        <v>120</v>
      </c>
      <c r="E115" s="1"/>
      <c r="F115" s="1" t="s">
        <v>3147</v>
      </c>
      <c r="G115" s="1" t="s">
        <v>89</v>
      </c>
      <c r="H115" s="1"/>
      <c r="I115" s="69"/>
    </row>
    <row r="116" spans="1:9">
      <c r="A116" s="1">
        <v>18</v>
      </c>
      <c r="B116" s="530" t="s">
        <v>26</v>
      </c>
      <c r="C116" s="526">
        <v>101104</v>
      </c>
      <c r="D116" s="351" t="s">
        <v>121</v>
      </c>
      <c r="E116" s="1"/>
      <c r="F116" s="1" t="s">
        <v>3147</v>
      </c>
      <c r="G116" s="1" t="s">
        <v>89</v>
      </c>
      <c r="H116" s="1"/>
      <c r="I116" s="69"/>
    </row>
    <row r="117" spans="1:9">
      <c r="A117" s="1">
        <v>15</v>
      </c>
      <c r="B117" s="530" t="s">
        <v>26</v>
      </c>
      <c r="C117" s="526">
        <v>101005</v>
      </c>
      <c r="D117" s="351" t="s">
        <v>122</v>
      </c>
      <c r="E117" s="1"/>
      <c r="F117" s="1" t="s">
        <v>3147</v>
      </c>
      <c r="G117" s="1" t="s">
        <v>89</v>
      </c>
      <c r="H117" s="1"/>
      <c r="I117" s="69"/>
    </row>
    <row r="118" spans="1:9">
      <c r="A118" s="1">
        <v>13</v>
      </c>
      <c r="B118" s="530" t="s">
        <v>26</v>
      </c>
      <c r="C118" s="526">
        <v>101006</v>
      </c>
      <c r="D118" s="351" t="s">
        <v>123</v>
      </c>
      <c r="E118" s="1"/>
      <c r="F118" s="1" t="s">
        <v>3147</v>
      </c>
      <c r="G118" s="1" t="s">
        <v>89</v>
      </c>
      <c r="H118" s="1"/>
      <c r="I118" s="69"/>
    </row>
    <row r="119" spans="1:9">
      <c r="A119" s="1">
        <v>13</v>
      </c>
      <c r="B119" s="530" t="s">
        <v>26</v>
      </c>
      <c r="C119" s="526">
        <v>101107</v>
      </c>
      <c r="D119" s="351" t="s">
        <v>124</v>
      </c>
      <c r="E119" s="1"/>
      <c r="F119" s="1" t="s">
        <v>3147</v>
      </c>
      <c r="G119" s="1" t="s">
        <v>89</v>
      </c>
      <c r="H119" s="1"/>
      <c r="I119" s="69"/>
    </row>
    <row r="120" spans="1:9">
      <c r="A120" s="1">
        <v>12</v>
      </c>
      <c r="B120" s="530" t="s">
        <v>26</v>
      </c>
      <c r="C120" s="526">
        <v>101007</v>
      </c>
      <c r="D120" s="351" t="s">
        <v>125</v>
      </c>
      <c r="E120" s="1"/>
      <c r="F120" s="1" t="s">
        <v>3147</v>
      </c>
      <c r="G120" s="1" t="s">
        <v>89</v>
      </c>
      <c r="H120" s="1"/>
      <c r="I120" s="69"/>
    </row>
    <row r="121" spans="1:9">
      <c r="A121" s="1">
        <v>9</v>
      </c>
      <c r="B121" s="530" t="s">
        <v>26</v>
      </c>
      <c r="C121" s="526">
        <v>101008</v>
      </c>
      <c r="D121" s="351" t="s">
        <v>126</v>
      </c>
      <c r="E121" s="1"/>
      <c r="F121" s="1" t="s">
        <v>3147</v>
      </c>
      <c r="G121" s="1" t="s">
        <v>89</v>
      </c>
      <c r="H121" s="1"/>
      <c r="I121" s="69"/>
    </row>
    <row r="122" spans="1:9">
      <c r="A122" s="1">
        <v>5.5</v>
      </c>
      <c r="B122" s="530" t="s">
        <v>26</v>
      </c>
      <c r="C122" s="526">
        <v>101018</v>
      </c>
      <c r="D122" s="351" t="s">
        <v>127</v>
      </c>
      <c r="E122" s="1"/>
      <c r="F122" s="1" t="s">
        <v>3147</v>
      </c>
      <c r="G122" s="1" t="s">
        <v>89</v>
      </c>
      <c r="H122" s="1"/>
      <c r="I122" s="69"/>
    </row>
    <row r="123" spans="1:9">
      <c r="A123" s="1">
        <v>3</v>
      </c>
      <c r="B123" s="530" t="s">
        <v>26</v>
      </c>
      <c r="C123" s="526">
        <v>101019</v>
      </c>
      <c r="D123" s="351" t="s">
        <v>128</v>
      </c>
      <c r="E123" s="1"/>
      <c r="F123" s="1" t="s">
        <v>3147</v>
      </c>
      <c r="G123" s="1" t="s">
        <v>89</v>
      </c>
      <c r="H123" s="1"/>
      <c r="I123" s="69"/>
    </row>
    <row r="124" spans="1:9">
      <c r="A124" s="1"/>
      <c r="B124" s="530" t="s">
        <v>35</v>
      </c>
      <c r="C124" s="526">
        <v>121531</v>
      </c>
      <c r="D124" s="351" t="s">
        <v>36</v>
      </c>
      <c r="E124" s="1"/>
      <c r="F124" s="1" t="s">
        <v>3147</v>
      </c>
      <c r="G124" s="1" t="s">
        <v>89</v>
      </c>
      <c r="H124" s="1"/>
      <c r="I124" s="69"/>
    </row>
    <row r="125" spans="1:9">
      <c r="A125" s="1"/>
      <c r="B125" s="530" t="s">
        <v>35</v>
      </c>
      <c r="C125" s="526">
        <v>121533</v>
      </c>
      <c r="D125" s="351" t="s">
        <v>37</v>
      </c>
      <c r="E125" s="1"/>
      <c r="F125" s="1" t="s">
        <v>3147</v>
      </c>
      <c r="G125" s="1" t="s">
        <v>89</v>
      </c>
      <c r="H125" s="1"/>
      <c r="I125" s="69"/>
    </row>
    <row r="126" spans="1:9">
      <c r="A126" s="1"/>
      <c r="B126" s="530"/>
      <c r="C126" s="1"/>
      <c r="D126" s="1"/>
      <c r="E126" s="1"/>
      <c r="F126" s="1"/>
      <c r="G126" s="1"/>
      <c r="H126" s="1"/>
      <c r="I126" s="69"/>
    </row>
    <row r="127" spans="1:9">
      <c r="A127" s="1">
        <v>5</v>
      </c>
      <c r="B127" s="530" t="s">
        <v>129</v>
      </c>
      <c r="C127" s="527">
        <v>101106</v>
      </c>
      <c r="D127" s="350" t="s">
        <v>130</v>
      </c>
      <c r="E127" s="1"/>
      <c r="F127" s="1" t="s">
        <v>3147</v>
      </c>
      <c r="G127" s="1" t="s">
        <v>89</v>
      </c>
      <c r="H127" s="1"/>
      <c r="I127" s="69"/>
    </row>
    <row r="128" spans="1:9">
      <c r="A128" s="1">
        <v>8</v>
      </c>
      <c r="B128" s="530" t="s">
        <v>129</v>
      </c>
      <c r="C128" s="526">
        <v>506844</v>
      </c>
      <c r="D128" s="351" t="s">
        <v>131</v>
      </c>
      <c r="E128" s="1"/>
      <c r="F128" s="1" t="s">
        <v>3147</v>
      </c>
      <c r="G128" s="1" t="s">
        <v>89</v>
      </c>
      <c r="H128" s="1"/>
      <c r="I128" s="69"/>
    </row>
    <row r="129" spans="1:9">
      <c r="A129" s="1">
        <v>10</v>
      </c>
      <c r="B129" s="530" t="s">
        <v>129</v>
      </c>
      <c r="C129" s="526">
        <v>101110</v>
      </c>
      <c r="D129" s="351" t="s">
        <v>132</v>
      </c>
      <c r="E129" s="1"/>
      <c r="F129" s="1" t="s">
        <v>3147</v>
      </c>
      <c r="G129" s="1" t="s">
        <v>89</v>
      </c>
      <c r="H129" s="1"/>
      <c r="I129" s="69"/>
    </row>
    <row r="130" spans="1:9">
      <c r="A130" s="1">
        <v>12</v>
      </c>
      <c r="B130" s="530" t="s">
        <v>129</v>
      </c>
      <c r="C130" s="526">
        <v>101109</v>
      </c>
      <c r="D130" s="351" t="s">
        <v>133</v>
      </c>
      <c r="E130" s="1"/>
      <c r="F130" s="1" t="s">
        <v>3147</v>
      </c>
      <c r="G130" s="1" t="s">
        <v>89</v>
      </c>
      <c r="H130" s="1"/>
      <c r="I130" s="69"/>
    </row>
    <row r="131" spans="1:9">
      <c r="A131" s="1">
        <v>15</v>
      </c>
      <c r="B131" s="530" t="s">
        <v>129</v>
      </c>
      <c r="C131" s="526">
        <v>506845</v>
      </c>
      <c r="D131" s="351" t="s">
        <v>134</v>
      </c>
      <c r="E131" s="1"/>
      <c r="F131" s="1" t="s">
        <v>3147</v>
      </c>
      <c r="G131" s="1" t="s">
        <v>89</v>
      </c>
      <c r="H131" s="1"/>
      <c r="I131" s="69"/>
    </row>
    <row r="132" spans="1:9">
      <c r="A132" s="1">
        <v>18</v>
      </c>
      <c r="B132" s="530" t="s">
        <v>129</v>
      </c>
      <c r="C132" s="526">
        <v>506846</v>
      </c>
      <c r="D132" s="351" t="s">
        <v>135</v>
      </c>
      <c r="E132" s="1"/>
      <c r="F132" s="1" t="s">
        <v>3147</v>
      </c>
      <c r="G132" s="1" t="s">
        <v>89</v>
      </c>
      <c r="H132" s="1"/>
      <c r="I132" s="69"/>
    </row>
    <row r="133" spans="1:9">
      <c r="A133" s="1"/>
      <c r="B133" s="530"/>
      <c r="C133" s="1"/>
      <c r="D133" s="1"/>
      <c r="E133" s="1"/>
      <c r="F133" s="1"/>
      <c r="G133" s="1"/>
      <c r="H133" s="1"/>
      <c r="I133" s="69"/>
    </row>
    <row r="134" spans="1:9">
      <c r="A134" s="1">
        <v>5</v>
      </c>
      <c r="B134" s="530" t="s">
        <v>136</v>
      </c>
      <c r="C134" s="527">
        <v>103952</v>
      </c>
      <c r="D134" s="350" t="s">
        <v>137</v>
      </c>
      <c r="E134" s="1"/>
      <c r="F134" s="1" t="s">
        <v>3147</v>
      </c>
      <c r="G134" s="1" t="s">
        <v>89</v>
      </c>
      <c r="H134" s="1"/>
      <c r="I134" s="69"/>
    </row>
    <row r="135" spans="1:9">
      <c r="A135" s="1">
        <v>8</v>
      </c>
      <c r="B135" s="530" t="s">
        <v>136</v>
      </c>
      <c r="C135" s="526">
        <v>103953</v>
      </c>
      <c r="D135" s="351" t="s">
        <v>138</v>
      </c>
      <c r="E135" s="1"/>
      <c r="F135" s="1" t="s">
        <v>3147</v>
      </c>
      <c r="G135" s="1" t="s">
        <v>89</v>
      </c>
      <c r="H135" s="1"/>
      <c r="I135" s="69"/>
    </row>
    <row r="136" spans="1:9">
      <c r="A136" s="1">
        <v>10</v>
      </c>
      <c r="B136" s="530" t="s">
        <v>136</v>
      </c>
      <c r="C136" s="526">
        <v>103954</v>
      </c>
      <c r="D136" s="351" t="s">
        <v>139</v>
      </c>
      <c r="E136" s="1"/>
      <c r="F136" s="1" t="s">
        <v>3147</v>
      </c>
      <c r="G136" s="1" t="s">
        <v>89</v>
      </c>
      <c r="H136" s="1"/>
      <c r="I136" s="69"/>
    </row>
    <row r="137" spans="1:9">
      <c r="A137" s="1">
        <v>12</v>
      </c>
      <c r="B137" s="530" t="s">
        <v>136</v>
      </c>
      <c r="C137" s="526">
        <v>103955</v>
      </c>
      <c r="D137" s="351" t="s">
        <v>140</v>
      </c>
      <c r="E137" s="1"/>
      <c r="F137" s="1" t="s">
        <v>3147</v>
      </c>
      <c r="G137" s="1" t="s">
        <v>89</v>
      </c>
      <c r="H137" s="1"/>
      <c r="I137" s="69"/>
    </row>
    <row r="138" spans="1:9">
      <c r="A138" s="1">
        <v>15</v>
      </c>
      <c r="B138" s="530" t="s">
        <v>136</v>
      </c>
      <c r="C138" s="526">
        <v>103956</v>
      </c>
      <c r="D138" s="351" t="s">
        <v>141</v>
      </c>
      <c r="E138" s="1"/>
      <c r="F138" s="1" t="s">
        <v>3147</v>
      </c>
      <c r="G138" s="1" t="s">
        <v>89</v>
      </c>
      <c r="H138" s="1"/>
      <c r="I138" s="69"/>
    </row>
    <row r="139" spans="1:9">
      <c r="A139" s="1">
        <v>18</v>
      </c>
      <c r="B139" s="530" t="s">
        <v>136</v>
      </c>
      <c r="C139" s="526">
        <v>103957</v>
      </c>
      <c r="D139" s="351" t="s">
        <v>142</v>
      </c>
      <c r="E139" s="1"/>
      <c r="F139" s="1" t="s">
        <v>3147</v>
      </c>
      <c r="G139" s="1" t="s">
        <v>89</v>
      </c>
      <c r="H139" s="1"/>
      <c r="I139" s="69"/>
    </row>
    <row r="140" spans="1:9">
      <c r="A140" s="1"/>
      <c r="B140" s="530"/>
      <c r="C140" s="1"/>
      <c r="D140" s="1"/>
      <c r="E140" s="1"/>
      <c r="F140" s="1"/>
      <c r="G140" s="1"/>
      <c r="H140" s="1"/>
      <c r="I140" s="69"/>
    </row>
    <row r="141" spans="1:9">
      <c r="A141" s="1">
        <v>18</v>
      </c>
      <c r="B141" s="530" t="s">
        <v>4</v>
      </c>
      <c r="C141" s="526">
        <v>100450</v>
      </c>
      <c r="D141" s="351" t="s">
        <v>143</v>
      </c>
      <c r="E141" s="1"/>
      <c r="F141" s="1" t="s">
        <v>3147</v>
      </c>
      <c r="G141" s="1" t="s">
        <v>89</v>
      </c>
      <c r="H141" s="1"/>
      <c r="I141" s="69"/>
    </row>
    <row r="142" spans="1:9">
      <c r="A142" s="1"/>
      <c r="B142" s="530"/>
      <c r="C142" s="1"/>
      <c r="D142" s="1"/>
      <c r="E142" s="1"/>
      <c r="F142" s="1"/>
      <c r="G142" s="1"/>
      <c r="H142" s="1"/>
      <c r="I142" s="69"/>
    </row>
    <row r="143" spans="1:9">
      <c r="A143" s="1">
        <v>15</v>
      </c>
      <c r="B143" s="530" t="s">
        <v>144</v>
      </c>
      <c r="C143" s="526">
        <v>100821</v>
      </c>
      <c r="D143" s="351" t="s">
        <v>145</v>
      </c>
      <c r="E143" s="1"/>
      <c r="F143" s="1" t="s">
        <v>3147</v>
      </c>
      <c r="G143" s="1" t="s">
        <v>89</v>
      </c>
      <c r="H143" s="351" t="s">
        <v>146</v>
      </c>
      <c r="I143" s="69"/>
    </row>
    <row r="144" spans="1:9">
      <c r="A144" s="1">
        <v>15</v>
      </c>
      <c r="B144" s="530" t="s">
        <v>144</v>
      </c>
      <c r="C144" s="526">
        <v>100823</v>
      </c>
      <c r="D144" s="351" t="s">
        <v>147</v>
      </c>
      <c r="E144" s="1"/>
      <c r="F144" s="1" t="s">
        <v>3147</v>
      </c>
      <c r="G144" s="1" t="s">
        <v>89</v>
      </c>
      <c r="H144" s="351" t="s">
        <v>146</v>
      </c>
      <c r="I144" s="69"/>
    </row>
    <row r="145" spans="1:9">
      <c r="A145" s="1">
        <v>6</v>
      </c>
      <c r="B145" s="530" t="s">
        <v>144</v>
      </c>
      <c r="C145" s="526">
        <v>100998</v>
      </c>
      <c r="D145" s="351" t="s">
        <v>148</v>
      </c>
      <c r="E145" s="1"/>
      <c r="F145" s="1" t="s">
        <v>3147</v>
      </c>
      <c r="G145" s="1" t="s">
        <v>89</v>
      </c>
      <c r="H145" s="351" t="s">
        <v>146</v>
      </c>
      <c r="I145" s="69"/>
    </row>
    <row r="146" spans="1:9">
      <c r="A146" s="1"/>
      <c r="B146" s="530" t="s">
        <v>52</v>
      </c>
      <c r="C146" s="526">
        <v>121368</v>
      </c>
      <c r="D146" s="351" t="s">
        <v>149</v>
      </c>
      <c r="E146" s="1"/>
      <c r="F146" s="1" t="s">
        <v>3147</v>
      </c>
      <c r="G146" s="1" t="s">
        <v>89</v>
      </c>
      <c r="H146" s="351" t="s">
        <v>146</v>
      </c>
      <c r="I146" s="69"/>
    </row>
    <row r="147" spans="1:9">
      <c r="A147" s="1"/>
      <c r="B147" s="530" t="s">
        <v>54</v>
      </c>
      <c r="C147" s="526">
        <v>210018</v>
      </c>
      <c r="D147" s="351" t="s">
        <v>150</v>
      </c>
      <c r="E147" s="1"/>
      <c r="F147" s="1"/>
      <c r="G147" s="1"/>
      <c r="H147" s="1"/>
      <c r="I147" s="69"/>
    </row>
    <row r="148" spans="1:9">
      <c r="A148" s="1"/>
      <c r="B148" s="530" t="s">
        <v>54</v>
      </c>
      <c r="C148" s="526">
        <v>210020</v>
      </c>
      <c r="D148" s="351" t="s">
        <v>151</v>
      </c>
      <c r="E148" s="1"/>
      <c r="F148" s="1"/>
      <c r="G148" s="1"/>
      <c r="H148" s="1"/>
      <c r="I148" s="69"/>
    </row>
    <row r="149" spans="1:9">
      <c r="A149" s="1"/>
      <c r="B149" s="530" t="s">
        <v>54</v>
      </c>
      <c r="C149" s="526">
        <v>210013</v>
      </c>
      <c r="D149" s="351" t="s">
        <v>152</v>
      </c>
      <c r="E149" s="1"/>
      <c r="F149" s="1"/>
      <c r="G149" s="1"/>
      <c r="H149" s="1"/>
      <c r="I149" s="69"/>
    </row>
    <row r="150" spans="1:9">
      <c r="A150" s="1"/>
      <c r="B150" s="530" t="s">
        <v>54</v>
      </c>
      <c r="C150" s="526">
        <v>210435</v>
      </c>
      <c r="D150" s="351" t="s">
        <v>153</v>
      </c>
      <c r="E150" s="1"/>
      <c r="F150" s="1"/>
      <c r="G150" s="1"/>
      <c r="H150" s="1"/>
      <c r="I150" s="69"/>
    </row>
    <row r="151" spans="1:9">
      <c r="A151" s="1"/>
      <c r="B151" s="530"/>
      <c r="C151" s="1"/>
      <c r="D151" s="1"/>
      <c r="E151" s="1"/>
      <c r="F151" s="1"/>
      <c r="G151" s="1"/>
      <c r="H151" s="1"/>
      <c r="I151" s="69"/>
    </row>
    <row r="152" spans="1:9">
      <c r="A152" s="1">
        <v>18</v>
      </c>
      <c r="B152" s="530" t="s">
        <v>39</v>
      </c>
      <c r="C152" s="528">
        <v>100952</v>
      </c>
      <c r="D152" s="350" t="s">
        <v>154</v>
      </c>
      <c r="E152" s="1"/>
      <c r="F152" s="1" t="s">
        <v>3147</v>
      </c>
      <c r="G152" s="1" t="s">
        <v>89</v>
      </c>
      <c r="H152" s="1"/>
      <c r="I152" s="69"/>
    </row>
    <row r="153" spans="1:9">
      <c r="A153" s="1">
        <v>15</v>
      </c>
      <c r="B153" s="530" t="s">
        <v>39</v>
      </c>
      <c r="C153" s="529">
        <v>100956</v>
      </c>
      <c r="D153" s="351" t="s">
        <v>155</v>
      </c>
      <c r="E153" s="1"/>
      <c r="F153" s="1" t="s">
        <v>3147</v>
      </c>
      <c r="G153" s="1" t="s">
        <v>89</v>
      </c>
      <c r="H153" s="1"/>
      <c r="I153" s="69"/>
    </row>
    <row r="154" spans="1:9">
      <c r="A154" s="1">
        <v>9</v>
      </c>
      <c r="B154" s="530" t="s">
        <v>41</v>
      </c>
      <c r="C154" s="529">
        <v>100957</v>
      </c>
      <c r="D154" s="351" t="s">
        <v>156</v>
      </c>
      <c r="E154" s="1"/>
      <c r="F154" s="1" t="s">
        <v>3147</v>
      </c>
      <c r="G154" s="1" t="s">
        <v>89</v>
      </c>
      <c r="H154" s="1"/>
      <c r="I154" s="69"/>
    </row>
    <row r="155" spans="1:9">
      <c r="A155" s="1">
        <v>6</v>
      </c>
      <c r="B155" s="530" t="s">
        <v>41</v>
      </c>
      <c r="C155" s="529">
        <v>100958</v>
      </c>
      <c r="D155" s="351" t="s">
        <v>157</v>
      </c>
      <c r="E155" s="1"/>
      <c r="F155" s="1" t="s">
        <v>3147</v>
      </c>
      <c r="G155" s="1" t="s">
        <v>89</v>
      </c>
      <c r="H155" s="1"/>
      <c r="I155" s="69"/>
    </row>
    <row r="156" spans="1:9">
      <c r="A156" s="1"/>
      <c r="B156" s="530"/>
      <c r="C156" s="529">
        <v>120125</v>
      </c>
      <c r="D156" s="351" t="s">
        <v>158</v>
      </c>
      <c r="E156" s="1"/>
      <c r="F156" s="1" t="s">
        <v>3147</v>
      </c>
      <c r="G156" s="1"/>
      <c r="H156" s="1"/>
      <c r="I156" s="69"/>
    </row>
    <row r="157" spans="1:9">
      <c r="A157" s="1"/>
      <c r="B157" s="530"/>
      <c r="C157" s="1"/>
      <c r="D157" s="1"/>
      <c r="E157" s="1"/>
      <c r="F157" s="1"/>
      <c r="G157" s="1"/>
      <c r="H157" s="1"/>
      <c r="I157" s="69"/>
    </row>
    <row r="158" spans="1:9">
      <c r="A158" s="1">
        <v>18</v>
      </c>
      <c r="B158" s="530" t="s">
        <v>47</v>
      </c>
      <c r="C158" s="526">
        <v>100944</v>
      </c>
      <c r="D158" s="351" t="s">
        <v>159</v>
      </c>
      <c r="E158" s="1"/>
      <c r="F158" s="1" t="s">
        <v>3147</v>
      </c>
      <c r="G158" s="1" t="s">
        <v>89</v>
      </c>
      <c r="H158" s="351" t="s">
        <v>55</v>
      </c>
      <c r="I158" s="69"/>
    </row>
    <row r="159" spans="1:9">
      <c r="A159" s="1">
        <v>18</v>
      </c>
      <c r="B159" s="530" t="s">
        <v>50</v>
      </c>
      <c r="C159" s="526">
        <v>100945</v>
      </c>
      <c r="D159" s="351" t="s">
        <v>160</v>
      </c>
      <c r="E159" s="1"/>
      <c r="F159" s="1" t="s">
        <v>3147</v>
      </c>
      <c r="G159" s="1" t="s">
        <v>89</v>
      </c>
      <c r="H159" s="351" t="s">
        <v>55</v>
      </c>
      <c r="I159" s="69"/>
    </row>
    <row r="160" spans="1:9">
      <c r="A160" s="1">
        <v>15</v>
      </c>
      <c r="B160" s="530" t="s">
        <v>47</v>
      </c>
      <c r="C160" s="526">
        <v>100960</v>
      </c>
      <c r="D160" s="351" t="s">
        <v>161</v>
      </c>
      <c r="E160" s="1"/>
      <c r="F160" s="1" t="s">
        <v>3147</v>
      </c>
      <c r="G160" s="1" t="s">
        <v>89</v>
      </c>
      <c r="H160" s="351" t="s">
        <v>55</v>
      </c>
      <c r="I160" s="69"/>
    </row>
    <row r="161" spans="1:9">
      <c r="A161" s="1">
        <v>9</v>
      </c>
      <c r="B161" s="530" t="s">
        <v>45</v>
      </c>
      <c r="C161" s="526">
        <v>100961</v>
      </c>
      <c r="D161" s="351" t="s">
        <v>162</v>
      </c>
      <c r="E161" s="1"/>
      <c r="F161" s="1" t="s">
        <v>3147</v>
      </c>
      <c r="G161" s="1" t="s">
        <v>89</v>
      </c>
      <c r="H161" s="351" t="s">
        <v>55</v>
      </c>
      <c r="I161" s="69"/>
    </row>
    <row r="162" spans="1:9">
      <c r="A162" s="1">
        <v>6</v>
      </c>
      <c r="B162" s="530" t="s">
        <v>45</v>
      </c>
      <c r="C162" s="526">
        <v>100946</v>
      </c>
      <c r="D162" s="351" t="s">
        <v>163</v>
      </c>
      <c r="E162" s="1"/>
      <c r="F162" s="1" t="s">
        <v>3147</v>
      </c>
      <c r="G162" s="1" t="s">
        <v>89</v>
      </c>
      <c r="H162" s="351" t="s">
        <v>55</v>
      </c>
      <c r="I162" s="69"/>
    </row>
    <row r="163" spans="1:9">
      <c r="A163" s="1"/>
      <c r="B163" s="530" t="s">
        <v>52</v>
      </c>
      <c r="C163" s="526">
        <v>120221</v>
      </c>
      <c r="D163" s="351" t="s">
        <v>53</v>
      </c>
      <c r="E163" s="1"/>
      <c r="F163" s="1" t="s">
        <v>3147</v>
      </c>
      <c r="G163" s="1"/>
      <c r="H163" s="1"/>
      <c r="I163" s="69"/>
    </row>
    <row r="164" spans="1:9">
      <c r="A164" s="1"/>
      <c r="B164" s="530" t="s">
        <v>54</v>
      </c>
      <c r="C164" s="526">
        <v>210049</v>
      </c>
      <c r="D164" s="351" t="s">
        <v>55</v>
      </c>
      <c r="E164" s="1"/>
      <c r="F164" s="1"/>
      <c r="G164" s="1"/>
      <c r="H164" s="1"/>
      <c r="I164" s="69"/>
    </row>
    <row r="165" spans="1:9">
      <c r="A165" s="1"/>
      <c r="B165" s="530"/>
      <c r="C165" s="1"/>
      <c r="D165" s="1"/>
      <c r="E165" s="1"/>
      <c r="F165" s="1"/>
      <c r="G165" s="1"/>
      <c r="H165" s="1"/>
      <c r="I165" s="69"/>
    </row>
    <row r="166" spans="1:9">
      <c r="A166" s="1">
        <v>24</v>
      </c>
      <c r="B166" s="530" t="s">
        <v>56</v>
      </c>
      <c r="C166" s="526">
        <v>100962</v>
      </c>
      <c r="D166" s="351" t="s">
        <v>164</v>
      </c>
      <c r="E166" s="1"/>
      <c r="F166" s="1" t="s">
        <v>3147</v>
      </c>
      <c r="G166" s="1" t="s">
        <v>89</v>
      </c>
      <c r="H166" s="351" t="s">
        <v>58</v>
      </c>
      <c r="I166" s="69"/>
    </row>
    <row r="167" spans="1:9">
      <c r="A167" s="1">
        <v>18</v>
      </c>
      <c r="B167" s="530" t="s">
        <v>56</v>
      </c>
      <c r="C167" s="526">
        <v>100919</v>
      </c>
      <c r="D167" s="351" t="s">
        <v>165</v>
      </c>
      <c r="E167" s="1"/>
      <c r="F167" s="1" t="s">
        <v>3147</v>
      </c>
      <c r="G167" s="1" t="s">
        <v>89</v>
      </c>
      <c r="H167" s="351" t="s">
        <v>58</v>
      </c>
      <c r="I167" s="69"/>
    </row>
    <row r="168" spans="1:9">
      <c r="A168" s="1">
        <v>18</v>
      </c>
      <c r="B168" s="530" t="s">
        <v>59</v>
      </c>
      <c r="C168" s="526">
        <v>100963</v>
      </c>
      <c r="D168" s="351" t="s">
        <v>166</v>
      </c>
      <c r="E168" s="1"/>
      <c r="F168" s="1" t="s">
        <v>3147</v>
      </c>
      <c r="G168" s="1" t="s">
        <v>89</v>
      </c>
      <c r="H168" s="351" t="s">
        <v>58</v>
      </c>
      <c r="I168" s="69"/>
    </row>
    <row r="169" spans="1:9">
      <c r="A169" s="1">
        <v>15</v>
      </c>
      <c r="B169" s="530" t="s">
        <v>56</v>
      </c>
      <c r="C169" s="526">
        <v>100964</v>
      </c>
      <c r="D169" s="351" t="s">
        <v>167</v>
      </c>
      <c r="E169" s="1"/>
      <c r="F169" s="1" t="s">
        <v>3147</v>
      </c>
      <c r="G169" s="1" t="s">
        <v>89</v>
      </c>
      <c r="H169" s="351" t="s">
        <v>58</v>
      </c>
      <c r="I169" s="69"/>
    </row>
    <row r="170" spans="1:9">
      <c r="A170" s="1">
        <v>9</v>
      </c>
      <c r="B170" s="530" t="s">
        <v>59</v>
      </c>
      <c r="C170" s="526">
        <v>100965</v>
      </c>
      <c r="D170" s="351" t="s">
        <v>168</v>
      </c>
      <c r="E170" s="1"/>
      <c r="F170" s="1" t="s">
        <v>3147</v>
      </c>
      <c r="G170" s="1" t="s">
        <v>89</v>
      </c>
      <c r="H170" s="351" t="s">
        <v>58</v>
      </c>
      <c r="I170" s="69"/>
    </row>
    <row r="171" spans="1:9">
      <c r="A171" s="1">
        <v>6</v>
      </c>
      <c r="B171" s="530" t="s">
        <v>59</v>
      </c>
      <c r="C171" s="526">
        <v>100668</v>
      </c>
      <c r="D171" s="351" t="s">
        <v>169</v>
      </c>
      <c r="E171" s="1"/>
      <c r="F171" s="1" t="s">
        <v>3147</v>
      </c>
      <c r="G171" s="1" t="s">
        <v>89</v>
      </c>
      <c r="H171" s="351" t="s">
        <v>58</v>
      </c>
      <c r="I171" s="69"/>
    </row>
    <row r="172" spans="1:9">
      <c r="A172" s="1"/>
      <c r="B172" s="530" t="s">
        <v>52</v>
      </c>
      <c r="C172" s="526">
        <v>120529</v>
      </c>
      <c r="D172" s="351" t="s">
        <v>170</v>
      </c>
      <c r="E172" s="1"/>
      <c r="F172" s="1" t="s">
        <v>3147</v>
      </c>
      <c r="G172" s="1"/>
      <c r="H172" s="1"/>
      <c r="I172" s="69"/>
    </row>
    <row r="173" spans="1:9">
      <c r="A173" s="1"/>
      <c r="B173" s="530" t="s">
        <v>54</v>
      </c>
      <c r="C173" s="526">
        <v>210047</v>
      </c>
      <c r="D173" s="351" t="s">
        <v>63</v>
      </c>
      <c r="E173" s="1"/>
      <c r="F173" s="1"/>
      <c r="G173" s="1"/>
      <c r="H173" s="1"/>
      <c r="I173" s="69"/>
    </row>
    <row r="174" spans="1:9">
      <c r="A174" s="1"/>
      <c r="B174" s="530" t="s">
        <v>54</v>
      </c>
      <c r="C174" s="526">
        <v>210164</v>
      </c>
      <c r="D174" s="351" t="s">
        <v>64</v>
      </c>
      <c r="E174" s="1"/>
      <c r="F174" s="1"/>
      <c r="G174" s="1"/>
      <c r="H174" s="1"/>
      <c r="I174" s="69"/>
    </row>
    <row r="175" spans="1:9">
      <c r="A175" s="1"/>
      <c r="B175" s="530" t="s">
        <v>54</v>
      </c>
      <c r="C175" s="526">
        <v>220198</v>
      </c>
      <c r="D175" s="351" t="s">
        <v>65</v>
      </c>
      <c r="E175" s="1"/>
      <c r="F175" s="1"/>
      <c r="G175" s="1"/>
      <c r="H175" s="1"/>
      <c r="I175" s="69"/>
    </row>
    <row r="176" spans="1:9">
      <c r="A176" s="1"/>
      <c r="B176" s="530"/>
      <c r="C176" s="1"/>
      <c r="D176" s="1"/>
      <c r="E176" s="1"/>
      <c r="F176" s="1"/>
      <c r="G176" s="1"/>
      <c r="H176" s="1"/>
      <c r="I176" s="69"/>
    </row>
    <row r="177" spans="1:9">
      <c r="A177" s="1">
        <v>24</v>
      </c>
      <c r="B177" s="530" t="s">
        <v>66</v>
      </c>
      <c r="C177" s="526">
        <v>100949</v>
      </c>
      <c r="D177" s="351" t="s">
        <v>171</v>
      </c>
      <c r="E177" s="1"/>
      <c r="F177" s="1" t="s">
        <v>3147</v>
      </c>
      <c r="G177" s="1" t="s">
        <v>89</v>
      </c>
      <c r="H177" s="351" t="s">
        <v>68</v>
      </c>
      <c r="I177" s="69"/>
    </row>
    <row r="178" spans="1:9">
      <c r="A178" s="1">
        <v>18</v>
      </c>
      <c r="B178" s="530" t="s">
        <v>66</v>
      </c>
      <c r="C178" s="526">
        <v>100934</v>
      </c>
      <c r="D178" s="351" t="s">
        <v>172</v>
      </c>
      <c r="E178" s="1"/>
      <c r="F178" s="1" t="s">
        <v>3147</v>
      </c>
      <c r="G178" s="1" t="s">
        <v>89</v>
      </c>
      <c r="H178" s="351" t="s">
        <v>68</v>
      </c>
      <c r="I178" s="69"/>
    </row>
    <row r="179" spans="1:9">
      <c r="A179" s="1">
        <v>18</v>
      </c>
      <c r="B179" s="530" t="s">
        <v>3203</v>
      </c>
      <c r="C179" s="526">
        <v>1000142</v>
      </c>
      <c r="D179" s="351" t="s">
        <v>3202</v>
      </c>
      <c r="E179" s="1"/>
      <c r="F179" s="1"/>
      <c r="G179" s="1"/>
      <c r="H179" s="351"/>
      <c r="I179" s="69"/>
    </row>
    <row r="180" spans="1:9">
      <c r="A180" s="1">
        <v>18</v>
      </c>
      <c r="B180" s="530" t="s">
        <v>70</v>
      </c>
      <c r="C180" s="526">
        <v>100943</v>
      </c>
      <c r="D180" s="351" t="s">
        <v>173</v>
      </c>
      <c r="E180" s="1"/>
      <c r="F180" s="1" t="s">
        <v>3147</v>
      </c>
      <c r="G180" s="1" t="s">
        <v>89</v>
      </c>
      <c r="H180" s="351" t="s">
        <v>68</v>
      </c>
      <c r="I180" s="69"/>
    </row>
    <row r="181" spans="1:9">
      <c r="A181" s="1">
        <v>15</v>
      </c>
      <c r="B181" s="530" t="s">
        <v>66</v>
      </c>
      <c r="C181" s="526">
        <v>100303</v>
      </c>
      <c r="D181" s="351" t="s">
        <v>174</v>
      </c>
      <c r="E181" s="1"/>
      <c r="F181" s="1" t="s">
        <v>3147</v>
      </c>
      <c r="G181" s="1" t="s">
        <v>89</v>
      </c>
      <c r="H181" s="351" t="s">
        <v>68</v>
      </c>
      <c r="I181" s="69"/>
    </row>
    <row r="182" spans="1:9">
      <c r="A182" s="1">
        <v>9</v>
      </c>
      <c r="B182" s="530" t="s">
        <v>70</v>
      </c>
      <c r="C182" s="526">
        <v>100366</v>
      </c>
      <c r="D182" s="351" t="s">
        <v>175</v>
      </c>
      <c r="E182" s="1"/>
      <c r="F182" s="1" t="s">
        <v>3147</v>
      </c>
      <c r="G182" s="1" t="s">
        <v>89</v>
      </c>
      <c r="H182" s="351" t="s">
        <v>68</v>
      </c>
      <c r="I182" s="69"/>
    </row>
    <row r="183" spans="1:9">
      <c r="A183" s="1">
        <v>6</v>
      </c>
      <c r="B183" s="530" t="s">
        <v>70</v>
      </c>
      <c r="C183" s="526">
        <v>100304</v>
      </c>
      <c r="D183" s="351" t="s">
        <v>176</v>
      </c>
      <c r="E183" s="1"/>
      <c r="F183" s="1" t="s">
        <v>3147</v>
      </c>
      <c r="G183" s="1" t="s">
        <v>89</v>
      </c>
      <c r="H183" s="351" t="s">
        <v>68</v>
      </c>
      <c r="I183" s="69"/>
    </row>
    <row r="184" spans="1:9">
      <c r="A184" s="1"/>
      <c r="B184" s="530" t="s">
        <v>52</v>
      </c>
      <c r="C184" s="526">
        <v>120952</v>
      </c>
      <c r="D184" s="351" t="s">
        <v>75</v>
      </c>
      <c r="E184" s="1"/>
      <c r="F184" s="1" t="s">
        <v>3147</v>
      </c>
      <c r="G184" s="1"/>
      <c r="H184" s="1"/>
      <c r="I184" s="69"/>
    </row>
    <row r="185" spans="1:9">
      <c r="A185" s="1"/>
      <c r="B185" s="530" t="s">
        <v>54</v>
      </c>
      <c r="C185" s="526">
        <v>210481</v>
      </c>
      <c r="D185" s="351" t="s">
        <v>76</v>
      </c>
      <c r="E185" s="1"/>
      <c r="F185" s="1"/>
      <c r="G185" s="1"/>
      <c r="H185" s="1"/>
      <c r="I185" s="69"/>
    </row>
    <row r="186" spans="1:9">
      <c r="A186" s="1"/>
      <c r="B186" s="530" t="s">
        <v>54</v>
      </c>
      <c r="C186" s="526">
        <v>220320</v>
      </c>
      <c r="D186" s="351" t="s">
        <v>77</v>
      </c>
      <c r="E186" s="1"/>
      <c r="F186" s="1"/>
      <c r="G186" s="1"/>
      <c r="H186" s="1"/>
      <c r="I186" s="69"/>
    </row>
    <row r="187" spans="1:9">
      <c r="A187" s="1"/>
      <c r="B187" s="530"/>
      <c r="C187" s="1"/>
      <c r="D187" s="1"/>
      <c r="E187" s="1"/>
      <c r="F187" s="1"/>
      <c r="G187" s="1"/>
      <c r="H187" s="1"/>
      <c r="I187" s="69"/>
    </row>
    <row r="188" spans="1:9">
      <c r="A188" s="1">
        <v>24</v>
      </c>
      <c r="B188" s="530" t="s">
        <v>81</v>
      </c>
      <c r="C188" s="526">
        <v>100947</v>
      </c>
      <c r="D188" s="351" t="s">
        <v>177</v>
      </c>
      <c r="E188" s="1"/>
      <c r="F188" s="1" t="s">
        <v>3147</v>
      </c>
      <c r="G188" s="1" t="s">
        <v>89</v>
      </c>
      <c r="H188" s="351" t="s">
        <v>80</v>
      </c>
      <c r="I188" s="69"/>
    </row>
    <row r="189" spans="1:9">
      <c r="A189" s="1">
        <v>18</v>
      </c>
      <c r="B189" s="530" t="s">
        <v>81</v>
      </c>
      <c r="C189" s="526">
        <v>100966</v>
      </c>
      <c r="D189" s="351" t="s">
        <v>178</v>
      </c>
      <c r="E189" s="1"/>
      <c r="F189" s="1" t="s">
        <v>3147</v>
      </c>
      <c r="G189" s="1" t="s">
        <v>89</v>
      </c>
      <c r="H189" s="351" t="s">
        <v>80</v>
      </c>
      <c r="I189" s="69"/>
    </row>
    <row r="190" spans="1:9">
      <c r="A190" s="1">
        <v>18</v>
      </c>
      <c r="B190" s="530" t="s">
        <v>78</v>
      </c>
      <c r="C190" s="526">
        <v>100936</v>
      </c>
      <c r="D190" s="351" t="s">
        <v>179</v>
      </c>
      <c r="E190" s="1"/>
      <c r="F190" s="1" t="s">
        <v>3147</v>
      </c>
      <c r="G190" s="1" t="s">
        <v>89</v>
      </c>
      <c r="H190" s="351" t="s">
        <v>80</v>
      </c>
      <c r="I190" s="69"/>
    </row>
    <row r="191" spans="1:9">
      <c r="A191" s="1">
        <v>15</v>
      </c>
      <c r="B191" s="530" t="s">
        <v>81</v>
      </c>
      <c r="C191" s="526">
        <v>100967</v>
      </c>
      <c r="D191" s="351" t="s">
        <v>180</v>
      </c>
      <c r="E191" s="1"/>
      <c r="F191" s="1" t="s">
        <v>3147</v>
      </c>
      <c r="G191" s="1" t="s">
        <v>89</v>
      </c>
      <c r="H191" s="351" t="s">
        <v>80</v>
      </c>
      <c r="I191" s="69"/>
    </row>
    <row r="192" spans="1:9">
      <c r="A192" s="1">
        <v>9</v>
      </c>
      <c r="B192" s="530" t="s">
        <v>78</v>
      </c>
      <c r="C192" s="526">
        <v>100628</v>
      </c>
      <c r="D192" s="351" t="s">
        <v>181</v>
      </c>
      <c r="E192" s="1"/>
      <c r="F192" s="1" t="s">
        <v>3147</v>
      </c>
      <c r="G192" s="1" t="s">
        <v>89</v>
      </c>
      <c r="H192" s="351" t="s">
        <v>80</v>
      </c>
      <c r="I192" s="69"/>
    </row>
    <row r="193" spans="1:9">
      <c r="A193" s="1">
        <v>6</v>
      </c>
      <c r="B193" s="530" t="s">
        <v>78</v>
      </c>
      <c r="C193" s="526">
        <v>100989</v>
      </c>
      <c r="D193" s="351" t="s">
        <v>182</v>
      </c>
      <c r="E193" s="1"/>
      <c r="F193" s="1" t="s">
        <v>3147</v>
      </c>
      <c r="G193" s="1" t="s">
        <v>89</v>
      </c>
      <c r="H193" s="351" t="s">
        <v>80</v>
      </c>
      <c r="I193" s="69"/>
    </row>
    <row r="194" spans="1:9">
      <c r="A194" s="1"/>
      <c r="B194" s="530" t="s">
        <v>52</v>
      </c>
      <c r="C194" s="526">
        <v>121094</v>
      </c>
      <c r="D194" s="351" t="s">
        <v>183</v>
      </c>
      <c r="E194" s="1"/>
      <c r="F194" s="1" t="s">
        <v>3147</v>
      </c>
      <c r="G194" s="1"/>
      <c r="H194" s="1"/>
      <c r="I194" s="69"/>
    </row>
    <row r="195" spans="1:9">
      <c r="A195" s="1"/>
      <c r="B195" s="530" t="s">
        <v>54</v>
      </c>
      <c r="C195" s="526">
        <v>220140</v>
      </c>
      <c r="D195" s="351" t="s">
        <v>85</v>
      </c>
      <c r="E195" s="1"/>
      <c r="F195" s="1"/>
      <c r="G195" s="1"/>
      <c r="H195" s="1"/>
      <c r="I195" s="69"/>
    </row>
    <row r="196" spans="1:9">
      <c r="A196" s="1"/>
      <c r="B196" s="530" t="s">
        <v>54</v>
      </c>
      <c r="C196" s="526">
        <v>220141</v>
      </c>
      <c r="D196" s="351" t="s">
        <v>86</v>
      </c>
      <c r="E196" s="1"/>
      <c r="F196" s="1"/>
      <c r="G196" s="1"/>
      <c r="H196" s="1"/>
      <c r="I196" s="69"/>
    </row>
    <row r="197" spans="1:9">
      <c r="A197" s="1"/>
      <c r="B197" s="530" t="s">
        <v>54</v>
      </c>
      <c r="C197" s="526">
        <v>220217</v>
      </c>
      <c r="D197" s="351" t="s">
        <v>87</v>
      </c>
      <c r="E197" s="1"/>
      <c r="F197" s="1"/>
      <c r="G197" s="1"/>
      <c r="H197" s="1"/>
      <c r="I197" s="69"/>
    </row>
    <row r="198" spans="1:9">
      <c r="A198" s="1"/>
      <c r="B198" s="530"/>
      <c r="C198" s="1"/>
      <c r="D198" s="1"/>
      <c r="E198" s="1"/>
      <c r="F198" s="1"/>
      <c r="G198" s="1"/>
      <c r="H198" s="1"/>
      <c r="I198" s="69"/>
    </row>
    <row r="199" spans="1:9">
      <c r="A199" s="1">
        <v>3</v>
      </c>
      <c r="B199" s="530" t="s">
        <v>184</v>
      </c>
      <c r="C199" s="526">
        <v>103933</v>
      </c>
      <c r="D199" s="352" t="s">
        <v>185</v>
      </c>
      <c r="E199" s="1"/>
      <c r="F199" s="1" t="s">
        <v>3147</v>
      </c>
      <c r="G199" s="1" t="s">
        <v>89</v>
      </c>
      <c r="H199" s="1"/>
      <c r="I199" s="69"/>
    </row>
    <row r="200" spans="1:9">
      <c r="A200" s="1">
        <v>6</v>
      </c>
      <c r="B200" s="530" t="s">
        <v>184</v>
      </c>
      <c r="C200" s="526">
        <v>103944</v>
      </c>
      <c r="D200" s="352" t="s">
        <v>186</v>
      </c>
      <c r="E200" s="1"/>
      <c r="F200" s="1" t="s">
        <v>3147</v>
      </c>
      <c r="G200" s="1" t="s">
        <v>89</v>
      </c>
      <c r="H200" s="1"/>
      <c r="I200" s="69"/>
    </row>
    <row r="201" spans="1:9">
      <c r="A201" s="1">
        <v>9</v>
      </c>
      <c r="B201" s="530" t="s">
        <v>184</v>
      </c>
      <c r="C201" s="526">
        <v>103930</v>
      </c>
      <c r="D201" s="352" t="s">
        <v>187</v>
      </c>
      <c r="E201" s="1"/>
      <c r="F201" s="1" t="s">
        <v>3147</v>
      </c>
      <c r="G201" s="1" t="s">
        <v>89</v>
      </c>
      <c r="H201" s="1"/>
      <c r="I201" s="69"/>
    </row>
    <row r="202" spans="1:9">
      <c r="A202" s="1">
        <v>9</v>
      </c>
      <c r="B202" s="530" t="s">
        <v>184</v>
      </c>
      <c r="C202" s="526">
        <v>103935</v>
      </c>
      <c r="D202" s="353" t="s">
        <v>188</v>
      </c>
      <c r="E202" s="1"/>
      <c r="F202" s="1" t="s">
        <v>3147</v>
      </c>
      <c r="G202" s="1" t="s">
        <v>89</v>
      </c>
      <c r="H202" s="1"/>
      <c r="I202" s="69"/>
    </row>
    <row r="203" spans="1:9">
      <c r="A203" s="1">
        <v>11</v>
      </c>
      <c r="B203" s="530" t="s">
        <v>184</v>
      </c>
      <c r="C203" s="526">
        <v>103936</v>
      </c>
      <c r="D203" s="352" t="s">
        <v>189</v>
      </c>
      <c r="E203" s="1"/>
      <c r="F203" s="1" t="s">
        <v>3147</v>
      </c>
      <c r="G203" s="1" t="s">
        <v>89</v>
      </c>
      <c r="H203" s="1"/>
      <c r="I203" s="69"/>
    </row>
    <row r="204" spans="1:9">
      <c r="A204" s="1">
        <v>12</v>
      </c>
      <c r="B204" s="530" t="s">
        <v>184</v>
      </c>
      <c r="C204" s="526">
        <v>103937</v>
      </c>
      <c r="D204" s="352" t="s">
        <v>190</v>
      </c>
      <c r="E204" s="1"/>
      <c r="F204" s="1" t="s">
        <v>3147</v>
      </c>
      <c r="G204" s="1" t="s">
        <v>89</v>
      </c>
      <c r="H204" s="1"/>
      <c r="I204" s="69"/>
    </row>
    <row r="205" spans="1:9">
      <c r="A205" s="1">
        <v>15</v>
      </c>
      <c r="B205" s="530" t="s">
        <v>184</v>
      </c>
      <c r="C205" s="526">
        <v>103938</v>
      </c>
      <c r="D205" s="352" t="s">
        <v>191</v>
      </c>
      <c r="E205" s="1"/>
      <c r="F205" s="1" t="s">
        <v>3147</v>
      </c>
      <c r="G205" s="1" t="s">
        <v>89</v>
      </c>
      <c r="H205" s="1"/>
      <c r="I205" s="69"/>
    </row>
    <row r="206" spans="1:9">
      <c r="A206" s="1">
        <v>15</v>
      </c>
      <c r="B206" s="530" t="s">
        <v>184</v>
      </c>
      <c r="C206" s="526">
        <v>103951</v>
      </c>
      <c r="D206" s="353" t="s">
        <v>192</v>
      </c>
      <c r="E206" s="1"/>
      <c r="F206" s="1" t="s">
        <v>3147</v>
      </c>
      <c r="G206" s="1" t="s">
        <v>89</v>
      </c>
      <c r="H206" s="1"/>
      <c r="I206" s="69"/>
    </row>
    <row r="207" spans="1:9">
      <c r="A207" s="1">
        <v>16</v>
      </c>
      <c r="B207" s="530" t="s">
        <v>184</v>
      </c>
      <c r="C207" s="526">
        <v>103939</v>
      </c>
      <c r="D207" s="352" t="s">
        <v>193</v>
      </c>
      <c r="E207" s="1"/>
      <c r="F207" s="1" t="s">
        <v>3147</v>
      </c>
      <c r="G207" s="1" t="s">
        <v>89</v>
      </c>
      <c r="H207" s="1"/>
      <c r="I207" s="69"/>
    </row>
    <row r="208" spans="1:9">
      <c r="A208" s="1">
        <v>17</v>
      </c>
      <c r="B208" s="530" t="s">
        <v>184</v>
      </c>
      <c r="C208" s="526">
        <v>103940</v>
      </c>
      <c r="D208" s="352" t="s">
        <v>194</v>
      </c>
      <c r="E208" s="1"/>
      <c r="F208" s="1" t="s">
        <v>3147</v>
      </c>
      <c r="G208" s="1" t="s">
        <v>89</v>
      </c>
      <c r="H208" s="1"/>
      <c r="I208" s="69"/>
    </row>
    <row r="209" spans="1:9">
      <c r="A209" s="1">
        <v>18</v>
      </c>
      <c r="B209" s="530" t="s">
        <v>184</v>
      </c>
      <c r="C209" s="526">
        <v>103941</v>
      </c>
      <c r="D209" s="351" t="s">
        <v>195</v>
      </c>
      <c r="E209" s="1"/>
      <c r="F209" s="1" t="s">
        <v>3147</v>
      </c>
      <c r="G209" s="1" t="s">
        <v>89</v>
      </c>
      <c r="H209" s="1"/>
      <c r="I209" s="69"/>
    </row>
    <row r="210" spans="1:9">
      <c r="A210" s="1">
        <v>18</v>
      </c>
      <c r="B210" s="530" t="s">
        <v>184</v>
      </c>
      <c r="C210" s="526">
        <v>103835</v>
      </c>
      <c r="D210" s="353" t="s">
        <v>196</v>
      </c>
      <c r="E210" s="1"/>
      <c r="F210" s="1" t="s">
        <v>3147</v>
      </c>
      <c r="G210" s="1" t="s">
        <v>89</v>
      </c>
      <c r="H210" s="1"/>
      <c r="I210" s="69"/>
    </row>
    <row r="211" spans="1:9">
      <c r="A211" s="1">
        <v>24</v>
      </c>
      <c r="B211" s="530" t="s">
        <v>184</v>
      </c>
      <c r="C211" s="526">
        <v>103943</v>
      </c>
      <c r="D211" s="353" t="s">
        <v>197</v>
      </c>
      <c r="E211" s="1"/>
      <c r="F211" s="1" t="s">
        <v>3147</v>
      </c>
      <c r="G211" s="1" t="s">
        <v>89</v>
      </c>
      <c r="H211" s="1"/>
      <c r="I211" s="69"/>
    </row>
    <row r="212" spans="1:9">
      <c r="A212" s="1">
        <v>24</v>
      </c>
      <c r="B212" s="530" t="s">
        <v>184</v>
      </c>
      <c r="C212" s="526">
        <v>103950</v>
      </c>
      <c r="D212" s="351" t="s">
        <v>198</v>
      </c>
      <c r="E212" s="1"/>
      <c r="F212" s="1" t="s">
        <v>3147</v>
      </c>
      <c r="G212" s="1" t="s">
        <v>89</v>
      </c>
      <c r="H212" s="1"/>
      <c r="I212" s="69"/>
    </row>
    <row r="213" spans="1:9">
      <c r="A213" s="1"/>
      <c r="B213" s="530"/>
      <c r="C213" s="1"/>
      <c r="D213" s="1"/>
      <c r="E213" s="1"/>
      <c r="F213" s="1"/>
      <c r="G213" s="1"/>
      <c r="H213" s="1"/>
      <c r="I213" s="69"/>
    </row>
    <row r="214" spans="1:9">
      <c r="A214" s="1">
        <v>24</v>
      </c>
      <c r="B214" s="530" t="s">
        <v>199</v>
      </c>
      <c r="C214" s="526">
        <v>101527</v>
      </c>
      <c r="D214" s="351" t="s">
        <v>200</v>
      </c>
      <c r="E214" s="1"/>
      <c r="F214" s="1" t="s">
        <v>3147</v>
      </c>
      <c r="G214" s="1" t="s">
        <v>89</v>
      </c>
      <c r="H214" s="351" t="s">
        <v>201</v>
      </c>
      <c r="I214" s="69"/>
    </row>
    <row r="215" spans="1:9">
      <c r="A215" s="1">
        <v>18</v>
      </c>
      <c r="B215" s="530" t="s">
        <v>199</v>
      </c>
      <c r="C215" s="526">
        <v>101590</v>
      </c>
      <c r="D215" s="351" t="s">
        <v>202</v>
      </c>
      <c r="E215" s="1"/>
      <c r="F215" s="1" t="s">
        <v>3147</v>
      </c>
      <c r="G215" s="1" t="s">
        <v>89</v>
      </c>
      <c r="H215" s="351" t="s">
        <v>201</v>
      </c>
      <c r="I215" s="69"/>
    </row>
    <row r="216" spans="1:9">
      <c r="A216" s="1">
        <v>18</v>
      </c>
      <c r="B216" s="530" t="s">
        <v>203</v>
      </c>
      <c r="C216" s="526">
        <v>101547</v>
      </c>
      <c r="D216" s="351" t="s">
        <v>204</v>
      </c>
      <c r="E216" s="1"/>
      <c r="F216" s="1" t="s">
        <v>3147</v>
      </c>
      <c r="G216" s="1" t="s">
        <v>89</v>
      </c>
      <c r="H216" s="351" t="s">
        <v>201</v>
      </c>
      <c r="I216" s="69"/>
    </row>
    <row r="217" spans="1:9">
      <c r="A217" s="1">
        <v>15</v>
      </c>
      <c r="B217" s="530" t="s">
        <v>199</v>
      </c>
      <c r="C217" s="526">
        <v>101530</v>
      </c>
      <c r="D217" s="351" t="s">
        <v>205</v>
      </c>
      <c r="E217" s="1"/>
      <c r="F217" s="1" t="s">
        <v>3147</v>
      </c>
      <c r="G217" s="1" t="s">
        <v>89</v>
      </c>
      <c r="H217" s="351" t="s">
        <v>201</v>
      </c>
      <c r="I217" s="69"/>
    </row>
    <row r="218" spans="1:9">
      <c r="A218" s="1">
        <v>9</v>
      </c>
      <c r="B218" s="530" t="s">
        <v>203</v>
      </c>
      <c r="C218" s="526">
        <v>101601</v>
      </c>
      <c r="D218" s="351" t="s">
        <v>206</v>
      </c>
      <c r="E218" s="1"/>
      <c r="F218" s="1" t="s">
        <v>3147</v>
      </c>
      <c r="G218" s="1" t="s">
        <v>89</v>
      </c>
      <c r="H218" s="351" t="s">
        <v>201</v>
      </c>
      <c r="I218" s="69"/>
    </row>
    <row r="219" spans="1:9">
      <c r="A219" s="1">
        <v>9</v>
      </c>
      <c r="B219" s="530" t="s">
        <v>199</v>
      </c>
      <c r="C219" s="526">
        <v>101589</v>
      </c>
      <c r="D219" s="351" t="s">
        <v>207</v>
      </c>
      <c r="E219" s="1"/>
      <c r="F219" s="1" t="s">
        <v>3147</v>
      </c>
      <c r="G219" s="1" t="s">
        <v>89</v>
      </c>
      <c r="H219" s="351" t="s">
        <v>201</v>
      </c>
      <c r="I219" s="69"/>
    </row>
    <row r="220" spans="1:9">
      <c r="A220" s="1"/>
      <c r="B220" s="530" t="s">
        <v>208</v>
      </c>
      <c r="C220" s="526">
        <v>111013</v>
      </c>
      <c r="D220" s="351" t="s">
        <v>209</v>
      </c>
      <c r="E220" s="1"/>
      <c r="F220" s="1" t="s">
        <v>3147</v>
      </c>
      <c r="G220" s="1"/>
      <c r="H220" s="1"/>
      <c r="I220" s="69"/>
    </row>
    <row r="221" spans="1:9">
      <c r="A221" s="1"/>
      <c r="B221" s="530" t="s">
        <v>54</v>
      </c>
      <c r="C221" s="526">
        <v>210047</v>
      </c>
      <c r="D221" s="351" t="s">
        <v>210</v>
      </c>
      <c r="E221" s="1"/>
      <c r="F221" s="1"/>
      <c r="G221" s="1"/>
      <c r="H221" s="1"/>
      <c r="I221" s="69"/>
    </row>
    <row r="222" spans="1:9">
      <c r="A222" s="1"/>
      <c r="B222" s="530" t="s">
        <v>54</v>
      </c>
      <c r="C222" s="526">
        <v>210164</v>
      </c>
      <c r="D222" s="351" t="s">
        <v>211</v>
      </c>
      <c r="E222" s="1"/>
      <c r="F222" s="1"/>
      <c r="G222" s="1"/>
      <c r="H222" s="1"/>
      <c r="I222" s="69"/>
    </row>
    <row r="223" spans="1:9">
      <c r="A223" s="1"/>
      <c r="B223" s="530" t="s">
        <v>54</v>
      </c>
      <c r="C223" s="526">
        <v>220198</v>
      </c>
      <c r="D223" s="351" t="s">
        <v>212</v>
      </c>
      <c r="E223" s="1"/>
      <c r="F223" s="1"/>
      <c r="G223" s="1"/>
      <c r="H223" s="1"/>
      <c r="I223" s="69"/>
    </row>
    <row r="224" spans="1:9">
      <c r="A224" s="1"/>
      <c r="B224" s="530" t="s">
        <v>54</v>
      </c>
      <c r="C224" s="526">
        <v>220314</v>
      </c>
      <c r="D224" s="351" t="s">
        <v>213</v>
      </c>
      <c r="E224" s="1"/>
      <c r="F224" s="1"/>
      <c r="G224" s="1"/>
      <c r="H224" s="1"/>
      <c r="I224" s="69"/>
    </row>
    <row r="225" spans="1:9">
      <c r="A225" s="1"/>
      <c r="B225" s="530"/>
      <c r="C225" s="1"/>
      <c r="D225" s="1"/>
      <c r="E225" s="1"/>
      <c r="F225" s="1"/>
      <c r="G225" s="1"/>
      <c r="H225" s="1"/>
      <c r="I225" s="69"/>
    </row>
    <row r="226" spans="1:9">
      <c r="A226" s="1">
        <v>24</v>
      </c>
      <c r="B226" s="530" t="s">
        <v>214</v>
      </c>
      <c r="C226" s="526">
        <v>103535</v>
      </c>
      <c r="D226" s="351" t="s">
        <v>215</v>
      </c>
      <c r="E226" s="1"/>
      <c r="F226" s="1" t="s">
        <v>3147</v>
      </c>
      <c r="G226" s="1" t="s">
        <v>89</v>
      </c>
      <c r="H226" s="351" t="s">
        <v>216</v>
      </c>
      <c r="I226" s="69"/>
    </row>
    <row r="227" spans="1:9">
      <c r="A227" s="1">
        <v>18</v>
      </c>
      <c r="B227" s="530" t="s">
        <v>214</v>
      </c>
      <c r="C227" s="526">
        <v>103511</v>
      </c>
      <c r="D227" s="351" t="s">
        <v>217</v>
      </c>
      <c r="E227" s="1"/>
      <c r="F227" s="1" t="s">
        <v>3147</v>
      </c>
      <c r="G227" s="1" t="s">
        <v>89</v>
      </c>
      <c r="H227" s="351" t="s">
        <v>216</v>
      </c>
      <c r="I227" s="69"/>
    </row>
    <row r="228" spans="1:9">
      <c r="A228" s="1">
        <v>18</v>
      </c>
      <c r="B228" s="530" t="s">
        <v>218</v>
      </c>
      <c r="C228" s="526">
        <v>103538</v>
      </c>
      <c r="D228" s="351" t="s">
        <v>219</v>
      </c>
      <c r="E228" s="1"/>
      <c r="F228" s="1" t="s">
        <v>3147</v>
      </c>
      <c r="G228" s="1" t="s">
        <v>89</v>
      </c>
      <c r="H228" s="351" t="s">
        <v>216</v>
      </c>
      <c r="I228" s="69"/>
    </row>
    <row r="229" spans="1:9">
      <c r="A229" s="1">
        <v>15</v>
      </c>
      <c r="B229" s="530" t="s">
        <v>214</v>
      </c>
      <c r="C229" s="526">
        <v>103512</v>
      </c>
      <c r="D229" s="351" t="s">
        <v>220</v>
      </c>
      <c r="E229" s="1"/>
      <c r="F229" s="1" t="s">
        <v>3147</v>
      </c>
      <c r="G229" s="1" t="s">
        <v>89</v>
      </c>
      <c r="H229" s="351" t="s">
        <v>216</v>
      </c>
      <c r="I229" s="69"/>
    </row>
    <row r="230" spans="1:9">
      <c r="A230" s="1">
        <v>9</v>
      </c>
      <c r="B230" s="530" t="s">
        <v>218</v>
      </c>
      <c r="C230" s="526">
        <v>103537</v>
      </c>
      <c r="D230" s="351" t="s">
        <v>221</v>
      </c>
      <c r="E230" s="1"/>
      <c r="F230" s="1" t="s">
        <v>3147</v>
      </c>
      <c r="G230" s="1" t="s">
        <v>89</v>
      </c>
      <c r="H230" s="351" t="s">
        <v>216</v>
      </c>
      <c r="I230" s="69"/>
    </row>
    <row r="231" spans="1:9">
      <c r="A231" s="1">
        <v>9</v>
      </c>
      <c r="B231" s="530" t="s">
        <v>214</v>
      </c>
      <c r="C231" s="526">
        <v>103513</v>
      </c>
      <c r="D231" s="351" t="s">
        <v>222</v>
      </c>
      <c r="E231" s="1"/>
      <c r="F231" s="1" t="s">
        <v>3147</v>
      </c>
      <c r="G231" s="1" t="s">
        <v>89</v>
      </c>
      <c r="H231" s="351" t="s">
        <v>216</v>
      </c>
      <c r="I231" s="69"/>
    </row>
    <row r="232" spans="1:9">
      <c r="A232" s="1"/>
      <c r="B232" s="530" t="s">
        <v>208</v>
      </c>
      <c r="C232" s="526">
        <v>120216</v>
      </c>
      <c r="D232" s="351" t="s">
        <v>223</v>
      </c>
      <c r="E232" s="1"/>
      <c r="F232" s="1"/>
      <c r="G232" s="1"/>
      <c r="H232" s="1"/>
      <c r="I232" s="69"/>
    </row>
    <row r="233" spans="1:9">
      <c r="A233" s="1"/>
      <c r="B233" s="530" t="s">
        <v>54</v>
      </c>
      <c r="C233" s="526">
        <v>220007</v>
      </c>
      <c r="D233" s="351" t="s">
        <v>224</v>
      </c>
      <c r="E233" s="1"/>
      <c r="F233" s="1"/>
      <c r="G233" s="1"/>
      <c r="H233" s="1"/>
      <c r="I233" s="69"/>
    </row>
    <row r="234" spans="1:9">
      <c r="A234" s="1"/>
      <c r="B234" s="530" t="s">
        <v>54</v>
      </c>
      <c r="C234" s="526">
        <v>220019</v>
      </c>
      <c r="D234" s="351" t="s">
        <v>225</v>
      </c>
      <c r="E234" s="1"/>
      <c r="F234" s="1"/>
      <c r="G234" s="1"/>
      <c r="H234" s="1"/>
      <c r="I234" s="69"/>
    </row>
    <row r="235" spans="1:9">
      <c r="A235" s="1"/>
      <c r="B235" s="530" t="s">
        <v>54</v>
      </c>
      <c r="C235" s="526">
        <v>220008</v>
      </c>
      <c r="D235" s="351" t="s">
        <v>226</v>
      </c>
      <c r="E235" s="1"/>
      <c r="F235" s="1"/>
      <c r="G235" s="1"/>
      <c r="H235" s="1"/>
      <c r="I235" s="69"/>
    </row>
    <row r="236" spans="1:9">
      <c r="A236" s="1"/>
      <c r="B236" s="530" t="s">
        <v>54</v>
      </c>
      <c r="C236" s="526">
        <v>220314</v>
      </c>
      <c r="D236" s="351" t="s">
        <v>213</v>
      </c>
      <c r="E236" s="1"/>
      <c r="F236" s="1"/>
      <c r="G236" s="1"/>
      <c r="H236" s="1"/>
      <c r="I236" s="69"/>
    </row>
    <row r="237" spans="1:9">
      <c r="A237" s="1"/>
      <c r="B237" s="530"/>
      <c r="C237" s="1"/>
      <c r="D237" s="1"/>
      <c r="E237" s="1"/>
      <c r="F237" s="1"/>
      <c r="G237" s="1"/>
      <c r="H237" s="1"/>
      <c r="I237" s="69"/>
    </row>
    <row r="238" spans="1:9">
      <c r="A238" s="1">
        <v>24</v>
      </c>
      <c r="B238" s="530" t="s">
        <v>227</v>
      </c>
      <c r="C238" s="526">
        <v>103505</v>
      </c>
      <c r="D238" s="351" t="s">
        <v>228</v>
      </c>
      <c r="E238" s="1"/>
      <c r="F238" s="1" t="s">
        <v>3147</v>
      </c>
      <c r="G238" s="1" t="s">
        <v>89</v>
      </c>
      <c r="H238" s="351" t="s">
        <v>229</v>
      </c>
      <c r="I238" s="69"/>
    </row>
    <row r="239" spans="1:9">
      <c r="A239" s="1">
        <v>18</v>
      </c>
      <c r="B239" s="530" t="s">
        <v>227</v>
      </c>
      <c r="C239" s="526">
        <v>103506</v>
      </c>
      <c r="D239" s="351" t="s">
        <v>230</v>
      </c>
      <c r="E239" s="1"/>
      <c r="F239" s="1" t="s">
        <v>3147</v>
      </c>
      <c r="G239" s="1" t="s">
        <v>89</v>
      </c>
      <c r="H239" s="351" t="s">
        <v>229</v>
      </c>
      <c r="I239" s="69"/>
    </row>
    <row r="240" spans="1:9">
      <c r="A240" s="1">
        <v>18</v>
      </c>
      <c r="B240" s="530" t="s">
        <v>231</v>
      </c>
      <c r="C240" s="526">
        <v>103507</v>
      </c>
      <c r="D240" s="351" t="s">
        <v>232</v>
      </c>
      <c r="E240" s="1"/>
      <c r="F240" s="1" t="s">
        <v>3147</v>
      </c>
      <c r="G240" s="1" t="s">
        <v>89</v>
      </c>
      <c r="H240" s="351" t="s">
        <v>229</v>
      </c>
      <c r="I240" s="69"/>
    </row>
    <row r="241" spans="1:9">
      <c r="A241" s="1">
        <v>15</v>
      </c>
      <c r="B241" s="530" t="s">
        <v>227</v>
      </c>
      <c r="C241" s="526">
        <v>103508</v>
      </c>
      <c r="D241" s="351" t="s">
        <v>233</v>
      </c>
      <c r="E241" s="1"/>
      <c r="F241" s="1" t="s">
        <v>3147</v>
      </c>
      <c r="G241" s="1" t="s">
        <v>89</v>
      </c>
      <c r="H241" s="351" t="s">
        <v>229</v>
      </c>
      <c r="I241" s="69"/>
    </row>
    <row r="242" spans="1:9">
      <c r="A242" s="1">
        <v>9</v>
      </c>
      <c r="B242" s="530" t="s">
        <v>231</v>
      </c>
      <c r="C242" s="526">
        <v>103510</v>
      </c>
      <c r="D242" s="351" t="s">
        <v>234</v>
      </c>
      <c r="E242" s="1"/>
      <c r="F242" s="1" t="s">
        <v>3147</v>
      </c>
      <c r="G242" s="1" t="s">
        <v>89</v>
      </c>
      <c r="H242" s="351" t="s">
        <v>229</v>
      </c>
      <c r="I242" s="69"/>
    </row>
    <row r="243" spans="1:9">
      <c r="A243" s="1">
        <v>9</v>
      </c>
      <c r="B243" s="530" t="s">
        <v>227</v>
      </c>
      <c r="C243" s="526">
        <v>103509</v>
      </c>
      <c r="D243" s="351" t="s">
        <v>235</v>
      </c>
      <c r="E243" s="1"/>
      <c r="F243" s="1" t="s">
        <v>3147</v>
      </c>
      <c r="G243" s="1" t="s">
        <v>89</v>
      </c>
      <c r="H243" s="351" t="s">
        <v>229</v>
      </c>
      <c r="I243" s="69"/>
    </row>
    <row r="244" spans="1:9">
      <c r="A244" s="1"/>
      <c r="B244" s="530" t="s">
        <v>208</v>
      </c>
      <c r="C244" s="526">
        <v>111023</v>
      </c>
      <c r="D244" s="351" t="s">
        <v>236</v>
      </c>
      <c r="E244" s="1"/>
      <c r="F244" s="1"/>
      <c r="G244" s="1"/>
      <c r="H244" s="1"/>
      <c r="I244" s="69"/>
    </row>
    <row r="245" spans="1:9">
      <c r="A245" s="1"/>
      <c r="B245" s="530" t="s">
        <v>54</v>
      </c>
      <c r="C245" s="526">
        <v>220009</v>
      </c>
      <c r="D245" s="351" t="s">
        <v>237</v>
      </c>
      <c r="E245" s="1"/>
      <c r="F245" s="1"/>
      <c r="G245" s="1"/>
      <c r="H245" s="1"/>
      <c r="I245" s="69"/>
    </row>
    <row r="246" spans="1:9">
      <c r="A246" s="1"/>
      <c r="B246" s="530" t="s">
        <v>54</v>
      </c>
      <c r="C246" s="526">
        <v>220020</v>
      </c>
      <c r="D246" s="351" t="s">
        <v>238</v>
      </c>
      <c r="E246" s="1"/>
      <c r="F246" s="1"/>
      <c r="G246" s="1"/>
      <c r="H246" s="1"/>
      <c r="I246" s="69"/>
    </row>
    <row r="247" spans="1:9">
      <c r="A247" s="1"/>
      <c r="B247" s="530" t="s">
        <v>54</v>
      </c>
      <c r="C247" s="526">
        <v>220010</v>
      </c>
      <c r="D247" s="351" t="s">
        <v>239</v>
      </c>
      <c r="E247" s="1"/>
      <c r="F247" s="1"/>
      <c r="G247" s="1"/>
      <c r="H247" s="1"/>
      <c r="I247" s="69"/>
    </row>
    <row r="248" spans="1:9">
      <c r="A248" s="1"/>
      <c r="B248" s="530" t="s">
        <v>54</v>
      </c>
      <c r="C248" s="526">
        <v>220314</v>
      </c>
      <c r="D248" s="351" t="s">
        <v>213</v>
      </c>
      <c r="E248" s="1"/>
      <c r="F248" s="1"/>
      <c r="G248" s="1"/>
      <c r="H248" s="1"/>
      <c r="I248" s="69"/>
    </row>
    <row r="249" spans="1:9">
      <c r="A249" s="1"/>
      <c r="B249" s="530"/>
      <c r="C249" s="1"/>
      <c r="D249" s="1"/>
      <c r="E249" s="1"/>
      <c r="F249" s="1"/>
      <c r="G249" s="1"/>
      <c r="H249" s="1"/>
      <c r="I249" s="69"/>
    </row>
    <row r="250" spans="1:9">
      <c r="A250" s="1">
        <v>24</v>
      </c>
      <c r="B250" s="530" t="s">
        <v>240</v>
      </c>
      <c r="C250" s="526">
        <v>103554</v>
      </c>
      <c r="D250" s="351" t="s">
        <v>241</v>
      </c>
      <c r="E250" s="1"/>
      <c r="F250" s="1" t="s">
        <v>3147</v>
      </c>
      <c r="G250" s="1" t="s">
        <v>89</v>
      </c>
      <c r="H250" s="351" t="s">
        <v>242</v>
      </c>
      <c r="I250" s="69"/>
    </row>
    <row r="251" spans="1:9">
      <c r="A251" s="1">
        <v>18</v>
      </c>
      <c r="B251" s="530" t="s">
        <v>240</v>
      </c>
      <c r="C251" s="526">
        <v>103555</v>
      </c>
      <c r="D251" s="351" t="s">
        <v>243</v>
      </c>
      <c r="E251" s="1"/>
      <c r="F251" s="1" t="s">
        <v>3147</v>
      </c>
      <c r="G251" s="1" t="s">
        <v>89</v>
      </c>
      <c r="H251" s="351" t="s">
        <v>242</v>
      </c>
      <c r="I251" s="69"/>
    </row>
    <row r="252" spans="1:9">
      <c r="A252" s="1">
        <v>18</v>
      </c>
      <c r="B252" s="530" t="s">
        <v>244</v>
      </c>
      <c r="C252" s="526">
        <v>103556</v>
      </c>
      <c r="D252" s="351" t="s">
        <v>245</v>
      </c>
      <c r="E252" s="1"/>
      <c r="F252" s="1" t="s">
        <v>3147</v>
      </c>
      <c r="G252" s="1" t="s">
        <v>89</v>
      </c>
      <c r="H252" s="351" t="s">
        <v>242</v>
      </c>
      <c r="I252" s="69"/>
    </row>
    <row r="253" spans="1:9">
      <c r="A253" s="1">
        <v>15</v>
      </c>
      <c r="B253" s="530" t="s">
        <v>240</v>
      </c>
      <c r="C253" s="526">
        <v>103557</v>
      </c>
      <c r="D253" s="351" t="s">
        <v>246</v>
      </c>
      <c r="E253" s="1"/>
      <c r="F253" s="1" t="s">
        <v>3147</v>
      </c>
      <c r="G253" s="1" t="s">
        <v>89</v>
      </c>
      <c r="H253" s="351" t="s">
        <v>242</v>
      </c>
      <c r="I253" s="69"/>
    </row>
    <row r="254" spans="1:9">
      <c r="A254" s="1">
        <v>9</v>
      </c>
      <c r="B254" s="530" t="s">
        <v>244</v>
      </c>
      <c r="C254" s="526">
        <v>103559</v>
      </c>
      <c r="D254" s="351" t="s">
        <v>247</v>
      </c>
      <c r="E254" s="1"/>
      <c r="F254" s="1" t="s">
        <v>3147</v>
      </c>
      <c r="G254" s="1" t="s">
        <v>89</v>
      </c>
      <c r="H254" s="351" t="s">
        <v>242</v>
      </c>
      <c r="I254" s="69"/>
    </row>
    <row r="255" spans="1:9">
      <c r="A255" s="1">
        <v>9</v>
      </c>
      <c r="B255" s="530" t="s">
        <v>240</v>
      </c>
      <c r="C255" s="526">
        <v>103558</v>
      </c>
      <c r="D255" s="351" t="s">
        <v>248</v>
      </c>
      <c r="E255" s="1"/>
      <c r="F255" s="1" t="s">
        <v>3147</v>
      </c>
      <c r="G255" s="1" t="s">
        <v>89</v>
      </c>
      <c r="H255" s="351" t="s">
        <v>242</v>
      </c>
      <c r="I255" s="69"/>
    </row>
    <row r="256" spans="1:9">
      <c r="A256" s="1"/>
      <c r="B256" s="530" t="s">
        <v>208</v>
      </c>
      <c r="C256" s="526">
        <v>111020</v>
      </c>
      <c r="D256" s="351" t="s">
        <v>249</v>
      </c>
      <c r="E256" s="1"/>
      <c r="F256" s="1"/>
      <c r="G256" s="1"/>
      <c r="H256" s="1"/>
      <c r="I256" s="69"/>
    </row>
    <row r="257" spans="1:9">
      <c r="A257" s="1"/>
      <c r="B257" s="530" t="s">
        <v>54</v>
      </c>
      <c r="C257" s="526">
        <v>210373</v>
      </c>
      <c r="D257" s="351" t="s">
        <v>250</v>
      </c>
      <c r="E257" s="1"/>
      <c r="F257" s="1"/>
      <c r="G257" s="1"/>
      <c r="H257" s="1"/>
      <c r="I257" s="69"/>
    </row>
    <row r="258" spans="1:9">
      <c r="A258" s="1"/>
      <c r="B258" s="530" t="s">
        <v>54</v>
      </c>
      <c r="C258" s="526">
        <v>220021</v>
      </c>
      <c r="D258" s="351" t="s">
        <v>251</v>
      </c>
      <c r="E258" s="1"/>
      <c r="F258" s="1"/>
      <c r="G258" s="1"/>
      <c r="H258" s="1"/>
      <c r="I258" s="69"/>
    </row>
    <row r="259" spans="1:9">
      <c r="A259" s="1"/>
      <c r="B259" s="530" t="s">
        <v>54</v>
      </c>
      <c r="C259" s="526">
        <v>210376</v>
      </c>
      <c r="D259" s="351" t="s">
        <v>252</v>
      </c>
      <c r="E259" s="1"/>
      <c r="F259" s="1"/>
      <c r="G259" s="1"/>
      <c r="H259" s="1"/>
      <c r="I259" s="69"/>
    </row>
    <row r="260" spans="1:9">
      <c r="A260" s="1"/>
      <c r="B260" s="530" t="s">
        <v>54</v>
      </c>
      <c r="C260" s="526">
        <v>220314</v>
      </c>
      <c r="D260" s="351" t="s">
        <v>213</v>
      </c>
      <c r="E260" s="1"/>
      <c r="F260" s="1"/>
      <c r="G260" s="1"/>
      <c r="H260" s="1"/>
      <c r="I260" s="69"/>
    </row>
    <row r="261" spans="1:9">
      <c r="A261" s="1"/>
      <c r="B261" s="530"/>
      <c r="C261" s="1"/>
      <c r="D261" s="1"/>
      <c r="E261" s="1"/>
      <c r="F261" s="1"/>
      <c r="G261" s="1"/>
      <c r="H261" s="1"/>
      <c r="I261" s="69"/>
    </row>
    <row r="262" spans="1:9">
      <c r="A262" s="1">
        <v>24</v>
      </c>
      <c r="B262" s="530" t="s">
        <v>253</v>
      </c>
      <c r="C262" s="526">
        <v>103668</v>
      </c>
      <c r="D262" s="351" t="s">
        <v>254</v>
      </c>
      <c r="E262" s="1"/>
      <c r="F262" s="1" t="s">
        <v>3147</v>
      </c>
      <c r="G262" s="1" t="s">
        <v>89</v>
      </c>
      <c r="H262" s="351" t="s">
        <v>255</v>
      </c>
      <c r="I262" s="69"/>
    </row>
    <row r="263" spans="1:9">
      <c r="A263" s="1">
        <v>18</v>
      </c>
      <c r="B263" s="530" t="s">
        <v>253</v>
      </c>
      <c r="C263" s="526">
        <v>103669</v>
      </c>
      <c r="D263" s="351" t="s">
        <v>256</v>
      </c>
      <c r="E263" s="1"/>
      <c r="F263" s="1" t="s">
        <v>3147</v>
      </c>
      <c r="G263" s="1" t="s">
        <v>89</v>
      </c>
      <c r="H263" s="351" t="s">
        <v>255</v>
      </c>
      <c r="I263" s="69"/>
    </row>
    <row r="264" spans="1:9">
      <c r="A264" s="1">
        <v>18</v>
      </c>
      <c r="B264" s="530" t="s">
        <v>257</v>
      </c>
      <c r="C264" s="526">
        <v>103670</v>
      </c>
      <c r="D264" s="351" t="s">
        <v>258</v>
      </c>
      <c r="E264" s="1"/>
      <c r="F264" s="1" t="s">
        <v>3147</v>
      </c>
      <c r="G264" s="1" t="s">
        <v>89</v>
      </c>
      <c r="H264" s="351" t="s">
        <v>255</v>
      </c>
      <c r="I264" s="69"/>
    </row>
    <row r="265" spans="1:9">
      <c r="A265" s="1">
        <v>15</v>
      </c>
      <c r="B265" s="530" t="s">
        <v>253</v>
      </c>
      <c r="C265" s="526">
        <v>103671</v>
      </c>
      <c r="D265" s="351" t="s">
        <v>259</v>
      </c>
      <c r="E265" s="1"/>
      <c r="F265" s="1" t="s">
        <v>3147</v>
      </c>
      <c r="G265" s="1" t="s">
        <v>89</v>
      </c>
      <c r="H265" s="351" t="s">
        <v>255</v>
      </c>
      <c r="I265" s="69"/>
    </row>
    <row r="266" spans="1:9">
      <c r="A266" s="1">
        <v>9</v>
      </c>
      <c r="B266" s="530" t="s">
        <v>257</v>
      </c>
      <c r="C266" s="526">
        <v>103673</v>
      </c>
      <c r="D266" s="351" t="s">
        <v>260</v>
      </c>
      <c r="E266" s="1"/>
      <c r="F266" s="1" t="s">
        <v>3147</v>
      </c>
      <c r="G266" s="1" t="s">
        <v>89</v>
      </c>
      <c r="H266" s="351" t="s">
        <v>255</v>
      </c>
      <c r="I266" s="69"/>
    </row>
    <row r="267" spans="1:9">
      <c r="A267" s="1">
        <v>9</v>
      </c>
      <c r="B267" s="530" t="s">
        <v>253</v>
      </c>
      <c r="C267" s="526">
        <v>103672</v>
      </c>
      <c r="D267" s="351" t="s">
        <v>261</v>
      </c>
      <c r="E267" s="1"/>
      <c r="F267" s="1" t="s">
        <v>3147</v>
      </c>
      <c r="G267" s="1" t="s">
        <v>89</v>
      </c>
      <c r="H267" s="351" t="s">
        <v>255</v>
      </c>
      <c r="I267" s="69"/>
    </row>
    <row r="268" spans="1:9">
      <c r="A268" s="1"/>
      <c r="B268" s="530" t="s">
        <v>208</v>
      </c>
      <c r="C268" s="526">
        <v>120750</v>
      </c>
      <c r="D268" s="351" t="s">
        <v>262</v>
      </c>
      <c r="E268" s="1"/>
      <c r="F268" s="1" t="s">
        <v>3147</v>
      </c>
      <c r="G268" s="1"/>
      <c r="H268" s="1"/>
      <c r="I268" s="69"/>
    </row>
    <row r="269" spans="1:9">
      <c r="A269" s="1"/>
      <c r="B269" s="530" t="s">
        <v>54</v>
      </c>
      <c r="C269" s="526">
        <v>220024</v>
      </c>
      <c r="D269" s="351" t="s">
        <v>263</v>
      </c>
      <c r="E269" s="1"/>
      <c r="F269" s="1"/>
      <c r="G269" s="1"/>
      <c r="H269" s="1"/>
      <c r="I269" s="69"/>
    </row>
    <row r="270" spans="1:9">
      <c r="A270" s="1"/>
      <c r="B270" s="530" t="s">
        <v>54</v>
      </c>
      <c r="C270" s="526">
        <v>210484</v>
      </c>
      <c r="D270" s="351" t="s">
        <v>264</v>
      </c>
      <c r="E270" s="1"/>
      <c r="F270" s="1"/>
      <c r="G270" s="1"/>
      <c r="H270" s="1"/>
      <c r="I270" s="69"/>
    </row>
    <row r="271" spans="1:9">
      <c r="A271" s="1"/>
      <c r="B271" s="530" t="s">
        <v>54</v>
      </c>
      <c r="C271" s="526">
        <v>220314</v>
      </c>
      <c r="D271" s="351" t="s">
        <v>213</v>
      </c>
      <c r="E271" s="1"/>
      <c r="F271" s="1"/>
      <c r="G271" s="1"/>
      <c r="H271" s="1"/>
      <c r="I271" s="69"/>
    </row>
    <row r="272" spans="1:9">
      <c r="A272" s="1"/>
      <c r="B272" s="530"/>
      <c r="C272" s="1"/>
      <c r="D272" s="1"/>
      <c r="E272" s="1"/>
      <c r="F272" s="1"/>
      <c r="G272" s="1"/>
      <c r="H272" s="1"/>
      <c r="I272" s="69"/>
    </row>
    <row r="273" spans="1:9">
      <c r="A273" s="1">
        <v>24</v>
      </c>
      <c r="B273" s="530" t="s">
        <v>265</v>
      </c>
      <c r="C273" s="526">
        <v>103563</v>
      </c>
      <c r="D273" s="351" t="s">
        <v>266</v>
      </c>
      <c r="E273" s="1"/>
      <c r="F273" s="1" t="s">
        <v>3147</v>
      </c>
      <c r="G273" s="1" t="s">
        <v>89</v>
      </c>
      <c r="H273" s="351" t="s">
        <v>267</v>
      </c>
      <c r="I273" s="69"/>
    </row>
    <row r="274" spans="1:9">
      <c r="A274" s="1">
        <v>18</v>
      </c>
      <c r="B274" s="530" t="s">
        <v>265</v>
      </c>
      <c r="C274" s="526">
        <v>103490</v>
      </c>
      <c r="D274" s="351" t="s">
        <v>268</v>
      </c>
      <c r="E274" s="1"/>
      <c r="F274" s="1" t="s">
        <v>3147</v>
      </c>
      <c r="G274" s="1" t="s">
        <v>89</v>
      </c>
      <c r="H274" s="351" t="s">
        <v>267</v>
      </c>
      <c r="I274" s="69"/>
    </row>
    <row r="275" spans="1:9">
      <c r="A275" s="1">
        <v>18</v>
      </c>
      <c r="B275" s="530" t="s">
        <v>269</v>
      </c>
      <c r="C275" s="526">
        <v>103489</v>
      </c>
      <c r="D275" s="351" t="s">
        <v>270</v>
      </c>
      <c r="E275" s="1"/>
      <c r="F275" s="1" t="s">
        <v>3147</v>
      </c>
      <c r="G275" s="1" t="s">
        <v>89</v>
      </c>
      <c r="H275" s="351" t="s">
        <v>267</v>
      </c>
      <c r="I275" s="69"/>
    </row>
    <row r="276" spans="1:9">
      <c r="A276" s="1">
        <v>15</v>
      </c>
      <c r="B276" s="530" t="s">
        <v>265</v>
      </c>
      <c r="C276" s="526">
        <v>103491</v>
      </c>
      <c r="D276" s="351" t="s">
        <v>271</v>
      </c>
      <c r="E276" s="1"/>
      <c r="F276" s="1" t="s">
        <v>3147</v>
      </c>
      <c r="G276" s="1" t="s">
        <v>89</v>
      </c>
      <c r="H276" s="351" t="s">
        <v>267</v>
      </c>
      <c r="I276" s="69"/>
    </row>
    <row r="277" spans="1:9">
      <c r="A277" s="1">
        <v>9</v>
      </c>
      <c r="B277" s="530" t="s">
        <v>269</v>
      </c>
      <c r="C277" s="526">
        <v>103494</v>
      </c>
      <c r="D277" s="351" t="s">
        <v>272</v>
      </c>
      <c r="E277" s="1"/>
      <c r="F277" s="1" t="s">
        <v>3147</v>
      </c>
      <c r="G277" s="1" t="s">
        <v>89</v>
      </c>
      <c r="H277" s="351" t="s">
        <v>267</v>
      </c>
      <c r="I277" s="69"/>
    </row>
    <row r="278" spans="1:9">
      <c r="A278" s="1">
        <v>9</v>
      </c>
      <c r="B278" s="530" t="s">
        <v>265</v>
      </c>
      <c r="C278" s="526">
        <v>103492</v>
      </c>
      <c r="D278" s="351" t="s">
        <v>273</v>
      </c>
      <c r="E278" s="1"/>
      <c r="F278" s="1" t="s">
        <v>3147</v>
      </c>
      <c r="G278" s="1" t="s">
        <v>89</v>
      </c>
      <c r="H278" s="351" t="s">
        <v>267</v>
      </c>
      <c r="I278" s="69"/>
    </row>
    <row r="279" spans="1:9">
      <c r="A279" s="1"/>
      <c r="B279" s="530" t="s">
        <v>208</v>
      </c>
      <c r="C279" s="526">
        <v>120182</v>
      </c>
      <c r="D279" s="353" t="s">
        <v>274</v>
      </c>
      <c r="E279" s="1"/>
      <c r="F279" s="1" t="s">
        <v>3147</v>
      </c>
      <c r="G279" s="1"/>
      <c r="H279" s="1"/>
      <c r="I279" s="69"/>
    </row>
    <row r="280" spans="1:9">
      <c r="A280" s="1"/>
      <c r="B280" s="530" t="s">
        <v>54</v>
      </c>
      <c r="C280" s="526">
        <v>210357</v>
      </c>
      <c r="D280" s="351" t="s">
        <v>275</v>
      </c>
      <c r="E280" s="1"/>
      <c r="F280" s="1"/>
      <c r="G280" s="1"/>
      <c r="H280" s="1"/>
      <c r="I280" s="69"/>
    </row>
    <row r="281" spans="1:9">
      <c r="A281" s="1"/>
      <c r="B281" s="530" t="s">
        <v>54</v>
      </c>
      <c r="C281" s="526">
        <v>220314</v>
      </c>
      <c r="D281" s="351" t="s">
        <v>213</v>
      </c>
      <c r="E281" s="1"/>
      <c r="F281" s="1"/>
      <c r="G281" s="1"/>
      <c r="H281" s="1"/>
      <c r="I281" s="69"/>
    </row>
    <row r="282" spans="1:9">
      <c r="A282" s="1"/>
      <c r="B282" s="530"/>
      <c r="C282" s="1"/>
      <c r="D282" s="1"/>
      <c r="E282" s="1"/>
      <c r="F282" s="1"/>
      <c r="G282" s="1"/>
      <c r="H282" s="1"/>
      <c r="I282" s="69"/>
    </row>
    <row r="283" spans="1:9">
      <c r="A283" s="1">
        <v>24</v>
      </c>
      <c r="B283" s="530" t="s">
        <v>276</v>
      </c>
      <c r="C283" s="526">
        <v>103766</v>
      </c>
      <c r="D283" s="351" t="s">
        <v>277</v>
      </c>
      <c r="E283" s="1"/>
      <c r="F283" s="1" t="s">
        <v>3147</v>
      </c>
      <c r="G283" s="1" t="s">
        <v>89</v>
      </c>
      <c r="H283" s="351" t="s">
        <v>278</v>
      </c>
      <c r="I283" s="69"/>
    </row>
    <row r="284" spans="1:9">
      <c r="A284" s="1">
        <v>18</v>
      </c>
      <c r="B284" s="530" t="s">
        <v>276</v>
      </c>
      <c r="C284" s="526">
        <v>103763</v>
      </c>
      <c r="D284" s="351" t="s">
        <v>279</v>
      </c>
      <c r="E284" s="1"/>
      <c r="F284" s="1" t="s">
        <v>3147</v>
      </c>
      <c r="G284" s="1" t="s">
        <v>89</v>
      </c>
      <c r="H284" s="351" t="s">
        <v>278</v>
      </c>
      <c r="I284" s="69"/>
    </row>
    <row r="285" spans="1:9">
      <c r="A285" s="1">
        <v>18</v>
      </c>
      <c r="B285" s="530" t="s">
        <v>280</v>
      </c>
      <c r="C285" s="526">
        <v>103764</v>
      </c>
      <c r="D285" s="351" t="s">
        <v>281</v>
      </c>
      <c r="E285" s="1"/>
      <c r="F285" s="1" t="s">
        <v>3147</v>
      </c>
      <c r="G285" s="1" t="s">
        <v>89</v>
      </c>
      <c r="H285" s="351" t="s">
        <v>278</v>
      </c>
      <c r="I285" s="69"/>
    </row>
    <row r="286" spans="1:9">
      <c r="A286" s="1">
        <v>18</v>
      </c>
      <c r="B286" s="530" t="s">
        <v>280</v>
      </c>
      <c r="C286" s="526">
        <v>104800</v>
      </c>
      <c r="D286" s="351" t="s">
        <v>4604</v>
      </c>
      <c r="E286" s="1"/>
      <c r="F286" s="1"/>
      <c r="G286" s="1"/>
      <c r="H286" s="351"/>
      <c r="I286" s="69"/>
    </row>
    <row r="287" spans="1:9">
      <c r="A287" s="1">
        <v>17</v>
      </c>
      <c r="B287" s="530" t="s">
        <v>276</v>
      </c>
      <c r="C287" s="526">
        <v>103912</v>
      </c>
      <c r="D287" s="351" t="s">
        <v>282</v>
      </c>
      <c r="E287" s="1"/>
      <c r="F287" s="1" t="s">
        <v>3147</v>
      </c>
      <c r="G287" s="1" t="s">
        <v>89</v>
      </c>
      <c r="H287" s="351" t="s">
        <v>278</v>
      </c>
      <c r="I287" s="69"/>
    </row>
    <row r="288" spans="1:9">
      <c r="A288" s="1">
        <v>15</v>
      </c>
      <c r="B288" s="530" t="s">
        <v>276</v>
      </c>
      <c r="C288" s="526">
        <v>103762</v>
      </c>
      <c r="D288" s="351" t="s">
        <v>283</v>
      </c>
      <c r="E288" s="1"/>
      <c r="F288" s="1" t="s">
        <v>3147</v>
      </c>
      <c r="G288" s="1" t="s">
        <v>89</v>
      </c>
      <c r="H288" s="351" t="s">
        <v>278</v>
      </c>
      <c r="I288" s="69"/>
    </row>
    <row r="289" spans="1:9">
      <c r="A289" s="1">
        <v>9</v>
      </c>
      <c r="B289" s="530" t="s">
        <v>280</v>
      </c>
      <c r="C289" s="526">
        <v>103759</v>
      </c>
      <c r="D289" s="351" t="s">
        <v>284</v>
      </c>
      <c r="E289" s="1"/>
      <c r="F289" s="1" t="s">
        <v>3147</v>
      </c>
      <c r="G289" s="1" t="s">
        <v>89</v>
      </c>
      <c r="H289" s="351" t="s">
        <v>278</v>
      </c>
      <c r="I289" s="69"/>
    </row>
    <row r="290" spans="1:9">
      <c r="A290" s="1">
        <v>9</v>
      </c>
      <c r="B290" s="530" t="s">
        <v>276</v>
      </c>
      <c r="C290" s="526">
        <v>103760</v>
      </c>
      <c r="D290" s="351" t="s">
        <v>285</v>
      </c>
      <c r="E290" s="1"/>
      <c r="F290" s="1" t="s">
        <v>3147</v>
      </c>
      <c r="G290" s="1" t="s">
        <v>89</v>
      </c>
      <c r="H290" s="351" t="s">
        <v>278</v>
      </c>
      <c r="I290" s="69"/>
    </row>
    <row r="291" spans="1:9">
      <c r="A291" s="1"/>
      <c r="B291" s="530" t="s">
        <v>208</v>
      </c>
      <c r="C291" s="526">
        <v>121101</v>
      </c>
      <c r="D291" s="351" t="s">
        <v>286</v>
      </c>
      <c r="E291" s="1"/>
      <c r="F291" s="1" t="s">
        <v>3147</v>
      </c>
      <c r="G291" s="1"/>
      <c r="H291" s="1"/>
      <c r="I291" s="69"/>
    </row>
    <row r="292" spans="1:9">
      <c r="A292" s="1"/>
      <c r="B292" s="530" t="s">
        <v>54</v>
      </c>
      <c r="C292" s="526">
        <v>220140</v>
      </c>
      <c r="D292" s="351" t="s">
        <v>85</v>
      </c>
      <c r="E292" s="1"/>
      <c r="F292" s="1"/>
      <c r="G292" s="1"/>
      <c r="H292" s="1"/>
      <c r="I292" s="69"/>
    </row>
    <row r="293" spans="1:9">
      <c r="A293" s="1"/>
      <c r="B293" s="530" t="s">
        <v>54</v>
      </c>
      <c r="C293" s="526">
        <v>220141</v>
      </c>
      <c r="D293" s="351" t="s">
        <v>86</v>
      </c>
      <c r="E293" s="1"/>
      <c r="F293" s="1"/>
      <c r="G293" s="1"/>
      <c r="H293" s="1"/>
      <c r="I293" s="69"/>
    </row>
    <row r="294" spans="1:9">
      <c r="A294" s="1"/>
      <c r="B294" s="530" t="s">
        <v>54</v>
      </c>
      <c r="C294" s="526">
        <v>220217</v>
      </c>
      <c r="D294" s="351" t="s">
        <v>87</v>
      </c>
      <c r="E294" s="1"/>
      <c r="F294" s="1"/>
      <c r="G294" s="1"/>
      <c r="H294" s="1"/>
      <c r="I294" s="69"/>
    </row>
    <row r="295" spans="1:9">
      <c r="A295" s="1"/>
      <c r="B295" s="530" t="s">
        <v>54</v>
      </c>
      <c r="C295" s="526">
        <v>220314</v>
      </c>
      <c r="D295" s="351" t="s">
        <v>213</v>
      </c>
      <c r="E295" s="1"/>
      <c r="F295" s="1"/>
      <c r="G295" s="1"/>
      <c r="H295" s="1"/>
      <c r="I295" s="69"/>
    </row>
    <row r="296" spans="1:9">
      <c r="A296" s="1"/>
      <c r="B296" s="530"/>
      <c r="C296" s="1"/>
      <c r="D296" s="1"/>
      <c r="E296" s="1"/>
      <c r="F296" s="1"/>
      <c r="G296" s="1"/>
      <c r="H296" s="1"/>
      <c r="I296" s="69"/>
    </row>
    <row r="297" spans="1:9">
      <c r="A297" s="1">
        <v>24</v>
      </c>
      <c r="B297" s="530" t="s">
        <v>287</v>
      </c>
      <c r="C297" s="526">
        <v>103652</v>
      </c>
      <c r="D297" s="351" t="s">
        <v>288</v>
      </c>
      <c r="E297" s="1"/>
      <c r="F297" s="1" t="s">
        <v>3147</v>
      </c>
      <c r="G297" s="1" t="s">
        <v>89</v>
      </c>
      <c r="H297" s="351" t="s">
        <v>289</v>
      </c>
      <c r="I297" s="69"/>
    </row>
    <row r="298" spans="1:9">
      <c r="A298" s="1">
        <v>18</v>
      </c>
      <c r="B298" s="530" t="s">
        <v>287</v>
      </c>
      <c r="C298" s="526">
        <v>103653</v>
      </c>
      <c r="D298" s="351" t="s">
        <v>290</v>
      </c>
      <c r="E298" s="1"/>
      <c r="F298" s="1" t="s">
        <v>3147</v>
      </c>
      <c r="G298" s="1" t="s">
        <v>89</v>
      </c>
      <c r="H298" s="351" t="s">
        <v>289</v>
      </c>
      <c r="I298" s="69"/>
    </row>
    <row r="299" spans="1:9">
      <c r="A299" s="1">
        <v>18</v>
      </c>
      <c r="B299" s="530" t="s">
        <v>291</v>
      </c>
      <c r="C299" s="526">
        <v>103892</v>
      </c>
      <c r="D299" s="351" t="s">
        <v>292</v>
      </c>
      <c r="E299" s="1"/>
      <c r="F299" s="1" t="s">
        <v>3147</v>
      </c>
      <c r="G299" s="1" t="s">
        <v>89</v>
      </c>
      <c r="H299" s="351" t="s">
        <v>289</v>
      </c>
      <c r="I299" s="69"/>
    </row>
    <row r="300" spans="1:9">
      <c r="A300" s="1">
        <v>15</v>
      </c>
      <c r="B300" s="530" t="s">
        <v>287</v>
      </c>
      <c r="C300" s="526">
        <v>103656</v>
      </c>
      <c r="D300" s="351" t="s">
        <v>293</v>
      </c>
      <c r="E300" s="1"/>
      <c r="F300" s="1" t="s">
        <v>3147</v>
      </c>
      <c r="G300" s="1" t="s">
        <v>89</v>
      </c>
      <c r="H300" s="351" t="s">
        <v>289</v>
      </c>
      <c r="I300" s="69"/>
    </row>
    <row r="301" spans="1:9">
      <c r="A301" s="1">
        <v>9</v>
      </c>
      <c r="B301" s="530" t="s">
        <v>291</v>
      </c>
      <c r="C301" s="526">
        <v>103894</v>
      </c>
      <c r="D301" s="351" t="s">
        <v>294</v>
      </c>
      <c r="E301" s="1"/>
      <c r="F301" s="1" t="s">
        <v>3147</v>
      </c>
      <c r="G301" s="1" t="s">
        <v>89</v>
      </c>
      <c r="H301" s="351" t="s">
        <v>289</v>
      </c>
      <c r="I301" s="69"/>
    </row>
    <row r="302" spans="1:9">
      <c r="A302" s="1"/>
      <c r="B302" s="530" t="s">
        <v>52</v>
      </c>
      <c r="C302" s="526">
        <v>120952</v>
      </c>
      <c r="D302" s="351" t="s">
        <v>295</v>
      </c>
      <c r="E302" s="1"/>
      <c r="F302" s="1" t="s">
        <v>3147</v>
      </c>
      <c r="G302" s="1"/>
      <c r="H302" s="1"/>
      <c r="I302" s="69"/>
    </row>
    <row r="303" spans="1:9">
      <c r="A303" s="1"/>
      <c r="B303" s="530" t="s">
        <v>54</v>
      </c>
      <c r="C303" s="526">
        <v>210481</v>
      </c>
      <c r="D303" s="351" t="s">
        <v>296</v>
      </c>
      <c r="E303" s="1"/>
      <c r="F303" s="1"/>
      <c r="G303" s="1"/>
      <c r="H303" s="1"/>
      <c r="I303" s="69"/>
    </row>
    <row r="304" spans="1:9">
      <c r="A304" s="1"/>
      <c r="B304" s="530" t="s">
        <v>54</v>
      </c>
      <c r="C304" s="526">
        <v>220320</v>
      </c>
      <c r="D304" s="351" t="s">
        <v>297</v>
      </c>
      <c r="E304" s="1"/>
      <c r="F304" s="1"/>
      <c r="G304" s="1"/>
      <c r="H304" s="1"/>
      <c r="I304" s="69"/>
    </row>
    <row r="305" spans="1:9">
      <c r="A305" s="1"/>
      <c r="B305" s="530" t="s">
        <v>54</v>
      </c>
      <c r="C305" s="526">
        <v>220314</v>
      </c>
      <c r="D305" s="351" t="s">
        <v>213</v>
      </c>
      <c r="E305" s="1"/>
      <c r="F305" s="1"/>
      <c r="G305" s="1"/>
      <c r="H305" s="1"/>
      <c r="I305" s="69"/>
    </row>
    <row r="306" spans="1:9">
      <c r="A306" s="1"/>
      <c r="B306" s="530"/>
      <c r="C306" s="1"/>
      <c r="D306" s="1"/>
      <c r="E306" s="1"/>
      <c r="F306" s="1"/>
      <c r="G306" s="1"/>
      <c r="H306" s="1"/>
      <c r="I306" s="69"/>
    </row>
    <row r="307" spans="1:9">
      <c r="A307" s="1">
        <v>18</v>
      </c>
      <c r="B307" s="530" t="s">
        <v>298</v>
      </c>
      <c r="C307" s="526">
        <v>103920</v>
      </c>
      <c r="D307" s="351" t="s">
        <v>299</v>
      </c>
      <c r="E307" s="1"/>
      <c r="F307" s="1" t="s">
        <v>3147</v>
      </c>
      <c r="G307" s="1" t="s">
        <v>89</v>
      </c>
      <c r="H307" s="351" t="s">
        <v>300</v>
      </c>
      <c r="I307" s="69"/>
    </row>
    <row r="308" spans="1:9">
      <c r="A308" s="1">
        <v>15</v>
      </c>
      <c r="B308" s="530" t="s">
        <v>298</v>
      </c>
      <c r="C308" s="526">
        <v>103921</v>
      </c>
      <c r="D308" s="351" t="s">
        <v>301</v>
      </c>
      <c r="E308" s="1"/>
      <c r="F308" s="1" t="s">
        <v>3147</v>
      </c>
      <c r="G308" s="1" t="s">
        <v>89</v>
      </c>
      <c r="H308" s="351" t="s">
        <v>300</v>
      </c>
      <c r="I308" s="69"/>
    </row>
    <row r="309" spans="1:9">
      <c r="A309" s="1">
        <v>9</v>
      </c>
      <c r="B309" s="530" t="s">
        <v>298</v>
      </c>
      <c r="C309" s="526">
        <v>103922</v>
      </c>
      <c r="D309" s="351" t="s">
        <v>302</v>
      </c>
      <c r="E309" s="1"/>
      <c r="F309" s="1" t="s">
        <v>3147</v>
      </c>
      <c r="G309" s="1" t="s">
        <v>89</v>
      </c>
      <c r="H309" s="351" t="s">
        <v>300</v>
      </c>
      <c r="I309" s="69"/>
    </row>
    <row r="310" spans="1:9">
      <c r="A310" s="1"/>
      <c r="B310" s="530" t="s">
        <v>54</v>
      </c>
      <c r="C310" s="526">
        <v>210017</v>
      </c>
      <c r="D310" s="351" t="s">
        <v>300</v>
      </c>
      <c r="E310" s="1"/>
      <c r="F310" s="1"/>
      <c r="G310" s="1"/>
      <c r="H310" s="1"/>
      <c r="I310" s="69"/>
    </row>
    <row r="311" spans="1:9">
      <c r="A311" s="1"/>
      <c r="B311" s="530"/>
      <c r="C311" s="1"/>
      <c r="D311" s="1"/>
      <c r="E311" s="1"/>
      <c r="F311" s="1"/>
      <c r="G311" s="1"/>
      <c r="H311" s="1"/>
      <c r="I311" s="69"/>
    </row>
    <row r="312" spans="1:9">
      <c r="A312" s="1">
        <v>3</v>
      </c>
      <c r="B312" s="530" t="s">
        <v>303</v>
      </c>
      <c r="C312" s="1">
        <v>104054</v>
      </c>
      <c r="D312" s="34" t="s">
        <v>304</v>
      </c>
      <c r="E312" s="1"/>
      <c r="F312" s="1" t="s">
        <v>3147</v>
      </c>
      <c r="G312" s="1" t="s">
        <v>89</v>
      </c>
      <c r="H312" s="1"/>
      <c r="I312" s="69"/>
    </row>
    <row r="313" spans="1:9">
      <c r="A313" s="1">
        <v>5.5</v>
      </c>
      <c r="B313" s="530" t="s">
        <v>303</v>
      </c>
      <c r="C313" s="1">
        <v>104063</v>
      </c>
      <c r="D313" s="34" t="s">
        <v>305</v>
      </c>
      <c r="E313" s="1"/>
      <c r="F313" s="1" t="s">
        <v>3147</v>
      </c>
      <c r="G313" s="1" t="s">
        <v>89</v>
      </c>
      <c r="H313" s="1"/>
      <c r="I313" s="69"/>
    </row>
    <row r="314" spans="1:9">
      <c r="A314" s="1">
        <v>9</v>
      </c>
      <c r="B314" s="530" t="s">
        <v>303</v>
      </c>
      <c r="C314" s="1">
        <v>104062</v>
      </c>
      <c r="D314" s="34" t="s">
        <v>306</v>
      </c>
      <c r="E314" s="1"/>
      <c r="F314" s="1" t="s">
        <v>3147</v>
      </c>
      <c r="G314" s="1" t="s">
        <v>89</v>
      </c>
      <c r="H314" s="1"/>
      <c r="I314" s="69"/>
    </row>
    <row r="315" spans="1:9">
      <c r="A315" s="1">
        <v>12</v>
      </c>
      <c r="B315" s="530" t="s">
        <v>303</v>
      </c>
      <c r="C315" s="1">
        <v>104072</v>
      </c>
      <c r="D315" s="34" t="s">
        <v>307</v>
      </c>
      <c r="E315" s="1"/>
      <c r="F315" s="1" t="s">
        <v>3147</v>
      </c>
      <c r="G315" s="1" t="s">
        <v>89</v>
      </c>
      <c r="H315" s="1"/>
      <c r="I315" s="69"/>
    </row>
    <row r="316" spans="1:9">
      <c r="A316" s="1">
        <v>15</v>
      </c>
      <c r="B316" s="530" t="s">
        <v>303</v>
      </c>
      <c r="C316" s="1">
        <v>104079</v>
      </c>
      <c r="D316" s="34" t="s">
        <v>308</v>
      </c>
      <c r="E316" s="1"/>
      <c r="F316" s="1" t="s">
        <v>3147</v>
      </c>
      <c r="G316" s="1" t="s">
        <v>89</v>
      </c>
      <c r="H316" s="1"/>
      <c r="I316" s="69"/>
    </row>
    <row r="317" spans="1:9">
      <c r="A317" s="1">
        <v>18</v>
      </c>
      <c r="B317" s="530" t="s">
        <v>303</v>
      </c>
      <c r="C317" s="1">
        <v>104060</v>
      </c>
      <c r="D317" s="34" t="s">
        <v>309</v>
      </c>
      <c r="E317" s="1"/>
      <c r="F317" s="1" t="s">
        <v>3147</v>
      </c>
      <c r="G317" s="1" t="s">
        <v>89</v>
      </c>
      <c r="H317" s="1"/>
      <c r="I317" s="69"/>
    </row>
    <row r="318" spans="1:9">
      <c r="A318" s="1"/>
      <c r="B318" s="530"/>
      <c r="C318" s="1"/>
      <c r="D318" s="34"/>
      <c r="E318" s="1"/>
      <c r="F318" s="1"/>
      <c r="G318" s="1"/>
      <c r="H318" s="1"/>
      <c r="I318" s="69"/>
    </row>
    <row r="319" spans="1:9">
      <c r="A319" s="1">
        <v>18</v>
      </c>
      <c r="B319" s="530" t="s">
        <v>310</v>
      </c>
      <c r="C319" s="1">
        <v>101221</v>
      </c>
      <c r="D319" s="34" t="s">
        <v>311</v>
      </c>
      <c r="E319" s="1"/>
      <c r="F319" s="1" t="s">
        <v>3147</v>
      </c>
      <c r="G319" s="1" t="s">
        <v>89</v>
      </c>
      <c r="H319" s="1"/>
      <c r="I319" s="69"/>
    </row>
    <row r="320" spans="1:9">
      <c r="A320" s="1">
        <v>9</v>
      </c>
      <c r="B320" s="530" t="s">
        <v>310</v>
      </c>
      <c r="C320" s="1">
        <v>101224</v>
      </c>
      <c r="D320" s="34" t="s">
        <v>312</v>
      </c>
      <c r="E320" s="1"/>
      <c r="F320" s="1" t="s">
        <v>3147</v>
      </c>
      <c r="G320" s="1" t="s">
        <v>89</v>
      </c>
      <c r="H320" s="1"/>
      <c r="I320" s="69"/>
    </row>
    <row r="321" spans="1:9">
      <c r="A321" s="1"/>
      <c r="B321" s="530"/>
      <c r="C321" s="1"/>
      <c r="D321" s="34"/>
      <c r="E321" s="1"/>
      <c r="F321" s="1"/>
      <c r="G321" s="1"/>
      <c r="H321" s="1"/>
      <c r="I321" s="69"/>
    </row>
    <row r="322" spans="1:9">
      <c r="A322" s="1">
        <v>18</v>
      </c>
      <c r="B322" s="530" t="s">
        <v>313</v>
      </c>
      <c r="C322" s="1">
        <v>101219</v>
      </c>
      <c r="D322" s="34" t="s">
        <v>314</v>
      </c>
      <c r="E322" s="1"/>
      <c r="F322" s="1" t="s">
        <v>3147</v>
      </c>
      <c r="G322" s="1" t="s">
        <v>89</v>
      </c>
      <c r="H322" s="1"/>
      <c r="I322" s="69"/>
    </row>
    <row r="323" spans="1:9">
      <c r="A323" s="1">
        <v>15</v>
      </c>
      <c r="B323" s="530" t="s">
        <v>313</v>
      </c>
      <c r="C323" s="1">
        <v>101222</v>
      </c>
      <c r="D323" s="34" t="s">
        <v>315</v>
      </c>
      <c r="E323" s="1"/>
      <c r="F323" s="1" t="s">
        <v>3147</v>
      </c>
      <c r="G323" s="1" t="s">
        <v>89</v>
      </c>
      <c r="H323" s="1"/>
      <c r="I323" s="69"/>
    </row>
    <row r="324" spans="1:9">
      <c r="A324" s="1">
        <v>12</v>
      </c>
      <c r="B324" s="530" t="s">
        <v>313</v>
      </c>
      <c r="C324" s="1">
        <v>101223</v>
      </c>
      <c r="D324" s="34" t="s">
        <v>316</v>
      </c>
      <c r="E324" s="1"/>
      <c r="F324" s="1" t="s">
        <v>3147</v>
      </c>
      <c r="G324" s="1" t="s">
        <v>89</v>
      </c>
      <c r="H324" s="1"/>
      <c r="I324" s="69"/>
    </row>
    <row r="325" spans="1:9">
      <c r="A325" s="1">
        <v>9</v>
      </c>
      <c r="B325" s="530" t="s">
        <v>313</v>
      </c>
      <c r="C325" s="1">
        <v>101225</v>
      </c>
      <c r="D325" s="34" t="s">
        <v>317</v>
      </c>
      <c r="E325" s="1"/>
      <c r="F325" s="1" t="s">
        <v>3147</v>
      </c>
      <c r="G325" s="1" t="s">
        <v>89</v>
      </c>
      <c r="H325" s="1"/>
      <c r="I325" s="69"/>
    </row>
    <row r="326" spans="1:9">
      <c r="A326" s="1">
        <v>6</v>
      </c>
      <c r="B326" s="530" t="s">
        <v>313</v>
      </c>
      <c r="C326" s="1">
        <v>101226</v>
      </c>
      <c r="D326" s="34" t="s">
        <v>318</v>
      </c>
      <c r="E326" s="1"/>
      <c r="F326" s="1" t="s">
        <v>3147</v>
      </c>
      <c r="G326" s="1" t="s">
        <v>89</v>
      </c>
      <c r="H326" s="1"/>
      <c r="I326" s="69"/>
    </row>
    <row r="327" spans="1:9">
      <c r="A327" s="1"/>
      <c r="B327" s="530"/>
      <c r="C327" s="1"/>
      <c r="D327" s="34"/>
      <c r="E327" s="1"/>
      <c r="F327" s="1"/>
      <c r="G327" s="1"/>
      <c r="H327" s="1"/>
      <c r="I327" s="69"/>
    </row>
    <row r="328" spans="1:9">
      <c r="A328" s="1">
        <v>18</v>
      </c>
      <c r="B328" s="530" t="s">
        <v>310</v>
      </c>
      <c r="C328" s="1">
        <v>101227</v>
      </c>
      <c r="D328" s="525" t="s">
        <v>319</v>
      </c>
      <c r="E328" s="1"/>
      <c r="F328" s="1" t="s">
        <v>3147</v>
      </c>
      <c r="G328" s="1" t="s">
        <v>2</v>
      </c>
      <c r="H328" s="1"/>
      <c r="I328" s="69"/>
    </row>
    <row r="329" spans="1:9">
      <c r="A329" s="1">
        <v>9</v>
      </c>
      <c r="B329" s="530" t="s">
        <v>310</v>
      </c>
      <c r="C329" s="1">
        <v>101231</v>
      </c>
      <c r="D329" s="525" t="s">
        <v>320</v>
      </c>
      <c r="E329" s="1"/>
      <c r="F329" s="1" t="s">
        <v>3147</v>
      </c>
      <c r="G329" s="1" t="s">
        <v>2</v>
      </c>
      <c r="H329" s="1"/>
      <c r="I329" s="69"/>
    </row>
    <row r="330" spans="1:9">
      <c r="A330" s="1"/>
      <c r="B330" s="530"/>
      <c r="C330" s="1"/>
      <c r="D330" s="34"/>
      <c r="E330" s="1"/>
      <c r="F330" s="1"/>
      <c r="G330" s="1"/>
      <c r="H330" s="1"/>
      <c r="I330" s="69"/>
    </row>
    <row r="331" spans="1:9">
      <c r="A331" s="1">
        <v>18</v>
      </c>
      <c r="B331" s="530" t="s">
        <v>313</v>
      </c>
      <c r="C331" s="1">
        <v>101228</v>
      </c>
      <c r="D331" s="525" t="s">
        <v>321</v>
      </c>
      <c r="E331" s="1"/>
      <c r="F331" s="1" t="s">
        <v>3147</v>
      </c>
      <c r="G331" s="1" t="s">
        <v>2</v>
      </c>
      <c r="H331" s="1"/>
      <c r="I331" s="69"/>
    </row>
    <row r="332" spans="1:9">
      <c r="A332" s="1">
        <v>15</v>
      </c>
      <c r="B332" s="530" t="s">
        <v>313</v>
      </c>
      <c r="C332" s="1">
        <v>101229</v>
      </c>
      <c r="D332" s="525" t="s">
        <v>322</v>
      </c>
      <c r="E332" s="1"/>
      <c r="F332" s="1" t="s">
        <v>3147</v>
      </c>
      <c r="G332" s="1" t="s">
        <v>2</v>
      </c>
      <c r="H332" s="1"/>
      <c r="I332" s="69"/>
    </row>
    <row r="333" spans="1:9">
      <c r="A333" s="1">
        <v>12</v>
      </c>
      <c r="B333" s="530" t="s">
        <v>313</v>
      </c>
      <c r="C333" s="1">
        <v>101230</v>
      </c>
      <c r="D333" s="525" t="s">
        <v>323</v>
      </c>
      <c r="E333" s="1"/>
      <c r="F333" s="1" t="s">
        <v>3147</v>
      </c>
      <c r="G333" s="1" t="s">
        <v>2</v>
      </c>
      <c r="H333" s="1"/>
      <c r="I333" s="69"/>
    </row>
    <row r="334" spans="1:9">
      <c r="A334" s="1">
        <v>9</v>
      </c>
      <c r="B334" s="530" t="s">
        <v>313</v>
      </c>
      <c r="C334" s="1">
        <v>101232</v>
      </c>
      <c r="D334" s="525" t="s">
        <v>324</v>
      </c>
      <c r="E334" s="1"/>
      <c r="F334" s="1" t="s">
        <v>3147</v>
      </c>
      <c r="G334" s="1" t="s">
        <v>2</v>
      </c>
      <c r="H334" s="1"/>
      <c r="I334" s="69"/>
    </row>
    <row r="335" spans="1:9">
      <c r="A335" s="1">
        <v>6</v>
      </c>
      <c r="B335" s="530" t="s">
        <v>313</v>
      </c>
      <c r="C335" s="1">
        <v>101234</v>
      </c>
      <c r="D335" s="525" t="s">
        <v>325</v>
      </c>
      <c r="E335" s="1"/>
      <c r="F335" s="1" t="s">
        <v>3147</v>
      </c>
      <c r="G335" s="1" t="s">
        <v>2</v>
      </c>
      <c r="H335" s="1"/>
      <c r="I335" s="69"/>
    </row>
    <row r="336" spans="1:9">
      <c r="A336" s="123"/>
      <c r="B336" s="123"/>
      <c r="C336" s="281"/>
      <c r="D336" s="123"/>
      <c r="E336" s="282"/>
      <c r="F336" s="123"/>
      <c r="G336" s="283"/>
      <c r="H336" s="69"/>
      <c r="I336" s="69"/>
    </row>
    <row r="337" spans="1:9">
      <c r="A337" s="123"/>
      <c r="B337" s="123"/>
      <c r="C337" s="281"/>
      <c r="D337" s="123"/>
      <c r="E337" s="282"/>
      <c r="F337" s="123"/>
      <c r="G337" s="283"/>
      <c r="H337" s="69"/>
      <c r="I337" s="69"/>
    </row>
    <row r="338" spans="1:9">
      <c r="A338" s="531">
        <v>24</v>
      </c>
      <c r="B338" s="531" t="s">
        <v>3162</v>
      </c>
      <c r="C338" s="531">
        <v>1000144</v>
      </c>
      <c r="D338" s="532" t="s">
        <v>3161</v>
      </c>
      <c r="E338" s="282"/>
      <c r="F338" s="1" t="s">
        <v>3147</v>
      </c>
      <c r="G338" s="283"/>
      <c r="H338" s="69"/>
      <c r="I338" s="69"/>
    </row>
    <row r="339" spans="1:9">
      <c r="A339" s="531">
        <v>24</v>
      </c>
      <c r="B339" s="531" t="s">
        <v>3162</v>
      </c>
      <c r="C339" s="531">
        <v>1000145</v>
      </c>
      <c r="D339" s="532" t="s">
        <v>3163</v>
      </c>
      <c r="E339" s="282"/>
      <c r="F339" s="123"/>
      <c r="G339" s="283"/>
      <c r="H339" s="69"/>
      <c r="I339" s="69"/>
    </row>
    <row r="340" spans="1:9">
      <c r="A340" s="531">
        <v>18</v>
      </c>
      <c r="B340" s="531" t="s">
        <v>3162</v>
      </c>
      <c r="C340" s="531">
        <v>1000146</v>
      </c>
      <c r="D340" s="532" t="s">
        <v>3164</v>
      </c>
      <c r="E340" s="282"/>
      <c r="F340" s="123"/>
      <c r="G340" s="283"/>
      <c r="H340" s="69"/>
      <c r="I340" s="69"/>
    </row>
    <row r="341" spans="1:9">
      <c r="A341" s="531">
        <v>18</v>
      </c>
      <c r="B341" s="531" t="s">
        <v>3162</v>
      </c>
      <c r="C341" s="531">
        <v>1000147</v>
      </c>
      <c r="D341" s="532" t="s">
        <v>3165</v>
      </c>
      <c r="E341" s="282"/>
      <c r="F341" s="123"/>
      <c r="G341" s="283"/>
      <c r="H341" s="69"/>
      <c r="I341" s="69"/>
    </row>
    <row r="342" spans="1:9">
      <c r="A342" s="531">
        <v>15</v>
      </c>
      <c r="B342" s="531" t="s">
        <v>3162</v>
      </c>
      <c r="C342" s="531">
        <v>1000148</v>
      </c>
      <c r="D342" s="532" t="s">
        <v>3167</v>
      </c>
      <c r="E342" s="282"/>
      <c r="F342" s="123"/>
      <c r="G342" s="283"/>
      <c r="H342" s="69"/>
      <c r="I342" s="69"/>
    </row>
    <row r="343" spans="1:9">
      <c r="A343" s="531">
        <v>15</v>
      </c>
      <c r="B343" s="531" t="s">
        <v>3162</v>
      </c>
      <c r="C343" s="531">
        <v>1000149</v>
      </c>
      <c r="D343" s="532" t="s">
        <v>3166</v>
      </c>
      <c r="E343" s="282"/>
      <c r="F343" s="123"/>
      <c r="G343" s="283"/>
      <c r="H343" s="69"/>
      <c r="I343" s="69"/>
    </row>
    <row r="344" spans="1:9">
      <c r="A344" s="531">
        <v>13</v>
      </c>
      <c r="B344" s="531" t="s">
        <v>3162</v>
      </c>
      <c r="C344" s="531">
        <v>1000150</v>
      </c>
      <c r="D344" s="532" t="s">
        <v>3169</v>
      </c>
      <c r="E344" s="282"/>
      <c r="F344" s="123"/>
      <c r="G344" s="283"/>
      <c r="H344" s="69"/>
      <c r="I344" s="69"/>
    </row>
    <row r="345" spans="1:9">
      <c r="A345" s="531">
        <v>13</v>
      </c>
      <c r="B345" s="531" t="s">
        <v>3162</v>
      </c>
      <c r="C345" s="531">
        <v>1000151</v>
      </c>
      <c r="D345" s="532" t="s">
        <v>3168</v>
      </c>
      <c r="E345" s="282"/>
      <c r="F345" s="123"/>
      <c r="G345" s="283"/>
      <c r="H345" s="69"/>
      <c r="I345" s="69"/>
    </row>
    <row r="346" spans="1:9">
      <c r="A346" s="531">
        <v>12</v>
      </c>
      <c r="B346" s="531" t="s">
        <v>3162</v>
      </c>
      <c r="C346" s="531">
        <v>1000152</v>
      </c>
      <c r="D346" s="532" t="s">
        <v>3170</v>
      </c>
      <c r="E346" s="282"/>
      <c r="F346" s="123"/>
      <c r="G346" s="283"/>
      <c r="H346" s="69"/>
      <c r="I346" s="69"/>
    </row>
    <row r="347" spans="1:9">
      <c r="A347" s="531">
        <v>12</v>
      </c>
      <c r="B347" s="531" t="s">
        <v>3162</v>
      </c>
      <c r="C347" s="531">
        <v>1000153</v>
      </c>
      <c r="D347" s="532" t="s">
        <v>3171</v>
      </c>
      <c r="E347" s="282"/>
      <c r="F347" s="123"/>
      <c r="G347" s="283"/>
      <c r="H347" s="69"/>
      <c r="I347" s="69"/>
    </row>
    <row r="348" spans="1:9">
      <c r="A348" s="531">
        <v>9</v>
      </c>
      <c r="B348" s="531" t="s">
        <v>3162</v>
      </c>
      <c r="C348" s="531">
        <v>1000154</v>
      </c>
      <c r="D348" s="532" t="s">
        <v>3172</v>
      </c>
      <c r="E348" s="282"/>
      <c r="F348" s="123"/>
      <c r="G348" s="283"/>
      <c r="H348" s="69"/>
      <c r="I348" s="69"/>
    </row>
    <row r="349" spans="1:9">
      <c r="A349" s="531">
        <v>9</v>
      </c>
      <c r="B349" s="531" t="s">
        <v>3162</v>
      </c>
      <c r="C349" s="531">
        <v>1000155</v>
      </c>
      <c r="D349" s="532" t="s">
        <v>3173</v>
      </c>
      <c r="E349" s="282"/>
      <c r="F349" s="123"/>
      <c r="G349" s="283"/>
      <c r="H349" s="69"/>
      <c r="I349" s="69"/>
    </row>
    <row r="350" spans="1:9">
      <c r="A350" s="531">
        <v>6</v>
      </c>
      <c r="B350" s="531" t="s">
        <v>3162</v>
      </c>
      <c r="C350" s="531">
        <v>1000156</v>
      </c>
      <c r="D350" s="532" t="s">
        <v>3174</v>
      </c>
      <c r="E350" s="282"/>
      <c r="F350" s="123"/>
      <c r="G350" s="283"/>
      <c r="H350" s="69"/>
      <c r="I350" s="69"/>
    </row>
    <row r="351" spans="1:9">
      <c r="A351" s="531">
        <v>6</v>
      </c>
      <c r="B351" s="531" t="s">
        <v>3162</v>
      </c>
      <c r="C351" s="531">
        <v>1000157</v>
      </c>
      <c r="D351" s="532" t="s">
        <v>3175</v>
      </c>
      <c r="E351" s="282"/>
      <c r="F351" s="123"/>
      <c r="G351" s="283"/>
      <c r="H351" s="69"/>
      <c r="I351" s="69"/>
    </row>
    <row r="352" spans="1:9">
      <c r="A352" s="531">
        <v>3</v>
      </c>
      <c r="B352" s="531" t="s">
        <v>3162</v>
      </c>
      <c r="C352" s="531">
        <v>1000158</v>
      </c>
      <c r="D352" s="532" t="s">
        <v>3176</v>
      </c>
      <c r="E352" s="282"/>
      <c r="F352" s="123"/>
      <c r="G352" s="283"/>
      <c r="H352" s="69"/>
      <c r="I352" s="69"/>
    </row>
    <row r="353" spans="1:9">
      <c r="A353" s="531">
        <v>3</v>
      </c>
      <c r="B353" s="531" t="s">
        <v>3162</v>
      </c>
      <c r="C353" s="531">
        <v>1000159</v>
      </c>
      <c r="D353" s="532" t="s">
        <v>3177</v>
      </c>
      <c r="E353" s="282"/>
      <c r="F353" s="123"/>
      <c r="G353" s="283"/>
      <c r="H353" s="69"/>
      <c r="I353" s="69"/>
    </row>
    <row r="354" spans="1:9">
      <c r="A354" s="123"/>
      <c r="B354" s="123"/>
      <c r="C354" s="281"/>
      <c r="D354" s="123"/>
      <c r="E354" s="282"/>
      <c r="F354" s="123"/>
      <c r="G354" s="283"/>
      <c r="H354" s="69"/>
      <c r="I354" s="69"/>
    </row>
    <row r="355" spans="1:9">
      <c r="A355" s="123"/>
      <c r="B355" s="123"/>
      <c r="C355" s="281"/>
      <c r="D355" s="123"/>
      <c r="E355" s="282"/>
      <c r="F355" s="123"/>
      <c r="G355" s="283"/>
      <c r="H355" s="69"/>
      <c r="I355" s="69"/>
    </row>
    <row r="356" spans="1:9">
      <c r="A356" s="123"/>
      <c r="B356" s="123"/>
      <c r="C356" s="281"/>
      <c r="D356" s="123"/>
      <c r="E356" s="282"/>
      <c r="F356" s="123"/>
      <c r="G356" s="283"/>
      <c r="H356" s="69"/>
      <c r="I356" s="69"/>
    </row>
    <row r="357" spans="1:9">
      <c r="A357" s="123"/>
      <c r="B357" s="123"/>
      <c r="C357" s="281"/>
      <c r="D357" s="123"/>
      <c r="E357" s="282"/>
      <c r="F357" s="123"/>
      <c r="G357" s="283"/>
      <c r="H357" s="69"/>
      <c r="I357" s="69"/>
    </row>
    <row r="358" spans="1:9">
      <c r="A358" s="123"/>
      <c r="B358" s="123"/>
      <c r="C358" s="281"/>
      <c r="D358" s="123"/>
      <c r="E358" s="282"/>
      <c r="F358" s="123"/>
      <c r="G358" s="283"/>
      <c r="H358" s="69"/>
      <c r="I358" s="69"/>
    </row>
    <row r="359" spans="1:9">
      <c r="A359" s="123"/>
      <c r="B359" s="123"/>
      <c r="C359" s="281"/>
      <c r="D359" s="123"/>
      <c r="E359" s="282"/>
      <c r="F359" s="123"/>
      <c r="G359" s="283"/>
      <c r="H359" s="69"/>
      <c r="I359" s="69"/>
    </row>
    <row r="360" spans="1:9">
      <c r="A360" s="113">
        <v>1</v>
      </c>
      <c r="B360" s="113" t="s">
        <v>334</v>
      </c>
      <c r="C360" s="284" t="s">
        <v>335</v>
      </c>
      <c r="D360" s="114" t="s">
        <v>336</v>
      </c>
      <c r="E360" s="115"/>
      <c r="F360" s="113" t="s">
        <v>337</v>
      </c>
      <c r="G360" s="285"/>
      <c r="H360" s="69"/>
      <c r="I360" s="102"/>
    </row>
    <row r="361" spans="1:9">
      <c r="A361" s="89">
        <v>2</v>
      </c>
      <c r="B361" s="89" t="s">
        <v>338</v>
      </c>
      <c r="C361" s="286" t="s">
        <v>339</v>
      </c>
      <c r="D361" s="95" t="s">
        <v>340</v>
      </c>
      <c r="E361" s="93"/>
      <c r="F361" s="89" t="s">
        <v>341</v>
      </c>
      <c r="G361" s="87"/>
      <c r="H361" s="69"/>
      <c r="I361" s="102"/>
    </row>
    <row r="362" spans="1:9">
      <c r="A362" s="89">
        <f t="shared" ref="A362:A392" si="0">A361+1</f>
        <v>3</v>
      </c>
      <c r="B362" s="89" t="s">
        <v>342</v>
      </c>
      <c r="C362" s="286" t="s">
        <v>343</v>
      </c>
      <c r="D362" s="95" t="s">
        <v>344</v>
      </c>
      <c r="E362" s="93"/>
      <c r="F362" s="89" t="s">
        <v>345</v>
      </c>
      <c r="G362" s="87"/>
      <c r="H362" s="69"/>
      <c r="I362" s="102"/>
    </row>
    <row r="363" spans="1:9">
      <c r="A363" s="89">
        <f t="shared" si="0"/>
        <v>4</v>
      </c>
      <c r="B363" s="89" t="s">
        <v>342</v>
      </c>
      <c r="C363" s="286" t="s">
        <v>346</v>
      </c>
      <c r="D363" s="95" t="s">
        <v>347</v>
      </c>
      <c r="E363" s="93"/>
      <c r="F363" s="89" t="s">
        <v>345</v>
      </c>
      <c r="G363" s="87"/>
      <c r="H363" s="69"/>
      <c r="I363" s="102"/>
    </row>
    <row r="364" spans="1:9">
      <c r="A364" s="89">
        <f t="shared" si="0"/>
        <v>5</v>
      </c>
      <c r="B364" s="89" t="s">
        <v>342</v>
      </c>
      <c r="C364" s="286" t="s">
        <v>348</v>
      </c>
      <c r="D364" s="95" t="s">
        <v>349</v>
      </c>
      <c r="E364" s="93"/>
      <c r="F364" s="89" t="s">
        <v>345</v>
      </c>
      <c r="G364" s="87"/>
      <c r="H364" s="69"/>
      <c r="I364" s="102"/>
    </row>
    <row r="365" spans="1:9">
      <c r="A365" s="89">
        <f t="shared" si="0"/>
        <v>6</v>
      </c>
      <c r="B365" s="89" t="s">
        <v>342</v>
      </c>
      <c r="C365" s="286" t="s">
        <v>350</v>
      </c>
      <c r="D365" s="95" t="s">
        <v>351</v>
      </c>
      <c r="E365" s="93"/>
      <c r="F365" s="89" t="s">
        <v>345</v>
      </c>
      <c r="G365" s="87"/>
      <c r="H365" s="69"/>
      <c r="I365" s="102"/>
    </row>
    <row r="366" spans="1:9">
      <c r="A366" s="89">
        <f t="shared" si="0"/>
        <v>7</v>
      </c>
      <c r="B366" s="89" t="s">
        <v>342</v>
      </c>
      <c r="C366" s="286" t="s">
        <v>352</v>
      </c>
      <c r="D366" s="95" t="s">
        <v>353</v>
      </c>
      <c r="E366" s="93"/>
      <c r="F366" s="89" t="s">
        <v>345</v>
      </c>
      <c r="G366" s="87"/>
      <c r="H366" s="69"/>
      <c r="I366" s="102"/>
    </row>
    <row r="367" spans="1:9">
      <c r="A367" s="89">
        <f t="shared" si="0"/>
        <v>8</v>
      </c>
      <c r="B367" s="89" t="s">
        <v>342</v>
      </c>
      <c r="C367" s="286" t="s">
        <v>354</v>
      </c>
      <c r="D367" s="95" t="s">
        <v>355</v>
      </c>
      <c r="E367" s="93"/>
      <c r="F367" s="89" t="s">
        <v>345</v>
      </c>
      <c r="G367" s="87"/>
      <c r="H367" s="69"/>
      <c r="I367" s="102"/>
    </row>
    <row r="368" spans="1:9">
      <c r="A368" s="89">
        <f t="shared" si="0"/>
        <v>9</v>
      </c>
      <c r="B368" s="89" t="s">
        <v>342</v>
      </c>
      <c r="C368" s="286" t="s">
        <v>356</v>
      </c>
      <c r="D368" s="95" t="s">
        <v>357</v>
      </c>
      <c r="E368" s="93"/>
      <c r="F368" s="89" t="s">
        <v>345</v>
      </c>
      <c r="G368" s="87"/>
      <c r="H368" s="69"/>
      <c r="I368" s="102"/>
    </row>
    <row r="369" spans="1:9">
      <c r="A369" s="89">
        <f t="shared" si="0"/>
        <v>10</v>
      </c>
      <c r="B369" s="89" t="s">
        <v>342</v>
      </c>
      <c r="C369" s="286" t="s">
        <v>358</v>
      </c>
      <c r="D369" s="95" t="s">
        <v>359</v>
      </c>
      <c r="E369" s="93"/>
      <c r="F369" s="89" t="s">
        <v>345</v>
      </c>
      <c r="G369" s="87"/>
      <c r="H369" s="69"/>
      <c r="I369" s="102"/>
    </row>
    <row r="370" spans="1:9">
      <c r="A370" s="89">
        <f t="shared" si="0"/>
        <v>11</v>
      </c>
      <c r="B370" s="89" t="s">
        <v>342</v>
      </c>
      <c r="C370" s="286" t="s">
        <v>360</v>
      </c>
      <c r="D370" s="95" t="s">
        <v>361</v>
      </c>
      <c r="E370" s="93"/>
      <c r="F370" s="89" t="s">
        <v>345</v>
      </c>
      <c r="G370" s="87"/>
      <c r="H370" s="69"/>
      <c r="I370" s="102"/>
    </row>
    <row r="371" spans="1:9">
      <c r="A371" s="89">
        <f t="shared" si="0"/>
        <v>12</v>
      </c>
      <c r="B371" s="89" t="s">
        <v>342</v>
      </c>
      <c r="C371" s="286" t="s">
        <v>362</v>
      </c>
      <c r="D371" s="95" t="s">
        <v>363</v>
      </c>
      <c r="E371" s="93"/>
      <c r="F371" s="89" t="s">
        <v>345</v>
      </c>
      <c r="G371" s="87"/>
      <c r="H371" s="69"/>
      <c r="I371" s="102"/>
    </row>
    <row r="372" spans="1:9">
      <c r="A372" s="89">
        <f t="shared" si="0"/>
        <v>13</v>
      </c>
      <c r="B372" s="89" t="s">
        <v>342</v>
      </c>
      <c r="C372" s="286" t="s">
        <v>364</v>
      </c>
      <c r="D372" s="95" t="s">
        <v>365</v>
      </c>
      <c r="E372" s="93"/>
      <c r="F372" s="89" t="s">
        <v>345</v>
      </c>
      <c r="G372" s="87"/>
      <c r="H372" s="69"/>
      <c r="I372" s="102"/>
    </row>
    <row r="373" spans="1:9">
      <c r="A373" s="89">
        <f t="shared" si="0"/>
        <v>14</v>
      </c>
      <c r="B373" s="89" t="s">
        <v>342</v>
      </c>
      <c r="C373" s="286" t="s">
        <v>366</v>
      </c>
      <c r="D373" s="95" t="s">
        <v>367</v>
      </c>
      <c r="E373" s="93"/>
      <c r="F373" s="89" t="s">
        <v>345</v>
      </c>
      <c r="G373" s="87"/>
      <c r="H373" s="69"/>
      <c r="I373" s="102"/>
    </row>
    <row r="374" spans="1:9">
      <c r="A374" s="89">
        <f t="shared" si="0"/>
        <v>15</v>
      </c>
      <c r="B374" s="89" t="s">
        <v>342</v>
      </c>
      <c r="C374" s="286" t="s">
        <v>368</v>
      </c>
      <c r="D374" s="95" t="s">
        <v>369</v>
      </c>
      <c r="E374" s="93"/>
      <c r="F374" s="89" t="s">
        <v>337</v>
      </c>
      <c r="G374" s="87"/>
      <c r="H374" s="69"/>
      <c r="I374" s="102"/>
    </row>
    <row r="375" spans="1:9">
      <c r="A375" s="89">
        <f t="shared" si="0"/>
        <v>16</v>
      </c>
      <c r="B375" s="89" t="s">
        <v>342</v>
      </c>
      <c r="C375" s="286" t="s">
        <v>370</v>
      </c>
      <c r="D375" s="95" t="s">
        <v>371</v>
      </c>
      <c r="E375" s="93"/>
      <c r="F375" s="89" t="s">
        <v>337</v>
      </c>
      <c r="G375" s="87"/>
      <c r="H375" s="69"/>
      <c r="I375" s="69"/>
    </row>
    <row r="376" spans="1:9">
      <c r="A376" s="89">
        <f t="shared" si="0"/>
        <v>17</v>
      </c>
      <c r="B376" s="89" t="s">
        <v>342</v>
      </c>
      <c r="C376" s="286" t="s">
        <v>372</v>
      </c>
      <c r="D376" s="95" t="s">
        <v>373</v>
      </c>
      <c r="E376" s="93"/>
      <c r="F376" s="89" t="s">
        <v>345</v>
      </c>
      <c r="G376" s="87"/>
      <c r="H376" s="69"/>
      <c r="I376" s="69"/>
    </row>
    <row r="377" spans="1:9">
      <c r="A377" s="89">
        <f t="shared" si="0"/>
        <v>18</v>
      </c>
      <c r="B377" s="89" t="s">
        <v>342</v>
      </c>
      <c r="C377" s="286" t="s">
        <v>374</v>
      </c>
      <c r="D377" s="95" t="s">
        <v>375</v>
      </c>
      <c r="E377" s="93"/>
      <c r="F377" s="89" t="s">
        <v>345</v>
      </c>
      <c r="G377" s="87"/>
      <c r="H377" s="69"/>
      <c r="I377" s="69"/>
    </row>
    <row r="378" spans="1:9">
      <c r="A378" s="89">
        <f t="shared" si="0"/>
        <v>19</v>
      </c>
      <c r="B378" s="89" t="s">
        <v>342</v>
      </c>
      <c r="C378" s="286" t="s">
        <v>376</v>
      </c>
      <c r="D378" s="95" t="s">
        <v>377</v>
      </c>
      <c r="E378" s="93"/>
      <c r="F378" s="89" t="s">
        <v>345</v>
      </c>
      <c r="G378" s="87"/>
      <c r="H378" s="69"/>
      <c r="I378" s="69"/>
    </row>
    <row r="379" spans="1:9">
      <c r="A379" s="89">
        <f t="shared" si="0"/>
        <v>20</v>
      </c>
      <c r="B379" s="89" t="s">
        <v>342</v>
      </c>
      <c r="C379" s="286" t="s">
        <v>378</v>
      </c>
      <c r="D379" s="95" t="s">
        <v>379</v>
      </c>
      <c r="E379" s="93"/>
      <c r="F379" s="89" t="s">
        <v>345</v>
      </c>
      <c r="G379" s="87"/>
      <c r="H379" s="69"/>
      <c r="I379" s="69"/>
    </row>
    <row r="380" spans="1:9">
      <c r="A380" s="89">
        <f t="shared" si="0"/>
        <v>21</v>
      </c>
      <c r="B380" s="89" t="s">
        <v>342</v>
      </c>
      <c r="C380" s="286" t="s">
        <v>380</v>
      </c>
      <c r="D380" s="95" t="s">
        <v>381</v>
      </c>
      <c r="E380" s="93"/>
      <c r="F380" s="89" t="s">
        <v>337</v>
      </c>
      <c r="G380" s="87"/>
      <c r="H380" s="69"/>
      <c r="I380" s="69"/>
    </row>
    <row r="381" spans="1:9">
      <c r="A381" s="89">
        <f t="shared" si="0"/>
        <v>22</v>
      </c>
      <c r="B381" s="89" t="s">
        <v>342</v>
      </c>
      <c r="C381" s="286" t="s">
        <v>382</v>
      </c>
      <c r="D381" s="95" t="s">
        <v>383</v>
      </c>
      <c r="E381" s="93"/>
      <c r="F381" s="89" t="s">
        <v>337</v>
      </c>
      <c r="G381" s="87"/>
      <c r="H381" s="102"/>
      <c r="I381" s="69"/>
    </row>
    <row r="382" spans="1:9">
      <c r="A382" s="89">
        <f t="shared" si="0"/>
        <v>23</v>
      </c>
      <c r="B382" s="89" t="s">
        <v>342</v>
      </c>
      <c r="C382" s="286" t="s">
        <v>384</v>
      </c>
      <c r="D382" s="95" t="s">
        <v>385</v>
      </c>
      <c r="E382" s="93"/>
      <c r="F382" s="89" t="s">
        <v>345</v>
      </c>
      <c r="G382" s="87"/>
      <c r="H382" s="69"/>
      <c r="I382" s="69"/>
    </row>
    <row r="383" spans="1:9">
      <c r="A383" s="89">
        <f t="shared" si="0"/>
        <v>24</v>
      </c>
      <c r="B383" s="89" t="s">
        <v>342</v>
      </c>
      <c r="C383" s="286" t="s">
        <v>386</v>
      </c>
      <c r="D383" s="95" t="s">
        <v>387</v>
      </c>
      <c r="E383" s="93"/>
      <c r="F383" s="89" t="s">
        <v>345</v>
      </c>
      <c r="G383" s="87"/>
      <c r="H383" s="69"/>
      <c r="I383" s="69" t="s">
        <v>388</v>
      </c>
    </row>
    <row r="384" spans="1:9">
      <c r="A384" s="89">
        <f t="shared" si="0"/>
        <v>25</v>
      </c>
      <c r="B384" s="89" t="s">
        <v>342</v>
      </c>
      <c r="C384" s="286">
        <v>317633</v>
      </c>
      <c r="D384" s="95" t="s">
        <v>3822</v>
      </c>
      <c r="E384" s="93"/>
      <c r="F384" s="89" t="s">
        <v>345</v>
      </c>
      <c r="G384" s="87"/>
      <c r="H384" s="69"/>
      <c r="I384" s="69"/>
    </row>
    <row r="385" spans="1:9">
      <c r="A385" s="89">
        <f>A383+1</f>
        <v>25</v>
      </c>
      <c r="B385" s="89" t="s">
        <v>342</v>
      </c>
      <c r="C385" s="286" t="s">
        <v>389</v>
      </c>
      <c r="D385" s="95" t="s">
        <v>390</v>
      </c>
      <c r="E385" s="93"/>
      <c r="F385" s="89" t="s">
        <v>345</v>
      </c>
      <c r="G385" s="87"/>
      <c r="H385" s="69"/>
      <c r="I385" s="69"/>
    </row>
    <row r="386" spans="1:9">
      <c r="A386" s="89">
        <f t="shared" si="0"/>
        <v>26</v>
      </c>
      <c r="B386" s="89" t="s">
        <v>342</v>
      </c>
      <c r="C386" s="286">
        <v>307498</v>
      </c>
      <c r="D386" s="95" t="s">
        <v>391</v>
      </c>
      <c r="E386" s="93"/>
      <c r="F386" s="89" t="s">
        <v>345</v>
      </c>
      <c r="G386" s="87"/>
      <c r="H386" s="102" t="s">
        <v>392</v>
      </c>
      <c r="I386" s="69"/>
    </row>
    <row r="387" spans="1:9">
      <c r="A387" s="89" t="s">
        <v>1787</v>
      </c>
      <c r="B387" s="89" t="s">
        <v>342</v>
      </c>
      <c r="C387" s="286">
        <v>307823</v>
      </c>
      <c r="D387" s="95" t="s">
        <v>394</v>
      </c>
      <c r="E387" s="93"/>
      <c r="F387" s="89" t="s">
        <v>345</v>
      </c>
      <c r="G387" s="87"/>
      <c r="H387" s="102"/>
      <c r="I387" s="69"/>
    </row>
    <row r="388" spans="1:9">
      <c r="A388" s="89">
        <f>A386+1</f>
        <v>27</v>
      </c>
      <c r="B388" s="89" t="s">
        <v>342</v>
      </c>
      <c r="C388" s="286"/>
      <c r="D388" s="95" t="s">
        <v>393</v>
      </c>
      <c r="E388" s="93"/>
      <c r="F388" s="89" t="s">
        <v>345</v>
      </c>
      <c r="G388" s="87"/>
      <c r="H388" s="69"/>
      <c r="I388" s="69"/>
    </row>
    <row r="389" spans="1:9" ht="28">
      <c r="A389" s="412">
        <f t="shared" si="0"/>
        <v>28</v>
      </c>
      <c r="B389" s="412" t="s">
        <v>342</v>
      </c>
      <c r="C389" s="287">
        <v>301103</v>
      </c>
      <c r="D389" s="445" t="s">
        <v>2876</v>
      </c>
      <c r="E389" s="93"/>
      <c r="F389" s="412" t="s">
        <v>345</v>
      </c>
      <c r="G389" s="87"/>
      <c r="H389" s="460">
        <v>1</v>
      </c>
      <c r="I389" s="104" t="s">
        <v>395</v>
      </c>
    </row>
    <row r="390" spans="1:9">
      <c r="A390" s="89">
        <f t="shared" si="0"/>
        <v>29</v>
      </c>
      <c r="B390" s="89" t="s">
        <v>342</v>
      </c>
      <c r="C390" s="286">
        <v>307484</v>
      </c>
      <c r="D390" s="95" t="s">
        <v>396</v>
      </c>
      <c r="E390" s="93"/>
      <c r="F390" s="89" t="s">
        <v>345</v>
      </c>
      <c r="G390" s="87"/>
      <c r="H390" s="103"/>
      <c r="I390" s="104" t="s">
        <v>397</v>
      </c>
    </row>
    <row r="391" spans="1:9">
      <c r="A391" s="89">
        <f t="shared" si="0"/>
        <v>30</v>
      </c>
      <c r="B391" s="89" t="s">
        <v>342</v>
      </c>
      <c r="C391" s="286">
        <v>307486</v>
      </c>
      <c r="D391" s="95" t="s">
        <v>398</v>
      </c>
      <c r="E391" s="93"/>
      <c r="F391" s="89" t="s">
        <v>345</v>
      </c>
      <c r="G391" s="87"/>
      <c r="H391" s="105" t="s">
        <v>399</v>
      </c>
      <c r="I391" s="104" t="s">
        <v>393</v>
      </c>
    </row>
    <row r="392" spans="1:9">
      <c r="A392" s="89">
        <f t="shared" si="0"/>
        <v>31</v>
      </c>
      <c r="B392" s="89" t="s">
        <v>400</v>
      </c>
      <c r="C392" s="286">
        <v>307035</v>
      </c>
      <c r="D392" s="95" t="s">
        <v>401</v>
      </c>
      <c r="E392" s="93"/>
      <c r="F392" s="89" t="s">
        <v>345</v>
      </c>
      <c r="G392" s="87"/>
      <c r="H392" s="105" t="s">
        <v>402</v>
      </c>
      <c r="I392" s="104" t="s">
        <v>403</v>
      </c>
    </row>
    <row r="393" spans="1:9">
      <c r="A393" s="89" t="e">
        <f>#REF!+1</f>
        <v>#REF!</v>
      </c>
      <c r="B393" s="89" t="s">
        <v>404</v>
      </c>
      <c r="C393" s="286" t="s">
        <v>405</v>
      </c>
      <c r="D393" s="95" t="s">
        <v>406</v>
      </c>
      <c r="E393" s="93"/>
      <c r="F393" s="89" t="s">
        <v>345</v>
      </c>
      <c r="G393" s="87"/>
      <c r="H393" s="105" t="s">
        <v>407</v>
      </c>
      <c r="I393" s="104" t="s">
        <v>408</v>
      </c>
    </row>
    <row r="394" spans="1:9">
      <c r="A394" s="89" t="e">
        <f t="shared" ref="A394:A400" si="1">A393+1</f>
        <v>#REF!</v>
      </c>
      <c r="B394" s="89" t="s">
        <v>404</v>
      </c>
      <c r="C394" s="286" t="s">
        <v>409</v>
      </c>
      <c r="D394" s="95" t="s">
        <v>410</v>
      </c>
      <c r="E394" s="93"/>
      <c r="F394" s="89" t="s">
        <v>345</v>
      </c>
      <c r="G394" s="87"/>
      <c r="H394" s="102"/>
    </row>
    <row r="395" spans="1:9">
      <c r="A395" s="89" t="e">
        <f>#REF!+1</f>
        <v>#REF!</v>
      </c>
      <c r="B395" s="89" t="s">
        <v>400</v>
      </c>
      <c r="C395" s="286" t="s">
        <v>411</v>
      </c>
      <c r="D395" s="95" t="s">
        <v>412</v>
      </c>
      <c r="E395" s="93"/>
      <c r="F395" s="89" t="s">
        <v>345</v>
      </c>
      <c r="G395" s="87"/>
      <c r="H395" s="102" t="s">
        <v>413</v>
      </c>
    </row>
    <row r="396" spans="1:9">
      <c r="A396" s="89" t="e">
        <f t="shared" si="1"/>
        <v>#REF!</v>
      </c>
      <c r="B396" s="89" t="s">
        <v>414</v>
      </c>
      <c r="C396" s="286" t="s">
        <v>415</v>
      </c>
      <c r="D396" s="95" t="s">
        <v>416</v>
      </c>
      <c r="E396" s="93"/>
      <c r="F396" s="89" t="s">
        <v>337</v>
      </c>
      <c r="G396" s="87"/>
      <c r="H396" s="102"/>
    </row>
    <row r="397" spans="1:9">
      <c r="A397" s="89" t="e">
        <f t="shared" si="1"/>
        <v>#REF!</v>
      </c>
      <c r="B397" s="89" t="s">
        <v>414</v>
      </c>
      <c r="C397" s="286" t="s">
        <v>417</v>
      </c>
      <c r="D397" s="95" t="s">
        <v>418</v>
      </c>
      <c r="E397" s="93"/>
      <c r="F397" s="89" t="s">
        <v>337</v>
      </c>
      <c r="G397" s="87"/>
      <c r="H397" s="102" t="s">
        <v>419</v>
      </c>
    </row>
    <row r="398" spans="1:9">
      <c r="A398" s="89" t="e">
        <f t="shared" si="1"/>
        <v>#REF!</v>
      </c>
      <c r="B398" s="89" t="s">
        <v>414</v>
      </c>
      <c r="C398" s="286" t="s">
        <v>420</v>
      </c>
      <c r="D398" s="95" t="s">
        <v>2480</v>
      </c>
      <c r="E398" s="93"/>
      <c r="F398" s="89" t="s">
        <v>337</v>
      </c>
      <c r="G398" s="87"/>
      <c r="H398" s="69"/>
      <c r="I398" s="102"/>
    </row>
    <row r="399" spans="1:9">
      <c r="A399" s="89" t="e">
        <f t="shared" si="1"/>
        <v>#REF!</v>
      </c>
      <c r="B399" s="89" t="s">
        <v>414</v>
      </c>
      <c r="C399" s="286" t="s">
        <v>421</v>
      </c>
      <c r="D399" s="95" t="s">
        <v>422</v>
      </c>
      <c r="E399" s="93"/>
      <c r="F399" s="89" t="s">
        <v>337</v>
      </c>
      <c r="G399" s="87"/>
      <c r="H399" s="69"/>
      <c r="I399" s="69"/>
    </row>
    <row r="400" spans="1:9">
      <c r="A400" s="89" t="e">
        <f t="shared" si="1"/>
        <v>#REF!</v>
      </c>
      <c r="B400" s="89" t="s">
        <v>414</v>
      </c>
      <c r="C400" s="286" t="s">
        <v>423</v>
      </c>
      <c r="D400" s="95" t="s">
        <v>424</v>
      </c>
      <c r="E400" s="93"/>
      <c r="F400" s="89" t="s">
        <v>337</v>
      </c>
      <c r="G400" s="87"/>
      <c r="H400" s="69"/>
      <c r="I400" s="69"/>
    </row>
    <row r="401" spans="1:9">
      <c r="A401" s="89"/>
      <c r="B401" s="89" t="s">
        <v>414</v>
      </c>
      <c r="C401" s="286">
        <v>301188</v>
      </c>
      <c r="D401" s="95" t="s">
        <v>2592</v>
      </c>
      <c r="E401" s="93"/>
      <c r="F401" s="89" t="s">
        <v>337</v>
      </c>
      <c r="G401" s="87"/>
      <c r="H401" s="69"/>
      <c r="I401" s="69"/>
    </row>
    <row r="402" spans="1:9">
      <c r="A402" s="89" t="e">
        <f>A400+1</f>
        <v>#REF!</v>
      </c>
      <c r="B402" s="89" t="s">
        <v>414</v>
      </c>
      <c r="C402" s="286" t="s">
        <v>425</v>
      </c>
      <c r="D402" s="95" t="s">
        <v>2479</v>
      </c>
      <c r="E402" s="93"/>
      <c r="F402" s="89" t="s">
        <v>337</v>
      </c>
      <c r="G402" s="87"/>
      <c r="H402" s="69"/>
      <c r="I402" s="69"/>
    </row>
    <row r="403" spans="1:9">
      <c r="A403" s="89" t="e">
        <f>#REF!+1</f>
        <v>#REF!</v>
      </c>
      <c r="B403" s="89" t="s">
        <v>414</v>
      </c>
      <c r="C403" s="286" t="s">
        <v>426</v>
      </c>
      <c r="D403" s="94" t="s">
        <v>427</v>
      </c>
      <c r="E403" s="94"/>
      <c r="F403" s="89" t="s">
        <v>337</v>
      </c>
      <c r="G403" s="87"/>
      <c r="H403" s="69"/>
      <c r="I403" s="69"/>
    </row>
    <row r="404" spans="1:9">
      <c r="A404" s="89" t="e">
        <f>A403+1</f>
        <v>#REF!</v>
      </c>
      <c r="B404" s="89" t="s">
        <v>414</v>
      </c>
      <c r="C404" s="286" t="s">
        <v>428</v>
      </c>
      <c r="D404" s="94" t="s">
        <v>429</v>
      </c>
      <c r="E404" s="94"/>
      <c r="F404" s="89" t="s">
        <v>337</v>
      </c>
      <c r="G404" s="87"/>
      <c r="H404" s="69"/>
      <c r="I404" s="69"/>
    </row>
    <row r="405" spans="1:9">
      <c r="A405" s="89" t="e">
        <f>A404+1</f>
        <v>#REF!</v>
      </c>
      <c r="B405" s="89" t="s">
        <v>414</v>
      </c>
      <c r="C405" s="286" t="s">
        <v>430</v>
      </c>
      <c r="D405" s="94" t="s">
        <v>431</v>
      </c>
      <c r="E405" s="94"/>
      <c r="F405" s="89" t="s">
        <v>337</v>
      </c>
      <c r="G405" s="87"/>
      <c r="H405" s="69"/>
      <c r="I405" s="69"/>
    </row>
    <row r="406" spans="1:9">
      <c r="A406" s="89" t="e">
        <f>A405+1</f>
        <v>#REF!</v>
      </c>
      <c r="B406" s="89" t="s">
        <v>414</v>
      </c>
      <c r="C406" s="286" t="s">
        <v>432</v>
      </c>
      <c r="D406" s="94" t="s">
        <v>433</v>
      </c>
      <c r="E406" s="94"/>
      <c r="F406" s="89" t="s">
        <v>345</v>
      </c>
      <c r="G406" s="87"/>
      <c r="H406" s="69"/>
      <c r="I406" s="69"/>
    </row>
    <row r="407" spans="1:9">
      <c r="A407" s="89" t="e">
        <f>A406+1</f>
        <v>#REF!</v>
      </c>
      <c r="B407" s="89" t="s">
        <v>414</v>
      </c>
      <c r="C407" s="286" t="s">
        <v>434</v>
      </c>
      <c r="D407" s="94" t="s">
        <v>435</v>
      </c>
      <c r="E407" s="94"/>
      <c r="F407" s="89" t="s">
        <v>337</v>
      </c>
      <c r="G407" s="87"/>
      <c r="H407" s="69"/>
      <c r="I407" s="69"/>
    </row>
    <row r="408" spans="1:9">
      <c r="A408" s="89" t="e">
        <f>A407+1</f>
        <v>#REF!</v>
      </c>
      <c r="B408" s="89" t="s">
        <v>414</v>
      </c>
      <c r="C408" s="286" t="s">
        <v>436</v>
      </c>
      <c r="D408" s="94" t="s">
        <v>437</v>
      </c>
      <c r="E408" s="94"/>
      <c r="F408" s="89" t="s">
        <v>345</v>
      </c>
      <c r="G408" s="87"/>
      <c r="H408" s="69"/>
      <c r="I408" s="69"/>
    </row>
    <row r="409" spans="1:9">
      <c r="A409" s="89"/>
      <c r="B409" s="89"/>
      <c r="C409" s="286"/>
      <c r="D409" s="94"/>
      <c r="E409" s="94"/>
      <c r="F409" s="89"/>
      <c r="G409" s="87"/>
      <c r="H409" s="69"/>
      <c r="I409" s="69"/>
    </row>
    <row r="410" spans="1:9">
      <c r="A410" s="89">
        <v>142</v>
      </c>
      <c r="B410" s="89" t="s">
        <v>438</v>
      </c>
      <c r="C410" s="286" t="s">
        <v>439</v>
      </c>
      <c r="D410" s="94" t="s">
        <v>440</v>
      </c>
      <c r="E410" s="94"/>
      <c r="F410" s="89" t="s">
        <v>337</v>
      </c>
      <c r="G410" s="87"/>
      <c r="H410" s="69"/>
      <c r="I410" s="69"/>
    </row>
    <row r="411" spans="1:9">
      <c r="A411" s="89">
        <v>143</v>
      </c>
      <c r="B411" s="89" t="s">
        <v>438</v>
      </c>
      <c r="C411" s="286" t="s">
        <v>441</v>
      </c>
      <c r="D411" s="94" t="s">
        <v>442</v>
      </c>
      <c r="E411" s="94"/>
      <c r="F411" s="89" t="s">
        <v>337</v>
      </c>
      <c r="G411" s="87"/>
      <c r="H411" s="69"/>
      <c r="I411" s="291"/>
    </row>
    <row r="412" spans="1:9">
      <c r="A412" s="89">
        <v>144</v>
      </c>
      <c r="B412" s="89" t="s">
        <v>438</v>
      </c>
      <c r="C412" s="286" t="s">
        <v>443</v>
      </c>
      <c r="D412" s="94" t="s">
        <v>444</v>
      </c>
      <c r="E412" s="94"/>
      <c r="F412" s="89" t="s">
        <v>337</v>
      </c>
      <c r="G412" s="87"/>
      <c r="H412" s="69"/>
      <c r="I412" s="69"/>
    </row>
    <row r="413" spans="1:9">
      <c r="A413" s="89">
        <v>145</v>
      </c>
      <c r="B413" s="89" t="s">
        <v>438</v>
      </c>
      <c r="C413" s="286" t="s">
        <v>445</v>
      </c>
      <c r="D413" s="94" t="s">
        <v>446</v>
      </c>
      <c r="E413" s="94"/>
      <c r="F413" s="89" t="s">
        <v>337</v>
      </c>
      <c r="G413" s="87"/>
      <c r="H413" s="69"/>
      <c r="I413" s="69"/>
    </row>
    <row r="414" spans="1:9">
      <c r="A414" s="89"/>
      <c r="B414" s="89" t="s">
        <v>438</v>
      </c>
      <c r="C414" s="481">
        <v>307204</v>
      </c>
      <c r="D414" s="2" t="s">
        <v>2981</v>
      </c>
      <c r="E414" s="94"/>
      <c r="F414" s="89"/>
      <c r="G414" s="87"/>
      <c r="H414" s="69"/>
      <c r="I414" s="69"/>
    </row>
    <row r="415" spans="1:9">
      <c r="A415" s="89">
        <v>146</v>
      </c>
      <c r="B415" s="89" t="s">
        <v>438</v>
      </c>
      <c r="C415" s="286" t="s">
        <v>447</v>
      </c>
      <c r="D415" s="94" t="s">
        <v>448</v>
      </c>
      <c r="E415" s="94"/>
      <c r="F415" s="89" t="s">
        <v>337</v>
      </c>
      <c r="G415" s="87"/>
      <c r="H415" s="69"/>
      <c r="I415" s="69"/>
    </row>
    <row r="416" spans="1:9">
      <c r="A416" s="89">
        <v>146</v>
      </c>
      <c r="B416" s="89" t="s">
        <v>438</v>
      </c>
      <c r="C416" s="286" t="s">
        <v>447</v>
      </c>
      <c r="D416" s="94" t="s">
        <v>2299</v>
      </c>
      <c r="E416" s="94"/>
      <c r="F416" s="89" t="s">
        <v>337</v>
      </c>
      <c r="G416" s="87"/>
      <c r="H416" s="69"/>
      <c r="I416" s="69"/>
    </row>
    <row r="417" spans="1:10">
      <c r="A417" s="89">
        <v>147</v>
      </c>
      <c r="B417" s="89" t="s">
        <v>438</v>
      </c>
      <c r="C417" s="286" t="s">
        <v>447</v>
      </c>
      <c r="D417" s="94" t="s">
        <v>448</v>
      </c>
      <c r="E417" s="94"/>
      <c r="F417" s="89" t="s">
        <v>337</v>
      </c>
      <c r="G417" s="87"/>
      <c r="H417" s="69"/>
      <c r="I417" s="69"/>
    </row>
    <row r="418" spans="1:10">
      <c r="A418" s="89">
        <v>148</v>
      </c>
      <c r="B418" s="89" t="s">
        <v>438</v>
      </c>
      <c r="C418" s="286" t="s">
        <v>449</v>
      </c>
      <c r="D418" s="94" t="s">
        <v>450</v>
      </c>
      <c r="E418" s="94"/>
      <c r="F418" s="89" t="s">
        <v>337</v>
      </c>
      <c r="G418" s="87"/>
      <c r="H418" s="69"/>
      <c r="I418" s="69" t="s">
        <v>451</v>
      </c>
    </row>
    <row r="419" spans="1:10">
      <c r="A419" s="89">
        <v>149</v>
      </c>
      <c r="B419" s="89" t="s">
        <v>438</v>
      </c>
      <c r="C419" s="286" t="s">
        <v>426</v>
      </c>
      <c r="D419" s="94" t="s">
        <v>427</v>
      </c>
      <c r="E419" s="94"/>
      <c r="F419" s="89" t="s">
        <v>337</v>
      </c>
      <c r="G419" s="87"/>
      <c r="H419" s="69"/>
      <c r="I419" s="69" t="s">
        <v>452</v>
      </c>
    </row>
    <row r="420" spans="1:10">
      <c r="A420" s="89">
        <v>150</v>
      </c>
      <c r="B420" s="89" t="s">
        <v>438</v>
      </c>
      <c r="C420" s="287">
        <v>307519</v>
      </c>
      <c r="D420" s="94" t="s">
        <v>453</v>
      </c>
      <c r="E420" s="94"/>
      <c r="F420" s="89" t="s">
        <v>337</v>
      </c>
      <c r="G420" s="288"/>
      <c r="H420" s="111"/>
      <c r="I420" s="291" t="s">
        <v>454</v>
      </c>
    </row>
    <row r="421" spans="1:10">
      <c r="A421" s="89">
        <v>151</v>
      </c>
      <c r="B421" s="89"/>
      <c r="C421" s="286">
        <v>307572</v>
      </c>
      <c r="D421" s="94" t="s">
        <v>455</v>
      </c>
      <c r="E421" s="89"/>
      <c r="F421" s="89" t="s">
        <v>337</v>
      </c>
      <c r="G421" s="288"/>
      <c r="H421" s="111"/>
      <c r="I421" s="69" t="s">
        <v>456</v>
      </c>
    </row>
    <row r="422" spans="1:10">
      <c r="A422" s="89"/>
      <c r="B422" s="89"/>
      <c r="C422" s="286">
        <v>307356</v>
      </c>
      <c r="D422" s="94" t="s">
        <v>457</v>
      </c>
      <c r="E422" s="89"/>
      <c r="F422" s="89" t="s">
        <v>337</v>
      </c>
      <c r="G422" s="288"/>
      <c r="H422" s="111"/>
      <c r="I422" s="69"/>
    </row>
    <row r="423" spans="1:10">
      <c r="A423" s="89">
        <v>152</v>
      </c>
      <c r="B423" s="89" t="s">
        <v>458</v>
      </c>
      <c r="C423" s="289">
        <v>307752</v>
      </c>
      <c r="D423" s="290" t="s">
        <v>459</v>
      </c>
      <c r="E423" s="94"/>
      <c r="F423" s="89" t="s">
        <v>337</v>
      </c>
      <c r="G423" s="288"/>
      <c r="H423" s="111"/>
      <c r="I423" s="69" t="s">
        <v>460</v>
      </c>
    </row>
    <row r="424" spans="1:10">
      <c r="A424" s="89">
        <v>153</v>
      </c>
      <c r="B424" s="89" t="s">
        <v>458</v>
      </c>
      <c r="C424" s="289">
        <v>307753</v>
      </c>
      <c r="D424" s="290" t="s">
        <v>461</v>
      </c>
      <c r="E424" s="94"/>
      <c r="F424" s="89" t="s">
        <v>337</v>
      </c>
      <c r="G424" s="288"/>
      <c r="H424" s="111"/>
      <c r="I424" s="111"/>
    </row>
    <row r="425" spans="1:10">
      <c r="A425" s="89">
        <v>154</v>
      </c>
      <c r="B425" s="89" t="s">
        <v>462</v>
      </c>
      <c r="C425" s="289">
        <v>3065067</v>
      </c>
      <c r="D425" s="290" t="s">
        <v>463</v>
      </c>
      <c r="E425" s="94"/>
      <c r="F425" s="89" t="s">
        <v>337</v>
      </c>
      <c r="G425" s="288"/>
      <c r="H425" s="111"/>
      <c r="I425" s="111"/>
    </row>
    <row r="426" spans="1:10">
      <c r="A426" s="89">
        <v>155</v>
      </c>
      <c r="B426" s="89" t="s">
        <v>462</v>
      </c>
      <c r="C426" s="289">
        <v>3065146</v>
      </c>
      <c r="D426" s="290" t="s">
        <v>464</v>
      </c>
      <c r="E426" s="94"/>
      <c r="F426" s="89" t="s">
        <v>337</v>
      </c>
      <c r="G426" s="288"/>
      <c r="H426" s="111"/>
      <c r="I426" s="111"/>
    </row>
    <row r="427" spans="1:10">
      <c r="A427" s="89"/>
      <c r="B427" s="89" t="s">
        <v>462</v>
      </c>
      <c r="C427" s="292">
        <v>3065067</v>
      </c>
      <c r="D427" s="293" t="s">
        <v>465</v>
      </c>
      <c r="E427" s="94"/>
      <c r="F427" s="89"/>
      <c r="G427" s="288"/>
      <c r="H427" s="111"/>
      <c r="I427" s="111"/>
    </row>
    <row r="428" spans="1:10">
      <c r="A428" s="89"/>
      <c r="B428" s="89" t="s">
        <v>462</v>
      </c>
      <c r="C428" s="292">
        <v>3065149</v>
      </c>
      <c r="D428" s="293" t="s">
        <v>466</v>
      </c>
      <c r="E428" s="94"/>
      <c r="F428" s="89"/>
      <c r="G428" s="288"/>
      <c r="H428" s="111"/>
      <c r="I428" s="289"/>
      <c r="J428" s="290"/>
    </row>
    <row r="429" spans="1:10">
      <c r="A429" s="89"/>
      <c r="B429" s="89" t="s">
        <v>462</v>
      </c>
      <c r="C429" s="292">
        <v>3065146</v>
      </c>
      <c r="D429" s="293" t="s">
        <v>467</v>
      </c>
      <c r="E429" s="94"/>
      <c r="F429" s="89"/>
      <c r="G429" s="288"/>
      <c r="H429" s="111"/>
      <c r="I429" s="286"/>
      <c r="J429" s="94"/>
    </row>
    <row r="430" spans="1:10">
      <c r="A430" s="89">
        <v>156</v>
      </c>
      <c r="B430" s="89" t="s">
        <v>462</v>
      </c>
      <c r="C430" s="289">
        <v>3065149</v>
      </c>
      <c r="D430" s="290" t="s">
        <v>466</v>
      </c>
      <c r="E430" s="94"/>
      <c r="F430" s="89" t="s">
        <v>337</v>
      </c>
      <c r="G430" s="288"/>
      <c r="H430" s="111"/>
      <c r="I430" s="111"/>
    </row>
    <row r="431" spans="1:10">
      <c r="A431" s="89"/>
      <c r="B431" s="89"/>
      <c r="C431" s="286">
        <v>2058851</v>
      </c>
      <c r="D431" s="94" t="s">
        <v>2321</v>
      </c>
      <c r="E431" s="94"/>
      <c r="F431" s="89" t="s">
        <v>337</v>
      </c>
      <c r="G431" s="288"/>
      <c r="H431" s="111"/>
      <c r="I431" s="111"/>
    </row>
    <row r="432" spans="1:10">
      <c r="A432" s="89">
        <v>157</v>
      </c>
      <c r="B432" s="89" t="s">
        <v>462</v>
      </c>
      <c r="C432" s="289">
        <v>3065250</v>
      </c>
      <c r="D432" s="290" t="s">
        <v>468</v>
      </c>
      <c r="E432" s="94"/>
      <c r="F432" s="89" t="s">
        <v>337</v>
      </c>
      <c r="G432" s="288"/>
      <c r="H432" s="111"/>
      <c r="I432" s="111"/>
    </row>
    <row r="433" spans="1:9">
      <c r="A433" s="89"/>
      <c r="B433" s="89" t="s">
        <v>4585</v>
      </c>
      <c r="C433" s="286">
        <v>317395</v>
      </c>
      <c r="D433" s="94" t="s">
        <v>2375</v>
      </c>
      <c r="E433" s="94"/>
      <c r="F433" s="89"/>
      <c r="G433" s="87"/>
      <c r="H433" s="69"/>
      <c r="I433" s="69"/>
    </row>
    <row r="434" spans="1:9">
      <c r="A434" s="89"/>
      <c r="B434" s="89" t="s">
        <v>4585</v>
      </c>
      <c r="C434" s="286">
        <v>317826</v>
      </c>
      <c r="D434" s="94" t="s">
        <v>4584</v>
      </c>
      <c r="E434" s="94"/>
      <c r="F434" s="89"/>
      <c r="G434" s="87"/>
      <c r="H434" s="69"/>
      <c r="I434" s="69"/>
    </row>
    <row r="435" spans="1:9">
      <c r="A435" s="89"/>
      <c r="B435" s="89" t="s">
        <v>4585</v>
      </c>
      <c r="C435" s="286" t="s">
        <v>1787</v>
      </c>
      <c r="D435" s="94" t="s">
        <v>4586</v>
      </c>
      <c r="E435" s="94"/>
      <c r="F435" s="89"/>
      <c r="G435" s="87"/>
      <c r="H435" s="69"/>
      <c r="I435" s="69"/>
    </row>
    <row r="436" spans="1:9">
      <c r="A436" s="89"/>
      <c r="B436" s="89"/>
      <c r="C436" s="286"/>
      <c r="D436" s="94"/>
      <c r="E436" s="94"/>
      <c r="F436" s="89"/>
      <c r="G436" s="87"/>
      <c r="H436" s="69"/>
      <c r="I436" s="69"/>
    </row>
    <row r="437" spans="1:9">
      <c r="A437" s="89"/>
      <c r="B437" s="89"/>
      <c r="C437" s="286"/>
      <c r="D437" s="94"/>
      <c r="E437" s="94"/>
      <c r="F437" s="89"/>
      <c r="G437" s="87"/>
      <c r="H437" s="69"/>
      <c r="I437" s="69"/>
    </row>
    <row r="438" spans="1:9">
      <c r="A438" s="89"/>
      <c r="B438" s="89"/>
      <c r="C438" s="286"/>
      <c r="D438" s="94"/>
      <c r="E438" s="94"/>
      <c r="F438" s="89"/>
      <c r="G438" s="87"/>
      <c r="H438" s="69"/>
      <c r="I438" s="69"/>
    </row>
    <row r="439" spans="1:9">
      <c r="A439" s="89"/>
      <c r="B439" s="89"/>
      <c r="C439" s="286"/>
      <c r="D439" s="94"/>
      <c r="E439" s="94"/>
      <c r="F439" s="89"/>
      <c r="G439" s="87"/>
      <c r="H439" s="69"/>
      <c r="I439" s="69"/>
    </row>
    <row r="440" spans="1:9">
      <c r="A440" s="89"/>
      <c r="B440" s="89" t="s">
        <v>3899</v>
      </c>
      <c r="C440" s="286">
        <v>318134</v>
      </c>
      <c r="D440" s="94" t="s">
        <v>3900</v>
      </c>
      <c r="E440" s="94"/>
      <c r="F440" s="89"/>
      <c r="G440" s="87"/>
      <c r="H440" s="69"/>
      <c r="I440" s="69"/>
    </row>
    <row r="441" spans="1:9">
      <c r="A441" s="89"/>
      <c r="B441" s="89" t="s">
        <v>3899</v>
      </c>
      <c r="C441" s="286">
        <v>318142</v>
      </c>
      <c r="D441" s="94" t="s">
        <v>3898</v>
      </c>
      <c r="E441" s="94"/>
      <c r="F441" s="89"/>
      <c r="G441" s="87"/>
      <c r="H441" s="69"/>
      <c r="I441" s="69"/>
    </row>
    <row r="442" spans="1:9">
      <c r="A442" s="89"/>
      <c r="B442" s="89" t="s">
        <v>3899</v>
      </c>
      <c r="C442" s="286" t="s">
        <v>1787</v>
      </c>
      <c r="D442" s="94" t="s">
        <v>4120</v>
      </c>
      <c r="E442" s="94"/>
      <c r="F442" s="89"/>
      <c r="G442" s="87"/>
      <c r="H442" s="69"/>
      <c r="I442" s="69"/>
    </row>
    <row r="443" spans="1:9">
      <c r="A443" s="89"/>
      <c r="B443" s="89" t="s">
        <v>3899</v>
      </c>
      <c r="C443" s="286">
        <v>318143</v>
      </c>
      <c r="D443" s="94" t="s">
        <v>3901</v>
      </c>
      <c r="E443" s="94"/>
      <c r="F443" s="89"/>
      <c r="G443" s="87"/>
      <c r="H443" s="69"/>
      <c r="I443" s="69"/>
    </row>
    <row r="444" spans="1:9">
      <c r="A444" s="89"/>
      <c r="B444" s="89" t="s">
        <v>3899</v>
      </c>
      <c r="C444" s="286">
        <v>318144</v>
      </c>
      <c r="D444" s="94" t="s">
        <v>3902</v>
      </c>
      <c r="E444" s="94"/>
      <c r="F444" s="89"/>
      <c r="G444" s="87"/>
      <c r="H444" s="69"/>
      <c r="I444" s="69"/>
    </row>
    <row r="445" spans="1:9">
      <c r="A445" s="89"/>
      <c r="B445" s="89" t="s">
        <v>3899</v>
      </c>
      <c r="C445" s="286">
        <v>318287</v>
      </c>
      <c r="D445" s="94" t="s">
        <v>4610</v>
      </c>
      <c r="E445" s="94"/>
      <c r="F445" s="89"/>
      <c r="G445" s="87"/>
      <c r="H445" s="69"/>
      <c r="I445" s="69"/>
    </row>
    <row r="446" spans="1:9">
      <c r="A446" s="89"/>
      <c r="B446" s="89" t="s">
        <v>3899</v>
      </c>
      <c r="C446" s="286" t="s">
        <v>1787</v>
      </c>
      <c r="D446" s="94" t="s">
        <v>4106</v>
      </c>
      <c r="E446" s="94"/>
      <c r="F446" s="89"/>
      <c r="G446" s="87"/>
      <c r="H446" s="69"/>
      <c r="I446" s="69"/>
    </row>
    <row r="447" spans="1:9">
      <c r="A447" s="89"/>
      <c r="B447" s="89"/>
      <c r="C447" s="286"/>
      <c r="D447" s="94"/>
      <c r="E447" s="94"/>
      <c r="F447" s="89"/>
      <c r="G447" s="87"/>
      <c r="H447" s="69"/>
      <c r="I447" s="69"/>
    </row>
    <row r="448" spans="1:9">
      <c r="A448" s="89"/>
      <c r="B448" s="89"/>
      <c r="C448" s="286"/>
      <c r="D448" s="94"/>
      <c r="E448" s="94"/>
      <c r="F448" s="89"/>
      <c r="G448" s="87"/>
      <c r="H448" s="69"/>
      <c r="I448" s="69"/>
    </row>
    <row r="449" spans="1:9">
      <c r="A449" s="89"/>
      <c r="B449" s="89" t="s">
        <v>4296</v>
      </c>
      <c r="C449" s="286" t="s">
        <v>1787</v>
      </c>
      <c r="D449" s="94" t="s">
        <v>4297</v>
      </c>
      <c r="E449" s="94"/>
      <c r="F449" s="89"/>
      <c r="G449" s="87"/>
      <c r="H449" s="69"/>
      <c r="I449" s="69"/>
    </row>
    <row r="450" spans="1:9">
      <c r="A450" s="89"/>
      <c r="B450" s="89" t="s">
        <v>4296</v>
      </c>
      <c r="C450" s="286" t="s">
        <v>1787</v>
      </c>
      <c r="D450" s="94" t="s">
        <v>4298</v>
      </c>
      <c r="E450" s="94"/>
      <c r="F450" s="89"/>
      <c r="G450" s="87"/>
      <c r="H450" s="69"/>
      <c r="I450" s="69"/>
    </row>
    <row r="451" spans="1:9">
      <c r="A451" s="89"/>
      <c r="B451" s="89" t="s">
        <v>4296</v>
      </c>
      <c r="C451" s="286" t="s">
        <v>1787</v>
      </c>
      <c r="D451" s="94" t="s">
        <v>4299</v>
      </c>
      <c r="E451" s="94"/>
      <c r="F451" s="89"/>
      <c r="G451" s="87"/>
      <c r="H451" s="69"/>
      <c r="I451" s="69"/>
    </row>
    <row r="452" spans="1:9">
      <c r="A452" s="89"/>
      <c r="B452" s="89" t="s">
        <v>4296</v>
      </c>
      <c r="C452" s="286" t="s">
        <v>1787</v>
      </c>
      <c r="D452" s="94" t="s">
        <v>4300</v>
      </c>
      <c r="E452" s="94"/>
      <c r="F452" s="89"/>
      <c r="G452" s="87"/>
      <c r="H452" s="69"/>
      <c r="I452" s="69"/>
    </row>
    <row r="453" spans="1:9">
      <c r="A453" s="89"/>
      <c r="B453" s="89" t="s">
        <v>4296</v>
      </c>
      <c r="C453" s="286" t="s">
        <v>1787</v>
      </c>
      <c r="D453" s="94" t="s">
        <v>4301</v>
      </c>
      <c r="E453" s="94"/>
      <c r="F453" s="89"/>
      <c r="G453" s="87"/>
      <c r="H453" s="69"/>
      <c r="I453" s="69"/>
    </row>
    <row r="454" spans="1:9">
      <c r="A454" s="89"/>
      <c r="B454" s="89" t="s">
        <v>4296</v>
      </c>
      <c r="C454" s="286" t="s">
        <v>1787</v>
      </c>
      <c r="D454" s="94" t="s">
        <v>4302</v>
      </c>
      <c r="E454" s="94"/>
      <c r="F454" s="89"/>
      <c r="G454" s="87"/>
      <c r="H454" s="69"/>
      <c r="I454" s="69"/>
    </row>
    <row r="455" spans="1:9">
      <c r="A455" s="89"/>
      <c r="B455" s="89" t="s">
        <v>4296</v>
      </c>
      <c r="C455" s="286" t="s">
        <v>1787</v>
      </c>
      <c r="D455" s="94" t="s">
        <v>4303</v>
      </c>
      <c r="E455" s="94"/>
      <c r="F455" s="89"/>
      <c r="G455" s="87"/>
      <c r="H455" s="69"/>
      <c r="I455" s="69"/>
    </row>
    <row r="456" spans="1:9">
      <c r="A456" s="89"/>
      <c r="B456" s="89" t="s">
        <v>4296</v>
      </c>
      <c r="C456" s="286" t="s">
        <v>1787</v>
      </c>
      <c r="D456" s="94" t="s">
        <v>4304</v>
      </c>
      <c r="E456" s="94"/>
      <c r="F456" s="89"/>
      <c r="G456" s="87"/>
      <c r="H456" s="69"/>
      <c r="I456" s="69"/>
    </row>
    <row r="457" spans="1:9">
      <c r="A457" s="89"/>
      <c r="B457" s="89"/>
      <c r="C457" s="286"/>
      <c r="D457" s="94"/>
      <c r="E457" s="94"/>
      <c r="F457" s="89"/>
      <c r="G457" s="87"/>
      <c r="H457" s="69"/>
      <c r="I457" s="69"/>
    </row>
    <row r="458" spans="1:9">
      <c r="A458" s="89"/>
      <c r="B458" s="89"/>
      <c r="C458" s="286"/>
      <c r="D458" s="94"/>
      <c r="E458" s="94"/>
      <c r="F458" s="89"/>
      <c r="G458" s="87"/>
      <c r="H458" s="69"/>
      <c r="I458" s="69"/>
    </row>
    <row r="459" spans="1:9">
      <c r="A459" s="89"/>
      <c r="B459" s="89"/>
      <c r="C459" s="286"/>
      <c r="D459" s="94"/>
      <c r="E459" s="94"/>
      <c r="F459" s="89"/>
      <c r="G459" s="87"/>
      <c r="H459" s="69"/>
      <c r="I459" s="69"/>
    </row>
    <row r="460" spans="1:9">
      <c r="A460" s="89"/>
      <c r="B460" s="89"/>
      <c r="C460" s="286"/>
      <c r="D460" s="94"/>
      <c r="E460" s="94"/>
      <c r="F460" s="89"/>
      <c r="G460" s="87"/>
      <c r="H460" s="69"/>
      <c r="I460" s="69"/>
    </row>
    <row r="461" spans="1:9">
      <c r="A461" s="89" t="e">
        <f>A408+1</f>
        <v>#REF!</v>
      </c>
      <c r="B461" s="89" t="s">
        <v>469</v>
      </c>
      <c r="C461" s="294">
        <v>307854</v>
      </c>
      <c r="D461" s="295" t="s">
        <v>470</v>
      </c>
      <c r="E461" s="94"/>
      <c r="F461" s="89" t="s">
        <v>337</v>
      </c>
      <c r="G461" s="87"/>
      <c r="H461" s="69"/>
      <c r="I461" s="69" t="s">
        <v>471</v>
      </c>
    </row>
    <row r="462" spans="1:9">
      <c r="A462" s="89" t="e">
        <f t="shared" ref="A462:A480" si="2">A461+1</f>
        <v>#REF!</v>
      </c>
      <c r="B462" s="89" t="s">
        <v>469</v>
      </c>
      <c r="C462" s="294">
        <v>307896</v>
      </c>
      <c r="D462" s="295" t="s">
        <v>472</v>
      </c>
      <c r="E462" s="94"/>
      <c r="F462" s="89" t="s">
        <v>337</v>
      </c>
      <c r="G462" s="87"/>
      <c r="H462" s="69"/>
      <c r="I462" s="69" t="s">
        <v>471</v>
      </c>
    </row>
    <row r="463" spans="1:9">
      <c r="A463" s="89" t="e">
        <f t="shared" si="2"/>
        <v>#REF!</v>
      </c>
      <c r="B463" s="89" t="s">
        <v>469</v>
      </c>
      <c r="C463" s="294">
        <v>307895</v>
      </c>
      <c r="D463" s="295" t="s">
        <v>473</v>
      </c>
      <c r="E463" s="94"/>
      <c r="F463" s="89" t="s">
        <v>337</v>
      </c>
      <c r="G463" s="87"/>
      <c r="H463" s="69"/>
      <c r="I463" s="69" t="s">
        <v>471</v>
      </c>
    </row>
    <row r="464" spans="1:9">
      <c r="A464" s="89" t="e">
        <f t="shared" si="2"/>
        <v>#REF!</v>
      </c>
      <c r="B464" s="89" t="s">
        <v>469</v>
      </c>
      <c r="C464" s="294">
        <v>307855</v>
      </c>
      <c r="D464" s="295" t="s">
        <v>474</v>
      </c>
      <c r="E464" s="94"/>
      <c r="F464" s="89" t="s">
        <v>337</v>
      </c>
      <c r="G464" s="87"/>
      <c r="H464" s="69"/>
      <c r="I464" s="69" t="s">
        <v>471</v>
      </c>
    </row>
    <row r="465" spans="1:9">
      <c r="A465" s="89" t="e">
        <f t="shared" si="2"/>
        <v>#REF!</v>
      </c>
      <c r="B465" s="89" t="s">
        <v>469</v>
      </c>
      <c r="C465" s="294">
        <v>307856</v>
      </c>
      <c r="D465" s="295" t="s">
        <v>475</v>
      </c>
      <c r="E465" s="94"/>
      <c r="F465" s="89" t="s">
        <v>337</v>
      </c>
      <c r="G465" s="87"/>
      <c r="H465" s="69"/>
      <c r="I465" s="69" t="s">
        <v>471</v>
      </c>
    </row>
    <row r="466" spans="1:9">
      <c r="A466" s="89" t="e">
        <f t="shared" si="2"/>
        <v>#REF!</v>
      </c>
      <c r="B466" s="89" t="s">
        <v>469</v>
      </c>
      <c r="C466" s="294">
        <v>307857</v>
      </c>
      <c r="D466" s="295" t="s">
        <v>476</v>
      </c>
      <c r="E466" s="94"/>
      <c r="F466" s="89" t="s">
        <v>337</v>
      </c>
      <c r="G466" s="87"/>
      <c r="H466" s="69"/>
      <c r="I466" s="69" t="s">
        <v>471</v>
      </c>
    </row>
    <row r="467" spans="1:9">
      <c r="A467" s="89" t="e">
        <f t="shared" si="2"/>
        <v>#REF!</v>
      </c>
      <c r="B467" s="89" t="s">
        <v>469</v>
      </c>
      <c r="C467" s="294">
        <v>307858</v>
      </c>
      <c r="D467" s="295" t="s">
        <v>477</v>
      </c>
      <c r="E467" s="94"/>
      <c r="F467" s="89" t="s">
        <v>337</v>
      </c>
      <c r="G467" s="87"/>
      <c r="H467" s="69"/>
      <c r="I467" s="69" t="s">
        <v>471</v>
      </c>
    </row>
    <row r="468" spans="1:9">
      <c r="A468" s="89" t="e">
        <f t="shared" si="2"/>
        <v>#REF!</v>
      </c>
      <c r="B468" s="89" t="s">
        <v>469</v>
      </c>
      <c r="C468" s="294">
        <v>307859</v>
      </c>
      <c r="D468" s="295" t="s">
        <v>478</v>
      </c>
      <c r="E468" s="94"/>
      <c r="F468" s="89" t="s">
        <v>337</v>
      </c>
      <c r="G468" s="87"/>
      <c r="H468" s="69"/>
      <c r="I468" s="69" t="s">
        <v>471</v>
      </c>
    </row>
    <row r="469" spans="1:9">
      <c r="A469" s="89" t="e">
        <f t="shared" si="2"/>
        <v>#REF!</v>
      </c>
      <c r="B469" s="89" t="s">
        <v>469</v>
      </c>
      <c r="C469" s="294">
        <v>307860</v>
      </c>
      <c r="D469" s="295" t="s">
        <v>479</v>
      </c>
      <c r="E469" s="94"/>
      <c r="F469" s="89" t="s">
        <v>337</v>
      </c>
      <c r="G469" s="87"/>
      <c r="H469" s="69"/>
      <c r="I469" s="69" t="s">
        <v>471</v>
      </c>
    </row>
    <row r="470" spans="1:9">
      <c r="A470" s="89" t="e">
        <f t="shared" si="2"/>
        <v>#REF!</v>
      </c>
      <c r="B470" s="89" t="s">
        <v>469</v>
      </c>
      <c r="C470" s="294">
        <v>307861</v>
      </c>
      <c r="D470" s="295" t="s">
        <v>480</v>
      </c>
      <c r="E470" s="94"/>
      <c r="F470" s="89" t="s">
        <v>337</v>
      </c>
      <c r="G470" s="87"/>
      <c r="H470" s="69"/>
      <c r="I470" s="69" t="s">
        <v>471</v>
      </c>
    </row>
    <row r="471" spans="1:9">
      <c r="A471" s="89" t="e">
        <f t="shared" si="2"/>
        <v>#REF!</v>
      </c>
      <c r="B471" s="89" t="s">
        <v>469</v>
      </c>
      <c r="C471" s="294">
        <v>307862</v>
      </c>
      <c r="D471" s="295" t="s">
        <v>481</v>
      </c>
      <c r="E471" s="94"/>
      <c r="F471" s="89" t="s">
        <v>337</v>
      </c>
      <c r="G471" s="87"/>
      <c r="H471" s="69"/>
      <c r="I471" s="69" t="s">
        <v>471</v>
      </c>
    </row>
    <row r="472" spans="1:9">
      <c r="A472" s="89" t="e">
        <f t="shared" si="2"/>
        <v>#REF!</v>
      </c>
      <c r="B472" s="89" t="s">
        <v>469</v>
      </c>
      <c r="C472" s="296">
        <v>307912</v>
      </c>
      <c r="D472" s="297" t="s">
        <v>482</v>
      </c>
      <c r="E472" s="298"/>
      <c r="F472" s="299" t="s">
        <v>337</v>
      </c>
      <c r="G472" s="87"/>
      <c r="H472" s="69"/>
      <c r="I472" s="69" t="s">
        <v>471</v>
      </c>
    </row>
    <row r="473" spans="1:9">
      <c r="A473" s="89" t="e">
        <f t="shared" si="2"/>
        <v>#REF!</v>
      </c>
      <c r="B473" s="89" t="s">
        <v>469</v>
      </c>
      <c r="C473" s="296">
        <v>307913</v>
      </c>
      <c r="D473" s="297" t="s">
        <v>483</v>
      </c>
      <c r="E473" s="298"/>
      <c r="F473" s="299" t="s">
        <v>337</v>
      </c>
      <c r="G473" s="87"/>
      <c r="H473" s="69"/>
      <c r="I473" s="69" t="s">
        <v>471</v>
      </c>
    </row>
    <row r="474" spans="1:9">
      <c r="A474" s="89" t="e">
        <f t="shared" si="2"/>
        <v>#REF!</v>
      </c>
      <c r="B474" s="89" t="s">
        <v>469</v>
      </c>
      <c r="C474" s="296">
        <v>307914</v>
      </c>
      <c r="D474" s="297" t="s">
        <v>484</v>
      </c>
      <c r="E474" s="298"/>
      <c r="F474" s="299" t="s">
        <v>337</v>
      </c>
      <c r="G474" s="87"/>
      <c r="H474" s="69"/>
      <c r="I474" s="69" t="s">
        <v>471</v>
      </c>
    </row>
    <row r="475" spans="1:9">
      <c r="A475" s="89" t="e">
        <f t="shared" si="2"/>
        <v>#REF!</v>
      </c>
      <c r="B475" s="89" t="s">
        <v>469</v>
      </c>
      <c r="C475" s="296">
        <v>307915</v>
      </c>
      <c r="D475" s="300" t="s">
        <v>485</v>
      </c>
      <c r="E475" s="298"/>
      <c r="F475" s="299" t="s">
        <v>337</v>
      </c>
      <c r="G475" s="87"/>
      <c r="H475" s="69"/>
      <c r="I475" s="69" t="s">
        <v>471</v>
      </c>
    </row>
    <row r="476" spans="1:9">
      <c r="A476" s="89" t="e">
        <f t="shared" si="2"/>
        <v>#REF!</v>
      </c>
      <c r="B476" s="89" t="s">
        <v>469</v>
      </c>
      <c r="C476" s="296">
        <v>307916</v>
      </c>
      <c r="D476" s="300" t="s">
        <v>486</v>
      </c>
      <c r="E476" s="298"/>
      <c r="F476" s="299" t="s">
        <v>337</v>
      </c>
      <c r="G476" s="87"/>
      <c r="H476" s="69"/>
      <c r="I476" s="69" t="s">
        <v>471</v>
      </c>
    </row>
    <row r="477" spans="1:9">
      <c r="A477" s="89" t="e">
        <f t="shared" si="2"/>
        <v>#REF!</v>
      </c>
      <c r="B477" s="89" t="s">
        <v>469</v>
      </c>
      <c r="C477" s="296">
        <v>307917</v>
      </c>
      <c r="D477" s="300" t="s">
        <v>487</v>
      </c>
      <c r="E477" s="298"/>
      <c r="F477" s="299" t="s">
        <v>337</v>
      </c>
      <c r="G477" s="87"/>
      <c r="H477" s="69"/>
      <c r="I477" s="69" t="s">
        <v>471</v>
      </c>
    </row>
    <row r="478" spans="1:9">
      <c r="A478" s="89" t="e">
        <f t="shared" si="2"/>
        <v>#REF!</v>
      </c>
      <c r="B478" s="89" t="s">
        <v>469</v>
      </c>
      <c r="C478" s="296">
        <v>307933</v>
      </c>
      <c r="D478" s="297" t="s">
        <v>488</v>
      </c>
      <c r="E478" s="298"/>
      <c r="F478" s="299" t="s">
        <v>337</v>
      </c>
      <c r="G478" s="87"/>
      <c r="H478" s="69"/>
      <c r="I478" s="69" t="s">
        <v>471</v>
      </c>
    </row>
    <row r="479" spans="1:9">
      <c r="A479" s="89" t="e">
        <f t="shared" si="2"/>
        <v>#REF!</v>
      </c>
      <c r="B479" s="89" t="s">
        <v>469</v>
      </c>
      <c r="C479" s="296">
        <v>307934</v>
      </c>
      <c r="D479" s="300" t="s">
        <v>489</v>
      </c>
      <c r="E479" s="298"/>
      <c r="F479" s="299" t="s">
        <v>337</v>
      </c>
      <c r="G479" s="87"/>
      <c r="H479" s="69"/>
      <c r="I479" s="69" t="s">
        <v>471</v>
      </c>
    </row>
    <row r="480" spans="1:9">
      <c r="A480" s="89" t="e">
        <f t="shared" si="2"/>
        <v>#REF!</v>
      </c>
      <c r="B480" s="89" t="s">
        <v>469</v>
      </c>
      <c r="C480" s="296">
        <v>307935</v>
      </c>
      <c r="D480" s="300" t="s">
        <v>490</v>
      </c>
      <c r="E480" s="298"/>
      <c r="F480" s="299" t="s">
        <v>337</v>
      </c>
      <c r="G480" s="87"/>
      <c r="H480" s="69"/>
      <c r="I480" s="69" t="s">
        <v>471</v>
      </c>
    </row>
    <row r="481" spans="1:14">
      <c r="A481" s="89" t="e">
        <f>#REF!+1</f>
        <v>#REF!</v>
      </c>
      <c r="B481" s="89" t="s">
        <v>491</v>
      </c>
      <c r="C481" s="286" t="s">
        <v>498</v>
      </c>
      <c r="D481" s="94" t="s">
        <v>499</v>
      </c>
      <c r="E481" s="94"/>
      <c r="F481" s="89" t="s">
        <v>341</v>
      </c>
      <c r="G481" s="87"/>
      <c r="H481" s="69"/>
      <c r="I481" s="69" t="s">
        <v>500</v>
      </c>
    </row>
    <row r="482" spans="1:14">
      <c r="A482" s="89"/>
      <c r="B482" s="89" t="s">
        <v>491</v>
      </c>
      <c r="C482" s="286">
        <v>317917</v>
      </c>
      <c r="D482" s="94" t="s">
        <v>4611</v>
      </c>
      <c r="E482" s="94"/>
      <c r="F482" s="89"/>
      <c r="G482" s="87"/>
      <c r="H482" s="69"/>
      <c r="I482" s="69" t="s">
        <v>4619</v>
      </c>
    </row>
    <row r="483" spans="1:14">
      <c r="A483" s="89"/>
      <c r="B483" s="89" t="s">
        <v>491</v>
      </c>
      <c r="C483" s="827">
        <v>317918</v>
      </c>
      <c r="D483" s="305" t="s">
        <v>4618</v>
      </c>
      <c r="E483" s="94"/>
      <c r="F483" s="89"/>
      <c r="G483" s="87"/>
      <c r="H483" s="69"/>
      <c r="I483" s="69" t="s">
        <v>4620</v>
      </c>
    </row>
    <row r="484" spans="1:14">
      <c r="A484" s="89" t="e">
        <f>A481+1</f>
        <v>#REF!</v>
      </c>
      <c r="B484" s="89" t="s">
        <v>491</v>
      </c>
      <c r="C484" s="286"/>
      <c r="D484" s="94" t="s">
        <v>501</v>
      </c>
      <c r="E484" s="94"/>
      <c r="F484" s="89" t="s">
        <v>341</v>
      </c>
      <c r="G484" s="87"/>
      <c r="H484" s="69"/>
      <c r="I484" s="69" t="s">
        <v>502</v>
      </c>
    </row>
    <row r="485" spans="1:14">
      <c r="A485" s="89" t="e">
        <f>A484+1</f>
        <v>#REF!</v>
      </c>
      <c r="B485" s="89" t="s">
        <v>491</v>
      </c>
      <c r="C485" s="286" t="s">
        <v>503</v>
      </c>
      <c r="D485" s="94" t="s">
        <v>504</v>
      </c>
      <c r="E485" s="94"/>
      <c r="F485" s="89" t="s">
        <v>341</v>
      </c>
      <c r="G485" s="87"/>
      <c r="H485" s="69"/>
      <c r="I485" s="69" t="s">
        <v>505</v>
      </c>
    </row>
    <row r="486" spans="1:14">
      <c r="A486" s="89" t="e">
        <f>A485+1</f>
        <v>#REF!</v>
      </c>
      <c r="B486" s="89" t="s">
        <v>491</v>
      </c>
      <c r="C486" s="286">
        <v>307119</v>
      </c>
      <c r="D486" s="301" t="s">
        <v>506</v>
      </c>
      <c r="E486" s="94"/>
      <c r="F486" s="89" t="s">
        <v>341</v>
      </c>
      <c r="G486" s="87"/>
      <c r="H486" s="69"/>
      <c r="I486" s="69" t="s">
        <v>507</v>
      </c>
    </row>
    <row r="487" spans="1:14">
      <c r="A487" s="89" t="e">
        <f>A486+1</f>
        <v>#REF!</v>
      </c>
      <c r="B487" s="89" t="s">
        <v>491</v>
      </c>
      <c r="C487" s="286" t="s">
        <v>508</v>
      </c>
      <c r="D487" s="94" t="s">
        <v>509</v>
      </c>
      <c r="E487" s="94"/>
      <c r="F487" s="89" t="s">
        <v>341</v>
      </c>
      <c r="G487" s="87"/>
      <c r="H487" s="69"/>
      <c r="I487" s="69" t="s">
        <v>510</v>
      </c>
    </row>
    <row r="488" spans="1:14">
      <c r="A488" s="89" t="e">
        <f>A487+1</f>
        <v>#REF!</v>
      </c>
      <c r="B488" s="89" t="s">
        <v>491</v>
      </c>
      <c r="C488" s="286">
        <v>317136</v>
      </c>
      <c r="D488" s="251" t="s">
        <v>511</v>
      </c>
      <c r="E488" s="94"/>
      <c r="F488" s="89" t="s">
        <v>341</v>
      </c>
      <c r="G488" s="87"/>
      <c r="H488" s="69"/>
      <c r="I488" s="69" t="s">
        <v>512</v>
      </c>
    </row>
    <row r="489" spans="1:14">
      <c r="A489" s="89"/>
      <c r="B489" s="89" t="s">
        <v>491</v>
      </c>
      <c r="C489" s="286"/>
      <c r="D489" s="94" t="s">
        <v>513</v>
      </c>
      <c r="E489" s="94"/>
      <c r="F489" s="89"/>
      <c r="G489" s="87"/>
      <c r="H489" s="69"/>
      <c r="I489" s="69" t="s">
        <v>514</v>
      </c>
    </row>
    <row r="490" spans="1:14">
      <c r="A490" s="89"/>
      <c r="B490" s="89" t="s">
        <v>491</v>
      </c>
      <c r="C490" s="286">
        <v>317210</v>
      </c>
      <c r="D490" s="302" t="s">
        <v>515</v>
      </c>
      <c r="E490" s="94"/>
      <c r="F490" s="89" t="s">
        <v>341</v>
      </c>
      <c r="G490" s="87"/>
      <c r="H490" s="69"/>
      <c r="I490" s="69" t="s">
        <v>516</v>
      </c>
    </row>
    <row r="491" spans="1:14">
      <c r="A491" s="89"/>
      <c r="B491" s="89" t="s">
        <v>491</v>
      </c>
      <c r="C491" s="286"/>
      <c r="D491" s="94" t="s">
        <v>517</v>
      </c>
      <c r="E491" s="94"/>
      <c r="F491" s="89"/>
      <c r="G491" s="87"/>
      <c r="H491" s="69"/>
      <c r="I491" s="69"/>
    </row>
    <row r="492" spans="1:14">
      <c r="A492" s="89"/>
      <c r="B492" s="89" t="s">
        <v>491</v>
      </c>
      <c r="C492" s="286">
        <v>307985</v>
      </c>
      <c r="D492" s="94" t="s">
        <v>519</v>
      </c>
      <c r="E492" s="94"/>
      <c r="F492" s="89"/>
      <c r="G492" s="87"/>
      <c r="H492" s="69"/>
      <c r="I492" s="69"/>
    </row>
    <row r="493" spans="1:14">
      <c r="A493" s="89"/>
      <c r="B493" s="89"/>
      <c r="C493" s="518">
        <v>307288</v>
      </c>
      <c r="D493" s="519" t="s">
        <v>518</v>
      </c>
      <c r="E493" s="94"/>
      <c r="F493" s="89"/>
      <c r="G493" s="87"/>
      <c r="H493" s="69"/>
      <c r="I493" s="69" t="s">
        <v>3141</v>
      </c>
      <c r="N493" t="s">
        <v>3137</v>
      </c>
    </row>
    <row r="494" spans="1:14">
      <c r="A494" s="89">
        <v>79</v>
      </c>
      <c r="B494" s="89" t="s">
        <v>491</v>
      </c>
      <c r="C494" s="286" t="s">
        <v>520</v>
      </c>
      <c r="D494" s="94" t="s">
        <v>521</v>
      </c>
      <c r="E494" s="94"/>
      <c r="F494" s="89" t="s">
        <v>341</v>
      </c>
      <c r="G494" s="87"/>
      <c r="H494" s="69"/>
      <c r="I494" s="69" t="s">
        <v>522</v>
      </c>
      <c r="N494" t="s">
        <v>3138</v>
      </c>
    </row>
    <row r="495" spans="1:14">
      <c r="A495" s="89"/>
      <c r="B495" s="89" t="s">
        <v>491</v>
      </c>
      <c r="C495" s="286">
        <v>317778</v>
      </c>
      <c r="D495" s="94" t="s">
        <v>523</v>
      </c>
      <c r="E495" s="94"/>
      <c r="F495" s="89"/>
      <c r="G495" s="87"/>
      <c r="H495" s="69"/>
      <c r="I495" s="69"/>
      <c r="N495" t="s">
        <v>3139</v>
      </c>
    </row>
    <row r="496" spans="1:14">
      <c r="A496" s="89">
        <v>80</v>
      </c>
      <c r="B496" s="89" t="s">
        <v>491</v>
      </c>
      <c r="C496" s="286" t="s">
        <v>524</v>
      </c>
      <c r="D496" s="94" t="s">
        <v>525</v>
      </c>
      <c r="E496" s="94"/>
      <c r="F496" s="89" t="s">
        <v>341</v>
      </c>
      <c r="G496" s="87"/>
      <c r="H496" s="69"/>
      <c r="I496" s="69" t="s">
        <v>526</v>
      </c>
      <c r="N496" t="s">
        <v>454</v>
      </c>
    </row>
    <row r="497" spans="1:14">
      <c r="A497" s="89">
        <v>81</v>
      </c>
      <c r="B497" s="89" t="s">
        <v>491</v>
      </c>
      <c r="C497" s="286" t="s">
        <v>527</v>
      </c>
      <c r="D497" s="94" t="s">
        <v>528</v>
      </c>
      <c r="E497" s="94"/>
      <c r="F497" s="89" t="s">
        <v>341</v>
      </c>
      <c r="G497" s="87"/>
      <c r="H497" s="69"/>
      <c r="I497" s="69" t="s">
        <v>529</v>
      </c>
      <c r="N497" t="s">
        <v>3140</v>
      </c>
    </row>
    <row r="498" spans="1:14">
      <c r="A498" s="89"/>
      <c r="B498" s="89" t="s">
        <v>491</v>
      </c>
      <c r="C498" s="535">
        <v>317976</v>
      </c>
      <c r="D498" s="534" t="s">
        <v>3215</v>
      </c>
      <c r="E498" s="94"/>
      <c r="F498" s="89"/>
      <c r="G498" s="87"/>
      <c r="H498" s="69"/>
      <c r="I498" s="69"/>
    </row>
    <row r="499" spans="1:14">
      <c r="A499" s="89"/>
      <c r="B499" s="89" t="s">
        <v>491</v>
      </c>
      <c r="C499" s="286">
        <v>317319</v>
      </c>
      <c r="D499" s="94" t="s">
        <v>2781</v>
      </c>
      <c r="E499" s="94"/>
      <c r="F499" s="89"/>
      <c r="G499" s="87"/>
      <c r="H499" s="69"/>
      <c r="I499" s="69"/>
      <c r="N499" t="s">
        <v>518</v>
      </c>
    </row>
    <row r="500" spans="1:14">
      <c r="A500" s="89">
        <v>82</v>
      </c>
      <c r="B500" s="89" t="s">
        <v>491</v>
      </c>
      <c r="C500" s="286" t="s">
        <v>530</v>
      </c>
      <c r="D500" s="94" t="s">
        <v>531</v>
      </c>
      <c r="E500" s="94"/>
      <c r="F500" s="89" t="s">
        <v>341</v>
      </c>
      <c r="G500" s="87"/>
      <c r="H500" s="69"/>
      <c r="I500" s="69" t="s">
        <v>532</v>
      </c>
    </row>
    <row r="501" spans="1:14">
      <c r="A501" s="89"/>
      <c r="B501" s="89"/>
      <c r="C501" s="286"/>
      <c r="D501" s="94"/>
      <c r="E501" s="94"/>
      <c r="F501" s="89"/>
      <c r="G501" s="87"/>
      <c r="H501" s="69"/>
      <c r="I501" s="69"/>
    </row>
    <row r="502" spans="1:14">
      <c r="A502" s="89">
        <f>A501+1</f>
        <v>1</v>
      </c>
      <c r="B502" s="89" t="s">
        <v>491</v>
      </c>
      <c r="C502" s="286" t="s">
        <v>492</v>
      </c>
      <c r="D502" s="496" t="s">
        <v>493</v>
      </c>
      <c r="E502" s="94"/>
      <c r="F502" s="89" t="s">
        <v>341</v>
      </c>
      <c r="G502" s="87"/>
      <c r="H502" s="69"/>
      <c r="I502" s="69" t="s">
        <v>494</v>
      </c>
    </row>
    <row r="503" spans="1:14">
      <c r="A503" s="89">
        <f>A502+1</f>
        <v>2</v>
      </c>
      <c r="B503" s="89" t="s">
        <v>491</v>
      </c>
      <c r="C503" s="286" t="s">
        <v>495</v>
      </c>
      <c r="D503" s="496" t="s">
        <v>496</v>
      </c>
      <c r="E503" s="94"/>
      <c r="F503" s="89" t="s">
        <v>341</v>
      </c>
      <c r="G503" s="87"/>
      <c r="H503" s="69"/>
      <c r="I503" s="69" t="s">
        <v>497</v>
      </c>
    </row>
    <row r="504" spans="1:14">
      <c r="A504" s="89"/>
      <c r="B504" s="89" t="s">
        <v>491</v>
      </c>
      <c r="C504" s="286">
        <v>317117</v>
      </c>
      <c r="D504" s="496" t="s">
        <v>2971</v>
      </c>
      <c r="E504" s="94"/>
      <c r="F504" s="89"/>
      <c r="G504" s="87"/>
      <c r="H504" s="69"/>
      <c r="I504" s="69"/>
    </row>
    <row r="505" spans="1:14">
      <c r="A505" s="89">
        <v>83</v>
      </c>
      <c r="B505" s="89" t="s">
        <v>491</v>
      </c>
      <c r="C505" s="286" t="s">
        <v>533</v>
      </c>
      <c r="D505" s="496" t="s">
        <v>534</v>
      </c>
      <c r="E505" s="94"/>
      <c r="F505" s="89" t="s">
        <v>341</v>
      </c>
      <c r="G505" s="87"/>
      <c r="H505" s="69"/>
      <c r="I505" s="69" t="s">
        <v>535</v>
      </c>
    </row>
    <row r="506" spans="1:14">
      <c r="A506" s="89">
        <v>84</v>
      </c>
      <c r="B506" s="89" t="s">
        <v>491</v>
      </c>
      <c r="C506" s="286">
        <v>307691</v>
      </c>
      <c r="D506" s="94" t="s">
        <v>536</v>
      </c>
      <c r="E506" s="94"/>
      <c r="F506" s="89" t="s">
        <v>341</v>
      </c>
      <c r="G506" s="87"/>
      <c r="H506" s="69"/>
      <c r="I506" s="69" t="s">
        <v>537</v>
      </c>
    </row>
    <row r="507" spans="1:14">
      <c r="A507" s="89"/>
      <c r="B507" s="89" t="s">
        <v>491</v>
      </c>
      <c r="C507" s="481">
        <v>307092</v>
      </c>
      <c r="D507" s="497" t="s">
        <v>3049</v>
      </c>
      <c r="E507" s="94"/>
      <c r="F507" s="89" t="s">
        <v>341</v>
      </c>
      <c r="G507" s="87"/>
      <c r="H507" s="69"/>
      <c r="I507" s="69"/>
    </row>
    <row r="508" spans="1:14">
      <c r="A508" s="89"/>
      <c r="B508" s="89" t="s">
        <v>491</v>
      </c>
      <c r="C508" s="286">
        <v>318065</v>
      </c>
      <c r="D508" s="496" t="s">
        <v>3036</v>
      </c>
      <c r="E508" s="94"/>
      <c r="F508" s="89" t="s">
        <v>341</v>
      </c>
      <c r="G508" s="87"/>
      <c r="H508" s="69"/>
      <c r="I508" s="69"/>
    </row>
    <row r="509" spans="1:14">
      <c r="A509" s="89"/>
      <c r="B509" s="89" t="s">
        <v>491</v>
      </c>
      <c r="C509" s="535">
        <v>317976</v>
      </c>
      <c r="D509" s="534" t="s">
        <v>3215</v>
      </c>
      <c r="E509" s="94"/>
      <c r="F509" s="89"/>
      <c r="G509" s="87"/>
      <c r="H509" s="69"/>
      <c r="I509" s="69"/>
    </row>
    <row r="510" spans="1:14">
      <c r="A510" s="89"/>
      <c r="B510" s="89" t="s">
        <v>491</v>
      </c>
      <c r="C510" s="286">
        <v>317177</v>
      </c>
      <c r="D510" s="496" t="s">
        <v>538</v>
      </c>
      <c r="E510" s="94"/>
      <c r="F510" s="89" t="s">
        <v>341</v>
      </c>
      <c r="G510" s="87"/>
      <c r="H510" s="69"/>
      <c r="I510" s="69" t="s">
        <v>537</v>
      </c>
    </row>
    <row r="511" spans="1:14">
      <c r="A511" s="89"/>
      <c r="B511" s="89" t="s">
        <v>491</v>
      </c>
      <c r="C511" s="756">
        <v>3065729</v>
      </c>
      <c r="D511" s="755" t="s">
        <v>4111</v>
      </c>
      <c r="E511" s="94"/>
      <c r="F511" s="89" t="s">
        <v>341</v>
      </c>
      <c r="G511" s="87"/>
      <c r="H511" s="69"/>
      <c r="I511" s="69"/>
    </row>
    <row r="512" spans="1:14">
      <c r="A512" s="89"/>
      <c r="B512" s="89" t="s">
        <v>491</v>
      </c>
      <c r="C512" s="833" t="s">
        <v>1787</v>
      </c>
      <c r="D512" s="755" t="s">
        <v>4629</v>
      </c>
      <c r="E512" s="94"/>
      <c r="F512" s="89" t="s">
        <v>341</v>
      </c>
      <c r="G512" s="87"/>
      <c r="H512" s="69"/>
      <c r="I512" s="69"/>
    </row>
    <row r="513" spans="1:9">
      <c r="A513" s="89"/>
      <c r="B513" s="89" t="s">
        <v>491</v>
      </c>
      <c r="C513" s="756">
        <v>307086</v>
      </c>
      <c r="D513" s="755" t="s">
        <v>4112</v>
      </c>
      <c r="E513" s="94"/>
      <c r="F513" s="89" t="s">
        <v>341</v>
      </c>
      <c r="G513" s="87"/>
      <c r="H513" s="69"/>
      <c r="I513" s="69"/>
    </row>
    <row r="514" spans="1:9">
      <c r="A514" s="89"/>
      <c r="B514" s="89"/>
      <c r="C514" s="286"/>
      <c r="D514" s="496"/>
      <c r="E514" s="94"/>
      <c r="F514" s="89"/>
      <c r="G514" s="87"/>
      <c r="H514" s="69"/>
      <c r="I514" s="69"/>
    </row>
    <row r="515" spans="1:9">
      <c r="A515" s="89"/>
      <c r="B515" s="89"/>
      <c r="C515" s="286"/>
      <c r="D515" s="496"/>
      <c r="E515" s="94"/>
      <c r="F515" s="89"/>
      <c r="G515" s="87"/>
      <c r="H515" s="69"/>
      <c r="I515" s="69"/>
    </row>
    <row r="516" spans="1:9">
      <c r="A516" s="89"/>
      <c r="B516" s="89"/>
      <c r="C516" s="286"/>
      <c r="D516" s="94"/>
      <c r="E516" s="94"/>
      <c r="F516" s="89"/>
      <c r="G516" s="87"/>
      <c r="H516" s="69"/>
      <c r="I516" s="69"/>
    </row>
    <row r="517" spans="1:9">
      <c r="A517" s="89"/>
      <c r="B517" s="89"/>
      <c r="C517" s="286">
        <v>2073731</v>
      </c>
      <c r="D517" s="94" t="s">
        <v>4588</v>
      </c>
      <c r="E517" s="94"/>
      <c r="F517" s="89"/>
      <c r="G517" s="87"/>
      <c r="H517" s="69"/>
      <c r="I517" s="69"/>
    </row>
    <row r="518" spans="1:9">
      <c r="A518" s="89"/>
      <c r="B518" s="89"/>
      <c r="C518" s="286"/>
      <c r="D518" s="94"/>
      <c r="E518" s="94"/>
      <c r="F518" s="89"/>
      <c r="G518" s="87"/>
      <c r="H518" s="69"/>
      <c r="I518" s="69"/>
    </row>
    <row r="519" spans="1:9">
      <c r="A519" s="89"/>
      <c r="B519" s="89"/>
      <c r="C519" s="286"/>
      <c r="D519" s="94"/>
      <c r="E519" s="94"/>
      <c r="F519" s="89"/>
      <c r="G519" s="87"/>
      <c r="H519" s="69"/>
      <c r="I519" s="69"/>
    </row>
    <row r="520" spans="1:9">
      <c r="A520" s="89"/>
      <c r="B520" s="89"/>
      <c r="C520" s="286"/>
      <c r="D520" s="94"/>
      <c r="E520" s="94"/>
      <c r="F520" s="89"/>
      <c r="G520" s="87"/>
      <c r="H520" s="69"/>
      <c r="I520" s="69"/>
    </row>
    <row r="521" spans="1:9">
      <c r="A521" s="89"/>
      <c r="B521" s="89"/>
      <c r="C521" s="286"/>
      <c r="D521" s="94"/>
      <c r="E521" s="94"/>
      <c r="F521" s="89"/>
      <c r="G521" s="87"/>
      <c r="H521" s="69"/>
      <c r="I521" s="69"/>
    </row>
    <row r="522" spans="1:9">
      <c r="A522" s="89"/>
      <c r="B522" s="89"/>
      <c r="C522" s="286"/>
      <c r="D522" s="94"/>
      <c r="E522" s="94"/>
      <c r="F522" s="89"/>
      <c r="G522" s="87"/>
      <c r="H522" s="69"/>
      <c r="I522" s="69"/>
    </row>
    <row r="523" spans="1:9">
      <c r="A523" s="89"/>
      <c r="B523" s="89"/>
      <c r="C523" s="286"/>
      <c r="D523" s="94"/>
      <c r="E523" s="94"/>
      <c r="F523" s="89"/>
      <c r="G523" s="87"/>
      <c r="H523" s="69"/>
      <c r="I523" s="69"/>
    </row>
    <row r="524" spans="1:9">
      <c r="A524" s="89"/>
      <c r="B524" s="89"/>
      <c r="C524" s="286"/>
      <c r="D524" s="94"/>
      <c r="E524" s="94"/>
      <c r="F524" s="89"/>
      <c r="G524" s="87"/>
      <c r="H524" s="69"/>
      <c r="I524" s="69"/>
    </row>
    <row r="525" spans="1:9">
      <c r="A525" s="89">
        <v>90</v>
      </c>
      <c r="B525" s="89" t="s">
        <v>539</v>
      </c>
      <c r="C525" s="286" t="s">
        <v>540</v>
      </c>
      <c r="D525" s="94" t="s">
        <v>541</v>
      </c>
      <c r="E525" s="94"/>
      <c r="F525" s="89" t="s">
        <v>337</v>
      </c>
      <c r="G525" s="87"/>
    </row>
    <row r="526" spans="1:9">
      <c r="A526" s="89">
        <v>91</v>
      </c>
      <c r="B526" s="89" t="s">
        <v>539</v>
      </c>
      <c r="C526" s="286" t="s">
        <v>542</v>
      </c>
      <c r="D526" s="94" t="s">
        <v>543</v>
      </c>
      <c r="E526" s="94"/>
      <c r="F526" s="89" t="s">
        <v>337</v>
      </c>
      <c r="G526" s="87"/>
    </row>
    <row r="527" spans="1:9">
      <c r="A527" s="89">
        <v>92</v>
      </c>
      <c r="B527" s="89" t="s">
        <v>539</v>
      </c>
      <c r="C527" s="286" t="s">
        <v>544</v>
      </c>
      <c r="D527" s="94" t="s">
        <v>545</v>
      </c>
      <c r="E527" s="94"/>
      <c r="F527" s="89" t="s">
        <v>337</v>
      </c>
      <c r="G527" s="87"/>
    </row>
    <row r="528" spans="1:9">
      <c r="A528" s="89">
        <v>93</v>
      </c>
      <c r="B528" s="89" t="s">
        <v>539</v>
      </c>
      <c r="C528" s="286" t="s">
        <v>546</v>
      </c>
      <c r="D528" s="94" t="s">
        <v>547</v>
      </c>
      <c r="E528" s="94"/>
      <c r="F528" s="89" t="s">
        <v>337</v>
      </c>
      <c r="G528" s="87"/>
    </row>
    <row r="529" spans="1:9">
      <c r="A529" s="89">
        <v>94</v>
      </c>
      <c r="B529" s="89" t="s">
        <v>539</v>
      </c>
      <c r="C529" s="286"/>
      <c r="D529" s="303" t="s">
        <v>548</v>
      </c>
      <c r="E529" s="93" t="s">
        <v>549</v>
      </c>
      <c r="F529" s="304" t="s">
        <v>337</v>
      </c>
      <c r="G529" s="305" t="s">
        <v>550</v>
      </c>
      <c r="I529" s="71" t="s">
        <v>551</v>
      </c>
    </row>
    <row r="530" spans="1:9">
      <c r="A530" s="89">
        <v>95</v>
      </c>
      <c r="B530" s="89" t="s">
        <v>539</v>
      </c>
      <c r="C530" s="286" t="s">
        <v>552</v>
      </c>
      <c r="D530" s="94" t="s">
        <v>553</v>
      </c>
      <c r="E530" s="94"/>
      <c r="F530" s="89" t="s">
        <v>341</v>
      </c>
      <c r="G530" s="87"/>
    </row>
    <row r="531" spans="1:9">
      <c r="A531" s="89">
        <v>96</v>
      </c>
      <c r="B531" s="89" t="s">
        <v>554</v>
      </c>
      <c r="C531" s="286" t="s">
        <v>555</v>
      </c>
      <c r="D531" s="95" t="s">
        <v>556</v>
      </c>
      <c r="E531" s="93"/>
      <c r="F531" s="89" t="s">
        <v>337</v>
      </c>
      <c r="G531" s="87"/>
      <c r="H531" s="69"/>
      <c r="I531" s="69" t="s">
        <v>557</v>
      </c>
    </row>
    <row r="532" spans="1:9">
      <c r="A532" s="89">
        <v>97</v>
      </c>
      <c r="B532" s="89" t="s">
        <v>491</v>
      </c>
      <c r="C532" s="286" t="s">
        <v>558</v>
      </c>
      <c r="D532" s="95" t="s">
        <v>559</v>
      </c>
      <c r="E532" s="93"/>
      <c r="F532" s="89" t="s">
        <v>337</v>
      </c>
      <c r="G532" s="87"/>
      <c r="H532" s="69"/>
      <c r="I532" s="69"/>
    </row>
    <row r="533" spans="1:9">
      <c r="A533" s="89">
        <v>98</v>
      </c>
      <c r="B533" s="89" t="s">
        <v>491</v>
      </c>
      <c r="C533" s="286" t="s">
        <v>560</v>
      </c>
      <c r="D533" s="95" t="s">
        <v>561</v>
      </c>
      <c r="E533" s="93"/>
      <c r="F533" s="89" t="s">
        <v>337</v>
      </c>
      <c r="G533" s="87"/>
      <c r="H533" s="69"/>
      <c r="I533" s="69"/>
    </row>
    <row r="534" spans="1:9">
      <c r="A534" s="89">
        <v>99</v>
      </c>
      <c r="B534" s="89" t="s">
        <v>554</v>
      </c>
      <c r="C534" s="286" t="s">
        <v>562</v>
      </c>
      <c r="D534" s="95" t="s">
        <v>563</v>
      </c>
      <c r="E534" s="93"/>
      <c r="F534" s="89" t="s">
        <v>337</v>
      </c>
      <c r="G534" s="305" t="s">
        <v>564</v>
      </c>
      <c r="H534" s="69"/>
      <c r="I534" s="69"/>
    </row>
    <row r="535" spans="1:9">
      <c r="A535" s="89">
        <v>100</v>
      </c>
      <c r="B535" s="89" t="s">
        <v>554</v>
      </c>
      <c r="C535" s="286" t="s">
        <v>562</v>
      </c>
      <c r="D535" s="95" t="s">
        <v>565</v>
      </c>
      <c r="E535" s="93"/>
      <c r="F535" s="89" t="s">
        <v>337</v>
      </c>
      <c r="G535" s="305"/>
      <c r="H535" s="69"/>
      <c r="I535" s="69" t="s">
        <v>566</v>
      </c>
    </row>
    <row r="536" spans="1:9">
      <c r="A536" s="89">
        <v>101</v>
      </c>
      <c r="B536" s="89" t="s">
        <v>567</v>
      </c>
      <c r="C536" s="286" t="s">
        <v>568</v>
      </c>
      <c r="D536" s="95" t="s">
        <v>569</v>
      </c>
      <c r="E536" s="93"/>
      <c r="F536" s="89" t="s">
        <v>337</v>
      </c>
      <c r="G536" s="87"/>
      <c r="H536" s="69"/>
      <c r="I536" s="69"/>
    </row>
    <row r="537" spans="1:9">
      <c r="A537" s="89">
        <v>102</v>
      </c>
      <c r="B537" s="89" t="s">
        <v>567</v>
      </c>
      <c r="C537" s="286" t="s">
        <v>570</v>
      </c>
      <c r="D537" s="95" t="s">
        <v>571</v>
      </c>
      <c r="E537" s="93"/>
      <c r="F537" s="89" t="s">
        <v>337</v>
      </c>
      <c r="G537" s="87"/>
      <c r="H537" s="69"/>
      <c r="I537" s="69" t="s">
        <v>572</v>
      </c>
    </row>
    <row r="538" spans="1:9">
      <c r="A538" s="89">
        <v>103</v>
      </c>
      <c r="B538" s="89" t="s">
        <v>567</v>
      </c>
      <c r="C538" s="286" t="s">
        <v>1787</v>
      </c>
      <c r="D538" s="94" t="s">
        <v>573</v>
      </c>
      <c r="E538" s="93"/>
      <c r="F538" s="89" t="s">
        <v>574</v>
      </c>
      <c r="G538" s="87"/>
      <c r="H538" s="69"/>
      <c r="I538" s="69" t="s">
        <v>575</v>
      </c>
    </row>
    <row r="539" spans="1:9">
      <c r="A539" s="89">
        <v>104</v>
      </c>
      <c r="B539" s="89" t="s">
        <v>567</v>
      </c>
      <c r="C539" s="286" t="s">
        <v>1787</v>
      </c>
      <c r="D539" s="94" t="s">
        <v>576</v>
      </c>
      <c r="E539" s="93"/>
      <c r="F539" s="89" t="s">
        <v>574</v>
      </c>
      <c r="G539" s="87"/>
      <c r="H539" s="69"/>
      <c r="I539" s="69" t="s">
        <v>577</v>
      </c>
    </row>
    <row r="540" spans="1:9">
      <c r="A540" s="89">
        <v>105</v>
      </c>
      <c r="B540" s="89" t="s">
        <v>567</v>
      </c>
      <c r="C540" s="286" t="s">
        <v>578</v>
      </c>
      <c r="D540" s="95" t="s">
        <v>579</v>
      </c>
      <c r="E540" s="93"/>
      <c r="F540" s="89" t="s">
        <v>337</v>
      </c>
      <c r="G540" s="87"/>
      <c r="H540" s="69"/>
      <c r="I540" s="69" t="s">
        <v>580</v>
      </c>
    </row>
    <row r="541" spans="1:9">
      <c r="A541" s="89">
        <v>106</v>
      </c>
      <c r="B541" s="89" t="s">
        <v>567</v>
      </c>
      <c r="C541" s="286" t="s">
        <v>1787</v>
      </c>
      <c r="D541" s="94" t="s">
        <v>581</v>
      </c>
      <c r="E541" s="93"/>
      <c r="F541" s="89" t="s">
        <v>582</v>
      </c>
      <c r="G541" s="87"/>
      <c r="H541" s="69"/>
      <c r="I541" s="69" t="s">
        <v>583</v>
      </c>
    </row>
    <row r="542" spans="1:9">
      <c r="A542" s="89"/>
      <c r="B542" s="89"/>
      <c r="C542" s="286">
        <v>307367</v>
      </c>
      <c r="D542" s="94" t="s">
        <v>2522</v>
      </c>
      <c r="E542" s="93" t="s">
        <v>2523</v>
      </c>
      <c r="F542" s="89" t="s">
        <v>2524</v>
      </c>
      <c r="G542" s="855" t="s">
        <v>2529</v>
      </c>
      <c r="H542" s="69"/>
      <c r="I542" s="69"/>
    </row>
    <row r="543" spans="1:9">
      <c r="A543" s="89"/>
      <c r="B543" s="89"/>
      <c r="C543" s="286">
        <v>307193</v>
      </c>
      <c r="D543" s="94" t="s">
        <v>2525</v>
      </c>
      <c r="E543" s="93" t="s">
        <v>2526</v>
      </c>
      <c r="F543" s="89" t="s">
        <v>2524</v>
      </c>
      <c r="G543" s="856"/>
      <c r="H543" s="69"/>
      <c r="I543" s="69"/>
    </row>
    <row r="544" spans="1:9">
      <c r="A544" s="89"/>
      <c r="B544" s="89"/>
      <c r="C544" s="286">
        <v>317948</v>
      </c>
      <c r="D544" s="94" t="s">
        <v>2527</v>
      </c>
      <c r="E544" s="93" t="s">
        <v>2526</v>
      </c>
      <c r="F544" s="89" t="s">
        <v>2528</v>
      </c>
      <c r="G544" s="857"/>
      <c r="H544" s="69"/>
      <c r="I544" s="69"/>
    </row>
    <row r="545" spans="1:9">
      <c r="A545" s="89"/>
      <c r="B545" s="89"/>
      <c r="C545" s="286"/>
      <c r="D545" s="94"/>
      <c r="E545" s="93"/>
      <c r="F545" s="89"/>
      <c r="G545" s="87"/>
      <c r="H545" s="69"/>
      <c r="I545" s="69"/>
    </row>
    <row r="546" spans="1:9">
      <c r="A546" s="89"/>
      <c r="B546" s="89"/>
      <c r="C546" s="700">
        <v>3065536</v>
      </c>
      <c r="D546" s="699" t="s">
        <v>3853</v>
      </c>
      <c r="E546" s="93"/>
      <c r="F546" s="89"/>
      <c r="G546" s="87"/>
      <c r="H546" s="69"/>
      <c r="I546" s="69"/>
    </row>
    <row r="547" spans="1:9">
      <c r="A547" s="89"/>
      <c r="B547" s="89"/>
      <c r="C547" s="700">
        <v>3065537</v>
      </c>
      <c r="D547" s="699" t="s">
        <v>3854</v>
      </c>
      <c r="E547" s="93"/>
      <c r="F547" s="89"/>
      <c r="G547" s="87"/>
      <c r="H547" s="69"/>
      <c r="I547" s="69"/>
    </row>
    <row r="548" spans="1:9">
      <c r="A548" s="89"/>
      <c r="B548" s="89"/>
      <c r="C548" s="286"/>
      <c r="D548" s="94"/>
      <c r="E548" s="93"/>
      <c r="F548" s="89"/>
      <c r="G548" s="87"/>
      <c r="H548" s="69"/>
      <c r="I548" s="69"/>
    </row>
    <row r="549" spans="1:9">
      <c r="A549" s="89"/>
      <c r="B549" s="89"/>
      <c r="C549" s="286"/>
      <c r="D549" s="94"/>
      <c r="E549" s="93"/>
      <c r="F549" s="89"/>
      <c r="G549" s="87"/>
      <c r="H549" s="69"/>
      <c r="I549" s="69"/>
    </row>
    <row r="550" spans="1:9">
      <c r="A550" s="89"/>
      <c r="B550" s="89"/>
      <c r="C550" s="286"/>
      <c r="D550" s="94"/>
      <c r="E550" s="93"/>
      <c r="F550" s="89"/>
      <c r="G550" s="87"/>
      <c r="H550" s="69"/>
      <c r="I550" s="69"/>
    </row>
    <row r="551" spans="1:9">
      <c r="A551" s="89">
        <v>107</v>
      </c>
      <c r="B551" s="89"/>
      <c r="C551" s="286"/>
      <c r="D551" s="94"/>
      <c r="E551" s="93"/>
      <c r="F551" s="89"/>
      <c r="G551" s="87"/>
      <c r="H551" s="69"/>
      <c r="I551" s="69"/>
    </row>
    <row r="552" spans="1:9">
      <c r="A552" s="89">
        <v>108</v>
      </c>
      <c r="B552" s="89" t="s">
        <v>584</v>
      </c>
      <c r="C552" s="286" t="s">
        <v>585</v>
      </c>
      <c r="D552" s="94" t="s">
        <v>586</v>
      </c>
      <c r="E552" s="94"/>
      <c r="F552" s="89" t="s">
        <v>574</v>
      </c>
      <c r="G552" s="87"/>
      <c r="H552" s="69"/>
      <c r="I552" s="69" t="s">
        <v>587</v>
      </c>
    </row>
    <row r="553" spans="1:9">
      <c r="A553" s="89">
        <v>109</v>
      </c>
      <c r="B553" s="89" t="s">
        <v>584</v>
      </c>
      <c r="C553" s="286" t="s">
        <v>588</v>
      </c>
      <c r="D553" s="95" t="s">
        <v>589</v>
      </c>
      <c r="E553" s="93"/>
      <c r="F553" s="89" t="s">
        <v>337</v>
      </c>
      <c r="G553" s="87"/>
      <c r="H553" s="69"/>
      <c r="I553" s="69" t="s">
        <v>590</v>
      </c>
    </row>
    <row r="554" spans="1:9">
      <c r="A554" s="89">
        <v>110</v>
      </c>
      <c r="B554" s="89" t="s">
        <v>584</v>
      </c>
      <c r="C554" s="286" t="s">
        <v>591</v>
      </c>
      <c r="D554" s="95" t="s">
        <v>592</v>
      </c>
      <c r="E554" s="93"/>
      <c r="F554" s="89" t="s">
        <v>337</v>
      </c>
      <c r="G554" s="87"/>
      <c r="H554" s="69"/>
      <c r="I554" s="69" t="s">
        <v>593</v>
      </c>
    </row>
    <row r="555" spans="1:9">
      <c r="A555" s="89">
        <v>111</v>
      </c>
      <c r="B555" s="89" t="s">
        <v>584</v>
      </c>
      <c r="C555" s="286" t="s">
        <v>594</v>
      </c>
      <c r="D555" s="94" t="s">
        <v>595</v>
      </c>
      <c r="E555" s="94"/>
      <c r="F555" s="89" t="s">
        <v>582</v>
      </c>
      <c r="G555" s="87"/>
      <c r="H555" s="69"/>
      <c r="I555" s="69" t="s">
        <v>596</v>
      </c>
    </row>
    <row r="556" spans="1:9">
      <c r="A556" s="89">
        <v>112</v>
      </c>
      <c r="B556" s="89" t="s">
        <v>584</v>
      </c>
      <c r="C556" s="286" t="s">
        <v>597</v>
      </c>
      <c r="D556" s="94" t="s">
        <v>598</v>
      </c>
      <c r="E556" s="94"/>
      <c r="F556" s="89" t="s">
        <v>582</v>
      </c>
      <c r="G556" s="87"/>
      <c r="H556" s="69"/>
      <c r="I556" s="69" t="s">
        <v>599</v>
      </c>
    </row>
    <row r="557" spans="1:9">
      <c r="A557" s="89">
        <v>113</v>
      </c>
      <c r="B557" s="89"/>
      <c r="C557" s="286"/>
      <c r="D557" s="94"/>
      <c r="E557" s="94"/>
      <c r="F557" s="89"/>
      <c r="G557" s="87"/>
      <c r="H557" s="69"/>
      <c r="I557" s="69"/>
    </row>
    <row r="558" spans="1:9">
      <c r="A558" s="89">
        <v>114</v>
      </c>
      <c r="B558" s="89" t="s">
        <v>584</v>
      </c>
      <c r="C558" s="286" t="s">
        <v>600</v>
      </c>
      <c r="D558" s="94" t="s">
        <v>601</v>
      </c>
      <c r="E558" s="94"/>
      <c r="F558" s="89" t="s">
        <v>574</v>
      </c>
      <c r="G558" s="87"/>
      <c r="H558" s="69"/>
      <c r="I558" s="69" t="s">
        <v>602</v>
      </c>
    </row>
    <row r="559" spans="1:9">
      <c r="A559" s="89">
        <v>115</v>
      </c>
      <c r="B559" s="89" t="s">
        <v>584</v>
      </c>
      <c r="C559" s="286" t="s">
        <v>603</v>
      </c>
      <c r="D559" s="95" t="s">
        <v>604</v>
      </c>
      <c r="E559" s="93"/>
      <c r="F559" s="89" t="s">
        <v>341</v>
      </c>
      <c r="G559" s="87"/>
      <c r="H559" s="69"/>
      <c r="I559" s="69" t="s">
        <v>605</v>
      </c>
    </row>
    <row r="560" spans="1:9">
      <c r="A560" s="89">
        <v>116</v>
      </c>
      <c r="B560" s="89" t="s">
        <v>584</v>
      </c>
      <c r="C560" s="286" t="s">
        <v>606</v>
      </c>
      <c r="D560" s="95" t="s">
        <v>607</v>
      </c>
      <c r="E560" s="93"/>
      <c r="F560" s="89" t="s">
        <v>341</v>
      </c>
      <c r="G560" s="87"/>
      <c r="H560" s="69"/>
      <c r="I560" s="69" t="s">
        <v>608</v>
      </c>
    </row>
    <row r="561" spans="1:9">
      <c r="A561" s="89">
        <v>117</v>
      </c>
      <c r="B561" s="89" t="s">
        <v>584</v>
      </c>
      <c r="C561" s="286" t="s">
        <v>594</v>
      </c>
      <c r="D561" s="94" t="s">
        <v>595</v>
      </c>
      <c r="E561" s="94"/>
      <c r="F561" s="89" t="s">
        <v>582</v>
      </c>
      <c r="G561" s="87"/>
      <c r="H561" s="69"/>
      <c r="I561" s="69" t="s">
        <v>596</v>
      </c>
    </row>
    <row r="562" spans="1:9">
      <c r="A562" s="89">
        <v>118</v>
      </c>
      <c r="B562" s="89" t="s">
        <v>584</v>
      </c>
      <c r="C562" s="286" t="s">
        <v>597</v>
      </c>
      <c r="D562" s="94" t="s">
        <v>598</v>
      </c>
      <c r="E562" s="94"/>
      <c r="F562" s="89" t="s">
        <v>582</v>
      </c>
      <c r="G562" s="87"/>
      <c r="H562" s="69"/>
      <c r="I562" s="69" t="s">
        <v>599</v>
      </c>
    </row>
    <row r="563" spans="1:9">
      <c r="A563" s="89">
        <v>119</v>
      </c>
      <c r="B563" s="89" t="s">
        <v>609</v>
      </c>
      <c r="C563" s="286" t="s">
        <v>610</v>
      </c>
      <c r="D563" s="94" t="s">
        <v>611</v>
      </c>
      <c r="E563" s="94"/>
      <c r="F563" s="89" t="s">
        <v>341</v>
      </c>
      <c r="G563" s="87"/>
      <c r="H563" s="69"/>
      <c r="I563" s="69"/>
    </row>
    <row r="564" spans="1:9">
      <c r="A564" s="89">
        <v>120</v>
      </c>
      <c r="B564" s="89" t="s">
        <v>612</v>
      </c>
      <c r="C564" s="286" t="s">
        <v>613</v>
      </c>
      <c r="D564" s="94" t="s">
        <v>614</v>
      </c>
      <c r="E564" s="94"/>
      <c r="F564" s="89" t="s">
        <v>337</v>
      </c>
      <c r="G564" s="87"/>
      <c r="H564" s="69"/>
      <c r="I564" s="69" t="s">
        <v>615</v>
      </c>
    </row>
    <row r="565" spans="1:9">
      <c r="A565" s="89">
        <v>121</v>
      </c>
      <c r="B565" s="89" t="s">
        <v>616</v>
      </c>
      <c r="C565" s="306" t="s">
        <v>617</v>
      </c>
      <c r="D565" s="307" t="s">
        <v>618</v>
      </c>
      <c r="E565" s="308"/>
      <c r="F565" s="89" t="s">
        <v>337</v>
      </c>
      <c r="G565" s="87"/>
      <c r="H565" s="69"/>
      <c r="I565" s="319" t="s">
        <v>619</v>
      </c>
    </row>
    <row r="566" spans="1:9">
      <c r="A566" s="89">
        <v>122</v>
      </c>
      <c r="B566" s="89" t="s">
        <v>616</v>
      </c>
      <c r="C566" s="306" t="s">
        <v>620</v>
      </c>
      <c r="D566" s="307" t="s">
        <v>621</v>
      </c>
      <c r="E566" s="308"/>
      <c r="F566" s="89" t="s">
        <v>574</v>
      </c>
      <c r="G566" s="87"/>
      <c r="H566" s="69"/>
      <c r="I566" s="319" t="s">
        <v>622</v>
      </c>
    </row>
    <row r="567" spans="1:9">
      <c r="A567" s="89">
        <v>123</v>
      </c>
      <c r="B567" s="89" t="s">
        <v>616</v>
      </c>
      <c r="C567" s="306">
        <v>307374</v>
      </c>
      <c r="D567" s="307" t="s">
        <v>623</v>
      </c>
      <c r="E567" s="308"/>
      <c r="F567" s="89" t="s">
        <v>337</v>
      </c>
      <c r="G567" s="87"/>
      <c r="H567" s="69"/>
      <c r="I567" s="319"/>
    </row>
    <row r="568" spans="1:9">
      <c r="A568" s="89">
        <v>124</v>
      </c>
      <c r="B568" s="89" t="s">
        <v>616</v>
      </c>
      <c r="C568" s="306">
        <v>307362</v>
      </c>
      <c r="D568" s="307" t="s">
        <v>624</v>
      </c>
      <c r="E568" s="308"/>
      <c r="F568" s="89" t="s">
        <v>574</v>
      </c>
      <c r="G568" s="87"/>
      <c r="H568" s="69"/>
      <c r="I568" s="319"/>
    </row>
    <row r="569" spans="1:9">
      <c r="A569" s="89">
        <v>125</v>
      </c>
      <c r="B569" s="89" t="s">
        <v>616</v>
      </c>
      <c r="C569" s="306">
        <v>317188</v>
      </c>
      <c r="D569" s="307" t="s">
        <v>625</v>
      </c>
      <c r="E569" s="308"/>
      <c r="F569" s="89" t="s">
        <v>574</v>
      </c>
      <c r="G569" s="87"/>
      <c r="H569" s="69"/>
      <c r="I569" s="319"/>
    </row>
    <row r="570" spans="1:9">
      <c r="A570" s="89">
        <v>126</v>
      </c>
      <c r="B570" s="89" t="s">
        <v>626</v>
      </c>
      <c r="C570" s="306" t="s">
        <v>627</v>
      </c>
      <c r="D570" s="307" t="s">
        <v>628</v>
      </c>
      <c r="E570" s="308"/>
      <c r="F570" s="89" t="s">
        <v>345</v>
      </c>
      <c r="G570" s="87"/>
      <c r="H570" s="69"/>
      <c r="I570" s="69" t="s">
        <v>629</v>
      </c>
    </row>
    <row r="571" spans="1:9">
      <c r="A571" s="89">
        <v>127</v>
      </c>
      <c r="B571" s="89" t="s">
        <v>626</v>
      </c>
      <c r="C571" s="306" t="s">
        <v>630</v>
      </c>
      <c r="D571" s="307" t="s">
        <v>631</v>
      </c>
      <c r="E571" s="308"/>
      <c r="F571" s="89" t="s">
        <v>337</v>
      </c>
      <c r="G571" s="87"/>
      <c r="H571" s="69"/>
      <c r="I571" s="69" t="s">
        <v>629</v>
      </c>
    </row>
    <row r="572" spans="1:9">
      <c r="A572" s="89">
        <v>128</v>
      </c>
      <c r="B572" s="89" t="s">
        <v>626</v>
      </c>
      <c r="C572" s="306" t="s">
        <v>632</v>
      </c>
      <c r="D572" s="307" t="s">
        <v>633</v>
      </c>
      <c r="E572" s="308"/>
      <c r="F572" s="89" t="s">
        <v>337</v>
      </c>
      <c r="G572" s="87"/>
      <c r="H572" s="69"/>
      <c r="I572" s="69" t="s">
        <v>629</v>
      </c>
    </row>
    <row r="573" spans="1:9">
      <c r="A573" s="89">
        <v>129</v>
      </c>
      <c r="B573" s="89" t="s">
        <v>626</v>
      </c>
      <c r="C573" s="306" t="s">
        <v>634</v>
      </c>
      <c r="D573" s="307" t="s">
        <v>635</v>
      </c>
      <c r="E573" s="308"/>
      <c r="F573" s="89" t="s">
        <v>341</v>
      </c>
      <c r="G573" s="87"/>
      <c r="H573" s="69"/>
      <c r="I573" s="69" t="s">
        <v>636</v>
      </c>
    </row>
    <row r="574" spans="1:9">
      <c r="A574" s="89">
        <v>130</v>
      </c>
      <c r="B574" s="89" t="s">
        <v>637</v>
      </c>
      <c r="C574" s="306">
        <v>206029</v>
      </c>
      <c r="D574" s="307" t="s">
        <v>638</v>
      </c>
      <c r="E574" s="308"/>
      <c r="F574" s="89" t="s">
        <v>341</v>
      </c>
      <c r="G574" s="305" t="s">
        <v>639</v>
      </c>
      <c r="H574" s="69" t="s">
        <v>640</v>
      </c>
      <c r="I574" s="69"/>
    </row>
    <row r="575" spans="1:9">
      <c r="A575" s="89">
        <v>131</v>
      </c>
      <c r="B575" s="89"/>
      <c r="C575" s="306"/>
      <c r="D575" s="307"/>
      <c r="E575" s="308"/>
      <c r="F575" s="89"/>
      <c r="G575" s="87"/>
      <c r="H575" s="69" t="s">
        <v>641</v>
      </c>
      <c r="I575" s="319"/>
    </row>
    <row r="576" spans="1:9">
      <c r="A576" s="89">
        <v>132</v>
      </c>
      <c r="B576" s="89" t="s">
        <v>642</v>
      </c>
      <c r="C576" s="286" t="s">
        <v>643</v>
      </c>
      <c r="D576" s="94" t="s">
        <v>644</v>
      </c>
      <c r="E576" s="308"/>
      <c r="F576" s="89" t="s">
        <v>645</v>
      </c>
      <c r="G576" s="87"/>
      <c r="H576" s="69" t="s">
        <v>646</v>
      </c>
      <c r="I576" s="69"/>
    </row>
    <row r="577" spans="1:9">
      <c r="A577" s="89">
        <v>133</v>
      </c>
      <c r="B577" s="89" t="s">
        <v>642</v>
      </c>
      <c r="C577" s="286" t="s">
        <v>647</v>
      </c>
      <c r="D577" s="94" t="s">
        <v>648</v>
      </c>
      <c r="E577" s="308"/>
      <c r="F577" s="89" t="s">
        <v>645</v>
      </c>
      <c r="G577" s="87"/>
      <c r="H577" s="69" t="s">
        <v>649</v>
      </c>
      <c r="I577" s="69"/>
    </row>
    <row r="578" spans="1:9">
      <c r="A578" s="89">
        <v>134</v>
      </c>
      <c r="B578" s="89" t="s">
        <v>642</v>
      </c>
      <c r="C578" s="286">
        <v>206602</v>
      </c>
      <c r="D578" s="94" t="s">
        <v>650</v>
      </c>
      <c r="E578" s="308"/>
      <c r="F578" s="89" t="s">
        <v>651</v>
      </c>
      <c r="G578" s="87"/>
      <c r="H578" s="69"/>
      <c r="I578" s="69"/>
    </row>
    <row r="579" spans="1:9">
      <c r="A579" s="89">
        <v>135</v>
      </c>
      <c r="B579" s="89" t="s">
        <v>642</v>
      </c>
      <c r="C579" s="286" t="s">
        <v>652</v>
      </c>
      <c r="D579" s="94" t="s">
        <v>653</v>
      </c>
      <c r="E579" s="308"/>
      <c r="F579" s="89" t="s">
        <v>651</v>
      </c>
      <c r="G579" s="87"/>
      <c r="H579" s="69" t="s">
        <v>654</v>
      </c>
      <c r="I579" s="69"/>
    </row>
    <row r="580" spans="1:9">
      <c r="A580" s="89">
        <v>136</v>
      </c>
      <c r="B580" s="89" t="s">
        <v>655</v>
      </c>
      <c r="C580" s="286" t="s">
        <v>656</v>
      </c>
      <c r="D580" s="94" t="s">
        <v>657</v>
      </c>
      <c r="E580" s="308"/>
      <c r="F580" s="89" t="s">
        <v>341</v>
      </c>
      <c r="G580" s="87"/>
      <c r="H580" s="69" t="s">
        <v>658</v>
      </c>
      <c r="I580" s="69"/>
    </row>
    <row r="581" spans="1:9">
      <c r="A581" s="89">
        <v>137</v>
      </c>
      <c r="B581" s="89" t="s">
        <v>642</v>
      </c>
      <c r="C581" s="286" t="s">
        <v>659</v>
      </c>
      <c r="D581" s="94" t="s">
        <v>660</v>
      </c>
      <c r="E581" s="308"/>
      <c r="F581" s="89" t="s">
        <v>651</v>
      </c>
      <c r="G581" s="137" t="s">
        <v>661</v>
      </c>
      <c r="H581" s="69" t="s">
        <v>662</v>
      </c>
      <c r="I581" s="69"/>
    </row>
    <row r="582" spans="1:9">
      <c r="A582" s="89">
        <v>138</v>
      </c>
      <c r="B582" s="89" t="s">
        <v>642</v>
      </c>
      <c r="C582" s="286" t="s">
        <v>663</v>
      </c>
      <c r="D582" s="94" t="s">
        <v>664</v>
      </c>
      <c r="E582" s="308"/>
      <c r="F582" s="89" t="s">
        <v>665</v>
      </c>
      <c r="G582" s="87"/>
      <c r="H582" s="69"/>
      <c r="I582" s="69"/>
    </row>
    <row r="583" spans="1:9">
      <c r="A583" s="89">
        <v>139</v>
      </c>
      <c r="B583" s="89" t="s">
        <v>642</v>
      </c>
      <c r="C583" s="286" t="s">
        <v>666</v>
      </c>
      <c r="D583" s="94" t="s">
        <v>650</v>
      </c>
      <c r="E583" s="308"/>
      <c r="F583" s="89" t="s">
        <v>665</v>
      </c>
      <c r="G583" s="87" t="s">
        <v>667</v>
      </c>
      <c r="H583" s="69"/>
      <c r="I583" s="69"/>
    </row>
    <row r="584" spans="1:9">
      <c r="A584" s="89">
        <v>140</v>
      </c>
      <c r="B584" s="89" t="s">
        <v>668</v>
      </c>
      <c r="C584" s="286" t="s">
        <v>669</v>
      </c>
      <c r="D584" s="94" t="s">
        <v>670</v>
      </c>
      <c r="E584" s="94"/>
      <c r="F584" s="89" t="s">
        <v>337</v>
      </c>
      <c r="G584" s="87"/>
      <c r="H584" s="69"/>
      <c r="I584" s="69"/>
    </row>
    <row r="585" spans="1:9">
      <c r="A585" s="89">
        <v>141</v>
      </c>
      <c r="B585" s="89" t="s">
        <v>668</v>
      </c>
      <c r="C585" s="286" t="s">
        <v>671</v>
      </c>
      <c r="D585" s="94" t="s">
        <v>672</v>
      </c>
      <c r="E585" s="94"/>
      <c r="F585" s="89" t="s">
        <v>337</v>
      </c>
      <c r="G585" s="87"/>
      <c r="H585" s="69"/>
      <c r="I585" s="69"/>
    </row>
    <row r="586" spans="1:9">
      <c r="A586" s="89">
        <v>141</v>
      </c>
      <c r="B586" s="89" t="s">
        <v>668</v>
      </c>
      <c r="C586" s="286">
        <v>317673</v>
      </c>
      <c r="D586" s="94" t="s">
        <v>4379</v>
      </c>
      <c r="E586" s="94"/>
      <c r="F586" s="89"/>
      <c r="G586" s="87"/>
      <c r="H586" s="69"/>
      <c r="I586" s="69"/>
    </row>
    <row r="587" spans="1:9">
      <c r="A587" s="89">
        <v>158</v>
      </c>
      <c r="B587" s="89" t="s">
        <v>673</v>
      </c>
      <c r="C587" s="286" t="s">
        <v>674</v>
      </c>
      <c r="D587" s="94" t="s">
        <v>675</v>
      </c>
      <c r="E587" s="94"/>
      <c r="F587" s="89" t="s">
        <v>341</v>
      </c>
      <c r="G587" s="309"/>
      <c r="H587" s="69"/>
      <c r="I587" s="69"/>
    </row>
    <row r="588" spans="1:9">
      <c r="A588" s="89"/>
      <c r="B588" s="89"/>
      <c r="C588" s="286">
        <v>2057476</v>
      </c>
      <c r="D588" s="94" t="s">
        <v>2710</v>
      </c>
      <c r="E588" s="94"/>
      <c r="F588" s="89" t="s">
        <v>341</v>
      </c>
      <c r="G588" s="309"/>
      <c r="H588" s="69"/>
      <c r="I588" s="69"/>
    </row>
    <row r="589" spans="1:9">
      <c r="A589" s="89"/>
      <c r="B589" s="89"/>
      <c r="C589" s="286">
        <v>2057477</v>
      </c>
      <c r="D589" s="94" t="s">
        <v>2711</v>
      </c>
      <c r="E589" s="94"/>
      <c r="F589" s="89" t="s">
        <v>341</v>
      </c>
      <c r="G589" s="309"/>
      <c r="H589" s="69"/>
      <c r="I589" s="69"/>
    </row>
    <row r="590" spans="1:9">
      <c r="A590" s="89"/>
      <c r="B590" s="89"/>
      <c r="C590" s="286">
        <v>2057478</v>
      </c>
      <c r="D590" s="94" t="s">
        <v>2712</v>
      </c>
      <c r="E590" s="94"/>
      <c r="F590" s="89" t="s">
        <v>341</v>
      </c>
      <c r="G590" s="309"/>
      <c r="H590" s="69"/>
      <c r="I590" s="69"/>
    </row>
    <row r="591" spans="1:9">
      <c r="A591" s="89"/>
      <c r="B591" s="89"/>
      <c r="C591" s="286">
        <v>2066305</v>
      </c>
      <c r="D591" s="94" t="s">
        <v>2713</v>
      </c>
      <c r="E591" s="94"/>
      <c r="F591" s="89" t="s">
        <v>341</v>
      </c>
      <c r="G591" s="309"/>
      <c r="H591" s="69"/>
      <c r="I591" s="69"/>
    </row>
    <row r="592" spans="1:9">
      <c r="A592" s="89"/>
      <c r="B592" s="89"/>
      <c r="C592" s="286"/>
      <c r="D592" s="94"/>
      <c r="E592" s="94"/>
      <c r="F592" s="89"/>
      <c r="G592" s="309"/>
      <c r="H592" s="69"/>
      <c r="I592" s="69"/>
    </row>
    <row r="593" spans="1:9">
      <c r="A593" s="89"/>
      <c r="B593" s="89"/>
      <c r="C593" s="286">
        <v>3065886</v>
      </c>
      <c r="D593" s="94" t="s">
        <v>2714</v>
      </c>
      <c r="E593" s="94"/>
      <c r="F593" s="89" t="s">
        <v>341</v>
      </c>
      <c r="G593" s="309"/>
      <c r="H593" s="69"/>
      <c r="I593" s="69"/>
    </row>
    <row r="594" spans="1:9">
      <c r="A594" s="89"/>
      <c r="B594" s="89"/>
      <c r="C594" s="286">
        <v>3065887</v>
      </c>
      <c r="D594" s="94" t="s">
        <v>2715</v>
      </c>
      <c r="E594" s="94"/>
      <c r="F594" s="89" t="s">
        <v>341</v>
      </c>
      <c r="G594" s="309"/>
      <c r="H594" s="69"/>
      <c r="I594" s="69"/>
    </row>
    <row r="595" spans="1:9">
      <c r="A595" s="89"/>
      <c r="B595" s="89"/>
      <c r="C595" s="286">
        <v>3065888</v>
      </c>
      <c r="D595" s="94" t="s">
        <v>2716</v>
      </c>
      <c r="E595" s="94"/>
      <c r="F595" s="89" t="s">
        <v>341</v>
      </c>
      <c r="G595" s="309"/>
      <c r="H595" s="69"/>
      <c r="I595" s="69"/>
    </row>
    <row r="596" spans="1:9">
      <c r="A596" s="89"/>
      <c r="B596" s="89"/>
      <c r="C596" s="286">
        <v>3065889</v>
      </c>
      <c r="D596" s="94" t="s">
        <v>2717</v>
      </c>
      <c r="E596" s="94"/>
      <c r="F596" s="89" t="s">
        <v>341</v>
      </c>
      <c r="G596" s="309"/>
      <c r="H596" s="69"/>
      <c r="I596" s="69"/>
    </row>
    <row r="597" spans="1:9">
      <c r="A597" s="89"/>
      <c r="B597" s="89"/>
      <c r="C597" s="286"/>
      <c r="D597" s="94"/>
      <c r="E597" s="94"/>
      <c r="F597" s="89"/>
      <c r="G597" s="309"/>
      <c r="H597" s="69"/>
      <c r="I597" s="69"/>
    </row>
    <row r="598" spans="1:9">
      <c r="A598" s="89">
        <v>159</v>
      </c>
      <c r="B598" s="89" t="s">
        <v>676</v>
      </c>
      <c r="C598" s="286">
        <v>307019</v>
      </c>
      <c r="D598" s="310" t="s">
        <v>677</v>
      </c>
      <c r="E598" s="93"/>
      <c r="F598" s="89" t="s">
        <v>345</v>
      </c>
      <c r="G598" s="87"/>
      <c r="H598" s="103"/>
      <c r="I598" s="103"/>
    </row>
    <row r="599" spans="1:9">
      <c r="A599" s="89">
        <v>160</v>
      </c>
      <c r="B599" s="89" t="s">
        <v>676</v>
      </c>
      <c r="C599" s="286">
        <v>307044</v>
      </c>
      <c r="D599" s="310" t="s">
        <v>678</v>
      </c>
      <c r="E599" s="93"/>
      <c r="F599" s="89" t="s">
        <v>345</v>
      </c>
      <c r="G599" s="311"/>
      <c r="H599" s="117"/>
      <c r="I599" s="117"/>
    </row>
    <row r="600" spans="1:9">
      <c r="A600" s="89">
        <v>161</v>
      </c>
      <c r="B600" s="89" t="s">
        <v>676</v>
      </c>
      <c r="C600" s="286" t="s">
        <v>679</v>
      </c>
      <c r="D600" s="310" t="s">
        <v>680</v>
      </c>
      <c r="E600" s="93"/>
      <c r="F600" s="89" t="s">
        <v>345</v>
      </c>
      <c r="G600" s="288"/>
      <c r="H600" s="69"/>
      <c r="I600" s="69"/>
    </row>
    <row r="601" spans="1:9">
      <c r="A601" s="89">
        <v>162</v>
      </c>
      <c r="B601" s="89" t="s">
        <v>609</v>
      </c>
      <c r="C601" s="286" t="s">
        <v>610</v>
      </c>
      <c r="D601" s="307" t="s">
        <v>611</v>
      </c>
      <c r="E601" s="93"/>
      <c r="F601" s="89" t="s">
        <v>341</v>
      </c>
      <c r="G601" s="305" t="s">
        <v>681</v>
      </c>
      <c r="H601" s="69"/>
      <c r="I601" s="69"/>
    </row>
    <row r="602" spans="1:9">
      <c r="A602" s="89"/>
      <c r="B602" s="89" t="s">
        <v>609</v>
      </c>
      <c r="C602" s="286">
        <v>3065528</v>
      </c>
      <c r="D602" s="307" t="s">
        <v>682</v>
      </c>
      <c r="E602" s="93"/>
      <c r="F602" s="89" t="s">
        <v>341</v>
      </c>
      <c r="G602" s="305" t="s">
        <v>683</v>
      </c>
      <c r="H602" s="69"/>
      <c r="I602" s="69"/>
    </row>
    <row r="603" spans="1:9">
      <c r="A603" s="89">
        <v>163</v>
      </c>
      <c r="B603" s="89" t="s">
        <v>684</v>
      </c>
      <c r="C603" s="286" t="s">
        <v>685</v>
      </c>
      <c r="D603" s="307" t="s">
        <v>686</v>
      </c>
      <c r="E603" s="93"/>
      <c r="F603" s="89" t="s">
        <v>337</v>
      </c>
      <c r="G603" s="305"/>
      <c r="H603" s="69"/>
      <c r="I603" s="69"/>
    </row>
    <row r="604" spans="1:9">
      <c r="A604" s="89">
        <v>164</v>
      </c>
      <c r="B604" s="89" t="s">
        <v>687</v>
      </c>
      <c r="C604" s="312">
        <v>307386</v>
      </c>
      <c r="D604" s="313" t="s">
        <v>688</v>
      </c>
      <c r="E604" s="314"/>
      <c r="F604" s="314" t="s">
        <v>337</v>
      </c>
      <c r="G604" s="305"/>
      <c r="H604" s="69"/>
      <c r="I604" s="69"/>
    </row>
    <row r="605" spans="1:9">
      <c r="A605" s="89">
        <v>165</v>
      </c>
      <c r="B605" s="89" t="s">
        <v>689</v>
      </c>
      <c r="C605" s="315">
        <v>307084</v>
      </c>
      <c r="D605" s="316" t="s">
        <v>690</v>
      </c>
      <c r="E605" s="317"/>
      <c r="F605" s="317" t="s">
        <v>345</v>
      </c>
      <c r="G605" s="305"/>
      <c r="H605" s="69"/>
      <c r="I605" s="69"/>
    </row>
    <row r="606" spans="1:9">
      <c r="A606" s="89">
        <v>166</v>
      </c>
      <c r="B606" s="89"/>
      <c r="C606" s="286" t="s">
        <v>691</v>
      </c>
      <c r="D606" s="307" t="s">
        <v>692</v>
      </c>
      <c r="E606" s="318"/>
      <c r="F606" s="89" t="s">
        <v>345</v>
      </c>
      <c r="G606" s="87"/>
      <c r="H606" s="69"/>
      <c r="I606" s="69"/>
    </row>
    <row r="607" spans="1:9">
      <c r="A607" s="89">
        <v>167</v>
      </c>
      <c r="B607" s="89"/>
      <c r="C607" s="286">
        <v>306770</v>
      </c>
      <c r="D607" s="307" t="s">
        <v>693</v>
      </c>
      <c r="E607" s="318"/>
      <c r="F607" s="299" t="s">
        <v>341</v>
      </c>
      <c r="G607" s="305" t="s">
        <v>694</v>
      </c>
      <c r="H607" s="69"/>
      <c r="I607" s="69"/>
    </row>
    <row r="608" spans="1:9">
      <c r="A608" s="89">
        <v>168</v>
      </c>
      <c r="B608" s="89"/>
      <c r="C608" s="286">
        <v>306771</v>
      </c>
      <c r="D608" s="307" t="s">
        <v>695</v>
      </c>
      <c r="E608" s="318"/>
      <c r="F608" s="299" t="s">
        <v>341</v>
      </c>
      <c r="G608" s="305" t="s">
        <v>696</v>
      </c>
      <c r="H608" s="69"/>
      <c r="I608" s="69"/>
    </row>
    <row r="609" spans="1:9">
      <c r="A609" s="89">
        <v>169</v>
      </c>
      <c r="B609" s="89"/>
      <c r="C609" s="296">
        <v>301076</v>
      </c>
      <c r="D609" s="300" t="s">
        <v>697</v>
      </c>
      <c r="E609" s="299"/>
      <c r="F609" s="299" t="s">
        <v>341</v>
      </c>
      <c r="G609" s="87"/>
      <c r="H609" s="69"/>
      <c r="I609" s="69"/>
    </row>
    <row r="610" spans="1:9">
      <c r="A610" s="89">
        <v>170</v>
      </c>
      <c r="B610" s="89"/>
      <c r="C610" s="296">
        <v>301077</v>
      </c>
      <c r="D610" s="300" t="s">
        <v>698</v>
      </c>
      <c r="E610" s="299"/>
      <c r="F610" s="299" t="s">
        <v>341</v>
      </c>
      <c r="G610" s="87"/>
      <c r="H610" s="69"/>
      <c r="I610" s="69"/>
    </row>
    <row r="611" spans="1:9">
      <c r="A611" s="89">
        <v>171</v>
      </c>
      <c r="B611" s="89"/>
      <c r="C611" s="296">
        <v>308191</v>
      </c>
      <c r="D611" s="300" t="s">
        <v>699</v>
      </c>
      <c r="E611" s="299"/>
      <c r="F611" s="299" t="s">
        <v>341</v>
      </c>
      <c r="G611" s="305" t="s">
        <v>694</v>
      </c>
      <c r="H611" s="69" t="s">
        <v>700</v>
      </c>
      <c r="I611" s="69"/>
    </row>
    <row r="612" spans="1:9">
      <c r="A612" s="89">
        <v>172</v>
      </c>
      <c r="B612" s="89"/>
      <c r="C612" s="296">
        <v>308192</v>
      </c>
      <c r="D612" s="300" t="s">
        <v>701</v>
      </c>
      <c r="E612" s="299"/>
      <c r="F612" s="299" t="s">
        <v>341</v>
      </c>
      <c r="G612" s="305" t="s">
        <v>696</v>
      </c>
      <c r="H612" s="69"/>
      <c r="I612" s="69"/>
    </row>
    <row r="613" spans="1:9">
      <c r="A613" s="89">
        <v>173</v>
      </c>
      <c r="B613" s="89"/>
      <c r="C613" s="296">
        <v>301254</v>
      </c>
      <c r="D613" s="300" t="s">
        <v>702</v>
      </c>
      <c r="E613" s="299"/>
      <c r="F613" s="299" t="s">
        <v>341</v>
      </c>
      <c r="G613" s="87"/>
      <c r="H613" s="69"/>
      <c r="I613" s="69"/>
    </row>
    <row r="614" spans="1:9">
      <c r="A614" s="89">
        <v>174</v>
      </c>
      <c r="B614" s="89"/>
      <c r="C614" s="296">
        <v>301255</v>
      </c>
      <c r="D614" s="300" t="s">
        <v>703</v>
      </c>
      <c r="E614" s="299"/>
      <c r="F614" s="299" t="s">
        <v>341</v>
      </c>
      <c r="G614" s="87"/>
      <c r="H614" s="69"/>
      <c r="I614" s="69"/>
    </row>
    <row r="615" spans="1:9">
      <c r="A615" s="89">
        <v>175</v>
      </c>
      <c r="B615" s="89"/>
      <c r="C615" s="286" t="s">
        <v>704</v>
      </c>
      <c r="D615" s="94" t="s">
        <v>705</v>
      </c>
      <c r="E615" s="93"/>
      <c r="F615" s="89" t="s">
        <v>337</v>
      </c>
      <c r="G615" s="288"/>
      <c r="H615" s="69"/>
      <c r="I615" s="69"/>
    </row>
    <row r="616" spans="1:9">
      <c r="A616" s="89">
        <v>176</v>
      </c>
      <c r="B616" s="89"/>
      <c r="C616" s="286" t="s">
        <v>706</v>
      </c>
      <c r="D616" s="94" t="s">
        <v>707</v>
      </c>
      <c r="E616" s="93"/>
      <c r="F616" s="89" t="s">
        <v>337</v>
      </c>
      <c r="G616" s="309"/>
      <c r="H616" s="69"/>
      <c r="I616" s="69"/>
    </row>
    <row r="617" spans="1:9">
      <c r="A617" s="89">
        <v>177</v>
      </c>
      <c r="B617" s="89" t="s">
        <v>708</v>
      </c>
      <c r="C617" s="286">
        <v>205139</v>
      </c>
      <c r="D617" s="94" t="s">
        <v>709</v>
      </c>
      <c r="E617" s="93"/>
      <c r="F617" s="89"/>
      <c r="G617" s="309"/>
      <c r="H617" s="69"/>
      <c r="I617" s="69" t="s">
        <v>710</v>
      </c>
    </row>
    <row r="618" spans="1:9">
      <c r="A618" s="89">
        <v>178</v>
      </c>
      <c r="B618" s="89" t="s">
        <v>708</v>
      </c>
      <c r="C618" s="286" t="s">
        <v>711</v>
      </c>
      <c r="D618" s="94" t="s">
        <v>712</v>
      </c>
      <c r="E618" s="93"/>
      <c r="F618" s="89" t="s">
        <v>574</v>
      </c>
      <c r="G618" s="309"/>
      <c r="H618" s="69"/>
      <c r="I618" s="69" t="s">
        <v>713</v>
      </c>
    </row>
    <row r="619" spans="1:9">
      <c r="A619" s="89">
        <v>179</v>
      </c>
      <c r="B619" s="89" t="s">
        <v>708</v>
      </c>
      <c r="C619" s="286" t="s">
        <v>714</v>
      </c>
      <c r="D619" s="94" t="s">
        <v>715</v>
      </c>
      <c r="E619" s="93"/>
      <c r="F619" s="89" t="s">
        <v>574</v>
      </c>
      <c r="G619" s="309"/>
      <c r="H619" s="69"/>
      <c r="I619" s="69"/>
    </row>
    <row r="620" spans="1:9">
      <c r="A620" s="89">
        <v>180</v>
      </c>
      <c r="B620" s="89" t="s">
        <v>708</v>
      </c>
      <c r="C620" s="286" t="s">
        <v>716</v>
      </c>
      <c r="D620" s="94" t="s">
        <v>717</v>
      </c>
      <c r="E620" s="94"/>
      <c r="F620" s="89" t="s">
        <v>574</v>
      </c>
      <c r="G620" s="309"/>
      <c r="H620" s="69"/>
      <c r="I620" s="71" t="s">
        <v>718</v>
      </c>
    </row>
    <row r="621" spans="1:9">
      <c r="A621" s="89">
        <v>181</v>
      </c>
      <c r="B621" s="89" t="s">
        <v>708</v>
      </c>
      <c r="C621" s="286" t="s">
        <v>719</v>
      </c>
      <c r="D621" s="94" t="s">
        <v>720</v>
      </c>
      <c r="E621" s="94"/>
      <c r="F621" s="89" t="s">
        <v>574</v>
      </c>
      <c r="G621" s="309"/>
      <c r="H621" s="69"/>
      <c r="I621" s="69"/>
    </row>
    <row r="622" spans="1:9">
      <c r="A622" s="89">
        <v>182</v>
      </c>
      <c r="B622" s="89" t="s">
        <v>721</v>
      </c>
      <c r="C622" s="320">
        <v>114569</v>
      </c>
      <c r="D622" s="94" t="s">
        <v>722</v>
      </c>
      <c r="E622" s="89"/>
      <c r="F622" s="89" t="s">
        <v>574</v>
      </c>
      <c r="G622" s="309"/>
      <c r="H622" s="69"/>
      <c r="I622" s="69"/>
    </row>
    <row r="623" spans="1:9">
      <c r="A623" s="89">
        <v>183</v>
      </c>
      <c r="B623" s="89" t="s">
        <v>721</v>
      </c>
      <c r="C623" s="320">
        <v>114611</v>
      </c>
      <c r="D623" s="94" t="s">
        <v>723</v>
      </c>
      <c r="E623" s="89"/>
      <c r="F623" s="89" t="s">
        <v>574</v>
      </c>
      <c r="G623" s="305" t="s">
        <v>724</v>
      </c>
      <c r="H623" s="69"/>
      <c r="I623" s="69" t="s">
        <v>725</v>
      </c>
    </row>
    <row r="624" spans="1:9">
      <c r="A624" s="89">
        <v>184</v>
      </c>
      <c r="B624" s="89" t="s">
        <v>708</v>
      </c>
      <c r="C624" s="320">
        <v>205119</v>
      </c>
      <c r="D624" s="94" t="s">
        <v>726</v>
      </c>
      <c r="E624" s="89"/>
      <c r="F624" s="89" t="s">
        <v>574</v>
      </c>
      <c r="G624" s="309"/>
      <c r="H624" s="69"/>
      <c r="I624" s="69" t="s">
        <v>713</v>
      </c>
    </row>
    <row r="625" spans="1:9">
      <c r="A625" s="89">
        <v>185</v>
      </c>
      <c r="B625" s="89" t="s">
        <v>708</v>
      </c>
      <c r="C625" s="320">
        <v>205155</v>
      </c>
      <c r="D625" s="94" t="s">
        <v>727</v>
      </c>
      <c r="E625" s="89"/>
      <c r="F625" s="89" t="s">
        <v>574</v>
      </c>
      <c r="G625" s="309"/>
      <c r="H625" s="69"/>
      <c r="I625" s="69"/>
    </row>
    <row r="626" spans="1:9">
      <c r="A626" s="89">
        <v>186</v>
      </c>
      <c r="B626" s="89" t="s">
        <v>708</v>
      </c>
      <c r="C626" s="320">
        <v>205164</v>
      </c>
      <c r="D626" s="94" t="s">
        <v>728</v>
      </c>
      <c r="E626" s="89"/>
      <c r="F626" s="89" t="s">
        <v>574</v>
      </c>
      <c r="G626" s="309"/>
      <c r="H626" s="69"/>
      <c r="I626" s="71" t="s">
        <v>718</v>
      </c>
    </row>
    <row r="627" spans="1:9">
      <c r="A627" s="89">
        <v>187</v>
      </c>
      <c r="B627" s="89" t="s">
        <v>708</v>
      </c>
      <c r="C627" s="320">
        <v>205167</v>
      </c>
      <c r="D627" s="94" t="s">
        <v>729</v>
      </c>
      <c r="E627" s="89"/>
      <c r="F627" s="89" t="s">
        <v>574</v>
      </c>
      <c r="G627" s="309"/>
      <c r="H627" s="69"/>
      <c r="I627" s="69"/>
    </row>
    <row r="628" spans="1:9">
      <c r="A628" s="89">
        <v>188</v>
      </c>
      <c r="B628" s="89" t="s">
        <v>708</v>
      </c>
      <c r="C628" s="315">
        <v>205118</v>
      </c>
      <c r="D628" s="316" t="s">
        <v>730</v>
      </c>
      <c r="E628" s="317"/>
      <c r="F628" s="317" t="s">
        <v>574</v>
      </c>
      <c r="G628" s="309"/>
      <c r="H628" s="69"/>
      <c r="I628" s="69" t="s">
        <v>713</v>
      </c>
    </row>
    <row r="629" spans="1:9">
      <c r="A629" s="89">
        <v>189</v>
      </c>
      <c r="B629" s="89" t="s">
        <v>708</v>
      </c>
      <c r="C629" s="321">
        <v>205154</v>
      </c>
      <c r="D629" s="322" t="s">
        <v>731</v>
      </c>
      <c r="E629" s="298"/>
      <c r="F629" s="323" t="s">
        <v>574</v>
      </c>
      <c r="G629" s="309"/>
      <c r="H629" s="69"/>
      <c r="I629" s="69"/>
    </row>
    <row r="630" spans="1:9">
      <c r="A630" s="89">
        <v>190</v>
      </c>
      <c r="B630" s="89" t="s">
        <v>708</v>
      </c>
      <c r="C630" s="320">
        <v>205163</v>
      </c>
      <c r="D630" s="94" t="s">
        <v>732</v>
      </c>
      <c r="E630" s="89"/>
      <c r="F630" s="89" t="s">
        <v>574</v>
      </c>
      <c r="G630" s="309"/>
      <c r="H630" s="69"/>
      <c r="I630" s="71" t="s">
        <v>718</v>
      </c>
    </row>
    <row r="631" spans="1:9">
      <c r="A631" s="89">
        <v>191</v>
      </c>
      <c r="B631" s="89" t="s">
        <v>708</v>
      </c>
      <c r="C631" s="321">
        <v>205166</v>
      </c>
      <c r="D631" s="322" t="s">
        <v>733</v>
      </c>
      <c r="E631" s="323"/>
      <c r="F631" s="323" t="s">
        <v>574</v>
      </c>
      <c r="G631" s="309"/>
      <c r="H631" s="69"/>
      <c r="I631" s="69"/>
    </row>
    <row r="632" spans="1:9">
      <c r="A632" s="89">
        <v>192</v>
      </c>
      <c r="B632" s="89" t="s">
        <v>708</v>
      </c>
      <c r="C632" s="320">
        <v>205120</v>
      </c>
      <c r="D632" s="94" t="s">
        <v>734</v>
      </c>
      <c r="E632" s="89"/>
      <c r="F632" s="89" t="s">
        <v>574</v>
      </c>
      <c r="G632" s="309"/>
      <c r="H632" s="69"/>
      <c r="I632" s="69" t="s">
        <v>713</v>
      </c>
    </row>
    <row r="633" spans="1:9">
      <c r="A633" s="89">
        <v>193</v>
      </c>
      <c r="B633" s="89" t="s">
        <v>708</v>
      </c>
      <c r="C633" s="320">
        <v>205156</v>
      </c>
      <c r="D633" s="94" t="s">
        <v>735</v>
      </c>
      <c r="E633" s="89"/>
      <c r="F633" s="89" t="s">
        <v>574</v>
      </c>
      <c r="G633" s="309"/>
      <c r="H633" s="69"/>
      <c r="I633" s="69"/>
    </row>
    <row r="634" spans="1:9">
      <c r="A634" s="89">
        <v>194</v>
      </c>
      <c r="B634" s="89" t="s">
        <v>708</v>
      </c>
      <c r="C634" s="320">
        <v>205165</v>
      </c>
      <c r="D634" s="94" t="s">
        <v>736</v>
      </c>
      <c r="E634" s="89"/>
      <c r="F634" s="89" t="s">
        <v>574</v>
      </c>
      <c r="G634" s="309"/>
      <c r="H634" s="69"/>
      <c r="I634" s="71" t="s">
        <v>718</v>
      </c>
    </row>
    <row r="635" spans="1:9">
      <c r="A635" s="89">
        <v>195</v>
      </c>
      <c r="B635" s="89" t="s">
        <v>708</v>
      </c>
      <c r="C635" s="320">
        <v>205168</v>
      </c>
      <c r="D635" s="94" t="s">
        <v>737</v>
      </c>
      <c r="E635" s="89"/>
      <c r="F635" s="89" t="s">
        <v>574</v>
      </c>
      <c r="G635" s="309"/>
      <c r="H635" s="69"/>
      <c r="I635" s="69"/>
    </row>
    <row r="636" spans="1:9">
      <c r="A636" s="89">
        <v>196</v>
      </c>
      <c r="B636" s="89" t="s">
        <v>738</v>
      </c>
      <c r="C636" s="286" t="s">
        <v>739</v>
      </c>
      <c r="D636" s="94" t="s">
        <v>740</v>
      </c>
      <c r="E636" s="94"/>
      <c r="F636" s="89" t="s">
        <v>341</v>
      </c>
      <c r="G636" s="309"/>
      <c r="H636" s="69"/>
      <c r="I636" s="69" t="s">
        <v>741</v>
      </c>
    </row>
    <row r="637" spans="1:9">
      <c r="A637" s="89">
        <v>197</v>
      </c>
      <c r="B637" s="89" t="s">
        <v>738</v>
      </c>
      <c r="C637" s="286">
        <v>307437</v>
      </c>
      <c r="D637" s="94" t="s">
        <v>742</v>
      </c>
      <c r="E637" s="94"/>
      <c r="F637" s="89" t="s">
        <v>341</v>
      </c>
      <c r="G637" s="309"/>
      <c r="H637" s="69"/>
      <c r="I637" s="69" t="s">
        <v>741</v>
      </c>
    </row>
    <row r="638" spans="1:9">
      <c r="A638" s="89">
        <v>198</v>
      </c>
      <c r="B638" s="89" t="s">
        <v>708</v>
      </c>
      <c r="C638" s="286" t="s">
        <v>743</v>
      </c>
      <c r="D638" s="94" t="s">
        <v>744</v>
      </c>
      <c r="E638" s="94"/>
      <c r="F638" s="89" t="s">
        <v>574</v>
      </c>
      <c r="G638" s="309"/>
      <c r="H638" s="119"/>
      <c r="I638" s="333" t="s">
        <v>745</v>
      </c>
    </row>
    <row r="639" spans="1:9">
      <c r="A639" s="89">
        <v>199</v>
      </c>
      <c r="B639" s="89" t="s">
        <v>708</v>
      </c>
      <c r="C639" s="286" t="s">
        <v>746</v>
      </c>
      <c r="D639" s="94" t="s">
        <v>747</v>
      </c>
      <c r="E639" s="94"/>
      <c r="F639" s="89" t="s">
        <v>574</v>
      </c>
      <c r="G639" s="309"/>
      <c r="H639" s="69"/>
      <c r="I639" s="333" t="s">
        <v>745</v>
      </c>
    </row>
    <row r="640" spans="1:9">
      <c r="A640" s="89">
        <v>200</v>
      </c>
      <c r="B640" s="89" t="s">
        <v>612</v>
      </c>
      <c r="C640" s="286" t="s">
        <v>613</v>
      </c>
      <c r="D640" s="94" t="s">
        <v>614</v>
      </c>
      <c r="E640" s="94"/>
      <c r="F640" s="89" t="s">
        <v>337</v>
      </c>
      <c r="G640" s="309"/>
      <c r="H640" s="69"/>
      <c r="I640" s="69" t="s">
        <v>748</v>
      </c>
    </row>
    <row r="641" spans="1:9">
      <c r="A641" s="89">
        <v>201</v>
      </c>
      <c r="B641" s="89" t="s">
        <v>612</v>
      </c>
      <c r="C641" s="286" t="s">
        <v>749</v>
      </c>
      <c r="D641" s="94" t="s">
        <v>750</v>
      </c>
      <c r="E641" s="94"/>
      <c r="F641" s="89" t="s">
        <v>341</v>
      </c>
      <c r="G641" s="309"/>
      <c r="H641" s="69"/>
      <c r="I641" s="69" t="s">
        <v>741</v>
      </c>
    </row>
    <row r="642" spans="1:9">
      <c r="A642" s="89"/>
      <c r="B642" s="89" t="s">
        <v>612</v>
      </c>
      <c r="C642" s="286" t="s">
        <v>1787</v>
      </c>
      <c r="D642" s="94" t="s">
        <v>4235</v>
      </c>
      <c r="E642" s="94"/>
      <c r="F642" s="89" t="s">
        <v>341</v>
      </c>
      <c r="G642" s="309"/>
      <c r="H642" s="69"/>
      <c r="I642" s="69"/>
    </row>
    <row r="643" spans="1:9">
      <c r="A643" s="89">
        <v>202</v>
      </c>
      <c r="B643" s="89" t="s">
        <v>708</v>
      </c>
      <c r="C643" s="315" t="s">
        <v>751</v>
      </c>
      <c r="D643" s="316" t="s">
        <v>752</v>
      </c>
      <c r="E643" s="317"/>
      <c r="F643" s="317" t="s">
        <v>574</v>
      </c>
      <c r="G643" s="309"/>
      <c r="H643" s="69"/>
      <c r="I643" s="69"/>
    </row>
    <row r="644" spans="1:9">
      <c r="A644" s="89">
        <v>203</v>
      </c>
      <c r="B644" s="89" t="s">
        <v>708</v>
      </c>
      <c r="C644" s="321" t="s">
        <v>753</v>
      </c>
      <c r="D644" s="324" t="s">
        <v>754</v>
      </c>
      <c r="E644" s="324"/>
      <c r="F644" s="325" t="s">
        <v>574</v>
      </c>
      <c r="G644" s="309"/>
      <c r="H644" s="69"/>
      <c r="I644" s="69"/>
    </row>
    <row r="645" spans="1:9">
      <c r="A645" s="89">
        <v>204</v>
      </c>
      <c r="B645" s="89" t="s">
        <v>708</v>
      </c>
      <c r="C645" s="321" t="s">
        <v>755</v>
      </c>
      <c r="D645" s="324" t="s">
        <v>756</v>
      </c>
      <c r="E645" s="324"/>
      <c r="F645" s="325" t="s">
        <v>574</v>
      </c>
      <c r="G645" s="309"/>
      <c r="H645" s="69"/>
      <c r="I645" s="69"/>
    </row>
    <row r="646" spans="1:9">
      <c r="A646" s="89">
        <v>205</v>
      </c>
      <c r="B646" s="89" t="s">
        <v>708</v>
      </c>
      <c r="C646" s="321" t="s">
        <v>757</v>
      </c>
      <c r="D646" s="324" t="s">
        <v>758</v>
      </c>
      <c r="E646" s="324"/>
      <c r="F646" s="325" t="s">
        <v>574</v>
      </c>
      <c r="G646" s="309"/>
      <c r="H646" s="69"/>
      <c r="I646" s="69"/>
    </row>
    <row r="647" spans="1:9">
      <c r="A647" s="89">
        <v>206</v>
      </c>
      <c r="B647" s="89" t="s">
        <v>708</v>
      </c>
      <c r="C647" s="315">
        <v>205118</v>
      </c>
      <c r="D647" s="316" t="s">
        <v>730</v>
      </c>
      <c r="E647" s="317"/>
      <c r="F647" s="317" t="s">
        <v>574</v>
      </c>
      <c r="G647" s="305" t="s">
        <v>759</v>
      </c>
      <c r="H647" s="69"/>
      <c r="I647" s="69" t="s">
        <v>713</v>
      </c>
    </row>
    <row r="648" spans="1:9">
      <c r="A648" s="89">
        <v>207</v>
      </c>
      <c r="B648" s="89" t="s">
        <v>708</v>
      </c>
      <c r="C648" s="315">
        <v>205119</v>
      </c>
      <c r="D648" s="316" t="s">
        <v>726</v>
      </c>
      <c r="E648" s="317"/>
      <c r="F648" s="317" t="s">
        <v>574</v>
      </c>
      <c r="G648" s="305" t="s">
        <v>759</v>
      </c>
      <c r="H648" s="69"/>
      <c r="I648" s="69" t="s">
        <v>713</v>
      </c>
    </row>
    <row r="649" spans="1:9">
      <c r="A649" s="89">
        <v>208</v>
      </c>
      <c r="B649" s="89" t="s">
        <v>708</v>
      </c>
      <c r="C649" s="315">
        <v>205120</v>
      </c>
      <c r="D649" s="316" t="s">
        <v>734</v>
      </c>
      <c r="E649" s="317"/>
      <c r="F649" s="317" t="s">
        <v>574</v>
      </c>
      <c r="G649" s="305" t="s">
        <v>759</v>
      </c>
      <c r="H649" s="69"/>
      <c r="I649" s="69" t="s">
        <v>713</v>
      </c>
    </row>
    <row r="650" spans="1:9">
      <c r="A650" s="89">
        <v>209</v>
      </c>
      <c r="B650" s="89" t="s">
        <v>708</v>
      </c>
      <c r="C650" s="315">
        <v>205121</v>
      </c>
      <c r="D650" s="316" t="s">
        <v>760</v>
      </c>
      <c r="E650" s="317"/>
      <c r="F650" s="317" t="s">
        <v>574</v>
      </c>
      <c r="G650" s="305" t="s">
        <v>759</v>
      </c>
      <c r="H650" s="69"/>
      <c r="I650" s="69" t="s">
        <v>713</v>
      </c>
    </row>
    <row r="651" spans="1:9">
      <c r="A651" s="89">
        <v>210</v>
      </c>
      <c r="B651" s="89" t="s">
        <v>708</v>
      </c>
      <c r="C651" s="315" t="s">
        <v>761</v>
      </c>
      <c r="D651" s="316" t="s">
        <v>762</v>
      </c>
      <c r="E651" s="317"/>
      <c r="F651" s="317" t="s">
        <v>574</v>
      </c>
      <c r="G651" s="309"/>
      <c r="H651" s="69"/>
      <c r="I651" s="69"/>
    </row>
    <row r="652" spans="1:9">
      <c r="A652" s="89">
        <v>211</v>
      </c>
      <c r="B652" s="89" t="s">
        <v>708</v>
      </c>
      <c r="C652" s="321" t="s">
        <v>763</v>
      </c>
      <c r="D652" s="322" t="s">
        <v>764</v>
      </c>
      <c r="E652" s="299"/>
      <c r="F652" s="326" t="s">
        <v>765</v>
      </c>
      <c r="G652" s="309"/>
      <c r="H652" s="69"/>
      <c r="I652" s="69" t="s">
        <v>766</v>
      </c>
    </row>
    <row r="653" spans="1:9">
      <c r="A653" s="89">
        <v>212</v>
      </c>
      <c r="B653" s="89" t="s">
        <v>708</v>
      </c>
      <c r="C653" s="321">
        <v>205111</v>
      </c>
      <c r="D653" s="322" t="s">
        <v>767</v>
      </c>
      <c r="E653" s="322"/>
      <c r="F653" s="327" t="s">
        <v>574</v>
      </c>
      <c r="G653" s="309"/>
      <c r="H653" s="69"/>
      <c r="I653" s="69"/>
    </row>
    <row r="654" spans="1:9">
      <c r="A654" s="89">
        <v>213</v>
      </c>
      <c r="B654" s="89" t="s">
        <v>708</v>
      </c>
      <c r="C654" s="321">
        <v>205112</v>
      </c>
      <c r="D654" s="322" t="s">
        <v>768</v>
      </c>
      <c r="E654" s="322"/>
      <c r="F654" s="327" t="s">
        <v>574</v>
      </c>
      <c r="G654" s="309"/>
      <c r="H654" s="69"/>
      <c r="I654" s="69" t="s">
        <v>769</v>
      </c>
    </row>
    <row r="655" spans="1:9">
      <c r="A655" s="89">
        <v>214</v>
      </c>
      <c r="B655" s="89" t="s">
        <v>708</v>
      </c>
      <c r="C655" s="321">
        <v>205113</v>
      </c>
      <c r="D655" s="322" t="s">
        <v>770</v>
      </c>
      <c r="E655" s="322"/>
      <c r="F655" s="327" t="s">
        <v>574</v>
      </c>
      <c r="G655" s="309"/>
      <c r="H655" s="69"/>
      <c r="I655" s="69"/>
    </row>
    <row r="656" spans="1:9">
      <c r="A656" s="89">
        <v>215</v>
      </c>
      <c r="B656" s="89" t="s">
        <v>708</v>
      </c>
      <c r="C656" s="321" t="s">
        <v>771</v>
      </c>
      <c r="D656" s="322" t="s">
        <v>772</v>
      </c>
      <c r="E656" s="299"/>
      <c r="F656" s="326" t="s">
        <v>341</v>
      </c>
      <c r="G656" s="311" t="s">
        <v>773</v>
      </c>
      <c r="H656" s="69"/>
      <c r="I656" s="69"/>
    </row>
    <row r="657" spans="1:9">
      <c r="A657" s="89">
        <v>216</v>
      </c>
      <c r="B657" s="89" t="s">
        <v>708</v>
      </c>
      <c r="C657" s="321">
        <v>205215</v>
      </c>
      <c r="D657" s="322" t="s">
        <v>774</v>
      </c>
      <c r="E657" s="298"/>
      <c r="F657" s="323" t="s">
        <v>574</v>
      </c>
      <c r="G657" s="311"/>
      <c r="H657" s="69"/>
      <c r="I657" s="69"/>
    </row>
    <row r="658" spans="1:9">
      <c r="A658" s="89">
        <v>217</v>
      </c>
      <c r="B658" s="89" t="s">
        <v>708</v>
      </c>
      <c r="C658" s="321">
        <v>205218</v>
      </c>
      <c r="D658" s="322" t="s">
        <v>775</v>
      </c>
      <c r="E658" s="328"/>
      <c r="F658" s="323" t="s">
        <v>574</v>
      </c>
      <c r="G658" s="311"/>
      <c r="H658" s="69"/>
      <c r="I658" s="69" t="s">
        <v>769</v>
      </c>
    </row>
    <row r="659" spans="1:9">
      <c r="A659" s="89">
        <v>218</v>
      </c>
      <c r="B659" s="89" t="s">
        <v>708</v>
      </c>
      <c r="C659" s="321">
        <v>205221</v>
      </c>
      <c r="D659" s="322" t="s">
        <v>776</v>
      </c>
      <c r="E659" s="328"/>
      <c r="F659" s="323" t="s">
        <v>574</v>
      </c>
      <c r="G659" s="311"/>
      <c r="H659" s="69"/>
      <c r="I659" s="69"/>
    </row>
    <row r="660" spans="1:9">
      <c r="A660" s="89">
        <v>219</v>
      </c>
      <c r="B660" s="89" t="s">
        <v>708</v>
      </c>
      <c r="C660" s="321" t="s">
        <v>771</v>
      </c>
      <c r="D660" s="322" t="s">
        <v>772</v>
      </c>
      <c r="E660" s="299"/>
      <c r="F660" s="326" t="s">
        <v>341</v>
      </c>
      <c r="G660" s="311" t="s">
        <v>773</v>
      </c>
      <c r="H660" s="69"/>
      <c r="I660" s="69"/>
    </row>
    <row r="661" spans="1:9">
      <c r="A661" s="89">
        <v>220</v>
      </c>
      <c r="B661" s="89" t="s">
        <v>708</v>
      </c>
      <c r="C661" s="321">
        <v>205216</v>
      </c>
      <c r="D661" s="322" t="s">
        <v>777</v>
      </c>
      <c r="E661" s="298"/>
      <c r="F661" s="323" t="s">
        <v>574</v>
      </c>
      <c r="G661" s="305" t="s">
        <v>759</v>
      </c>
      <c r="H661" s="69"/>
      <c r="I661" s="69"/>
    </row>
    <row r="662" spans="1:9">
      <c r="A662" s="89">
        <v>221</v>
      </c>
      <c r="B662" s="89" t="s">
        <v>708</v>
      </c>
      <c r="C662" s="321">
        <v>205219</v>
      </c>
      <c r="D662" s="322" t="s">
        <v>778</v>
      </c>
      <c r="E662" s="328"/>
      <c r="F662" s="323" t="s">
        <v>574</v>
      </c>
      <c r="G662" s="305" t="s">
        <v>759</v>
      </c>
      <c r="H662" s="69"/>
      <c r="I662" s="69" t="s">
        <v>769</v>
      </c>
    </row>
    <row r="663" spans="1:9">
      <c r="A663" s="89">
        <v>222</v>
      </c>
      <c r="B663" s="89" t="s">
        <v>708</v>
      </c>
      <c r="C663" s="321">
        <v>205222</v>
      </c>
      <c r="D663" s="322" t="s">
        <v>779</v>
      </c>
      <c r="E663" s="328"/>
      <c r="F663" s="323" t="s">
        <v>574</v>
      </c>
      <c r="G663" s="305" t="s">
        <v>759</v>
      </c>
      <c r="H663" s="69"/>
      <c r="I663" s="69"/>
    </row>
    <row r="664" spans="1:9">
      <c r="A664" s="89">
        <v>223</v>
      </c>
      <c r="B664" s="89" t="s">
        <v>708</v>
      </c>
      <c r="C664" s="321" t="s">
        <v>771</v>
      </c>
      <c r="D664" s="322" t="s">
        <v>772</v>
      </c>
      <c r="E664" s="299"/>
      <c r="F664" s="326" t="s">
        <v>341</v>
      </c>
      <c r="G664" s="311" t="s">
        <v>773</v>
      </c>
      <c r="H664" s="69"/>
      <c r="I664" s="69"/>
    </row>
    <row r="665" spans="1:9">
      <c r="A665" s="89">
        <v>224</v>
      </c>
      <c r="B665" s="89" t="s">
        <v>708</v>
      </c>
      <c r="C665" s="321">
        <v>205217</v>
      </c>
      <c r="D665" s="322" t="s">
        <v>780</v>
      </c>
      <c r="E665" s="298"/>
      <c r="F665" s="323" t="s">
        <v>574</v>
      </c>
      <c r="G665" s="305" t="s">
        <v>759</v>
      </c>
      <c r="H665" s="69"/>
      <c r="I665" s="69"/>
    </row>
    <row r="666" spans="1:9">
      <c r="A666" s="89">
        <v>225</v>
      </c>
      <c r="B666" s="89" t="s">
        <v>708</v>
      </c>
      <c r="C666" s="321">
        <v>205220</v>
      </c>
      <c r="D666" s="322" t="s">
        <v>781</v>
      </c>
      <c r="E666" s="328"/>
      <c r="F666" s="323" t="s">
        <v>574</v>
      </c>
      <c r="G666" s="305" t="s">
        <v>759</v>
      </c>
      <c r="H666" s="69"/>
      <c r="I666" s="69" t="s">
        <v>769</v>
      </c>
    </row>
    <row r="667" spans="1:9">
      <c r="A667" s="89">
        <v>226</v>
      </c>
      <c r="B667" s="89" t="s">
        <v>708</v>
      </c>
      <c r="C667" s="321">
        <v>205223</v>
      </c>
      <c r="D667" s="322" t="s">
        <v>782</v>
      </c>
      <c r="E667" s="298"/>
      <c r="F667" s="323" t="s">
        <v>574</v>
      </c>
      <c r="G667" s="305" t="s">
        <v>759</v>
      </c>
      <c r="H667" s="69"/>
      <c r="I667" s="69"/>
    </row>
    <row r="668" spans="1:9">
      <c r="A668" s="89">
        <v>227</v>
      </c>
      <c r="B668" s="89" t="s">
        <v>708</v>
      </c>
      <c r="C668" s="321" t="s">
        <v>771</v>
      </c>
      <c r="D668" s="322" t="s">
        <v>772</v>
      </c>
      <c r="E668" s="299"/>
      <c r="F668" s="326" t="s">
        <v>341</v>
      </c>
      <c r="G668" s="311" t="s">
        <v>773</v>
      </c>
      <c r="H668" s="69"/>
      <c r="I668" s="69"/>
    </row>
    <row r="669" spans="1:9">
      <c r="A669" s="89">
        <v>228</v>
      </c>
      <c r="B669" s="89"/>
      <c r="C669" s="315">
        <v>301297</v>
      </c>
      <c r="D669" s="329" t="s">
        <v>783</v>
      </c>
      <c r="E669" s="317"/>
      <c r="F669" s="317" t="s">
        <v>341</v>
      </c>
      <c r="G669" s="309"/>
      <c r="H669" s="69"/>
      <c r="I669" s="69"/>
    </row>
    <row r="670" spans="1:9">
      <c r="A670" s="89"/>
      <c r="B670" s="89"/>
      <c r="C670" s="481">
        <v>207014</v>
      </c>
      <c r="D670" s="2" t="s">
        <v>4232</v>
      </c>
      <c r="E670" s="317"/>
      <c r="F670" s="317"/>
      <c r="G670" s="309"/>
      <c r="H670" s="69"/>
      <c r="I670" s="69"/>
    </row>
    <row r="671" spans="1:9">
      <c r="A671" s="89">
        <v>229</v>
      </c>
      <c r="B671" s="89" t="s">
        <v>612</v>
      </c>
      <c r="C671" s="315">
        <v>207098</v>
      </c>
      <c r="D671" s="316" t="s">
        <v>784</v>
      </c>
      <c r="E671" s="317"/>
      <c r="F671" s="317" t="s">
        <v>337</v>
      </c>
      <c r="G671" s="309"/>
      <c r="H671" s="69"/>
      <c r="I671" s="69"/>
    </row>
    <row r="672" spans="1:9">
      <c r="A672" s="89">
        <v>230</v>
      </c>
      <c r="B672" s="89" t="s">
        <v>612</v>
      </c>
      <c r="C672" s="315">
        <v>207099</v>
      </c>
      <c r="D672" s="316" t="s">
        <v>785</v>
      </c>
      <c r="E672" s="317"/>
      <c r="F672" s="317" t="s">
        <v>337</v>
      </c>
      <c r="G672" s="309"/>
      <c r="H672" s="69"/>
      <c r="I672" s="69"/>
    </row>
    <row r="673" spans="1:9">
      <c r="A673" s="89">
        <v>231</v>
      </c>
      <c r="B673" s="89" t="s">
        <v>612</v>
      </c>
      <c r="C673" s="296">
        <v>301177</v>
      </c>
      <c r="D673" s="300" t="s">
        <v>786</v>
      </c>
      <c r="E673" s="298"/>
      <c r="F673" s="299" t="s">
        <v>341</v>
      </c>
      <c r="G673" s="305" t="s">
        <v>787</v>
      </c>
      <c r="H673" s="69"/>
      <c r="I673" s="69"/>
    </row>
    <row r="674" spans="1:9">
      <c r="A674" s="89">
        <v>232</v>
      </c>
      <c r="B674" s="89"/>
      <c r="C674" s="321" t="s">
        <v>788</v>
      </c>
      <c r="D674" s="322" t="s">
        <v>789</v>
      </c>
      <c r="E674" s="298"/>
      <c r="F674" s="326" t="s">
        <v>341</v>
      </c>
      <c r="G674" s="305" t="s">
        <v>790</v>
      </c>
      <c r="H674" s="69"/>
      <c r="I674" s="69"/>
    </row>
    <row r="675" spans="1:9">
      <c r="A675" s="89">
        <v>233</v>
      </c>
      <c r="B675" s="89"/>
      <c r="C675" s="315" t="s">
        <v>656</v>
      </c>
      <c r="D675" s="316" t="s">
        <v>657</v>
      </c>
      <c r="E675" s="317"/>
      <c r="F675" s="317" t="s">
        <v>341</v>
      </c>
      <c r="G675" s="305" t="s">
        <v>790</v>
      </c>
      <c r="H675" s="69"/>
      <c r="I675" s="69"/>
    </row>
    <row r="676" spans="1:9">
      <c r="A676" s="89">
        <v>234</v>
      </c>
      <c r="B676" s="89"/>
      <c r="C676" s="330">
        <v>510146</v>
      </c>
      <c r="D676" s="331" t="s">
        <v>791</v>
      </c>
      <c r="E676" s="332"/>
      <c r="F676" s="332" t="s">
        <v>341</v>
      </c>
      <c r="G676" s="309"/>
      <c r="H676" s="69"/>
      <c r="I676" s="69"/>
    </row>
    <row r="677" spans="1:9">
      <c r="A677" s="89">
        <v>235</v>
      </c>
      <c r="B677" s="89" t="s">
        <v>792</v>
      </c>
      <c r="C677" s="315">
        <v>4854002</v>
      </c>
      <c r="D677" s="602" t="s">
        <v>3911</v>
      </c>
      <c r="E677" s="317"/>
      <c r="F677" s="317"/>
      <c r="G677" s="309"/>
      <c r="H677" s="69"/>
      <c r="I677" s="69"/>
    </row>
    <row r="678" spans="1:9">
      <c r="A678" s="89">
        <v>236</v>
      </c>
      <c r="B678" s="89"/>
      <c r="C678" s="315"/>
      <c r="D678" s="316"/>
      <c r="E678" s="317"/>
      <c r="F678" s="317"/>
      <c r="G678" s="309"/>
      <c r="H678" s="111"/>
      <c r="I678" s="111"/>
    </row>
    <row r="679" spans="1:9">
      <c r="A679" s="89">
        <v>237</v>
      </c>
      <c r="B679" s="89" t="s">
        <v>793</v>
      </c>
      <c r="C679" s="315">
        <v>1115116</v>
      </c>
      <c r="D679" s="316" t="s">
        <v>794</v>
      </c>
      <c r="E679" s="317"/>
      <c r="F679" s="323" t="s">
        <v>574</v>
      </c>
      <c r="G679" s="309"/>
      <c r="H679" s="69"/>
      <c r="I679" s="69"/>
    </row>
    <row r="680" spans="1:9">
      <c r="A680" s="89">
        <v>238</v>
      </c>
      <c r="B680" s="89" t="s">
        <v>793</v>
      </c>
      <c r="C680" s="315">
        <v>1115135</v>
      </c>
      <c r="D680" s="316" t="s">
        <v>795</v>
      </c>
      <c r="E680" s="317"/>
      <c r="F680" s="323" t="s">
        <v>574</v>
      </c>
      <c r="G680" s="309"/>
      <c r="H680" s="103"/>
      <c r="I680" s="103"/>
    </row>
    <row r="681" spans="1:9">
      <c r="A681" s="89">
        <v>239</v>
      </c>
      <c r="B681" s="89" t="s">
        <v>793</v>
      </c>
      <c r="C681" s="315">
        <v>1115118</v>
      </c>
      <c r="D681" s="316" t="s">
        <v>796</v>
      </c>
      <c r="E681" s="317"/>
      <c r="F681" s="323" t="s">
        <v>574</v>
      </c>
      <c r="G681" s="309"/>
      <c r="H681" s="69"/>
      <c r="I681" s="69"/>
    </row>
    <row r="682" spans="1:9">
      <c r="A682" s="89">
        <v>240</v>
      </c>
      <c r="B682" s="89" t="s">
        <v>793</v>
      </c>
      <c r="C682" s="315">
        <v>1115121</v>
      </c>
      <c r="D682" s="316" t="s">
        <v>797</v>
      </c>
      <c r="E682" s="317"/>
      <c r="F682" s="323" t="s">
        <v>574</v>
      </c>
      <c r="G682" s="309"/>
      <c r="H682" s="119"/>
      <c r="I682" s="119"/>
    </row>
    <row r="683" spans="1:9">
      <c r="A683" s="89">
        <v>241</v>
      </c>
      <c r="B683" s="89" t="s">
        <v>793</v>
      </c>
      <c r="C683" s="315">
        <v>1115133</v>
      </c>
      <c r="D683" s="316" t="s">
        <v>798</v>
      </c>
      <c r="E683" s="317"/>
      <c r="F683" s="323" t="s">
        <v>574</v>
      </c>
      <c r="G683" s="309"/>
      <c r="H683" s="69"/>
      <c r="I683" s="69"/>
    </row>
    <row r="684" spans="1:9">
      <c r="A684" s="89">
        <v>242</v>
      </c>
      <c r="B684" s="89" t="s">
        <v>793</v>
      </c>
      <c r="C684" s="315">
        <v>1115138</v>
      </c>
      <c r="D684" s="316" t="s">
        <v>799</v>
      </c>
      <c r="E684" s="317"/>
      <c r="F684" s="323" t="s">
        <v>574</v>
      </c>
      <c r="G684" s="309"/>
      <c r="H684" s="69"/>
      <c r="I684" s="69"/>
    </row>
    <row r="685" spans="1:9">
      <c r="A685" s="89">
        <v>243</v>
      </c>
      <c r="B685" s="89"/>
      <c r="C685" s="315"/>
      <c r="D685" s="316"/>
      <c r="E685" s="317"/>
      <c r="F685" s="317"/>
      <c r="G685" s="309"/>
      <c r="H685" s="69"/>
      <c r="I685" s="69"/>
    </row>
    <row r="686" spans="1:9">
      <c r="A686" s="89">
        <v>244</v>
      </c>
      <c r="B686" s="89" t="s">
        <v>800</v>
      </c>
      <c r="C686" s="315">
        <v>481208</v>
      </c>
      <c r="D686" s="316" t="s">
        <v>801</v>
      </c>
      <c r="E686" s="317"/>
      <c r="F686" s="299" t="s">
        <v>341</v>
      </c>
      <c r="G686" s="309"/>
      <c r="H686" s="69"/>
      <c r="I686" s="69"/>
    </row>
    <row r="687" spans="1:9">
      <c r="A687" s="89">
        <v>245</v>
      </c>
      <c r="B687" s="89" t="s">
        <v>800</v>
      </c>
      <c r="C687" s="315">
        <v>481221</v>
      </c>
      <c r="D687" s="316" t="s">
        <v>802</v>
      </c>
      <c r="E687" s="317"/>
      <c r="F687" s="326" t="s">
        <v>341</v>
      </c>
      <c r="G687" s="309"/>
      <c r="H687" s="69"/>
      <c r="I687" s="69"/>
    </row>
    <row r="688" spans="1:9">
      <c r="A688" s="89">
        <v>246</v>
      </c>
      <c r="B688" s="89" t="s">
        <v>800</v>
      </c>
      <c r="C688" s="315">
        <v>481222</v>
      </c>
      <c r="D688" s="316" t="s">
        <v>803</v>
      </c>
      <c r="E688" s="317"/>
      <c r="F688" s="317" t="s">
        <v>341</v>
      </c>
      <c r="G688" s="309"/>
      <c r="I688" s="42"/>
    </row>
    <row r="689" spans="1:9">
      <c r="A689" s="89">
        <v>247</v>
      </c>
      <c r="B689" s="89" t="s">
        <v>800</v>
      </c>
      <c r="C689" s="315">
        <v>481249</v>
      </c>
      <c r="D689" s="316" t="s">
        <v>804</v>
      </c>
      <c r="E689" s="317"/>
      <c r="F689" s="332" t="s">
        <v>341</v>
      </c>
      <c r="G689" s="309"/>
      <c r="I689" s="42"/>
    </row>
    <row r="690" spans="1:9">
      <c r="A690" s="89">
        <v>248</v>
      </c>
      <c r="B690" s="89"/>
      <c r="C690" s="315"/>
      <c r="D690" s="316"/>
      <c r="E690" s="317"/>
      <c r="F690" s="317"/>
      <c r="G690" s="309"/>
      <c r="I690" s="42"/>
    </row>
    <row r="691" spans="1:9">
      <c r="A691" s="89">
        <v>249</v>
      </c>
      <c r="B691" s="89"/>
      <c r="C691" s="315"/>
      <c r="D691" s="316"/>
      <c r="E691" s="317"/>
      <c r="F691" s="317"/>
      <c r="G691" s="309"/>
      <c r="I691" s="42"/>
    </row>
    <row r="692" spans="1:9">
      <c r="B692" s="71"/>
    </row>
    <row r="693" spans="1:9">
      <c r="A693" s="94"/>
      <c r="B693" s="94" t="s">
        <v>3244</v>
      </c>
      <c r="C693" s="566">
        <v>205098</v>
      </c>
      <c r="D693" s="567" t="s">
        <v>3245</v>
      </c>
      <c r="E693" s="570"/>
      <c r="F693" s="94"/>
      <c r="G693" s="570" t="s">
        <v>3246</v>
      </c>
    </row>
    <row r="694" spans="1:9">
      <c r="A694" s="94"/>
      <c r="B694" s="94"/>
      <c r="C694" s="568" t="s">
        <v>3247</v>
      </c>
      <c r="D694" s="569" t="s">
        <v>3248</v>
      </c>
      <c r="E694" s="570"/>
      <c r="F694" s="94"/>
      <c r="G694" s="570"/>
    </row>
    <row r="695" spans="1:9">
      <c r="A695" s="94"/>
      <c r="B695" s="94"/>
      <c r="C695" s="568" t="s">
        <v>3249</v>
      </c>
      <c r="D695" s="569" t="s">
        <v>3250</v>
      </c>
      <c r="E695" s="570"/>
      <c r="F695" s="94"/>
      <c r="G695" s="570"/>
    </row>
    <row r="696" spans="1:9">
      <c r="A696" s="94"/>
      <c r="B696" s="94"/>
      <c r="C696" s="568" t="s">
        <v>3251</v>
      </c>
      <c r="D696" s="569" t="s">
        <v>3252</v>
      </c>
      <c r="E696" s="570"/>
      <c r="F696" s="94"/>
      <c r="G696" s="570"/>
    </row>
    <row r="697" spans="1:9">
      <c r="A697" s="94"/>
      <c r="B697" s="94"/>
      <c r="C697" s="568">
        <v>205145</v>
      </c>
      <c r="D697" s="569" t="s">
        <v>3253</v>
      </c>
      <c r="E697" s="570"/>
      <c r="F697" s="94"/>
      <c r="G697" s="570"/>
    </row>
    <row r="698" spans="1:9">
      <c r="A698" s="94"/>
      <c r="B698" s="94"/>
      <c r="C698" s="568">
        <v>205194</v>
      </c>
      <c r="D698" s="569" t="s">
        <v>3254</v>
      </c>
      <c r="E698" s="570"/>
      <c r="F698" s="94"/>
      <c r="G698" s="570"/>
    </row>
    <row r="699" spans="1:9">
      <c r="A699" s="94"/>
      <c r="B699" s="94"/>
      <c r="C699" s="568">
        <v>205195</v>
      </c>
      <c r="D699" s="569" t="s">
        <v>3255</v>
      </c>
      <c r="E699" s="570"/>
      <c r="F699" s="94"/>
      <c r="G699" s="570"/>
    </row>
    <row r="700" spans="1:9">
      <c r="A700" s="94"/>
      <c r="B700" s="94"/>
      <c r="C700" s="568"/>
      <c r="D700" s="569"/>
      <c r="E700" s="570"/>
      <c r="F700" s="94"/>
      <c r="G700" s="570"/>
    </row>
    <row r="701" spans="1:9">
      <c r="A701" s="94"/>
      <c r="B701" s="94"/>
      <c r="C701" s="566">
        <v>205100</v>
      </c>
      <c r="D701" s="567" t="s">
        <v>3256</v>
      </c>
      <c r="E701" s="570"/>
      <c r="F701" s="94"/>
      <c r="G701" s="570" t="s">
        <v>3257</v>
      </c>
    </row>
    <row r="702" spans="1:9">
      <c r="A702" s="94"/>
      <c r="B702" s="94"/>
      <c r="C702" s="571" t="s">
        <v>3258</v>
      </c>
      <c r="D702" s="572" t="s">
        <v>3259</v>
      </c>
      <c r="E702" s="570"/>
      <c r="F702" s="94"/>
      <c r="G702" s="570"/>
    </row>
    <row r="703" spans="1:9">
      <c r="A703" s="94"/>
      <c r="B703" s="94"/>
      <c r="C703" s="571" t="s">
        <v>3260</v>
      </c>
      <c r="D703" s="572" t="s">
        <v>3261</v>
      </c>
      <c r="E703" s="570"/>
      <c r="F703" s="94"/>
      <c r="G703" s="570"/>
    </row>
    <row r="704" spans="1:9">
      <c r="A704" s="94"/>
      <c r="B704" s="94"/>
      <c r="C704" s="571" t="s">
        <v>3262</v>
      </c>
      <c r="D704" s="572" t="s">
        <v>3263</v>
      </c>
      <c r="E704" s="570"/>
      <c r="F704" s="94"/>
      <c r="G704" s="570"/>
    </row>
    <row r="705" spans="1:7">
      <c r="A705" s="94"/>
      <c r="B705" s="94"/>
      <c r="C705" s="568">
        <v>205149</v>
      </c>
      <c r="D705" s="572" t="s">
        <v>3264</v>
      </c>
      <c r="E705" s="570"/>
      <c r="F705" s="94"/>
      <c r="G705" s="570"/>
    </row>
    <row r="706" spans="1:7">
      <c r="A706" s="94"/>
      <c r="B706" s="94"/>
      <c r="C706" s="568">
        <v>205198</v>
      </c>
      <c r="D706" s="572" t="s">
        <v>3265</v>
      </c>
      <c r="E706" s="570"/>
      <c r="F706" s="94"/>
      <c r="G706" s="570"/>
    </row>
    <row r="707" spans="1:7">
      <c r="A707" s="94"/>
      <c r="B707" s="94"/>
      <c r="C707" s="568">
        <v>205199</v>
      </c>
      <c r="D707" s="572" t="s">
        <v>3266</v>
      </c>
      <c r="E707" s="570"/>
      <c r="F707" s="94"/>
      <c r="G707" s="570"/>
    </row>
    <row r="708" spans="1:7">
      <c r="A708" s="94"/>
      <c r="B708" s="94"/>
      <c r="C708" s="571"/>
      <c r="D708" s="572"/>
      <c r="E708" s="570"/>
      <c r="F708" s="94"/>
      <c r="G708" s="570"/>
    </row>
    <row r="709" spans="1:7">
      <c r="A709" s="94"/>
      <c r="B709" s="94"/>
      <c r="C709" s="566">
        <v>205099</v>
      </c>
      <c r="D709" s="567" t="s">
        <v>3267</v>
      </c>
      <c r="E709" s="570"/>
      <c r="F709" s="94"/>
      <c r="G709" s="570" t="s">
        <v>3268</v>
      </c>
    </row>
    <row r="710" spans="1:7">
      <c r="A710" s="94"/>
      <c r="B710" s="94"/>
      <c r="C710" s="573" t="s">
        <v>3269</v>
      </c>
      <c r="D710" s="574" t="s">
        <v>3270</v>
      </c>
      <c r="E710" s="570"/>
      <c r="F710" s="94"/>
      <c r="G710" s="570"/>
    </row>
    <row r="711" spans="1:7">
      <c r="A711" s="94"/>
      <c r="B711" s="94"/>
      <c r="C711" s="573" t="s">
        <v>3271</v>
      </c>
      <c r="D711" s="574" t="s">
        <v>3272</v>
      </c>
      <c r="E711" s="570"/>
      <c r="F711" s="94"/>
      <c r="G711" s="570"/>
    </row>
    <row r="712" spans="1:7">
      <c r="A712" s="94"/>
      <c r="B712" s="94"/>
      <c r="C712" s="573" t="s">
        <v>3273</v>
      </c>
      <c r="D712" s="574" t="s">
        <v>3274</v>
      </c>
      <c r="E712" s="570"/>
      <c r="F712" s="94"/>
      <c r="G712" s="570"/>
    </row>
    <row r="713" spans="1:7">
      <c r="A713" s="94"/>
      <c r="B713" s="94"/>
      <c r="C713" s="571">
        <v>205147</v>
      </c>
      <c r="D713" s="574" t="s">
        <v>3275</v>
      </c>
      <c r="E713" s="570"/>
      <c r="F713" s="94"/>
      <c r="G713" s="570"/>
    </row>
    <row r="714" spans="1:7">
      <c r="A714" s="94"/>
      <c r="B714" s="94"/>
      <c r="C714" s="571">
        <v>205196</v>
      </c>
      <c r="D714" s="574" t="s">
        <v>3276</v>
      </c>
      <c r="E714" s="570"/>
      <c r="F714" s="94"/>
      <c r="G714" s="570"/>
    </row>
    <row r="715" spans="1:7">
      <c r="A715" s="94"/>
      <c r="B715" s="94"/>
      <c r="C715" s="571">
        <v>205197</v>
      </c>
      <c r="D715" s="574" t="s">
        <v>3277</v>
      </c>
      <c r="E715" s="570"/>
      <c r="F715" s="94"/>
      <c r="G715" s="570"/>
    </row>
    <row r="716" spans="1:7">
      <c r="A716" s="94"/>
      <c r="B716" s="94"/>
      <c r="C716" s="571"/>
      <c r="D716" s="572"/>
      <c r="E716" s="570"/>
      <c r="F716" s="94"/>
      <c r="G716" s="570"/>
    </row>
    <row r="717" spans="1:7">
      <c r="A717" s="94"/>
      <c r="B717" s="94"/>
      <c r="C717" s="566">
        <v>205097</v>
      </c>
      <c r="D717" s="567" t="s">
        <v>3278</v>
      </c>
      <c r="E717" s="570"/>
      <c r="F717" s="94"/>
      <c r="G717" s="570" t="s">
        <v>3279</v>
      </c>
    </row>
    <row r="718" spans="1:7">
      <c r="A718" s="94"/>
      <c r="B718" s="94"/>
      <c r="C718" s="566">
        <v>205227</v>
      </c>
      <c r="D718" s="567" t="s">
        <v>3280</v>
      </c>
      <c r="E718" s="570"/>
      <c r="F718" s="94"/>
      <c r="G718" s="570" t="s">
        <v>3279</v>
      </c>
    </row>
    <row r="719" spans="1:7">
      <c r="A719" s="94"/>
      <c r="B719" s="94"/>
      <c r="C719" s="575" t="s">
        <v>3281</v>
      </c>
      <c r="D719" s="576" t="s">
        <v>3282</v>
      </c>
      <c r="E719" s="570"/>
      <c r="F719" s="94"/>
      <c r="G719" s="570"/>
    </row>
    <row r="720" spans="1:7">
      <c r="A720" s="94"/>
      <c r="B720" s="94"/>
      <c r="C720" s="575" t="s">
        <v>3283</v>
      </c>
      <c r="D720" s="576" t="s">
        <v>3284</v>
      </c>
      <c r="E720" s="570"/>
      <c r="F720" s="94"/>
      <c r="G720" s="570"/>
    </row>
    <row r="721" spans="1:7">
      <c r="A721" s="94"/>
      <c r="B721" s="94"/>
      <c r="C721" s="575" t="s">
        <v>3285</v>
      </c>
      <c r="D721" s="576" t="s">
        <v>3286</v>
      </c>
      <c r="E721" s="570"/>
      <c r="F721" s="94"/>
      <c r="G721" s="570"/>
    </row>
    <row r="722" spans="1:7">
      <c r="A722" s="94"/>
      <c r="B722" s="94"/>
      <c r="C722" s="575">
        <v>205302</v>
      </c>
      <c r="D722" s="576" t="s">
        <v>3287</v>
      </c>
      <c r="E722" s="570"/>
      <c r="F722" s="94"/>
      <c r="G722" s="570"/>
    </row>
    <row r="723" spans="1:7">
      <c r="A723" s="94"/>
      <c r="B723" s="94"/>
      <c r="C723" s="571">
        <v>205143</v>
      </c>
      <c r="D723" s="576" t="s">
        <v>3288</v>
      </c>
      <c r="E723" s="570"/>
      <c r="F723" s="94"/>
      <c r="G723" s="570"/>
    </row>
    <row r="724" spans="1:7">
      <c r="A724" s="94"/>
      <c r="B724" s="94"/>
      <c r="C724" s="571">
        <v>205192</v>
      </c>
      <c r="D724" s="576" t="s">
        <v>3289</v>
      </c>
      <c r="E724" s="570"/>
      <c r="F724" s="94"/>
      <c r="G724" s="570"/>
    </row>
    <row r="725" spans="1:7">
      <c r="A725" s="94"/>
      <c r="B725" s="94"/>
      <c r="C725" s="571">
        <v>205193</v>
      </c>
      <c r="D725" s="576" t="s">
        <v>3290</v>
      </c>
      <c r="E725" s="570"/>
      <c r="F725" s="94"/>
      <c r="G725" s="570"/>
    </row>
    <row r="726" spans="1:7">
      <c r="A726" s="94"/>
      <c r="B726" s="94"/>
      <c r="C726" s="566"/>
      <c r="D726" s="567"/>
      <c r="E726" s="570"/>
      <c r="F726" s="94"/>
      <c r="G726" s="570"/>
    </row>
    <row r="727" spans="1:7">
      <c r="A727" s="94"/>
      <c r="B727" s="94"/>
      <c r="C727" s="566">
        <v>205096</v>
      </c>
      <c r="D727" s="567" t="s">
        <v>3291</v>
      </c>
      <c r="E727" s="570"/>
      <c r="F727" s="94"/>
      <c r="G727" s="570" t="s">
        <v>3292</v>
      </c>
    </row>
    <row r="728" spans="1:7">
      <c r="A728" s="94"/>
      <c r="B728" s="94"/>
      <c r="C728" s="577"/>
      <c r="D728" s="578"/>
      <c r="E728" s="570"/>
      <c r="F728" s="94"/>
      <c r="G728" s="570"/>
    </row>
    <row r="729" spans="1:7">
      <c r="A729" s="94"/>
      <c r="B729" s="94"/>
      <c r="C729" s="579" t="s">
        <v>3293</v>
      </c>
      <c r="D729" s="580" t="s">
        <v>3294</v>
      </c>
      <c r="E729" s="570"/>
      <c r="F729" s="94"/>
      <c r="G729" s="570" t="s">
        <v>3295</v>
      </c>
    </row>
    <row r="730" spans="1:7">
      <c r="A730" s="94"/>
      <c r="B730" s="94"/>
      <c r="C730" s="579" t="s">
        <v>3296</v>
      </c>
      <c r="D730" s="580" t="s">
        <v>3297</v>
      </c>
      <c r="E730" s="570"/>
      <c r="F730" s="94"/>
      <c r="G730" s="570"/>
    </row>
    <row r="731" spans="1:7">
      <c r="A731" s="94"/>
      <c r="B731" s="94"/>
      <c r="C731" s="579" t="s">
        <v>3298</v>
      </c>
      <c r="D731" s="580" t="s">
        <v>3299</v>
      </c>
      <c r="E731" s="570"/>
      <c r="F731" s="94"/>
      <c r="G731" s="570"/>
    </row>
    <row r="732" spans="1:7">
      <c r="A732" s="94"/>
      <c r="B732" s="94"/>
      <c r="C732" s="579" t="s">
        <v>3300</v>
      </c>
      <c r="D732" s="580" t="s">
        <v>3299</v>
      </c>
      <c r="E732" s="570"/>
      <c r="F732" s="94"/>
      <c r="G732" s="570"/>
    </row>
    <row r="733" spans="1:7">
      <c r="A733" s="94"/>
      <c r="B733" s="94"/>
      <c r="C733" s="566">
        <v>205141</v>
      </c>
      <c r="D733" s="580" t="s">
        <v>3301</v>
      </c>
      <c r="E733" s="570"/>
      <c r="F733" s="94"/>
      <c r="G733" s="570"/>
    </row>
    <row r="734" spans="1:7">
      <c r="A734" s="94"/>
      <c r="B734" s="94"/>
      <c r="C734" s="566">
        <v>205190</v>
      </c>
      <c r="D734" s="580" t="s">
        <v>3302</v>
      </c>
      <c r="E734" s="570"/>
      <c r="F734" s="94"/>
      <c r="G734" s="570"/>
    </row>
    <row r="735" spans="1:7">
      <c r="A735" s="94"/>
      <c r="B735" s="94"/>
      <c r="C735" s="566">
        <v>205191</v>
      </c>
      <c r="D735" s="580" t="s">
        <v>3303</v>
      </c>
      <c r="E735" s="570"/>
      <c r="F735" s="94"/>
      <c r="G735" s="570"/>
    </row>
    <row r="736" spans="1:7">
      <c r="A736" s="94"/>
      <c r="B736" s="94"/>
      <c r="C736" s="573"/>
      <c r="D736" s="574"/>
      <c r="E736" s="570"/>
      <c r="F736" s="94"/>
      <c r="G736" s="570"/>
    </row>
    <row r="737" spans="1:7">
      <c r="A737" s="94"/>
      <c r="B737" s="94"/>
      <c r="C737" s="566">
        <v>205202</v>
      </c>
      <c r="D737" s="567" t="s">
        <v>3304</v>
      </c>
      <c r="E737" s="570"/>
      <c r="F737" s="94"/>
      <c r="G737" s="570" t="s">
        <v>3305</v>
      </c>
    </row>
    <row r="738" spans="1:7">
      <c r="A738" s="94"/>
      <c r="B738" s="94"/>
      <c r="C738" s="581" t="s">
        <v>3306</v>
      </c>
      <c r="D738" s="582" t="s">
        <v>3307</v>
      </c>
      <c r="E738" s="570"/>
      <c r="F738" s="94"/>
      <c r="G738" s="570"/>
    </row>
    <row r="739" spans="1:7">
      <c r="A739" s="94"/>
      <c r="B739" s="94"/>
      <c r="C739" s="581" t="s">
        <v>3308</v>
      </c>
      <c r="D739" s="582" t="s">
        <v>3309</v>
      </c>
      <c r="E739" s="570"/>
      <c r="F739" s="94"/>
      <c r="G739" s="570"/>
    </row>
    <row r="740" spans="1:7">
      <c r="A740" s="94"/>
      <c r="B740" s="94"/>
      <c r="C740" s="581" t="s">
        <v>3310</v>
      </c>
      <c r="D740" s="582" t="s">
        <v>3311</v>
      </c>
      <c r="E740" s="570"/>
      <c r="F740" s="94"/>
      <c r="G740" s="570"/>
    </row>
    <row r="741" spans="1:7">
      <c r="A741" s="94"/>
      <c r="B741" s="94"/>
      <c r="C741" s="583" t="s">
        <v>3312</v>
      </c>
      <c r="D741" s="584" t="s">
        <v>3313</v>
      </c>
      <c r="E741" s="570"/>
      <c r="F741" s="94"/>
      <c r="G741" s="570" t="s">
        <v>3314</v>
      </c>
    </row>
    <row r="742" spans="1:7">
      <c r="A742" s="94"/>
      <c r="B742" s="94"/>
      <c r="C742" s="583" t="s">
        <v>3315</v>
      </c>
      <c r="D742" s="584" t="s">
        <v>3316</v>
      </c>
      <c r="E742" s="570"/>
      <c r="F742" s="94"/>
      <c r="G742" s="570"/>
    </row>
    <row r="743" spans="1:7">
      <c r="A743" s="94"/>
      <c r="B743" s="94"/>
      <c r="C743" s="583" t="s">
        <v>3317</v>
      </c>
      <c r="D743" s="584" t="s">
        <v>3318</v>
      </c>
      <c r="E743" s="570"/>
      <c r="F743" s="94"/>
      <c r="G743" s="570"/>
    </row>
    <row r="744" spans="1:7">
      <c r="A744" s="94"/>
      <c r="B744" s="94"/>
      <c r="C744" s="566">
        <v>205203</v>
      </c>
      <c r="D744" s="567" t="s">
        <v>3319</v>
      </c>
      <c r="E744" s="570"/>
      <c r="F744" s="94"/>
      <c r="G744" s="570"/>
    </row>
    <row r="745" spans="1:7">
      <c r="A745" s="94"/>
      <c r="B745" s="94"/>
      <c r="C745" s="566">
        <v>4850272</v>
      </c>
      <c r="D745" s="567" t="s">
        <v>3320</v>
      </c>
      <c r="E745" s="570"/>
      <c r="F745" s="94"/>
      <c r="G745" s="570" t="s">
        <v>3321</v>
      </c>
    </row>
    <row r="746" spans="1:7">
      <c r="A746" s="94"/>
      <c r="B746" s="94"/>
      <c r="C746" s="566" t="s">
        <v>3322</v>
      </c>
      <c r="D746" s="567" t="s">
        <v>3323</v>
      </c>
      <c r="E746" s="570"/>
      <c r="F746" s="94"/>
      <c r="G746" s="570" t="s">
        <v>3324</v>
      </c>
    </row>
    <row r="747" spans="1:7">
      <c r="A747" s="94"/>
      <c r="B747" s="94"/>
      <c r="C747" s="566"/>
      <c r="D747" s="567"/>
      <c r="E747" s="570"/>
      <c r="F747" s="94"/>
      <c r="G747" s="570"/>
    </row>
    <row r="748" spans="1:7">
      <c r="A748" s="94"/>
      <c r="B748" s="94"/>
      <c r="C748" s="566">
        <v>205232</v>
      </c>
      <c r="D748" s="567" t="s">
        <v>3325</v>
      </c>
      <c r="E748" s="570"/>
      <c r="F748" s="94"/>
      <c r="G748" s="570" t="s">
        <v>3326</v>
      </c>
    </row>
    <row r="749" spans="1:7">
      <c r="A749" s="94"/>
      <c r="B749" s="94"/>
      <c r="C749" s="581">
        <v>205347</v>
      </c>
      <c r="D749" s="582" t="s">
        <v>3327</v>
      </c>
      <c r="E749" s="570"/>
      <c r="F749" s="94"/>
      <c r="G749" s="570"/>
    </row>
    <row r="750" spans="1:7">
      <c r="A750" s="94"/>
      <c r="B750" s="94"/>
      <c r="C750" s="581">
        <v>205348</v>
      </c>
      <c r="D750" s="582" t="s">
        <v>3328</v>
      </c>
      <c r="E750" s="570"/>
      <c r="F750" s="94"/>
      <c r="G750" s="570"/>
    </row>
    <row r="751" spans="1:7">
      <c r="A751" s="94"/>
      <c r="B751" s="94"/>
      <c r="C751" s="581">
        <v>205349</v>
      </c>
      <c r="D751" s="582" t="s">
        <v>3329</v>
      </c>
      <c r="E751" s="570"/>
      <c r="F751" s="94"/>
      <c r="G751" s="570"/>
    </row>
    <row r="752" spans="1:7">
      <c r="A752" s="94"/>
      <c r="B752" s="94"/>
      <c r="C752" s="566"/>
      <c r="D752" s="567"/>
      <c r="E752" s="570"/>
      <c r="F752" s="94"/>
      <c r="G752" s="570"/>
    </row>
    <row r="753" spans="1:7">
      <c r="A753" s="94"/>
      <c r="B753" s="94"/>
      <c r="C753" s="566" t="s">
        <v>771</v>
      </c>
      <c r="D753" s="567" t="s">
        <v>772</v>
      </c>
      <c r="E753" s="570"/>
      <c r="F753" s="94"/>
      <c r="G753" s="570" t="s">
        <v>3330</v>
      </c>
    </row>
    <row r="754" spans="1:7">
      <c r="A754" s="94"/>
      <c r="B754" s="94"/>
      <c r="C754" s="566" t="s">
        <v>3331</v>
      </c>
      <c r="D754" s="567" t="s">
        <v>3332</v>
      </c>
      <c r="E754" s="570"/>
      <c r="F754" s="94"/>
      <c r="G754" s="570" t="s">
        <v>3333</v>
      </c>
    </row>
    <row r="755" spans="1:7">
      <c r="A755" s="94"/>
      <c r="B755" s="94"/>
      <c r="C755" s="566" t="s">
        <v>3334</v>
      </c>
      <c r="D755" s="567" t="s">
        <v>3335</v>
      </c>
      <c r="E755" s="570"/>
      <c r="F755" s="94"/>
      <c r="G755" s="570" t="s">
        <v>3336</v>
      </c>
    </row>
    <row r="756" spans="1:7">
      <c r="A756" s="94"/>
      <c r="B756" s="94"/>
      <c r="C756" s="585" t="s">
        <v>3337</v>
      </c>
      <c r="D756" s="586" t="s">
        <v>3338</v>
      </c>
      <c r="E756" s="570"/>
      <c r="F756" s="94"/>
      <c r="G756" s="570" t="s">
        <v>3339</v>
      </c>
    </row>
    <row r="757" spans="1:7">
      <c r="A757" s="94"/>
      <c r="B757" s="94"/>
      <c r="C757" s="585" t="s">
        <v>3340</v>
      </c>
      <c r="D757" s="586" t="s">
        <v>3341</v>
      </c>
      <c r="E757" s="570"/>
      <c r="F757" s="94"/>
      <c r="G757" s="570" t="s">
        <v>3342</v>
      </c>
    </row>
    <row r="758" spans="1:7">
      <c r="A758" s="94"/>
      <c r="B758" s="94"/>
      <c r="C758" s="585" t="s">
        <v>3343</v>
      </c>
      <c r="D758" s="586" t="s">
        <v>3344</v>
      </c>
      <c r="E758" s="570"/>
      <c r="F758" s="94"/>
      <c r="G758" s="570" t="s">
        <v>3345</v>
      </c>
    </row>
    <row r="759" spans="1:7">
      <c r="A759" s="94"/>
      <c r="B759" s="94"/>
      <c r="C759" s="585"/>
      <c r="D759" s="586"/>
      <c r="E759" s="570"/>
      <c r="F759" s="94"/>
      <c r="G759" s="570"/>
    </row>
    <row r="760" spans="1:7">
      <c r="A760" s="94"/>
      <c r="B760" s="94"/>
      <c r="C760" s="566" t="s">
        <v>3346</v>
      </c>
      <c r="D760" s="567" t="s">
        <v>3347</v>
      </c>
      <c r="E760" s="570"/>
      <c r="F760" s="94"/>
      <c r="G760" s="570" t="s">
        <v>3348</v>
      </c>
    </row>
    <row r="761" spans="1:7">
      <c r="A761" s="94"/>
      <c r="B761" s="94"/>
      <c r="C761" s="566">
        <v>205263</v>
      </c>
      <c r="D761" s="567" t="s">
        <v>3349</v>
      </c>
      <c r="E761" s="570"/>
      <c r="F761" s="94"/>
      <c r="G761" s="570" t="s">
        <v>3350</v>
      </c>
    </row>
    <row r="762" spans="1:7">
      <c r="A762" s="94"/>
      <c r="B762" s="94"/>
      <c r="C762" s="566">
        <v>205254</v>
      </c>
      <c r="D762" s="567" t="s">
        <v>3351</v>
      </c>
      <c r="E762" s="570"/>
      <c r="F762" s="94"/>
      <c r="G762" s="570" t="s">
        <v>3352</v>
      </c>
    </row>
    <row r="763" spans="1:7">
      <c r="A763" s="94"/>
      <c r="B763" s="94"/>
      <c r="C763" s="566">
        <v>205265</v>
      </c>
      <c r="D763" s="567" t="s">
        <v>3353</v>
      </c>
      <c r="E763" s="570"/>
      <c r="F763" s="94"/>
      <c r="G763" s="570" t="s">
        <v>3354</v>
      </c>
    </row>
    <row r="764" spans="1:7">
      <c r="A764" s="94"/>
      <c r="B764" s="94"/>
      <c r="C764" s="566" t="s">
        <v>3322</v>
      </c>
      <c r="D764" s="567" t="s">
        <v>3323</v>
      </c>
      <c r="E764" s="570"/>
      <c r="F764" s="94"/>
      <c r="G764" s="570" t="s">
        <v>3324</v>
      </c>
    </row>
    <row r="765" spans="1:7">
      <c r="A765" s="94"/>
      <c r="B765" s="94"/>
      <c r="C765" s="566"/>
      <c r="D765" s="567"/>
      <c r="E765" s="570"/>
      <c r="F765" s="94"/>
      <c r="G765" s="570"/>
    </row>
    <row r="766" spans="1:7">
      <c r="A766" s="94"/>
      <c r="B766" s="94"/>
      <c r="C766" s="587" t="s">
        <v>3355</v>
      </c>
      <c r="D766" s="588" t="s">
        <v>3356</v>
      </c>
      <c r="E766" s="570"/>
      <c r="F766" s="94"/>
      <c r="G766" s="570"/>
    </row>
    <row r="767" spans="1:7">
      <c r="A767" s="94"/>
      <c r="B767" s="94"/>
      <c r="C767" s="587"/>
      <c r="D767" s="588"/>
      <c r="E767" s="570"/>
      <c r="F767" s="94"/>
      <c r="G767" s="570"/>
    </row>
    <row r="768" spans="1:7">
      <c r="A768" s="94"/>
      <c r="B768" s="94"/>
      <c r="C768" s="566" t="s">
        <v>3357</v>
      </c>
      <c r="D768" s="567" t="s">
        <v>3358</v>
      </c>
      <c r="E768" s="570"/>
      <c r="F768" s="94"/>
      <c r="G768" s="570" t="s">
        <v>3359</v>
      </c>
    </row>
    <row r="769" spans="1:7">
      <c r="A769" s="94"/>
      <c r="B769" s="94"/>
      <c r="C769" s="589" t="s">
        <v>3360</v>
      </c>
      <c r="D769" s="590" t="s">
        <v>3361</v>
      </c>
      <c r="E769" s="570"/>
      <c r="F769" s="94"/>
      <c r="G769" s="570"/>
    </row>
    <row r="770" spans="1:7">
      <c r="A770" s="94"/>
      <c r="B770" s="94"/>
      <c r="C770" s="589" t="s">
        <v>3362</v>
      </c>
      <c r="D770" s="590" t="s">
        <v>3363</v>
      </c>
      <c r="E770" s="570"/>
      <c r="F770" s="94"/>
      <c r="G770" s="570"/>
    </row>
    <row r="771" spans="1:7">
      <c r="A771" s="94"/>
      <c r="B771" s="94"/>
      <c r="C771" s="589" t="s">
        <v>3364</v>
      </c>
      <c r="D771" s="590" t="s">
        <v>3365</v>
      </c>
      <c r="E771" s="570"/>
      <c r="F771" s="94"/>
      <c r="G771" s="570"/>
    </row>
    <row r="772" spans="1:7">
      <c r="A772" s="94"/>
      <c r="B772" s="94"/>
      <c r="C772" s="566" t="s">
        <v>3366</v>
      </c>
      <c r="D772" s="567" t="s">
        <v>3367</v>
      </c>
      <c r="E772" s="570"/>
      <c r="F772" s="94"/>
      <c r="G772" s="570" t="s">
        <v>3368</v>
      </c>
    </row>
    <row r="773" spans="1:7">
      <c r="A773" s="94"/>
      <c r="B773" s="94"/>
      <c r="C773" s="566" t="s">
        <v>3369</v>
      </c>
      <c r="D773" s="567" t="s">
        <v>3370</v>
      </c>
      <c r="E773" s="570"/>
      <c r="F773" s="94"/>
      <c r="G773" s="570" t="s">
        <v>3371</v>
      </c>
    </row>
    <row r="774" spans="1:7">
      <c r="A774" s="94"/>
      <c r="B774" s="94"/>
      <c r="C774" s="566"/>
      <c r="D774" s="567"/>
      <c r="E774" s="570"/>
      <c r="F774" s="94"/>
      <c r="G774" s="570"/>
    </row>
    <row r="775" spans="1:7">
      <c r="A775" s="94"/>
      <c r="B775" s="94"/>
      <c r="C775" s="566" t="s">
        <v>647</v>
      </c>
      <c r="D775" s="567" t="s">
        <v>648</v>
      </c>
      <c r="E775" s="570"/>
      <c r="F775" s="94"/>
      <c r="G775" s="570"/>
    </row>
    <row r="776" spans="1:7">
      <c r="A776" s="94"/>
      <c r="B776" s="94"/>
      <c r="C776" s="566"/>
      <c r="D776" s="567"/>
      <c r="E776" s="570"/>
      <c r="F776" s="94"/>
      <c r="G776" s="570"/>
    </row>
    <row r="777" spans="1:7">
      <c r="A777" s="94"/>
      <c r="B777" s="94"/>
      <c r="C777" s="566" t="s">
        <v>3372</v>
      </c>
      <c r="D777" s="567" t="s">
        <v>3373</v>
      </c>
      <c r="E777" s="570"/>
      <c r="F777" s="94"/>
      <c r="G777" s="570" t="s">
        <v>3374</v>
      </c>
    </row>
    <row r="778" spans="1:7">
      <c r="A778" s="94"/>
      <c r="B778" s="94"/>
      <c r="C778" s="591" t="s">
        <v>3375</v>
      </c>
      <c r="D778" s="592" t="s">
        <v>3376</v>
      </c>
      <c r="E778" s="570"/>
      <c r="F778" s="94"/>
      <c r="G778" s="570"/>
    </row>
    <row r="779" spans="1:7">
      <c r="A779" s="94"/>
      <c r="B779" s="94"/>
      <c r="C779" s="591" t="s">
        <v>3377</v>
      </c>
      <c r="D779" s="592" t="s">
        <v>3378</v>
      </c>
      <c r="E779" s="570"/>
      <c r="F779" s="94"/>
      <c r="G779" s="570"/>
    </row>
    <row r="780" spans="1:7">
      <c r="A780" s="94"/>
      <c r="B780" s="94"/>
      <c r="C780" s="591" t="s">
        <v>3379</v>
      </c>
      <c r="D780" s="592" t="s">
        <v>3380</v>
      </c>
      <c r="E780" s="570"/>
      <c r="F780" s="94"/>
      <c r="G780" s="570"/>
    </row>
    <row r="781" spans="1:7">
      <c r="A781" s="94"/>
      <c r="B781" s="94"/>
      <c r="C781" s="566"/>
      <c r="D781" s="567"/>
      <c r="E781" s="570"/>
      <c r="F781" s="94"/>
      <c r="G781" s="570"/>
    </row>
    <row r="782" spans="1:7">
      <c r="A782" s="94"/>
      <c r="B782" s="94"/>
      <c r="C782" s="566" t="s">
        <v>3381</v>
      </c>
      <c r="D782" s="567" t="s">
        <v>3382</v>
      </c>
      <c r="E782" s="570"/>
      <c r="F782" s="94"/>
      <c r="G782" s="570" t="s">
        <v>3383</v>
      </c>
    </row>
    <row r="783" spans="1:7">
      <c r="A783" s="94"/>
      <c r="B783" s="94"/>
      <c r="C783" s="566" t="s">
        <v>3384</v>
      </c>
      <c r="D783" s="567" t="s">
        <v>3385</v>
      </c>
      <c r="E783" s="570"/>
      <c r="F783" s="94"/>
      <c r="G783" s="570" t="s">
        <v>3386</v>
      </c>
    </row>
    <row r="784" spans="1:7">
      <c r="A784" s="94"/>
      <c r="B784" s="94"/>
      <c r="C784" s="566">
        <v>308288</v>
      </c>
      <c r="D784" s="567" t="s">
        <v>3387</v>
      </c>
      <c r="E784" s="570"/>
      <c r="F784" s="94"/>
      <c r="G784" s="570"/>
    </row>
    <row r="785" spans="1:7">
      <c r="A785" s="94"/>
      <c r="B785" s="94"/>
      <c r="C785" s="566">
        <v>308289</v>
      </c>
      <c r="D785" s="567" t="s">
        <v>3388</v>
      </c>
      <c r="E785" s="570"/>
      <c r="F785" s="94"/>
      <c r="G785" s="570"/>
    </row>
    <row r="786" spans="1:7">
      <c r="A786" s="94"/>
      <c r="B786" s="94"/>
      <c r="C786" s="566">
        <v>308290</v>
      </c>
      <c r="D786" s="567" t="s">
        <v>3389</v>
      </c>
      <c r="E786" s="570"/>
      <c r="F786" s="94"/>
      <c r="G786" s="570"/>
    </row>
    <row r="787" spans="1:7">
      <c r="A787" s="94"/>
      <c r="B787" s="94"/>
      <c r="C787" s="566">
        <v>308291</v>
      </c>
      <c r="D787" s="567" t="s">
        <v>3390</v>
      </c>
      <c r="E787" s="570"/>
      <c r="F787" s="94"/>
      <c r="G787" s="570"/>
    </row>
    <row r="788" spans="1:7">
      <c r="A788" s="94"/>
      <c r="B788" s="94"/>
      <c r="C788" s="566">
        <v>308292</v>
      </c>
      <c r="D788" s="567" t="s">
        <v>3391</v>
      </c>
      <c r="E788" s="570"/>
      <c r="F788" s="94"/>
      <c r="G788" s="570"/>
    </row>
    <row r="789" spans="1:7">
      <c r="A789" s="94"/>
      <c r="B789" s="94"/>
      <c r="C789" s="566">
        <v>308293</v>
      </c>
      <c r="D789" s="567" t="s">
        <v>3392</v>
      </c>
      <c r="E789" s="570"/>
      <c r="F789" s="94"/>
      <c r="G789" s="570"/>
    </row>
    <row r="790" spans="1:7">
      <c r="A790" s="94"/>
      <c r="B790" s="94"/>
      <c r="C790" s="566">
        <v>301085</v>
      </c>
      <c r="D790" s="567" t="s">
        <v>3393</v>
      </c>
      <c r="E790" s="570"/>
      <c r="F790" s="94"/>
      <c r="G790" s="570"/>
    </row>
    <row r="791" spans="1:7">
      <c r="A791" s="94"/>
      <c r="B791" s="94"/>
      <c r="C791" s="566"/>
      <c r="D791" s="567"/>
      <c r="E791" s="570"/>
      <c r="F791" s="94"/>
      <c r="G791" s="570"/>
    </row>
    <row r="792" spans="1:7">
      <c r="A792" s="94"/>
      <c r="B792" s="94"/>
      <c r="C792" s="566" t="s">
        <v>3394</v>
      </c>
      <c r="D792" s="567" t="s">
        <v>3395</v>
      </c>
      <c r="E792" s="570"/>
      <c r="F792" s="94"/>
      <c r="G792" s="570" t="s">
        <v>3396</v>
      </c>
    </row>
    <row r="793" spans="1:7">
      <c r="A793" s="94"/>
      <c r="B793" s="94"/>
      <c r="C793" s="566" t="s">
        <v>3397</v>
      </c>
      <c r="D793" s="567" t="s">
        <v>3398</v>
      </c>
      <c r="E793" s="570"/>
      <c r="F793" s="94"/>
      <c r="G793" s="570" t="s">
        <v>3399</v>
      </c>
    </row>
    <row r="794" spans="1:7">
      <c r="A794" s="94"/>
      <c r="B794" s="94"/>
      <c r="C794" s="566" t="s">
        <v>3400</v>
      </c>
      <c r="D794" s="567" t="s">
        <v>3401</v>
      </c>
      <c r="E794" s="570"/>
      <c r="F794" s="94"/>
      <c r="G794" s="570" t="s">
        <v>3402</v>
      </c>
    </row>
    <row r="795" spans="1:7">
      <c r="A795" s="94"/>
      <c r="B795" s="94"/>
      <c r="C795" s="566" t="s">
        <v>3403</v>
      </c>
      <c r="D795" s="567" t="s">
        <v>3404</v>
      </c>
      <c r="E795" s="570"/>
      <c r="F795" s="94"/>
      <c r="G795" s="570" t="s">
        <v>3405</v>
      </c>
    </row>
    <row r="796" spans="1:7">
      <c r="A796" s="94"/>
      <c r="B796" s="94"/>
      <c r="C796" s="566" t="s">
        <v>3406</v>
      </c>
      <c r="D796" s="567" t="s">
        <v>3407</v>
      </c>
      <c r="E796" s="570"/>
      <c r="F796" s="94"/>
      <c r="G796" s="570" t="s">
        <v>3408</v>
      </c>
    </row>
    <row r="797" spans="1:7">
      <c r="A797" s="94"/>
      <c r="B797" s="94"/>
      <c r="C797" s="566"/>
      <c r="D797" s="567"/>
      <c r="E797" s="570"/>
      <c r="F797" s="94"/>
      <c r="G797" s="570"/>
    </row>
    <row r="798" spans="1:7">
      <c r="A798" s="94"/>
      <c r="B798" s="94"/>
      <c r="C798" s="566" t="s">
        <v>3409</v>
      </c>
      <c r="D798" s="567" t="s">
        <v>3410</v>
      </c>
      <c r="E798" s="595"/>
      <c r="F798" s="94"/>
      <c r="G798" s="595" t="s">
        <v>3411</v>
      </c>
    </row>
    <row r="799" spans="1:7">
      <c r="A799" s="94"/>
      <c r="B799" s="94"/>
      <c r="C799" s="593" t="s">
        <v>3412</v>
      </c>
      <c r="D799" s="594" t="s">
        <v>3413</v>
      </c>
      <c r="E799" s="595"/>
      <c r="F799" s="94"/>
      <c r="G799" s="595"/>
    </row>
    <row r="800" spans="1:7">
      <c r="A800" s="94"/>
      <c r="B800" s="94"/>
      <c r="C800" s="593" t="s">
        <v>3414</v>
      </c>
      <c r="D800" s="594" t="s">
        <v>3415</v>
      </c>
      <c r="E800" s="595"/>
      <c r="F800" s="94"/>
      <c r="G800" s="595"/>
    </row>
    <row r="801" spans="1:7">
      <c r="A801" s="94"/>
      <c r="B801" s="94"/>
      <c r="C801" s="593" t="s">
        <v>3416</v>
      </c>
      <c r="D801" s="594" t="s">
        <v>3417</v>
      </c>
      <c r="E801" s="595"/>
      <c r="F801" s="94"/>
      <c r="G801" s="595"/>
    </row>
    <row r="802" spans="1:7">
      <c r="A802" s="94"/>
      <c r="B802" s="94"/>
      <c r="C802" s="566" t="s">
        <v>3418</v>
      </c>
      <c r="D802" s="567" t="s">
        <v>3419</v>
      </c>
      <c r="E802" s="570"/>
      <c r="F802" s="94"/>
      <c r="G802" s="570" t="s">
        <v>3420</v>
      </c>
    </row>
    <row r="803" spans="1:7">
      <c r="A803" s="94"/>
      <c r="B803" s="94"/>
      <c r="C803" s="566" t="s">
        <v>3421</v>
      </c>
      <c r="D803" s="567" t="s">
        <v>3422</v>
      </c>
      <c r="E803" s="570"/>
      <c r="F803" s="94"/>
      <c r="G803" s="570" t="s">
        <v>3423</v>
      </c>
    </row>
    <row r="804" spans="1:7">
      <c r="A804" s="94"/>
      <c r="B804" s="94"/>
      <c r="C804" s="566">
        <v>3065075</v>
      </c>
      <c r="D804" s="567" t="s">
        <v>3424</v>
      </c>
      <c r="E804" s="570"/>
      <c r="F804" s="94"/>
      <c r="G804" s="570"/>
    </row>
    <row r="805" spans="1:7">
      <c r="A805" s="94"/>
      <c r="B805" s="94"/>
      <c r="C805" s="566">
        <v>3065076</v>
      </c>
      <c r="D805" s="567" t="s">
        <v>3425</v>
      </c>
      <c r="E805" s="570"/>
      <c r="F805" s="94"/>
      <c r="G805" s="570"/>
    </row>
    <row r="806" spans="1:7">
      <c r="A806" s="94"/>
      <c r="B806" s="94"/>
      <c r="C806" s="566" t="s">
        <v>3426</v>
      </c>
      <c r="D806" s="567" t="s">
        <v>3427</v>
      </c>
      <c r="E806" s="570"/>
      <c r="F806" s="94"/>
      <c r="G806" s="570" t="s">
        <v>3428</v>
      </c>
    </row>
    <row r="807" spans="1:7">
      <c r="A807" s="94"/>
      <c r="B807" s="94"/>
      <c r="C807" s="566">
        <v>306662</v>
      </c>
      <c r="D807" s="567" t="s">
        <v>3429</v>
      </c>
      <c r="E807" s="595"/>
      <c r="F807" s="94"/>
      <c r="G807" s="595" t="s">
        <v>3430</v>
      </c>
    </row>
    <row r="808" spans="1:7">
      <c r="A808" s="94"/>
      <c r="B808" s="94"/>
      <c r="C808" s="566"/>
      <c r="D808" s="567"/>
      <c r="E808" s="570"/>
      <c r="F808" s="94"/>
      <c r="G808" s="570"/>
    </row>
    <row r="809" spans="1:7">
      <c r="A809" s="94"/>
      <c r="B809" s="94"/>
      <c r="C809" s="597"/>
      <c r="D809" s="598"/>
      <c r="E809" s="596"/>
      <c r="F809" s="94"/>
      <c r="G809" s="596" t="s">
        <v>3431</v>
      </c>
    </row>
    <row r="810" spans="1:7">
      <c r="A810" s="94"/>
      <c r="B810" s="94"/>
      <c r="C810" s="599">
        <v>3065254</v>
      </c>
      <c r="D810" s="600" t="s">
        <v>3432</v>
      </c>
      <c r="E810" s="601"/>
      <c r="F810" s="94"/>
      <c r="G810" s="601" t="s">
        <v>3433</v>
      </c>
    </row>
    <row r="811" spans="1:7">
      <c r="A811" s="94"/>
      <c r="B811" s="94"/>
      <c r="C811" s="599">
        <v>3065255</v>
      </c>
      <c r="D811" s="600" t="s">
        <v>3434</v>
      </c>
      <c r="E811" s="601"/>
      <c r="F811" s="94"/>
      <c r="G811" s="601" t="s">
        <v>3435</v>
      </c>
    </row>
    <row r="812" spans="1:7">
      <c r="A812" s="94"/>
      <c r="B812" s="94"/>
      <c r="C812" s="599">
        <v>3065252</v>
      </c>
      <c r="D812" s="600" t="s">
        <v>3436</v>
      </c>
      <c r="E812" s="596"/>
      <c r="F812" s="94"/>
      <c r="G812" s="596" t="s">
        <v>3437</v>
      </c>
    </row>
    <row r="813" spans="1:7">
      <c r="A813" s="94"/>
      <c r="B813" s="94"/>
      <c r="C813" s="566">
        <v>1115999</v>
      </c>
      <c r="D813" s="598" t="s">
        <v>3438</v>
      </c>
      <c r="E813" s="596"/>
      <c r="F813" s="94"/>
      <c r="G813" s="596" t="s">
        <v>3437</v>
      </c>
    </row>
    <row r="814" spans="1:7">
      <c r="A814" s="94"/>
      <c r="B814" s="94"/>
      <c r="C814" s="599">
        <v>3065256</v>
      </c>
      <c r="D814" s="600" t="s">
        <v>3439</v>
      </c>
      <c r="E814" s="596"/>
      <c r="F814" s="94"/>
      <c r="G814" s="596" t="s">
        <v>3440</v>
      </c>
    </row>
    <row r="815" spans="1:7">
      <c r="A815" s="94"/>
      <c r="B815" s="94"/>
      <c r="C815" s="599" t="s">
        <v>3322</v>
      </c>
      <c r="D815" s="600" t="s">
        <v>3323</v>
      </c>
      <c r="E815" s="596"/>
      <c r="F815" s="94"/>
      <c r="G815" s="596" t="s">
        <v>3441</v>
      </c>
    </row>
    <row r="816" spans="1:7">
      <c r="A816" s="94"/>
      <c r="B816" s="94"/>
      <c r="C816" s="597"/>
      <c r="D816" s="598"/>
      <c r="E816" s="596"/>
      <c r="F816" s="94"/>
      <c r="G816" s="596"/>
    </row>
    <row r="817" spans="1:7">
      <c r="A817" s="94"/>
      <c r="B817" s="94"/>
      <c r="C817" s="597"/>
      <c r="D817" s="598"/>
      <c r="E817" s="596"/>
      <c r="F817" s="94"/>
      <c r="G817" s="596"/>
    </row>
    <row r="818" spans="1:7">
      <c r="A818" s="94"/>
      <c r="B818" s="94"/>
      <c r="C818" s="566"/>
      <c r="D818" s="567" t="s">
        <v>3442</v>
      </c>
      <c r="E818" s="595"/>
      <c r="F818" s="94"/>
      <c r="G818" s="595"/>
    </row>
    <row r="819" spans="1:7">
      <c r="A819" s="94"/>
      <c r="B819" s="94"/>
      <c r="C819" s="599">
        <v>205467</v>
      </c>
      <c r="D819" s="600" t="s">
        <v>3443</v>
      </c>
      <c r="E819" s="601"/>
      <c r="F819" s="94"/>
      <c r="G819" s="601" t="s">
        <v>3444</v>
      </c>
    </row>
    <row r="820" spans="1:7">
      <c r="A820" s="94"/>
      <c r="B820" s="94"/>
      <c r="C820" s="599">
        <v>205466</v>
      </c>
      <c r="D820" s="600" t="s">
        <v>3445</v>
      </c>
      <c r="E820" s="601"/>
      <c r="F820" s="94"/>
      <c r="G820" s="601" t="s">
        <v>3435</v>
      </c>
    </row>
    <row r="821" spans="1:7">
      <c r="A821" s="94"/>
      <c r="B821" s="94"/>
      <c r="C821" s="599">
        <v>205743</v>
      </c>
      <c r="D821" s="600" t="s">
        <v>3446</v>
      </c>
      <c r="E821" s="596"/>
      <c r="F821" s="94"/>
      <c r="G821" s="596" t="s">
        <v>3437</v>
      </c>
    </row>
    <row r="822" spans="1:7">
      <c r="A822" s="94"/>
      <c r="B822" s="94"/>
      <c r="C822" s="566"/>
      <c r="D822" s="598" t="s">
        <v>3447</v>
      </c>
      <c r="E822" s="596"/>
      <c r="F822" s="94"/>
      <c r="G822" s="596"/>
    </row>
    <row r="823" spans="1:7">
      <c r="A823" s="94"/>
      <c r="B823" s="94"/>
      <c r="C823" s="599">
        <v>205664</v>
      </c>
      <c r="D823" s="600" t="s">
        <v>3448</v>
      </c>
      <c r="E823" s="596"/>
      <c r="F823" s="94"/>
      <c r="G823" s="596" t="s">
        <v>3440</v>
      </c>
    </row>
    <row r="824" spans="1:7">
      <c r="A824" s="94"/>
      <c r="B824" s="94"/>
      <c r="C824" s="599"/>
      <c r="D824" s="600" t="s">
        <v>3449</v>
      </c>
      <c r="E824" s="596"/>
      <c r="F824" s="94"/>
      <c r="G824" s="596" t="s">
        <v>3441</v>
      </c>
    </row>
    <row r="825" spans="1:7">
      <c r="A825" s="94"/>
      <c r="B825" s="94"/>
      <c r="C825" s="597"/>
      <c r="D825" s="598"/>
      <c r="E825" s="596"/>
      <c r="F825" s="94"/>
      <c r="G825" s="596"/>
    </row>
    <row r="826" spans="1:7">
      <c r="B826" s="71"/>
      <c r="G826" s="72"/>
    </row>
    <row r="827" spans="1:7">
      <c r="B827" s="71"/>
    </row>
    <row r="828" spans="1:7">
      <c r="B828" s="71"/>
    </row>
    <row r="829" spans="1:7">
      <c r="B829" s="71" t="s">
        <v>637</v>
      </c>
    </row>
    <row r="830" spans="1:7" outlineLevel="1">
      <c r="B830" s="71" t="s">
        <v>805</v>
      </c>
      <c r="C830" s="334">
        <v>205007</v>
      </c>
      <c r="D830" s="335" t="s">
        <v>806</v>
      </c>
    </row>
    <row r="831" spans="1:7" outlineLevel="1">
      <c r="B831" s="71" t="s">
        <v>805</v>
      </c>
      <c r="C831" s="334">
        <v>480292</v>
      </c>
      <c r="D831" s="335" t="s">
        <v>807</v>
      </c>
    </row>
    <row r="832" spans="1:7" outlineLevel="1">
      <c r="B832" s="71" t="s">
        <v>805</v>
      </c>
      <c r="C832" s="334">
        <v>205336</v>
      </c>
      <c r="D832" s="335" t="s">
        <v>808</v>
      </c>
    </row>
    <row r="833" spans="2:4" outlineLevel="1">
      <c r="B833" s="71" t="s">
        <v>805</v>
      </c>
      <c r="C833" s="334">
        <v>481319</v>
      </c>
      <c r="D833" s="335" t="s">
        <v>809</v>
      </c>
    </row>
    <row r="834" spans="2:4" outlineLevel="1">
      <c r="B834" s="71" t="s">
        <v>805</v>
      </c>
      <c r="C834" s="334">
        <v>481246</v>
      </c>
      <c r="D834" s="335" t="s">
        <v>810</v>
      </c>
    </row>
    <row r="835" spans="2:4" outlineLevel="1">
      <c r="B835" s="71" t="s">
        <v>811</v>
      </c>
      <c r="C835" s="334">
        <v>205009</v>
      </c>
      <c r="D835" s="335" t="s">
        <v>812</v>
      </c>
    </row>
    <row r="836" spans="2:4" outlineLevel="1">
      <c r="B836" s="71" t="s">
        <v>811</v>
      </c>
      <c r="C836" s="334">
        <v>480438</v>
      </c>
      <c r="D836" s="335" t="s">
        <v>813</v>
      </c>
    </row>
    <row r="837" spans="2:4" outlineLevel="1">
      <c r="B837" s="71" t="s">
        <v>811</v>
      </c>
      <c r="C837" s="334">
        <v>481307</v>
      </c>
      <c r="D837" s="335" t="s">
        <v>814</v>
      </c>
    </row>
    <row r="838" spans="2:4" outlineLevel="1">
      <c r="B838" s="71" t="s">
        <v>811</v>
      </c>
      <c r="C838" s="334">
        <v>481311</v>
      </c>
      <c r="D838" s="335" t="s">
        <v>815</v>
      </c>
    </row>
    <row r="839" spans="2:4" outlineLevel="1">
      <c r="B839" s="71" t="s">
        <v>811</v>
      </c>
      <c r="C839" s="334">
        <v>481187</v>
      </c>
      <c r="D839" s="335" t="s">
        <v>816</v>
      </c>
    </row>
    <row r="840" spans="2:4" outlineLevel="1">
      <c r="B840" s="71" t="s">
        <v>817</v>
      </c>
      <c r="C840" s="334">
        <v>205135</v>
      </c>
      <c r="D840" s="335" t="s">
        <v>818</v>
      </c>
    </row>
    <row r="841" spans="2:4" outlineLevel="1">
      <c r="B841" s="71" t="s">
        <v>817</v>
      </c>
      <c r="C841" s="334">
        <v>2050230</v>
      </c>
      <c r="D841" s="335" t="s">
        <v>2879</v>
      </c>
    </row>
    <row r="842" spans="2:4" outlineLevel="1">
      <c r="B842" s="71" t="s">
        <v>817</v>
      </c>
      <c r="C842" s="334">
        <v>205137</v>
      </c>
      <c r="D842" s="335" t="s">
        <v>819</v>
      </c>
    </row>
    <row r="843" spans="2:4" outlineLevel="1">
      <c r="B843" s="71" t="s">
        <v>817</v>
      </c>
      <c r="C843" s="334">
        <v>205172</v>
      </c>
      <c r="D843" s="335" t="s">
        <v>820</v>
      </c>
    </row>
    <row r="844" spans="2:4" outlineLevel="1">
      <c r="B844" s="71" t="s">
        <v>817</v>
      </c>
      <c r="C844" s="334">
        <v>205173</v>
      </c>
      <c r="D844" s="335" t="s">
        <v>821</v>
      </c>
    </row>
    <row r="845" spans="2:4" outlineLevel="1">
      <c r="B845" s="71" t="s">
        <v>817</v>
      </c>
      <c r="C845" s="334">
        <v>205174</v>
      </c>
      <c r="D845" s="335" t="s">
        <v>822</v>
      </c>
    </row>
    <row r="846" spans="2:4" outlineLevel="1">
      <c r="B846" s="71" t="s">
        <v>817</v>
      </c>
      <c r="C846" s="334">
        <v>205228</v>
      </c>
      <c r="D846" s="335" t="s">
        <v>823</v>
      </c>
    </row>
    <row r="847" spans="2:4" outlineLevel="1">
      <c r="B847" s="71" t="s">
        <v>817</v>
      </c>
      <c r="C847" s="334">
        <v>205359</v>
      </c>
      <c r="D847" s="335" t="s">
        <v>824</v>
      </c>
    </row>
    <row r="848" spans="2:4" outlineLevel="1">
      <c r="B848" s="71" t="s">
        <v>817</v>
      </c>
      <c r="C848" s="334">
        <v>205430</v>
      </c>
      <c r="D848" s="335" t="s">
        <v>825</v>
      </c>
    </row>
    <row r="849" spans="2:4" outlineLevel="1">
      <c r="B849" s="71" t="s">
        <v>817</v>
      </c>
      <c r="C849" s="334">
        <v>205454</v>
      </c>
      <c r="D849" s="335" t="s">
        <v>826</v>
      </c>
    </row>
    <row r="850" spans="2:4" outlineLevel="1">
      <c r="B850" s="71" t="s">
        <v>817</v>
      </c>
      <c r="C850" s="334">
        <v>205422</v>
      </c>
      <c r="D850" s="335" t="s">
        <v>827</v>
      </c>
    </row>
    <row r="851" spans="2:4" outlineLevel="1">
      <c r="B851" s="71" t="s">
        <v>828</v>
      </c>
      <c r="C851" s="336">
        <v>205040</v>
      </c>
      <c r="D851" s="337" t="s">
        <v>829</v>
      </c>
    </row>
    <row r="852" spans="2:4" outlineLevel="1">
      <c r="B852" s="71" t="s">
        <v>828</v>
      </c>
      <c r="C852" s="334">
        <v>2050041</v>
      </c>
      <c r="D852" s="335" t="s">
        <v>830</v>
      </c>
    </row>
    <row r="853" spans="2:4" outlineLevel="1">
      <c r="B853" s="71" t="s">
        <v>828</v>
      </c>
      <c r="C853" s="334">
        <v>2050042</v>
      </c>
      <c r="D853" s="335" t="s">
        <v>831</v>
      </c>
    </row>
    <row r="854" spans="2:4" outlineLevel="1">
      <c r="B854" s="71" t="s">
        <v>828</v>
      </c>
      <c r="C854" s="334">
        <v>205181</v>
      </c>
      <c r="D854" s="335" t="s">
        <v>832</v>
      </c>
    </row>
    <row r="855" spans="2:4" outlineLevel="1">
      <c r="B855" s="71" t="s">
        <v>828</v>
      </c>
      <c r="C855" s="334">
        <v>205182</v>
      </c>
      <c r="D855" s="335" t="s">
        <v>833</v>
      </c>
    </row>
    <row r="856" spans="2:4" outlineLevel="1">
      <c r="B856" s="71" t="s">
        <v>828</v>
      </c>
      <c r="C856" s="334">
        <v>205183</v>
      </c>
      <c r="D856" s="335" t="s">
        <v>834</v>
      </c>
    </row>
    <row r="857" spans="2:4" outlineLevel="1">
      <c r="B857" s="71" t="s">
        <v>828</v>
      </c>
      <c r="C857" s="334">
        <v>205226</v>
      </c>
      <c r="D857" s="335" t="s">
        <v>835</v>
      </c>
    </row>
    <row r="858" spans="2:4" outlineLevel="1">
      <c r="B858" s="71" t="s">
        <v>828</v>
      </c>
      <c r="C858" s="334">
        <v>2050126</v>
      </c>
      <c r="D858" s="335" t="s">
        <v>836</v>
      </c>
    </row>
    <row r="859" spans="2:4" outlineLevel="1">
      <c r="B859" s="71" t="s">
        <v>828</v>
      </c>
      <c r="C859" s="334">
        <v>205493</v>
      </c>
      <c r="D859" s="335" t="s">
        <v>837</v>
      </c>
    </row>
    <row r="860" spans="2:4" outlineLevel="1">
      <c r="B860" s="71" t="s">
        <v>828</v>
      </c>
      <c r="C860" s="334">
        <v>205494</v>
      </c>
      <c r="D860" s="335" t="s">
        <v>838</v>
      </c>
    </row>
    <row r="861" spans="2:4" outlineLevel="1">
      <c r="B861" s="71" t="s">
        <v>828</v>
      </c>
      <c r="C861" s="334">
        <v>205495</v>
      </c>
      <c r="D861" s="335" t="s">
        <v>839</v>
      </c>
    </row>
    <row r="862" spans="2:4" outlineLevel="1">
      <c r="B862" s="71" t="s">
        <v>828</v>
      </c>
      <c r="C862" s="334">
        <v>2050017</v>
      </c>
      <c r="D862" s="335" t="s">
        <v>840</v>
      </c>
    </row>
    <row r="863" spans="2:4" outlineLevel="1">
      <c r="B863" s="71" t="s">
        <v>841</v>
      </c>
      <c r="C863" s="334">
        <v>205041</v>
      </c>
      <c r="D863" s="335" t="s">
        <v>842</v>
      </c>
    </row>
    <row r="864" spans="2:4" outlineLevel="1">
      <c r="B864" s="71" t="s">
        <v>841</v>
      </c>
      <c r="C864" s="334">
        <v>2050047</v>
      </c>
      <c r="D864" s="335" t="s">
        <v>843</v>
      </c>
    </row>
    <row r="865" spans="2:4" outlineLevel="1">
      <c r="B865" s="71" t="s">
        <v>841</v>
      </c>
      <c r="C865" s="334">
        <v>205184</v>
      </c>
      <c r="D865" s="335" t="s">
        <v>844</v>
      </c>
    </row>
    <row r="866" spans="2:4" outlineLevel="1">
      <c r="B866" s="71" t="s">
        <v>841</v>
      </c>
      <c r="C866" s="334">
        <v>205185</v>
      </c>
      <c r="D866" s="335" t="s">
        <v>845</v>
      </c>
    </row>
    <row r="867" spans="2:4" outlineLevel="1">
      <c r="B867" s="71" t="s">
        <v>841</v>
      </c>
      <c r="C867" s="334">
        <v>205186</v>
      </c>
      <c r="D867" s="335" t="s">
        <v>846</v>
      </c>
    </row>
    <row r="868" spans="2:4" outlineLevel="1">
      <c r="B868" s="71" t="s">
        <v>841</v>
      </c>
      <c r="C868" s="334">
        <v>205327</v>
      </c>
      <c r="D868" s="335" t="s">
        <v>847</v>
      </c>
    </row>
    <row r="869" spans="2:4" outlineLevel="1">
      <c r="B869" s="71" t="s">
        <v>841</v>
      </c>
      <c r="C869" s="334">
        <v>2050127</v>
      </c>
      <c r="D869" s="335" t="s">
        <v>848</v>
      </c>
    </row>
    <row r="870" spans="2:4" outlineLevel="1">
      <c r="B870" s="71" t="s">
        <v>841</v>
      </c>
      <c r="C870" s="334">
        <v>205496</v>
      </c>
      <c r="D870" s="335" t="s">
        <v>849</v>
      </c>
    </row>
    <row r="871" spans="2:4" outlineLevel="1">
      <c r="B871" s="71" t="s">
        <v>841</v>
      </c>
      <c r="C871" s="334">
        <v>205497</v>
      </c>
      <c r="D871" s="335" t="s">
        <v>850</v>
      </c>
    </row>
    <row r="872" spans="2:4" outlineLevel="1">
      <c r="B872" s="71" t="s">
        <v>841</v>
      </c>
      <c r="C872" s="334">
        <v>205498</v>
      </c>
      <c r="D872" s="335" t="s">
        <v>851</v>
      </c>
    </row>
    <row r="873" spans="2:4" outlineLevel="1">
      <c r="B873" s="71" t="s">
        <v>841</v>
      </c>
      <c r="C873" s="334">
        <v>2050019</v>
      </c>
      <c r="D873" s="335" t="s">
        <v>852</v>
      </c>
    </row>
    <row r="874" spans="2:4" outlineLevel="1">
      <c r="B874" s="71" t="s">
        <v>853</v>
      </c>
      <c r="C874" s="334">
        <v>205134</v>
      </c>
      <c r="D874" s="335" t="s">
        <v>854</v>
      </c>
    </row>
    <row r="875" spans="2:4" outlineLevel="1">
      <c r="B875" s="71" t="s">
        <v>853</v>
      </c>
      <c r="C875" s="334">
        <v>205153</v>
      </c>
      <c r="D875" s="335" t="s">
        <v>855</v>
      </c>
    </row>
    <row r="876" spans="2:4" outlineLevel="1">
      <c r="B876" s="71" t="s">
        <v>853</v>
      </c>
      <c r="C876" s="334">
        <v>205169</v>
      </c>
      <c r="D876" s="335" t="s">
        <v>856</v>
      </c>
    </row>
    <row r="877" spans="2:4" outlineLevel="1">
      <c r="B877" s="71" t="s">
        <v>853</v>
      </c>
      <c r="C877" s="334">
        <v>205170</v>
      </c>
      <c r="D877" s="335" t="s">
        <v>857</v>
      </c>
    </row>
    <row r="878" spans="2:4" outlineLevel="1">
      <c r="B878" s="71" t="s">
        <v>858</v>
      </c>
      <c r="C878" s="334">
        <v>205134</v>
      </c>
      <c r="D878" s="335" t="s">
        <v>854</v>
      </c>
    </row>
    <row r="879" spans="2:4" outlineLevel="1">
      <c r="B879" s="71" t="s">
        <v>858</v>
      </c>
      <c r="C879" s="334">
        <v>205153</v>
      </c>
      <c r="D879" s="335" t="s">
        <v>859</v>
      </c>
    </row>
    <row r="880" spans="2:4" outlineLevel="1">
      <c r="B880" s="71" t="s">
        <v>858</v>
      </c>
      <c r="C880" s="334">
        <v>205169</v>
      </c>
      <c r="D880" s="335" t="s">
        <v>860</v>
      </c>
    </row>
    <row r="881" spans="2:4" outlineLevel="1">
      <c r="B881" s="71" t="s">
        <v>858</v>
      </c>
      <c r="C881" s="334">
        <v>205170</v>
      </c>
      <c r="D881" s="335" t="s">
        <v>861</v>
      </c>
    </row>
    <row r="882" spans="2:4" outlineLevel="1">
      <c r="B882" s="71" t="s">
        <v>862</v>
      </c>
      <c r="C882" s="334">
        <v>205106</v>
      </c>
      <c r="D882" s="335" t="s">
        <v>863</v>
      </c>
    </row>
    <row r="883" spans="2:4" outlineLevel="1">
      <c r="B883" s="71" t="s">
        <v>862</v>
      </c>
      <c r="C883" s="334">
        <v>205110</v>
      </c>
      <c r="D883" s="335" t="s">
        <v>864</v>
      </c>
    </row>
    <row r="884" spans="2:4" outlineLevel="1">
      <c r="B884" s="71" t="s">
        <v>862</v>
      </c>
      <c r="C884" s="334">
        <v>205212</v>
      </c>
      <c r="D884" s="335" t="s">
        <v>865</v>
      </c>
    </row>
    <row r="885" spans="2:4" outlineLevel="1">
      <c r="B885" s="71" t="s">
        <v>862</v>
      </c>
      <c r="C885" s="334">
        <v>205213</v>
      </c>
      <c r="D885" s="335" t="s">
        <v>866</v>
      </c>
    </row>
    <row r="886" spans="2:4" outlineLevel="1">
      <c r="B886" s="71" t="s">
        <v>862</v>
      </c>
      <c r="C886" s="334">
        <v>205214</v>
      </c>
      <c r="D886" s="335" t="s">
        <v>867</v>
      </c>
    </row>
    <row r="887" spans="2:4" outlineLevel="1">
      <c r="B887" s="71" t="s">
        <v>862</v>
      </c>
      <c r="C887" s="334">
        <v>205352</v>
      </c>
      <c r="D887" s="335" t="s">
        <v>868</v>
      </c>
    </row>
    <row r="888" spans="2:4" outlineLevel="1">
      <c r="B888" s="71" t="s">
        <v>869</v>
      </c>
      <c r="C888" s="334">
        <v>205138</v>
      </c>
      <c r="D888" s="335" t="s">
        <v>870</v>
      </c>
    </row>
    <row r="889" spans="2:4" outlineLevel="1">
      <c r="B889" s="71" t="s">
        <v>869</v>
      </c>
      <c r="C889" s="334">
        <v>205391</v>
      </c>
      <c r="D889" s="335" t="s">
        <v>871</v>
      </c>
    </row>
    <row r="890" spans="2:4" outlineLevel="1">
      <c r="B890" s="71" t="s">
        <v>869</v>
      </c>
      <c r="C890" s="334">
        <v>205353</v>
      </c>
      <c r="D890" s="335" t="s">
        <v>872</v>
      </c>
    </row>
    <row r="891" spans="2:4" outlineLevel="1">
      <c r="B891" s="71" t="s">
        <v>869</v>
      </c>
      <c r="C891" s="334">
        <v>205354</v>
      </c>
      <c r="D891" s="335" t="s">
        <v>873</v>
      </c>
    </row>
    <row r="892" spans="2:4" outlineLevel="1">
      <c r="B892" s="71" t="s">
        <v>869</v>
      </c>
      <c r="C892" s="334" t="s">
        <v>1787</v>
      </c>
      <c r="D892" s="335" t="s">
        <v>4157</v>
      </c>
    </row>
    <row r="893" spans="2:4" outlineLevel="1">
      <c r="B893" s="71" t="s">
        <v>869</v>
      </c>
      <c r="C893" s="334">
        <v>205355</v>
      </c>
      <c r="D893" s="335" t="s">
        <v>874</v>
      </c>
    </row>
    <row r="894" spans="2:4" outlineLevel="1">
      <c r="B894" s="71" t="s">
        <v>875</v>
      </c>
      <c r="C894" s="334">
        <v>2050039</v>
      </c>
      <c r="D894" s="335" t="s">
        <v>876</v>
      </c>
    </row>
    <row r="895" spans="2:4" outlineLevel="1">
      <c r="B895" s="71" t="s">
        <v>875</v>
      </c>
      <c r="C895" s="334">
        <v>205233</v>
      </c>
      <c r="D895" s="335" t="s">
        <v>877</v>
      </c>
    </row>
    <row r="896" spans="2:4" outlineLevel="1">
      <c r="B896" s="71" t="s">
        <v>875</v>
      </c>
      <c r="C896" s="334">
        <v>205274</v>
      </c>
      <c r="D896" s="335" t="s">
        <v>878</v>
      </c>
    </row>
    <row r="897" spans="2:4" outlineLevel="1">
      <c r="B897" s="71" t="s">
        <v>875</v>
      </c>
      <c r="C897" s="334">
        <v>205275</v>
      </c>
      <c r="D897" s="335" t="s">
        <v>879</v>
      </c>
    </row>
    <row r="898" spans="2:4" outlineLevel="1">
      <c r="B898" s="71" t="s">
        <v>875</v>
      </c>
      <c r="C898" s="334">
        <v>205276</v>
      </c>
      <c r="D898" s="335" t="s">
        <v>880</v>
      </c>
    </row>
    <row r="899" spans="2:4" outlineLevel="1">
      <c r="B899" s="71" t="s">
        <v>875</v>
      </c>
      <c r="C899" s="334" t="s">
        <v>1787</v>
      </c>
      <c r="D899" s="335" t="s">
        <v>3506</v>
      </c>
    </row>
    <row r="900" spans="2:4" outlineLevel="1">
      <c r="B900" s="71" t="s">
        <v>875</v>
      </c>
      <c r="C900" s="334">
        <v>205447</v>
      </c>
      <c r="D900" s="335" t="s">
        <v>881</v>
      </c>
    </row>
    <row r="901" spans="2:4" outlineLevel="1">
      <c r="B901" s="71" t="s">
        <v>875</v>
      </c>
      <c r="C901" s="334">
        <v>205455</v>
      </c>
      <c r="D901" s="335" t="s">
        <v>882</v>
      </c>
    </row>
    <row r="902" spans="2:4" outlineLevel="1">
      <c r="B902" s="71" t="s">
        <v>875</v>
      </c>
      <c r="C902" s="334" t="s">
        <v>1787</v>
      </c>
      <c r="D902" s="335" t="s">
        <v>2936</v>
      </c>
    </row>
    <row r="903" spans="2:4" outlineLevel="1">
      <c r="B903" s="121" t="s">
        <v>883</v>
      </c>
      <c r="C903" s="334">
        <v>205107</v>
      </c>
      <c r="D903" s="335" t="s">
        <v>884</v>
      </c>
    </row>
    <row r="904" spans="2:4" outlineLevel="1">
      <c r="B904" s="121" t="s">
        <v>883</v>
      </c>
      <c r="C904" s="334">
        <v>205112</v>
      </c>
      <c r="D904" s="335" t="s">
        <v>885</v>
      </c>
    </row>
    <row r="905" spans="2:4" outlineLevel="1">
      <c r="B905" s="121" t="s">
        <v>883</v>
      </c>
      <c r="C905" s="334">
        <v>205218</v>
      </c>
      <c r="D905" s="335" t="s">
        <v>886</v>
      </c>
    </row>
    <row r="906" spans="2:4" outlineLevel="1">
      <c r="B906" s="121" t="s">
        <v>883</v>
      </c>
      <c r="C906" s="334">
        <v>205219</v>
      </c>
      <c r="D906" s="335" t="s">
        <v>887</v>
      </c>
    </row>
    <row r="907" spans="2:4" outlineLevel="1">
      <c r="B907" s="121" t="s">
        <v>883</v>
      </c>
      <c r="C907" s="334">
        <v>205220</v>
      </c>
      <c r="D907" s="335" t="s">
        <v>888</v>
      </c>
    </row>
    <row r="908" spans="2:4" outlineLevel="1">
      <c r="B908" s="121" t="s">
        <v>883</v>
      </c>
      <c r="C908" s="334">
        <v>205451</v>
      </c>
      <c r="D908" s="335" t="s">
        <v>889</v>
      </c>
    </row>
    <row r="909" spans="2:4" outlineLevel="1">
      <c r="B909" s="121" t="s">
        <v>883</v>
      </c>
      <c r="C909" s="334">
        <v>205108</v>
      </c>
      <c r="D909" s="335" t="s">
        <v>890</v>
      </c>
    </row>
    <row r="910" spans="2:4" outlineLevel="1">
      <c r="B910" s="121" t="s">
        <v>883</v>
      </c>
      <c r="C910" s="334">
        <v>205111</v>
      </c>
      <c r="D910" s="335" t="s">
        <v>891</v>
      </c>
    </row>
    <row r="911" spans="2:4" outlineLevel="1">
      <c r="B911" s="121" t="s">
        <v>883</v>
      </c>
      <c r="C911" s="334">
        <v>205215</v>
      </c>
      <c r="D911" s="335" t="s">
        <v>892</v>
      </c>
    </row>
    <row r="912" spans="2:4" outlineLevel="1">
      <c r="B912" s="121" t="s">
        <v>883</v>
      </c>
      <c r="C912" s="334">
        <v>205216</v>
      </c>
      <c r="D912" s="335" t="s">
        <v>893</v>
      </c>
    </row>
    <row r="913" spans="2:4" outlineLevel="1">
      <c r="B913" s="121" t="s">
        <v>883</v>
      </c>
      <c r="C913" s="334">
        <v>205217</v>
      </c>
      <c r="D913" s="335" t="s">
        <v>894</v>
      </c>
    </row>
    <row r="914" spans="2:4" outlineLevel="1">
      <c r="B914" s="121" t="s">
        <v>883</v>
      </c>
      <c r="C914" s="334">
        <v>205452</v>
      </c>
      <c r="D914" s="335" t="s">
        <v>895</v>
      </c>
    </row>
    <row r="915" spans="2:4" outlineLevel="1">
      <c r="B915" s="121" t="s">
        <v>883</v>
      </c>
      <c r="C915" s="334">
        <v>205109</v>
      </c>
      <c r="D915" s="335" t="s">
        <v>896</v>
      </c>
    </row>
    <row r="916" spans="2:4" outlineLevel="1">
      <c r="B916" s="121" t="s">
        <v>883</v>
      </c>
      <c r="C916" s="334">
        <v>205113</v>
      </c>
      <c r="D916" s="335" t="s">
        <v>897</v>
      </c>
    </row>
    <row r="917" spans="2:4" outlineLevel="1">
      <c r="B917" s="121" t="s">
        <v>883</v>
      </c>
      <c r="C917" s="334">
        <v>205221</v>
      </c>
      <c r="D917" s="335" t="s">
        <v>898</v>
      </c>
    </row>
    <row r="918" spans="2:4" outlineLevel="1">
      <c r="B918" s="121" t="s">
        <v>883</v>
      </c>
      <c r="C918" s="334">
        <v>205222</v>
      </c>
      <c r="D918" s="335" t="s">
        <v>899</v>
      </c>
    </row>
    <row r="919" spans="2:4" outlineLevel="1">
      <c r="B919" s="121" t="s">
        <v>883</v>
      </c>
      <c r="C919" s="334">
        <v>205223</v>
      </c>
      <c r="D919" s="335" t="s">
        <v>900</v>
      </c>
    </row>
    <row r="920" spans="2:4" outlineLevel="1">
      <c r="B920" s="121" t="s">
        <v>883</v>
      </c>
      <c r="C920" s="334">
        <v>205450</v>
      </c>
      <c r="D920" s="335" t="s">
        <v>901</v>
      </c>
    </row>
    <row r="921" spans="2:4" outlineLevel="1">
      <c r="B921" s="71" t="s">
        <v>902</v>
      </c>
      <c r="C921" s="334">
        <v>205293</v>
      </c>
      <c r="D921" s="335" t="s">
        <v>903</v>
      </c>
    </row>
    <row r="922" spans="2:4" outlineLevel="1">
      <c r="B922" s="71" t="s">
        <v>902</v>
      </c>
      <c r="C922" s="334">
        <v>205098</v>
      </c>
      <c r="D922" s="335" t="s">
        <v>904</v>
      </c>
    </row>
    <row r="923" spans="2:4" outlineLevel="1">
      <c r="B923" s="71" t="s">
        <v>902</v>
      </c>
      <c r="C923" s="334" t="s">
        <v>1787</v>
      </c>
      <c r="D923" s="335" t="s">
        <v>3546</v>
      </c>
    </row>
    <row r="924" spans="2:4" outlineLevel="1">
      <c r="B924" s="71" t="s">
        <v>902</v>
      </c>
      <c r="C924" s="334">
        <v>205257</v>
      </c>
      <c r="D924" s="335" t="s">
        <v>905</v>
      </c>
    </row>
    <row r="925" spans="2:4" outlineLevel="1">
      <c r="B925" s="71" t="s">
        <v>902</v>
      </c>
      <c r="C925" s="334">
        <v>205258</v>
      </c>
      <c r="D925" s="335" t="s">
        <v>906</v>
      </c>
    </row>
    <row r="926" spans="2:4" outlineLevel="1">
      <c r="B926" s="71" t="s">
        <v>902</v>
      </c>
      <c r="C926" s="334">
        <v>205250</v>
      </c>
      <c r="D926" s="335" t="s">
        <v>907</v>
      </c>
    </row>
    <row r="927" spans="2:4" outlineLevel="1">
      <c r="B927" s="71" t="s">
        <v>902</v>
      </c>
      <c r="C927" s="334">
        <v>205146</v>
      </c>
      <c r="D927" s="335" t="s">
        <v>908</v>
      </c>
    </row>
    <row r="928" spans="2:4" outlineLevel="1">
      <c r="B928" s="71" t="s">
        <v>902</v>
      </c>
      <c r="C928" s="334">
        <v>205194</v>
      </c>
      <c r="D928" s="335" t="s">
        <v>909</v>
      </c>
    </row>
    <row r="929" spans="2:4" outlineLevel="1">
      <c r="B929" s="71" t="s">
        <v>902</v>
      </c>
      <c r="C929" s="334">
        <v>205195</v>
      </c>
      <c r="D929" s="335" t="s">
        <v>910</v>
      </c>
    </row>
    <row r="930" spans="2:4" outlineLevel="1">
      <c r="B930" s="71" t="s">
        <v>902</v>
      </c>
      <c r="C930" s="334">
        <v>205145</v>
      </c>
      <c r="D930" s="335" t="s">
        <v>911</v>
      </c>
    </row>
    <row r="931" spans="2:4" outlineLevel="1">
      <c r="B931" s="71" t="s">
        <v>902</v>
      </c>
      <c r="C931" s="334" t="s">
        <v>1787</v>
      </c>
      <c r="D931" s="335" t="s">
        <v>3090</v>
      </c>
    </row>
    <row r="932" spans="2:4" outlineLevel="1">
      <c r="B932" s="71" t="s">
        <v>912</v>
      </c>
      <c r="C932" s="334">
        <v>205294</v>
      </c>
      <c r="D932" s="335" t="s">
        <v>913</v>
      </c>
    </row>
    <row r="933" spans="2:4" outlineLevel="1">
      <c r="B933" s="71" t="s">
        <v>912</v>
      </c>
      <c r="C933" s="334">
        <v>205099</v>
      </c>
      <c r="D933" s="335" t="s">
        <v>914</v>
      </c>
    </row>
    <row r="934" spans="2:4" outlineLevel="1">
      <c r="B934" s="71" t="s">
        <v>912</v>
      </c>
      <c r="C934" s="338">
        <v>205259</v>
      </c>
      <c r="D934" s="339" t="s">
        <v>915</v>
      </c>
    </row>
    <row r="935" spans="2:4" outlineLevel="1">
      <c r="B935" s="71" t="s">
        <v>912</v>
      </c>
      <c r="C935" s="338">
        <v>205260</v>
      </c>
      <c r="D935" s="339" t="s">
        <v>916</v>
      </c>
    </row>
    <row r="936" spans="2:4" outlineLevel="1">
      <c r="B936" s="71" t="s">
        <v>912</v>
      </c>
      <c r="C936" s="338">
        <v>205251</v>
      </c>
      <c r="D936" s="339" t="s">
        <v>917</v>
      </c>
    </row>
    <row r="937" spans="2:4" outlineLevel="1">
      <c r="B937" s="71" t="s">
        <v>912</v>
      </c>
      <c r="C937" s="338">
        <v>205196</v>
      </c>
      <c r="D937" s="339" t="s">
        <v>918</v>
      </c>
    </row>
    <row r="938" spans="2:4" outlineLevel="1">
      <c r="B938" s="71" t="s">
        <v>912</v>
      </c>
      <c r="C938" s="338">
        <v>205197</v>
      </c>
      <c r="D938" s="339" t="s">
        <v>919</v>
      </c>
    </row>
    <row r="939" spans="2:4" outlineLevel="1">
      <c r="B939" s="71" t="s">
        <v>912</v>
      </c>
      <c r="C939" s="338">
        <v>205147</v>
      </c>
      <c r="D939" s="339" t="s">
        <v>920</v>
      </c>
    </row>
    <row r="940" spans="2:4" outlineLevel="1">
      <c r="B940" s="71" t="s">
        <v>921</v>
      </c>
      <c r="C940" s="334">
        <v>205295</v>
      </c>
      <c r="D940" s="335" t="s">
        <v>922</v>
      </c>
    </row>
    <row r="941" spans="2:4" outlineLevel="1">
      <c r="B941" s="71" t="s">
        <v>921</v>
      </c>
      <c r="C941" s="334">
        <v>205100</v>
      </c>
      <c r="D941" s="335" t="s">
        <v>923</v>
      </c>
    </row>
    <row r="942" spans="2:4" outlineLevel="1">
      <c r="B942" s="71" t="s">
        <v>921</v>
      </c>
      <c r="C942" s="334" t="s">
        <v>1787</v>
      </c>
      <c r="D942" s="335" t="s">
        <v>3547</v>
      </c>
    </row>
    <row r="943" spans="2:4" outlineLevel="1">
      <c r="B943" s="71" t="s">
        <v>921</v>
      </c>
      <c r="C943" s="334">
        <v>205261</v>
      </c>
      <c r="D943" s="335" t="s">
        <v>924</v>
      </c>
    </row>
    <row r="944" spans="2:4" outlineLevel="1">
      <c r="B944" s="71" t="s">
        <v>921</v>
      </c>
      <c r="C944" s="334">
        <v>205262</v>
      </c>
      <c r="D944" s="335" t="s">
        <v>925</v>
      </c>
    </row>
    <row r="945" spans="2:4" outlineLevel="1">
      <c r="B945" s="71" t="s">
        <v>921</v>
      </c>
      <c r="C945" s="334">
        <v>205252</v>
      </c>
      <c r="D945" s="335" t="s">
        <v>926</v>
      </c>
    </row>
    <row r="946" spans="2:4" outlineLevel="1">
      <c r="B946" s="71" t="s">
        <v>921</v>
      </c>
      <c r="C946" s="334">
        <v>205449</v>
      </c>
      <c r="D946" s="335" t="s">
        <v>927</v>
      </c>
    </row>
    <row r="947" spans="2:4" outlineLevel="1">
      <c r="B947" s="71" t="s">
        <v>921</v>
      </c>
      <c r="C947" s="334">
        <v>205198</v>
      </c>
      <c r="D947" s="335" t="s">
        <v>928</v>
      </c>
    </row>
    <row r="948" spans="2:4" outlineLevel="1">
      <c r="B948" s="71" t="s">
        <v>921</v>
      </c>
      <c r="C948" s="334">
        <v>205199</v>
      </c>
      <c r="D948" s="335" t="s">
        <v>929</v>
      </c>
    </row>
    <row r="949" spans="2:4" outlineLevel="1">
      <c r="B949" s="71" t="s">
        <v>921</v>
      </c>
      <c r="C949" s="334">
        <v>205149</v>
      </c>
      <c r="D949" s="335" t="s">
        <v>930</v>
      </c>
    </row>
    <row r="950" spans="2:4" outlineLevel="1">
      <c r="B950" s="71" t="s">
        <v>921</v>
      </c>
      <c r="C950" s="334">
        <v>205150</v>
      </c>
      <c r="D950" s="335" t="s">
        <v>931</v>
      </c>
    </row>
    <row r="951" spans="2:4" outlineLevel="1">
      <c r="B951" s="71" t="s">
        <v>932</v>
      </c>
      <c r="C951" s="334">
        <v>205296</v>
      </c>
      <c r="D951" s="335" t="s">
        <v>933</v>
      </c>
    </row>
    <row r="952" spans="2:4" outlineLevel="1">
      <c r="B952" s="71" t="s">
        <v>932</v>
      </c>
      <c r="C952" s="334">
        <v>205202</v>
      </c>
      <c r="D952" s="335" t="s">
        <v>934</v>
      </c>
    </row>
    <row r="953" spans="2:4" outlineLevel="1">
      <c r="B953" s="71" t="s">
        <v>932</v>
      </c>
      <c r="C953" s="340">
        <v>205202</v>
      </c>
      <c r="D953" s="341" t="s">
        <v>934</v>
      </c>
    </row>
    <row r="954" spans="2:4" outlineLevel="1">
      <c r="B954" s="71" t="s">
        <v>932</v>
      </c>
      <c r="C954" s="334">
        <v>205284</v>
      </c>
      <c r="D954" s="335" t="s">
        <v>935</v>
      </c>
    </row>
    <row r="955" spans="2:4" outlineLevel="1">
      <c r="B955" s="71" t="s">
        <v>932</v>
      </c>
      <c r="C955" s="334">
        <v>205285</v>
      </c>
      <c r="D955" s="335" t="s">
        <v>936</v>
      </c>
    </row>
    <row r="956" spans="2:4" outlineLevel="1">
      <c r="B956" s="71" t="s">
        <v>932</v>
      </c>
      <c r="C956" s="334">
        <v>205286</v>
      </c>
      <c r="D956" s="335" t="s">
        <v>937</v>
      </c>
    </row>
    <row r="957" spans="2:4" outlineLevel="1">
      <c r="B957" s="71" t="s">
        <v>932</v>
      </c>
      <c r="C957" s="334">
        <v>205431</v>
      </c>
      <c r="D957" s="335" t="s">
        <v>938</v>
      </c>
    </row>
    <row r="958" spans="2:4" outlineLevel="1">
      <c r="B958" s="71" t="s">
        <v>932</v>
      </c>
      <c r="C958" s="334">
        <v>205432</v>
      </c>
      <c r="D958" s="335" t="s">
        <v>939</v>
      </c>
    </row>
    <row r="959" spans="2:4" outlineLevel="1">
      <c r="B959" s="71" t="s">
        <v>932</v>
      </c>
      <c r="C959" s="334">
        <v>205433</v>
      </c>
      <c r="D959" s="335" t="s">
        <v>940</v>
      </c>
    </row>
    <row r="960" spans="2:4" outlineLevel="1">
      <c r="B960" s="71" t="s">
        <v>932</v>
      </c>
      <c r="C960" s="334">
        <v>205297</v>
      </c>
      <c r="D960" s="335" t="s">
        <v>941</v>
      </c>
    </row>
    <row r="961" spans="2:4" outlineLevel="1">
      <c r="B961" s="71" t="s">
        <v>932</v>
      </c>
      <c r="C961" s="334">
        <v>205203</v>
      </c>
      <c r="D961" s="335" t="s">
        <v>942</v>
      </c>
    </row>
    <row r="962" spans="2:4" outlineLevel="1">
      <c r="B962" s="71" t="s">
        <v>932</v>
      </c>
      <c r="C962" s="334">
        <v>205287</v>
      </c>
      <c r="D962" s="335" t="s">
        <v>943</v>
      </c>
    </row>
    <row r="963" spans="2:4" outlineLevel="1">
      <c r="B963" s="71" t="s">
        <v>932</v>
      </c>
      <c r="C963" s="334">
        <v>205288</v>
      </c>
      <c r="D963" s="335" t="s">
        <v>944</v>
      </c>
    </row>
    <row r="964" spans="2:4" outlineLevel="1">
      <c r="B964" s="71" t="s">
        <v>932</v>
      </c>
      <c r="C964" s="334">
        <v>205289</v>
      </c>
      <c r="D964" s="335" t="s">
        <v>945</v>
      </c>
    </row>
    <row r="965" spans="2:4" outlineLevel="1">
      <c r="B965" s="71" t="s">
        <v>932</v>
      </c>
      <c r="C965" s="334">
        <v>205434</v>
      </c>
      <c r="D965" s="335" t="s">
        <v>946</v>
      </c>
    </row>
    <row r="966" spans="2:4" outlineLevel="1">
      <c r="B966" s="71" t="s">
        <v>932</v>
      </c>
      <c r="C966" s="334">
        <v>205435</v>
      </c>
      <c r="D966" s="335" t="s">
        <v>947</v>
      </c>
    </row>
    <row r="967" spans="2:4" outlineLevel="1">
      <c r="B967" s="71" t="s">
        <v>932</v>
      </c>
      <c r="C967" s="334">
        <v>205436</v>
      </c>
      <c r="D967" s="335" t="s">
        <v>948</v>
      </c>
    </row>
    <row r="968" spans="2:4" outlineLevel="1">
      <c r="B968" s="71" t="s">
        <v>949</v>
      </c>
      <c r="C968" s="334">
        <v>205292</v>
      </c>
      <c r="D968" s="335" t="s">
        <v>950</v>
      </c>
    </row>
    <row r="969" spans="2:4" outlineLevel="1">
      <c r="B969" s="71" t="s">
        <v>949</v>
      </c>
      <c r="C969" s="334">
        <v>205227</v>
      </c>
      <c r="D969" s="335" t="s">
        <v>951</v>
      </c>
    </row>
    <row r="970" spans="2:4" outlineLevel="1">
      <c r="B970" s="71" t="s">
        <v>949</v>
      </c>
      <c r="C970" s="334">
        <v>205325</v>
      </c>
      <c r="D970" s="335" t="s">
        <v>952</v>
      </c>
    </row>
    <row r="971" spans="2:4" outlineLevel="1">
      <c r="B971" s="71" t="s">
        <v>949</v>
      </c>
      <c r="C971" s="334">
        <v>205300</v>
      </c>
      <c r="D971" s="335" t="s">
        <v>950</v>
      </c>
    </row>
    <row r="972" spans="2:4" outlineLevel="1">
      <c r="B972" s="71" t="s">
        <v>949</v>
      </c>
      <c r="C972" s="340">
        <v>205097</v>
      </c>
      <c r="D972" s="341" t="s">
        <v>953</v>
      </c>
    </row>
    <row r="973" spans="2:4" outlineLevel="1">
      <c r="B973" s="71" t="s">
        <v>949</v>
      </c>
      <c r="C973" s="334">
        <v>205300</v>
      </c>
      <c r="D973" s="335" t="s">
        <v>3548</v>
      </c>
    </row>
    <row r="974" spans="2:4" outlineLevel="1">
      <c r="B974" s="71" t="s">
        <v>949</v>
      </c>
      <c r="C974" s="334">
        <v>205301</v>
      </c>
      <c r="D974" s="335" t="s">
        <v>954</v>
      </c>
    </row>
    <row r="975" spans="2:4" outlineLevel="1">
      <c r="B975" s="71" t="s">
        <v>949</v>
      </c>
      <c r="C975" s="334">
        <v>205302</v>
      </c>
      <c r="D975" s="335" t="s">
        <v>955</v>
      </c>
    </row>
    <row r="976" spans="2:4" outlineLevel="1">
      <c r="B976" s="71" t="s">
        <v>949</v>
      </c>
      <c r="C976" s="334">
        <v>205303</v>
      </c>
      <c r="D976" s="335" t="s">
        <v>956</v>
      </c>
    </row>
    <row r="977" spans="2:4" outlineLevel="1">
      <c r="B977" s="71" t="s">
        <v>949</v>
      </c>
      <c r="C977" s="334">
        <v>205229</v>
      </c>
      <c r="D977" s="335" t="s">
        <v>957</v>
      </c>
    </row>
    <row r="978" spans="2:4" outlineLevel="1">
      <c r="B978" s="71" t="s">
        <v>949</v>
      </c>
      <c r="C978" s="334">
        <v>205144</v>
      </c>
      <c r="D978" s="335" t="s">
        <v>958</v>
      </c>
    </row>
    <row r="979" spans="2:4" outlineLevel="1">
      <c r="B979" s="71" t="s">
        <v>949</v>
      </c>
      <c r="C979" s="334">
        <v>205255</v>
      </c>
      <c r="D979" s="335" t="s">
        <v>959</v>
      </c>
    </row>
    <row r="980" spans="2:4" outlineLevel="1">
      <c r="B980" s="71" t="s">
        <v>949</v>
      </c>
      <c r="C980" s="334">
        <v>205256</v>
      </c>
      <c r="D980" s="335" t="s">
        <v>960</v>
      </c>
    </row>
    <row r="981" spans="2:4" outlineLevel="1">
      <c r="B981" s="71" t="s">
        <v>949</v>
      </c>
      <c r="C981" s="334">
        <v>205249</v>
      </c>
      <c r="D981" s="335" t="s">
        <v>961</v>
      </c>
    </row>
    <row r="982" spans="2:4" outlineLevel="1">
      <c r="B982" s="71" t="s">
        <v>949</v>
      </c>
      <c r="C982" s="334">
        <v>205192</v>
      </c>
      <c r="D982" s="335" t="s">
        <v>962</v>
      </c>
    </row>
    <row r="983" spans="2:4" outlineLevel="1">
      <c r="B983" s="71" t="s">
        <v>949</v>
      </c>
      <c r="C983" s="334">
        <v>205193</v>
      </c>
      <c r="D983" s="335" t="s">
        <v>963</v>
      </c>
    </row>
    <row r="984" spans="2:4" outlineLevel="1">
      <c r="B984" s="71" t="s">
        <v>949</v>
      </c>
      <c r="C984" s="334">
        <v>205143</v>
      </c>
      <c r="D984" s="335" t="s">
        <v>964</v>
      </c>
    </row>
    <row r="985" spans="2:4" outlineLevel="1">
      <c r="B985" s="71" t="s">
        <v>949</v>
      </c>
      <c r="C985" s="334">
        <v>205132</v>
      </c>
      <c r="D985" s="335" t="s">
        <v>965</v>
      </c>
    </row>
    <row r="986" spans="2:4" outlineLevel="1">
      <c r="B986" s="71" t="s">
        <v>966</v>
      </c>
      <c r="C986" s="334">
        <v>205291</v>
      </c>
      <c r="D986" s="335" t="s">
        <v>967</v>
      </c>
    </row>
    <row r="987" spans="2:4" outlineLevel="1">
      <c r="B987" s="71" t="s">
        <v>966</v>
      </c>
      <c r="C987" s="340">
        <v>205211</v>
      </c>
      <c r="D987" s="341" t="s">
        <v>968</v>
      </c>
    </row>
    <row r="988" spans="2:4" outlineLevel="1">
      <c r="B988" s="71" t="s">
        <v>966</v>
      </c>
      <c r="C988" s="334">
        <v>205096</v>
      </c>
      <c r="D988" s="335" t="s">
        <v>969</v>
      </c>
    </row>
    <row r="989" spans="2:4" outlineLevel="1">
      <c r="B989" s="71" t="s">
        <v>966</v>
      </c>
      <c r="C989" s="334" t="s">
        <v>1787</v>
      </c>
      <c r="D989" s="335" t="s">
        <v>3549</v>
      </c>
    </row>
    <row r="990" spans="2:4" outlineLevel="1">
      <c r="B990" s="71" t="s">
        <v>966</v>
      </c>
      <c r="C990" s="334">
        <v>205253</v>
      </c>
      <c r="D990" s="335" t="s">
        <v>970</v>
      </c>
    </row>
    <row r="991" spans="2:4" outlineLevel="1">
      <c r="B991" s="71" t="s">
        <v>966</v>
      </c>
      <c r="C991" s="334">
        <v>205254</v>
      </c>
      <c r="D991" s="335" t="s">
        <v>971</v>
      </c>
    </row>
    <row r="992" spans="2:4" outlineLevel="1">
      <c r="B992" s="71" t="s">
        <v>966</v>
      </c>
      <c r="C992" s="334">
        <v>205248</v>
      </c>
      <c r="D992" s="335" t="s">
        <v>972</v>
      </c>
    </row>
    <row r="993" spans="2:4" outlineLevel="1">
      <c r="B993" s="71" t="s">
        <v>966</v>
      </c>
      <c r="C993" s="334">
        <v>205429</v>
      </c>
      <c r="D993" s="335" t="s">
        <v>973</v>
      </c>
    </row>
    <row r="994" spans="2:4" outlineLevel="1">
      <c r="B994" s="71" t="s">
        <v>966</v>
      </c>
      <c r="C994" s="334">
        <v>205190</v>
      </c>
      <c r="D994" s="335" t="s">
        <v>974</v>
      </c>
    </row>
    <row r="995" spans="2:4" outlineLevel="1">
      <c r="B995" s="71" t="s">
        <v>966</v>
      </c>
      <c r="C995" s="334">
        <v>205191</v>
      </c>
      <c r="D995" s="335" t="s">
        <v>975</v>
      </c>
    </row>
    <row r="996" spans="2:4" outlineLevel="1">
      <c r="B996" s="71" t="s">
        <v>966</v>
      </c>
      <c r="C996" s="334">
        <v>205141</v>
      </c>
      <c r="D996" s="335" t="s">
        <v>976</v>
      </c>
    </row>
    <row r="997" spans="2:4" outlineLevel="1">
      <c r="B997" s="71" t="s">
        <v>966</v>
      </c>
      <c r="C997" s="334">
        <v>205142</v>
      </c>
      <c r="D997" s="335" t="s">
        <v>977</v>
      </c>
    </row>
    <row r="998" spans="2:4" outlineLevel="1">
      <c r="B998" s="71" t="s">
        <v>978</v>
      </c>
      <c r="C998" s="334">
        <v>205030</v>
      </c>
      <c r="D998" s="335" t="s">
        <v>979</v>
      </c>
    </row>
    <row r="999" spans="2:4" outlineLevel="1">
      <c r="B999" s="71" t="s">
        <v>978</v>
      </c>
      <c r="C999" s="334">
        <v>480547</v>
      </c>
      <c r="D999" s="335" t="s">
        <v>980</v>
      </c>
    </row>
    <row r="1000" spans="2:4" outlineLevel="1">
      <c r="B1000" s="71" t="s">
        <v>978</v>
      </c>
      <c r="C1000" s="334">
        <v>205163</v>
      </c>
      <c r="D1000" s="335" t="s">
        <v>981</v>
      </c>
    </row>
    <row r="1001" spans="2:4" outlineLevel="1">
      <c r="B1001" s="71" t="s">
        <v>978</v>
      </c>
      <c r="C1001" s="334">
        <v>205164</v>
      </c>
      <c r="D1001" s="335" t="s">
        <v>982</v>
      </c>
    </row>
    <row r="1002" spans="2:4" outlineLevel="1">
      <c r="B1002" s="71" t="s">
        <v>978</v>
      </c>
      <c r="C1002" s="334">
        <v>205165</v>
      </c>
      <c r="D1002" s="335" t="s">
        <v>983</v>
      </c>
    </row>
    <row r="1003" spans="2:4" outlineLevel="1">
      <c r="B1003" s="71" t="s">
        <v>978</v>
      </c>
      <c r="C1003" s="334">
        <v>205328</v>
      </c>
      <c r="D1003" s="335" t="s">
        <v>984</v>
      </c>
    </row>
    <row r="1004" spans="2:4" outlineLevel="1">
      <c r="B1004" s="71" t="s">
        <v>978</v>
      </c>
      <c r="C1004" s="334">
        <v>205413</v>
      </c>
      <c r="D1004" s="335" t="s">
        <v>985</v>
      </c>
    </row>
    <row r="1005" spans="2:4" outlineLevel="1">
      <c r="B1005" s="71" t="s">
        <v>978</v>
      </c>
      <c r="C1005" s="334">
        <v>205416</v>
      </c>
      <c r="D1005" s="335" t="s">
        <v>986</v>
      </c>
    </row>
    <row r="1006" spans="2:4" outlineLevel="1">
      <c r="B1006" s="71" t="s">
        <v>978</v>
      </c>
      <c r="C1006" s="334">
        <v>205456</v>
      </c>
      <c r="D1006" s="335" t="s">
        <v>987</v>
      </c>
    </row>
    <row r="1007" spans="2:4" outlineLevel="1">
      <c r="B1007" s="71" t="s">
        <v>978</v>
      </c>
      <c r="C1007" s="334">
        <v>205490</v>
      </c>
      <c r="D1007" s="335" t="s">
        <v>988</v>
      </c>
    </row>
    <row r="1008" spans="2:4" outlineLevel="1">
      <c r="B1008" s="71" t="s">
        <v>989</v>
      </c>
      <c r="C1008" s="334">
        <v>205031</v>
      </c>
      <c r="D1008" s="335" t="s">
        <v>990</v>
      </c>
    </row>
    <row r="1009" spans="2:4" outlineLevel="1">
      <c r="B1009" s="71" t="s">
        <v>989</v>
      </c>
      <c r="C1009" s="334">
        <v>205697</v>
      </c>
      <c r="D1009" s="335" t="s">
        <v>991</v>
      </c>
    </row>
    <row r="1010" spans="2:4" outlineLevel="1">
      <c r="B1010" s="71" t="s">
        <v>989</v>
      </c>
      <c r="C1010" s="334">
        <v>205160</v>
      </c>
      <c r="D1010" s="335" t="s">
        <v>992</v>
      </c>
    </row>
    <row r="1011" spans="2:4" outlineLevel="1">
      <c r="B1011" s="71" t="s">
        <v>989</v>
      </c>
      <c r="C1011" s="334">
        <v>205161</v>
      </c>
      <c r="D1011" s="335" t="s">
        <v>993</v>
      </c>
    </row>
    <row r="1012" spans="2:4" outlineLevel="1">
      <c r="B1012" s="71" t="s">
        <v>989</v>
      </c>
      <c r="C1012" s="334">
        <v>205162</v>
      </c>
      <c r="D1012" s="335" t="s">
        <v>3509</v>
      </c>
    </row>
    <row r="1013" spans="2:4" outlineLevel="1">
      <c r="B1013" s="71" t="s">
        <v>989</v>
      </c>
      <c r="C1013" s="334">
        <v>205305</v>
      </c>
      <c r="D1013" s="335" t="s">
        <v>994</v>
      </c>
    </row>
    <row r="1014" spans="2:4" outlineLevel="1">
      <c r="B1014" s="71" t="s">
        <v>989</v>
      </c>
      <c r="C1014" s="334">
        <v>205160</v>
      </c>
      <c r="D1014" s="335" t="s">
        <v>995</v>
      </c>
    </row>
    <row r="1015" spans="2:4" outlineLevel="1">
      <c r="B1015" s="71" t="s">
        <v>989</v>
      </c>
      <c r="C1015" s="334">
        <v>205161</v>
      </c>
      <c r="D1015" s="335" t="s">
        <v>996</v>
      </c>
    </row>
    <row r="1016" spans="2:4" outlineLevel="1">
      <c r="B1016" s="71" t="s">
        <v>989</v>
      </c>
      <c r="C1016" s="334">
        <v>205162</v>
      </c>
      <c r="D1016" s="335" t="s">
        <v>997</v>
      </c>
    </row>
    <row r="1017" spans="2:4" outlineLevel="1">
      <c r="B1017" s="71" t="s">
        <v>989</v>
      </c>
      <c r="C1017" s="334">
        <v>205305</v>
      </c>
      <c r="D1017" s="335" t="s">
        <v>998</v>
      </c>
    </row>
    <row r="1018" spans="2:4" outlineLevel="1">
      <c r="B1018" s="71" t="s">
        <v>989</v>
      </c>
      <c r="C1018" s="336">
        <v>205446</v>
      </c>
      <c r="D1018" s="337" t="s">
        <v>999</v>
      </c>
    </row>
    <row r="1019" spans="2:4" outlineLevel="1">
      <c r="B1019" s="71" t="s">
        <v>1000</v>
      </c>
      <c r="C1019" s="334">
        <v>205029</v>
      </c>
      <c r="D1019" s="335" t="s">
        <v>1001</v>
      </c>
    </row>
    <row r="1020" spans="2:4" outlineLevel="1">
      <c r="B1020" s="71" t="s">
        <v>1000</v>
      </c>
      <c r="C1020" s="334">
        <v>205037</v>
      </c>
      <c r="D1020" s="335" t="s">
        <v>1002</v>
      </c>
    </row>
    <row r="1021" spans="2:4" outlineLevel="1">
      <c r="B1021" s="71" t="s">
        <v>1000</v>
      </c>
      <c r="C1021" s="334">
        <v>205154</v>
      </c>
      <c r="D1021" s="335" t="s">
        <v>1003</v>
      </c>
    </row>
    <row r="1022" spans="2:4" outlineLevel="1">
      <c r="B1022" s="71" t="s">
        <v>1000</v>
      </c>
      <c r="C1022" s="334">
        <v>205155</v>
      </c>
      <c r="D1022" s="335" t="s">
        <v>1004</v>
      </c>
    </row>
    <row r="1023" spans="2:4" outlineLevel="1">
      <c r="B1023" s="71" t="s">
        <v>1000</v>
      </c>
      <c r="C1023" s="334">
        <v>205156</v>
      </c>
      <c r="D1023" s="335" t="s">
        <v>1005</v>
      </c>
    </row>
    <row r="1024" spans="2:4" outlineLevel="1">
      <c r="B1024" s="71" t="s">
        <v>1000</v>
      </c>
      <c r="C1024" s="334">
        <v>205152</v>
      </c>
      <c r="D1024" s="335" t="s">
        <v>1006</v>
      </c>
    </row>
    <row r="1025" spans="2:4" outlineLevel="1">
      <c r="B1025" s="71" t="s">
        <v>1000</v>
      </c>
      <c r="C1025" s="334">
        <v>205440</v>
      </c>
      <c r="D1025" s="335" t="s">
        <v>1007</v>
      </c>
    </row>
    <row r="1026" spans="2:4" outlineLevel="1">
      <c r="B1026" s="71" t="s">
        <v>1000</v>
      </c>
      <c r="C1026" s="334">
        <v>205439</v>
      </c>
      <c r="D1026" s="335" t="s">
        <v>1008</v>
      </c>
    </row>
    <row r="1027" spans="2:4" outlineLevel="1">
      <c r="B1027" s="71" t="s">
        <v>1000</v>
      </c>
      <c r="C1027" s="334" t="s">
        <v>2587</v>
      </c>
      <c r="D1027" s="335" t="s">
        <v>2588</v>
      </c>
    </row>
    <row r="1028" spans="2:4" outlineLevel="1">
      <c r="B1028" s="71" t="s">
        <v>1000</v>
      </c>
      <c r="C1028" s="334">
        <v>205442</v>
      </c>
      <c r="D1028" s="335" t="s">
        <v>1009</v>
      </c>
    </row>
    <row r="1029" spans="2:4" outlineLevel="1">
      <c r="B1029" s="71" t="s">
        <v>1010</v>
      </c>
      <c r="C1029" s="334">
        <v>205019</v>
      </c>
      <c r="D1029" s="335" t="s">
        <v>1011</v>
      </c>
    </row>
    <row r="1030" spans="2:4" outlineLevel="1">
      <c r="B1030" s="71" t="s">
        <v>1010</v>
      </c>
      <c r="C1030" s="334">
        <v>205015</v>
      </c>
      <c r="D1030" s="335" t="s">
        <v>1012</v>
      </c>
    </row>
    <row r="1031" spans="2:4" outlineLevel="1">
      <c r="B1031" s="71" t="s">
        <v>1010</v>
      </c>
      <c r="C1031" s="334">
        <v>205157</v>
      </c>
      <c r="D1031" s="335" t="s">
        <v>1013</v>
      </c>
    </row>
    <row r="1032" spans="2:4" outlineLevel="1">
      <c r="B1032" s="71" t="s">
        <v>1010</v>
      </c>
      <c r="C1032" s="334">
        <v>205158</v>
      </c>
      <c r="D1032" s="335" t="s">
        <v>1014</v>
      </c>
    </row>
    <row r="1033" spans="2:4" outlineLevel="1">
      <c r="B1033" s="71" t="s">
        <v>1010</v>
      </c>
      <c r="C1033" s="334">
        <v>205159</v>
      </c>
      <c r="D1033" s="335" t="s">
        <v>1015</v>
      </c>
    </row>
    <row r="1034" spans="2:4" outlineLevel="1">
      <c r="B1034" s="71" t="s">
        <v>1010</v>
      </c>
      <c r="C1034" s="334">
        <v>2050057</v>
      </c>
      <c r="D1034" s="335" t="s">
        <v>1016</v>
      </c>
    </row>
    <row r="1035" spans="2:4" outlineLevel="1">
      <c r="B1035" s="71" t="s">
        <v>1010</v>
      </c>
      <c r="C1035" s="334">
        <v>2050023</v>
      </c>
      <c r="D1035" s="335" t="s">
        <v>1017</v>
      </c>
    </row>
    <row r="1036" spans="2:4" outlineLevel="1">
      <c r="B1036" s="71" t="s">
        <v>1010</v>
      </c>
      <c r="C1036" s="334">
        <v>205486</v>
      </c>
      <c r="D1036" s="335" t="s">
        <v>1018</v>
      </c>
    </row>
    <row r="1037" spans="2:4" outlineLevel="1">
      <c r="B1037" s="71" t="s">
        <v>1010</v>
      </c>
      <c r="C1037" s="334">
        <v>205453</v>
      </c>
      <c r="D1037" s="335" t="s">
        <v>1019</v>
      </c>
    </row>
    <row r="1038" spans="2:4" outlineLevel="1">
      <c r="B1038" s="71" t="s">
        <v>1020</v>
      </c>
      <c r="C1038" s="334">
        <v>205032</v>
      </c>
      <c r="D1038" s="335" t="s">
        <v>1021</v>
      </c>
    </row>
    <row r="1039" spans="2:4" outlineLevel="1">
      <c r="B1039" s="71" t="s">
        <v>1020</v>
      </c>
      <c r="C1039" s="334">
        <v>205695</v>
      </c>
      <c r="D1039" s="335" t="s">
        <v>1022</v>
      </c>
    </row>
    <row r="1040" spans="2:4" outlineLevel="1">
      <c r="B1040" s="71" t="s">
        <v>1020</v>
      </c>
      <c r="C1040" s="334">
        <v>205166</v>
      </c>
      <c r="D1040" s="335" t="s">
        <v>1023</v>
      </c>
    </row>
    <row r="1041" spans="2:4" outlineLevel="1">
      <c r="B1041" s="71" t="s">
        <v>1020</v>
      </c>
      <c r="C1041" s="334">
        <v>205167</v>
      </c>
      <c r="D1041" s="335" t="s">
        <v>1024</v>
      </c>
    </row>
    <row r="1042" spans="2:4" outlineLevel="1">
      <c r="B1042" s="71" t="s">
        <v>1020</v>
      </c>
      <c r="C1042" s="334">
        <v>205168</v>
      </c>
      <c r="D1042" s="335" t="s">
        <v>1025</v>
      </c>
    </row>
    <row r="1043" spans="2:4" outlineLevel="1">
      <c r="B1043" s="71" t="s">
        <v>1020</v>
      </c>
      <c r="C1043" s="334">
        <v>205201</v>
      </c>
      <c r="D1043" s="335" t="s">
        <v>1026</v>
      </c>
    </row>
    <row r="1044" spans="2:4" outlineLevel="1">
      <c r="B1044" s="71" t="s">
        <v>1020</v>
      </c>
      <c r="C1044" s="334">
        <v>204343</v>
      </c>
      <c r="D1044" s="335" t="s">
        <v>1027</v>
      </c>
    </row>
    <row r="1045" spans="2:4" outlineLevel="1">
      <c r="B1045" s="71" t="s">
        <v>1020</v>
      </c>
      <c r="C1045" s="334">
        <v>205412</v>
      </c>
      <c r="D1045" s="335" t="s">
        <v>1028</v>
      </c>
    </row>
    <row r="1046" spans="2:4" outlineLevel="1">
      <c r="B1046" s="71" t="s">
        <v>1020</v>
      </c>
      <c r="C1046" s="334">
        <v>205415</v>
      </c>
      <c r="D1046" s="335" t="s">
        <v>1029</v>
      </c>
    </row>
    <row r="1047" spans="2:4" outlineLevel="1">
      <c r="B1047" s="71" t="s">
        <v>1020</v>
      </c>
      <c r="C1047" s="334">
        <v>205489</v>
      </c>
      <c r="D1047" s="335" t="s">
        <v>1030</v>
      </c>
    </row>
    <row r="1048" spans="2:4" outlineLevel="1">
      <c r="B1048" s="71" t="s">
        <v>1031</v>
      </c>
      <c r="C1048" s="334">
        <v>205114</v>
      </c>
      <c r="D1048" s="335" t="s">
        <v>1032</v>
      </c>
    </row>
    <row r="1049" spans="2:4" outlineLevel="1">
      <c r="B1049" s="71" t="s">
        <v>1031</v>
      </c>
      <c r="C1049" s="334">
        <v>205129</v>
      </c>
      <c r="D1049" s="335" t="s">
        <v>1033</v>
      </c>
    </row>
    <row r="1050" spans="2:4" outlineLevel="1">
      <c r="B1050" s="71" t="s">
        <v>1031</v>
      </c>
      <c r="C1050" s="334">
        <v>205425</v>
      </c>
      <c r="D1050" s="335" t="s">
        <v>1034</v>
      </c>
    </row>
    <row r="1051" spans="2:4" outlineLevel="1">
      <c r="B1051" s="71" t="s">
        <v>1031</v>
      </c>
      <c r="C1051" s="334">
        <v>205240</v>
      </c>
      <c r="D1051" s="335" t="s">
        <v>1035</v>
      </c>
    </row>
    <row r="1052" spans="2:4" outlineLevel="1">
      <c r="B1052" s="71" t="s">
        <v>1031</v>
      </c>
      <c r="C1052" s="334">
        <v>205241</v>
      </c>
      <c r="D1052" s="335" t="s">
        <v>1036</v>
      </c>
    </row>
    <row r="1053" spans="2:4" outlineLevel="1">
      <c r="B1053" s="71" t="s">
        <v>1031</v>
      </c>
      <c r="C1053" s="334">
        <v>2050012</v>
      </c>
      <c r="D1053" s="335" t="s">
        <v>1037</v>
      </c>
    </row>
    <row r="1054" spans="2:4" outlineLevel="1">
      <c r="B1054" s="71" t="s">
        <v>1031</v>
      </c>
      <c r="C1054" s="334">
        <v>205239</v>
      </c>
      <c r="D1054" s="335" t="s">
        <v>1038</v>
      </c>
    </row>
    <row r="1055" spans="2:4" outlineLevel="1">
      <c r="B1055" s="71" t="s">
        <v>1031</v>
      </c>
      <c r="C1055" s="334">
        <v>205428</v>
      </c>
      <c r="D1055" s="335" t="s">
        <v>1039</v>
      </c>
    </row>
    <row r="1056" spans="2:4" outlineLevel="1">
      <c r="B1056" s="71" t="s">
        <v>1031</v>
      </c>
      <c r="C1056" s="334" t="s">
        <v>1787</v>
      </c>
      <c r="D1056" s="335" t="s">
        <v>3222</v>
      </c>
    </row>
    <row r="1057" spans="2:4" outlineLevel="1">
      <c r="B1057" s="71" t="s">
        <v>1031</v>
      </c>
      <c r="C1057" s="334">
        <v>205389</v>
      </c>
      <c r="D1057" s="335" t="s">
        <v>1040</v>
      </c>
    </row>
    <row r="1058" spans="2:4" outlineLevel="1">
      <c r="B1058" s="71" t="s">
        <v>1041</v>
      </c>
      <c r="C1058" s="334">
        <v>205089</v>
      </c>
      <c r="D1058" s="335" t="s">
        <v>1042</v>
      </c>
    </row>
    <row r="1059" spans="2:4" outlineLevel="1">
      <c r="B1059" s="71" t="s">
        <v>1041</v>
      </c>
      <c r="C1059" s="334">
        <v>205090</v>
      </c>
      <c r="D1059" s="335" t="s">
        <v>1043</v>
      </c>
    </row>
    <row r="1060" spans="2:4" outlineLevel="1">
      <c r="B1060" s="71" t="s">
        <v>1041</v>
      </c>
      <c r="C1060" s="334">
        <v>205230</v>
      </c>
      <c r="D1060" s="335" t="s">
        <v>1044</v>
      </c>
    </row>
    <row r="1061" spans="2:4" outlineLevel="1">
      <c r="B1061" s="71" t="s">
        <v>1041</v>
      </c>
      <c r="C1061" s="334">
        <v>205237</v>
      </c>
      <c r="D1061" s="335" t="s">
        <v>1045</v>
      </c>
    </row>
    <row r="1062" spans="2:4" outlineLevel="1">
      <c r="B1062" s="71" t="s">
        <v>1041</v>
      </c>
      <c r="C1062" s="334">
        <v>205238</v>
      </c>
      <c r="D1062" s="335" t="s">
        <v>1046</v>
      </c>
    </row>
    <row r="1063" spans="2:4" outlineLevel="1">
      <c r="B1063" s="71" t="s">
        <v>1041</v>
      </c>
      <c r="C1063" s="334" t="s">
        <v>1787</v>
      </c>
      <c r="D1063" s="335" t="s">
        <v>4064</v>
      </c>
    </row>
    <row r="1064" spans="2:4" outlineLevel="1">
      <c r="B1064" s="71" t="s">
        <v>1041</v>
      </c>
      <c r="C1064" s="334">
        <v>205392</v>
      </c>
      <c r="D1064" s="335" t="s">
        <v>1047</v>
      </c>
    </row>
    <row r="1065" spans="2:4" outlineLevel="1">
      <c r="B1065" s="71" t="s">
        <v>1041</v>
      </c>
      <c r="C1065" s="334">
        <v>205395</v>
      </c>
      <c r="D1065" s="335" t="s">
        <v>1048</v>
      </c>
    </row>
    <row r="1066" spans="2:4" outlineLevel="1">
      <c r="B1066" s="71" t="s">
        <v>1041</v>
      </c>
      <c r="C1066" s="334">
        <v>205396</v>
      </c>
      <c r="D1066" s="335" t="s">
        <v>1049</v>
      </c>
    </row>
    <row r="1067" spans="2:4" outlineLevel="1">
      <c r="B1067" s="71" t="s">
        <v>1050</v>
      </c>
      <c r="C1067" s="334">
        <v>205087</v>
      </c>
      <c r="D1067" s="335" t="s">
        <v>1051</v>
      </c>
    </row>
    <row r="1068" spans="2:4" outlineLevel="1">
      <c r="B1068" s="71" t="s">
        <v>1050</v>
      </c>
      <c r="C1068" s="334">
        <v>205092</v>
      </c>
      <c r="D1068" s="335" t="s">
        <v>1052</v>
      </c>
    </row>
    <row r="1069" spans="2:4" outlineLevel="1">
      <c r="B1069" s="71" t="s">
        <v>1050</v>
      </c>
      <c r="C1069" s="334">
        <v>205175</v>
      </c>
      <c r="D1069" s="335" t="s">
        <v>1053</v>
      </c>
    </row>
    <row r="1070" spans="2:4" outlineLevel="1">
      <c r="B1070" s="71" t="s">
        <v>1050</v>
      </c>
      <c r="C1070" s="334">
        <v>205176</v>
      </c>
      <c r="D1070" s="335" t="s">
        <v>1054</v>
      </c>
    </row>
    <row r="1071" spans="2:4" outlineLevel="1">
      <c r="B1071" s="71" t="s">
        <v>1050</v>
      </c>
      <c r="C1071" s="334">
        <v>205177</v>
      </c>
      <c r="D1071" s="335" t="s">
        <v>1055</v>
      </c>
    </row>
    <row r="1072" spans="2:4" outlineLevel="1">
      <c r="B1072" s="71" t="s">
        <v>1050</v>
      </c>
      <c r="C1072" s="334">
        <v>205127</v>
      </c>
      <c r="D1072" s="335" t="s">
        <v>1056</v>
      </c>
    </row>
    <row r="1073" spans="2:4" outlineLevel="1">
      <c r="B1073" s="71" t="s">
        <v>1050</v>
      </c>
      <c r="C1073" s="334">
        <v>205445</v>
      </c>
      <c r="D1073" s="335" t="s">
        <v>1057</v>
      </c>
    </row>
    <row r="1074" spans="2:4" outlineLevel="1">
      <c r="B1074" s="71" t="s">
        <v>1050</v>
      </c>
      <c r="C1074" s="334">
        <v>205438</v>
      </c>
      <c r="D1074" s="335" t="s">
        <v>1058</v>
      </c>
    </row>
    <row r="1075" spans="2:4" outlineLevel="1">
      <c r="B1075" s="71" t="s">
        <v>1050</v>
      </c>
      <c r="C1075" s="334">
        <v>205437</v>
      </c>
      <c r="D1075" s="335" t="s">
        <v>1059</v>
      </c>
    </row>
    <row r="1076" spans="2:4" outlineLevel="1">
      <c r="B1076" s="71" t="s">
        <v>1060</v>
      </c>
      <c r="C1076" s="334">
        <v>205039</v>
      </c>
      <c r="D1076" s="335" t="s">
        <v>1061</v>
      </c>
    </row>
    <row r="1077" spans="2:4" outlineLevel="1">
      <c r="B1077" s="71" t="s">
        <v>1060</v>
      </c>
      <c r="C1077" s="334">
        <v>205059</v>
      </c>
      <c r="D1077" s="335" t="s">
        <v>1062</v>
      </c>
    </row>
    <row r="1078" spans="2:4" outlineLevel="1">
      <c r="B1078" s="71" t="s">
        <v>1060</v>
      </c>
      <c r="C1078" s="334">
        <v>205187</v>
      </c>
      <c r="D1078" s="335" t="s">
        <v>1063</v>
      </c>
    </row>
    <row r="1079" spans="2:4" outlineLevel="1">
      <c r="B1079" s="71" t="s">
        <v>1060</v>
      </c>
      <c r="C1079" s="334">
        <v>205128</v>
      </c>
      <c r="D1079" s="335" t="s">
        <v>1064</v>
      </c>
    </row>
    <row r="1080" spans="2:4" outlineLevel="1">
      <c r="B1080" s="71" t="s">
        <v>1060</v>
      </c>
      <c r="C1080" s="334">
        <v>205189</v>
      </c>
      <c r="D1080" s="335" t="s">
        <v>1065</v>
      </c>
    </row>
    <row r="1081" spans="2:4" outlineLevel="1">
      <c r="B1081" s="71" t="s">
        <v>1060</v>
      </c>
      <c r="C1081" s="334">
        <v>205427</v>
      </c>
      <c r="D1081" s="335" t="s">
        <v>1066</v>
      </c>
    </row>
    <row r="1082" spans="2:4" outlineLevel="1">
      <c r="B1082" s="71" t="s">
        <v>1060</v>
      </c>
      <c r="C1082" s="334">
        <v>205414</v>
      </c>
      <c r="D1082" s="335" t="s">
        <v>1067</v>
      </c>
    </row>
    <row r="1083" spans="2:4" outlineLevel="1">
      <c r="B1083" s="71" t="s">
        <v>1060</v>
      </c>
      <c r="C1083" s="334">
        <v>205443</v>
      </c>
      <c r="D1083" s="335" t="s">
        <v>1068</v>
      </c>
    </row>
    <row r="1084" spans="2:4" outlineLevel="1">
      <c r="B1084" s="71" t="s">
        <v>1069</v>
      </c>
      <c r="C1084" s="334">
        <v>205020</v>
      </c>
      <c r="D1084" s="335" t="s">
        <v>1070</v>
      </c>
    </row>
    <row r="1085" spans="2:4" outlineLevel="1">
      <c r="B1085" s="71" t="s">
        <v>1069</v>
      </c>
      <c r="C1085" s="334">
        <v>205014</v>
      </c>
      <c r="D1085" s="335" t="s">
        <v>1071</v>
      </c>
    </row>
    <row r="1086" spans="2:4" outlineLevel="1">
      <c r="B1086" s="71" t="s">
        <v>1069</v>
      </c>
      <c r="C1086" s="334">
        <v>205235</v>
      </c>
      <c r="D1086" s="335" t="s">
        <v>1072</v>
      </c>
    </row>
    <row r="1087" spans="2:4" outlineLevel="1">
      <c r="B1087" s="71" t="s">
        <v>1069</v>
      </c>
      <c r="C1087" s="334">
        <v>205277</v>
      </c>
      <c r="D1087" s="335" t="s">
        <v>1073</v>
      </c>
    </row>
    <row r="1088" spans="2:4" outlineLevel="1">
      <c r="B1088" s="71" t="s">
        <v>1069</v>
      </c>
      <c r="C1088" s="334">
        <v>205393</v>
      </c>
      <c r="D1088" s="335" t="s">
        <v>1074</v>
      </c>
    </row>
    <row r="1089" spans="2:4" outlineLevel="1">
      <c r="B1089" s="71" t="s">
        <v>1069</v>
      </c>
      <c r="C1089" s="334">
        <v>2050046</v>
      </c>
      <c r="D1089" s="335" t="s">
        <v>1075</v>
      </c>
    </row>
    <row r="1090" spans="2:4" outlineLevel="1">
      <c r="B1090" s="71" t="s">
        <v>1076</v>
      </c>
      <c r="C1090" s="336">
        <v>205124</v>
      </c>
      <c r="D1090" s="337" t="s">
        <v>1077</v>
      </c>
    </row>
    <row r="1091" spans="2:4" outlineLevel="1">
      <c r="B1091" s="71" t="s">
        <v>1076</v>
      </c>
      <c r="C1091" s="334">
        <v>2050053</v>
      </c>
      <c r="D1091" s="335" t="s">
        <v>1078</v>
      </c>
    </row>
    <row r="1092" spans="2:4" outlineLevel="1">
      <c r="B1092" s="71" t="s">
        <v>1076</v>
      </c>
      <c r="C1092" s="334">
        <v>205048</v>
      </c>
      <c r="D1092" s="335" t="s">
        <v>1079</v>
      </c>
    </row>
    <row r="1093" spans="2:4" outlineLevel="1">
      <c r="B1093" s="71" t="s">
        <v>1076</v>
      </c>
      <c r="C1093" s="334">
        <v>205245</v>
      </c>
      <c r="D1093" s="335" t="s">
        <v>1080</v>
      </c>
    </row>
    <row r="1094" spans="2:4" outlineLevel="1">
      <c r="B1094" s="71" t="s">
        <v>1076</v>
      </c>
      <c r="C1094" s="334">
        <v>205246</v>
      </c>
      <c r="D1094" s="335" t="s">
        <v>1081</v>
      </c>
    </row>
    <row r="1095" spans="2:4" outlineLevel="1">
      <c r="B1095" s="71" t="s">
        <v>1076</v>
      </c>
      <c r="C1095" s="334">
        <v>205247</v>
      </c>
      <c r="D1095" s="335" t="s">
        <v>1082</v>
      </c>
    </row>
    <row r="1096" spans="2:4" outlineLevel="1">
      <c r="B1096" s="71" t="s">
        <v>1076</v>
      </c>
      <c r="C1096" s="334">
        <v>307274</v>
      </c>
      <c r="D1096" s="335" t="s">
        <v>1083</v>
      </c>
    </row>
    <row r="1097" spans="2:4" outlineLevel="1">
      <c r="B1097" s="71" t="s">
        <v>1076</v>
      </c>
      <c r="C1097" s="334">
        <v>317162</v>
      </c>
      <c r="D1097" s="335" t="s">
        <v>1084</v>
      </c>
    </row>
    <row r="1098" spans="2:4" outlineLevel="1">
      <c r="B1098" s="71" t="s">
        <v>1076</v>
      </c>
      <c r="C1098" s="334">
        <v>317163</v>
      </c>
      <c r="D1098" s="335" t="s">
        <v>1085</v>
      </c>
    </row>
    <row r="1099" spans="2:4" outlineLevel="1">
      <c r="B1099" s="71" t="s">
        <v>1076</v>
      </c>
      <c r="C1099" s="334">
        <v>317164</v>
      </c>
      <c r="D1099" s="335" t="s">
        <v>1086</v>
      </c>
    </row>
    <row r="1100" spans="2:4" outlineLevel="1">
      <c r="B1100" s="71" t="s">
        <v>1076</v>
      </c>
      <c r="C1100" s="334">
        <v>307410</v>
      </c>
      <c r="D1100" s="335" t="s">
        <v>1087</v>
      </c>
    </row>
    <row r="1101" spans="2:4" outlineLevel="1">
      <c r="B1101" s="71" t="s">
        <v>1076</v>
      </c>
      <c r="C1101" s="334">
        <v>317168</v>
      </c>
      <c r="D1101" s="335" t="s">
        <v>1088</v>
      </c>
    </row>
    <row r="1102" spans="2:4" outlineLevel="1">
      <c r="B1102" s="71" t="s">
        <v>1076</v>
      </c>
      <c r="C1102" s="334">
        <v>317169</v>
      </c>
      <c r="D1102" s="335" t="s">
        <v>1089</v>
      </c>
    </row>
    <row r="1103" spans="2:4" outlineLevel="1">
      <c r="B1103" s="71" t="s">
        <v>1076</v>
      </c>
      <c r="C1103" s="334">
        <v>317170</v>
      </c>
      <c r="D1103" s="335" t="s">
        <v>1090</v>
      </c>
    </row>
    <row r="1104" spans="2:4" outlineLevel="1">
      <c r="B1104" s="71" t="s">
        <v>1076</v>
      </c>
      <c r="C1104" s="334">
        <v>317604</v>
      </c>
      <c r="D1104" s="335" t="s">
        <v>1091</v>
      </c>
    </row>
    <row r="1105" spans="2:4" outlineLevel="1">
      <c r="B1105" s="71" t="s">
        <v>1092</v>
      </c>
      <c r="C1105" s="334">
        <v>205022</v>
      </c>
      <c r="D1105" s="335" t="s">
        <v>1093</v>
      </c>
    </row>
    <row r="1106" spans="2:4" outlineLevel="1">
      <c r="B1106" s="71" t="s">
        <v>1092</v>
      </c>
      <c r="C1106" s="334">
        <v>205047</v>
      </c>
      <c r="D1106" s="335" t="s">
        <v>1094</v>
      </c>
    </row>
    <row r="1107" spans="2:4" outlineLevel="1">
      <c r="B1107" s="71" t="s">
        <v>1092</v>
      </c>
      <c r="C1107" s="334">
        <v>205242</v>
      </c>
      <c r="D1107" s="335" t="s">
        <v>1095</v>
      </c>
    </row>
    <row r="1108" spans="2:4" outlineLevel="1">
      <c r="B1108" s="71" t="s">
        <v>1092</v>
      </c>
      <c r="C1108" s="334">
        <v>205243</v>
      </c>
      <c r="D1108" s="335" t="s">
        <v>1096</v>
      </c>
    </row>
    <row r="1109" spans="2:4" outlineLevel="1">
      <c r="B1109" s="71" t="s">
        <v>1092</v>
      </c>
      <c r="C1109" s="334">
        <v>205244</v>
      </c>
      <c r="D1109" s="335" t="s">
        <v>1097</v>
      </c>
    </row>
    <row r="1110" spans="2:4" outlineLevel="1">
      <c r="B1110" s="71" t="s">
        <v>1092</v>
      </c>
      <c r="C1110" s="334">
        <v>307275</v>
      </c>
      <c r="D1110" s="335" t="s">
        <v>1098</v>
      </c>
    </row>
    <row r="1111" spans="2:4" outlineLevel="1">
      <c r="B1111" s="71" t="s">
        <v>1092</v>
      </c>
      <c r="C1111" s="334">
        <v>317159</v>
      </c>
      <c r="D1111" s="335" t="s">
        <v>1099</v>
      </c>
    </row>
    <row r="1112" spans="2:4" outlineLevel="1">
      <c r="B1112" s="71" t="s">
        <v>1092</v>
      </c>
      <c r="C1112" s="334">
        <v>317160</v>
      </c>
      <c r="D1112" s="335" t="s">
        <v>1100</v>
      </c>
    </row>
    <row r="1113" spans="2:4" outlineLevel="1">
      <c r="B1113" s="71" t="s">
        <v>1092</v>
      </c>
      <c r="C1113" s="334">
        <v>317161</v>
      </c>
      <c r="D1113" s="335" t="s">
        <v>1101</v>
      </c>
    </row>
    <row r="1114" spans="2:4" outlineLevel="1">
      <c r="B1114" s="71" t="s">
        <v>1092</v>
      </c>
      <c r="C1114" s="334">
        <v>317605</v>
      </c>
      <c r="D1114" s="335" t="s">
        <v>1102</v>
      </c>
    </row>
    <row r="1115" spans="2:4" outlineLevel="1">
      <c r="B1115" s="71" t="s">
        <v>1092</v>
      </c>
      <c r="C1115" s="334">
        <v>307409</v>
      </c>
      <c r="D1115" s="335" t="s">
        <v>1103</v>
      </c>
    </row>
    <row r="1116" spans="2:4" outlineLevel="1">
      <c r="B1116" s="71" t="s">
        <v>1092</v>
      </c>
      <c r="C1116" s="334">
        <v>317165</v>
      </c>
      <c r="D1116" s="335" t="s">
        <v>1104</v>
      </c>
    </row>
    <row r="1117" spans="2:4" outlineLevel="1">
      <c r="B1117" s="71" t="s">
        <v>1092</v>
      </c>
      <c r="C1117" s="334">
        <v>317166</v>
      </c>
      <c r="D1117" s="335" t="s">
        <v>1105</v>
      </c>
    </row>
    <row r="1118" spans="2:4" outlineLevel="1">
      <c r="B1118" s="71" t="s">
        <v>1092</v>
      </c>
      <c r="C1118" s="334">
        <v>317167</v>
      </c>
      <c r="D1118" s="335" t="s">
        <v>1106</v>
      </c>
    </row>
    <row r="1119" spans="2:4" outlineLevel="1">
      <c r="B1119" s="71" t="s">
        <v>1107</v>
      </c>
      <c r="C1119" s="334">
        <v>205125</v>
      </c>
      <c r="D1119" s="335" t="s">
        <v>1108</v>
      </c>
    </row>
    <row r="1120" spans="2:4" outlineLevel="1">
      <c r="B1120" s="71" t="s">
        <v>1107</v>
      </c>
      <c r="C1120" s="334">
        <v>205093</v>
      </c>
      <c r="D1120" s="335" t="s">
        <v>1109</v>
      </c>
    </row>
    <row r="1121" spans="2:4" outlineLevel="1">
      <c r="B1121" s="71" t="s">
        <v>1107</v>
      </c>
      <c r="C1121" s="334">
        <v>205118</v>
      </c>
      <c r="D1121" s="335" t="s">
        <v>1110</v>
      </c>
    </row>
    <row r="1122" spans="2:4" outlineLevel="1">
      <c r="B1122" s="71" t="s">
        <v>1107</v>
      </c>
      <c r="C1122" s="334">
        <v>205119</v>
      </c>
      <c r="D1122" s="335" t="s">
        <v>1111</v>
      </c>
    </row>
    <row r="1123" spans="2:4" outlineLevel="1">
      <c r="B1123" s="71" t="s">
        <v>1107</v>
      </c>
      <c r="C1123" s="334">
        <v>205120</v>
      </c>
      <c r="D1123" s="335" t="s">
        <v>1112</v>
      </c>
    </row>
    <row r="1124" spans="2:4" outlineLevel="1">
      <c r="B1124" s="71" t="s">
        <v>1107</v>
      </c>
      <c r="C1124" s="334">
        <v>205121</v>
      </c>
      <c r="D1124" s="335" t="s">
        <v>1113</v>
      </c>
    </row>
    <row r="1125" spans="2:4" outlineLevel="1">
      <c r="B1125" s="71" t="s">
        <v>1107</v>
      </c>
      <c r="C1125" s="334">
        <v>205342</v>
      </c>
      <c r="D1125" s="335" t="s">
        <v>1114</v>
      </c>
    </row>
    <row r="1126" spans="2:4" outlineLevel="1">
      <c r="B1126" s="71" t="s">
        <v>1107</v>
      </c>
      <c r="C1126" s="334">
        <v>205356</v>
      </c>
      <c r="D1126" s="335" t="s">
        <v>1115</v>
      </c>
    </row>
    <row r="1127" spans="2:4" outlineLevel="1">
      <c r="B1127" s="71" t="s">
        <v>1107</v>
      </c>
      <c r="C1127" s="334">
        <v>205357</v>
      </c>
      <c r="D1127" s="335" t="s">
        <v>1116</v>
      </c>
    </row>
    <row r="1128" spans="2:4" outlineLevel="1">
      <c r="B1128" s="71" t="s">
        <v>1107</v>
      </c>
      <c r="C1128" s="334">
        <v>205464</v>
      </c>
      <c r="D1128" s="335" t="s">
        <v>1117</v>
      </c>
    </row>
    <row r="1129" spans="2:4" outlineLevel="1">
      <c r="B1129" s="71" t="s">
        <v>1118</v>
      </c>
      <c r="C1129" s="334">
        <v>205130</v>
      </c>
      <c r="D1129" s="335" t="s">
        <v>1119</v>
      </c>
    </row>
    <row r="1130" spans="2:4" outlineLevel="1">
      <c r="B1130" s="71" t="s">
        <v>1118</v>
      </c>
      <c r="C1130" s="334">
        <v>205139</v>
      </c>
      <c r="D1130" s="335" t="s">
        <v>1120</v>
      </c>
    </row>
    <row r="1131" spans="2:4" outlineLevel="1">
      <c r="B1131" s="71" t="s">
        <v>1118</v>
      </c>
      <c r="C1131" s="334">
        <v>205178</v>
      </c>
      <c r="D1131" s="335" t="s">
        <v>1121</v>
      </c>
    </row>
    <row r="1132" spans="2:4" outlineLevel="1">
      <c r="B1132" s="71" t="s">
        <v>1118</v>
      </c>
      <c r="C1132" s="334">
        <v>205179</v>
      </c>
      <c r="D1132" s="335" t="s">
        <v>1122</v>
      </c>
    </row>
    <row r="1133" spans="2:4" outlineLevel="1">
      <c r="B1133" s="71" t="s">
        <v>1118</v>
      </c>
      <c r="C1133" s="334">
        <v>205180</v>
      </c>
      <c r="D1133" s="335" t="s">
        <v>1123</v>
      </c>
    </row>
    <row r="1134" spans="2:4" outlineLevel="1">
      <c r="B1134" s="71" t="s">
        <v>1118</v>
      </c>
      <c r="C1134" s="334">
        <v>205492</v>
      </c>
      <c r="D1134" s="335" t="s">
        <v>1124</v>
      </c>
    </row>
    <row r="1135" spans="2:4" outlineLevel="1">
      <c r="B1135" s="71" t="s">
        <v>1118</v>
      </c>
      <c r="C1135" s="334">
        <v>205344</v>
      </c>
      <c r="D1135" s="335" t="s">
        <v>1125</v>
      </c>
    </row>
    <row r="1136" spans="2:4" outlineLevel="1">
      <c r="B1136" s="71" t="s">
        <v>1118</v>
      </c>
      <c r="C1136" s="334">
        <v>205345</v>
      </c>
      <c r="D1136" s="335" t="s">
        <v>1126</v>
      </c>
    </row>
    <row r="1137" spans="2:4" outlineLevel="1">
      <c r="B1137" s="71" t="s">
        <v>1118</v>
      </c>
      <c r="C1137" s="334">
        <v>205346</v>
      </c>
      <c r="D1137" s="335" t="s">
        <v>1127</v>
      </c>
    </row>
    <row r="1138" spans="2:4" outlineLevel="1">
      <c r="B1138" s="71" t="s">
        <v>1118</v>
      </c>
      <c r="C1138" s="334">
        <v>2050001</v>
      </c>
      <c r="D1138" s="335" t="s">
        <v>1128</v>
      </c>
    </row>
    <row r="1139" spans="2:4" outlineLevel="1">
      <c r="B1139" s="71" t="s">
        <v>1129</v>
      </c>
      <c r="C1139" s="334">
        <v>205070</v>
      </c>
      <c r="D1139" s="335" t="s">
        <v>1130</v>
      </c>
    </row>
    <row r="1140" spans="2:4" outlineLevel="1">
      <c r="B1140" s="71" t="s">
        <v>1129</v>
      </c>
      <c r="C1140" s="334">
        <v>205072</v>
      </c>
      <c r="D1140" s="335" t="s">
        <v>1131</v>
      </c>
    </row>
    <row r="1141" spans="2:4" outlineLevel="1">
      <c r="B1141" s="71" t="s">
        <v>1129</v>
      </c>
      <c r="C1141" s="334">
        <v>205270</v>
      </c>
      <c r="D1141" s="335" t="s">
        <v>1132</v>
      </c>
    </row>
    <row r="1142" spans="2:4" outlineLevel="1">
      <c r="B1142" s="71" t="s">
        <v>1129</v>
      </c>
      <c r="C1142" s="334">
        <v>205271</v>
      </c>
      <c r="D1142" s="335" t="s">
        <v>1133</v>
      </c>
    </row>
    <row r="1143" spans="2:4" outlineLevel="1">
      <c r="B1143" s="71" t="s">
        <v>1129</v>
      </c>
      <c r="C1143" s="334">
        <v>205272</v>
      </c>
      <c r="D1143" s="335" t="s">
        <v>1134</v>
      </c>
    </row>
    <row r="1144" spans="2:4" outlineLevel="1">
      <c r="B1144" s="71" t="s">
        <v>1129</v>
      </c>
      <c r="C1144" s="334">
        <v>205151</v>
      </c>
      <c r="D1144" s="335" t="s">
        <v>1135</v>
      </c>
    </row>
    <row r="1145" spans="2:4" outlineLevel="1">
      <c r="B1145" s="71" t="s">
        <v>1129</v>
      </c>
      <c r="C1145" s="334">
        <v>205405</v>
      </c>
      <c r="D1145" s="335" t="s">
        <v>1136</v>
      </c>
    </row>
    <row r="1146" spans="2:4" outlineLevel="1">
      <c r="B1146" s="71" t="s">
        <v>1129</v>
      </c>
      <c r="C1146" s="334">
        <v>205406</v>
      </c>
      <c r="D1146" s="335" t="s">
        <v>1137</v>
      </c>
    </row>
    <row r="1147" spans="2:4" outlineLevel="1">
      <c r="B1147" s="71" t="s">
        <v>1129</v>
      </c>
      <c r="C1147" s="334" t="s">
        <v>1787</v>
      </c>
      <c r="D1147" s="335" t="s">
        <v>4318</v>
      </c>
    </row>
    <row r="1148" spans="2:4" outlineLevel="1">
      <c r="B1148" s="71" t="s">
        <v>1129</v>
      </c>
      <c r="C1148" s="334">
        <v>205407</v>
      </c>
      <c r="D1148" s="335" t="s">
        <v>1138</v>
      </c>
    </row>
    <row r="1149" spans="2:4" outlineLevel="1">
      <c r="B1149" s="71"/>
      <c r="C1149" s="334">
        <v>205043</v>
      </c>
      <c r="D1149" s="335" t="s">
        <v>1139</v>
      </c>
    </row>
    <row r="1150" spans="2:4" outlineLevel="1">
      <c r="B1150" s="71"/>
      <c r="C1150" s="334">
        <v>306729</v>
      </c>
      <c r="D1150" s="335" t="s">
        <v>1140</v>
      </c>
    </row>
    <row r="1151" spans="2:4" outlineLevel="1">
      <c r="B1151" s="71" t="s">
        <v>1141</v>
      </c>
      <c r="C1151" s="334">
        <v>205002</v>
      </c>
      <c r="D1151" s="335" t="s">
        <v>1142</v>
      </c>
    </row>
    <row r="1152" spans="2:4" outlineLevel="1">
      <c r="B1152" s="71" t="s">
        <v>1141</v>
      </c>
      <c r="C1152" s="334">
        <v>205001</v>
      </c>
      <c r="D1152" s="335" t="s">
        <v>1143</v>
      </c>
    </row>
    <row r="1153" spans="2:4" outlineLevel="1">
      <c r="B1153" s="71" t="s">
        <v>1141</v>
      </c>
      <c r="C1153" s="334">
        <v>205571</v>
      </c>
      <c r="D1153" s="335" t="s">
        <v>1144</v>
      </c>
    </row>
    <row r="1154" spans="2:4" outlineLevel="1">
      <c r="B1154" s="71" t="s">
        <v>1141</v>
      </c>
      <c r="C1154" s="334">
        <v>207021</v>
      </c>
      <c r="D1154" s="335" t="s">
        <v>1145</v>
      </c>
    </row>
    <row r="1155" spans="2:4" outlineLevel="1">
      <c r="B1155" s="71" t="s">
        <v>1141</v>
      </c>
      <c r="C1155" s="334">
        <v>207022</v>
      </c>
      <c r="D1155" s="335" t="s">
        <v>1146</v>
      </c>
    </row>
    <row r="1156" spans="2:4" outlineLevel="1">
      <c r="B1156" s="71" t="s">
        <v>1141</v>
      </c>
      <c r="C1156" s="334">
        <v>207023</v>
      </c>
      <c r="D1156" s="335" t="s">
        <v>1147</v>
      </c>
    </row>
    <row r="1157" spans="2:4" outlineLevel="1">
      <c r="B1157" s="71" t="s">
        <v>1141</v>
      </c>
      <c r="C1157" s="334">
        <v>206932</v>
      </c>
      <c r="D1157" s="335" t="s">
        <v>1148</v>
      </c>
    </row>
    <row r="1158" spans="2:4" outlineLevel="1">
      <c r="B1158" s="71" t="s">
        <v>1141</v>
      </c>
      <c r="C1158" s="334">
        <v>2060898</v>
      </c>
      <c r="D1158" s="335" t="s">
        <v>1149</v>
      </c>
    </row>
    <row r="1159" spans="2:4" outlineLevel="1">
      <c r="B1159" s="71" t="s">
        <v>1141</v>
      </c>
      <c r="C1159" s="334">
        <v>2060943</v>
      </c>
      <c r="D1159" s="335" t="s">
        <v>1150</v>
      </c>
    </row>
    <row r="1160" spans="2:4" outlineLevel="1">
      <c r="B1160" s="71" t="s">
        <v>1141</v>
      </c>
      <c r="C1160" s="334" t="s">
        <v>1787</v>
      </c>
      <c r="D1160" s="335" t="s">
        <v>3479</v>
      </c>
    </row>
    <row r="1161" spans="2:4" outlineLevel="1">
      <c r="B1161" s="71"/>
      <c r="C1161" s="334"/>
      <c r="D1161" s="335"/>
    </row>
    <row r="1162" spans="2:4" outlineLevel="1">
      <c r="B1162" s="71" t="s">
        <v>1151</v>
      </c>
      <c r="C1162" s="342">
        <v>205044</v>
      </c>
      <c r="D1162" s="343" t="s">
        <v>1152</v>
      </c>
    </row>
    <row r="1163" spans="2:4" outlineLevel="1">
      <c r="B1163" s="71" t="s">
        <v>1151</v>
      </c>
      <c r="C1163" s="338">
        <v>2050052</v>
      </c>
      <c r="D1163" s="339" t="s">
        <v>1153</v>
      </c>
    </row>
    <row r="1164" spans="2:4" outlineLevel="1">
      <c r="B1164" s="71" t="s">
        <v>1151</v>
      </c>
      <c r="C1164" s="338">
        <v>306674</v>
      </c>
      <c r="D1164" s="339" t="s">
        <v>1154</v>
      </c>
    </row>
    <row r="1165" spans="2:4" outlineLevel="1">
      <c r="B1165" s="71" t="s">
        <v>1155</v>
      </c>
      <c r="C1165" s="334">
        <v>205263</v>
      </c>
      <c r="D1165" s="335" t="s">
        <v>1156</v>
      </c>
    </row>
    <row r="1166" spans="2:4" outlineLevel="1">
      <c r="B1166" s="71" t="s">
        <v>1155</v>
      </c>
      <c r="C1166" s="334">
        <v>205264</v>
      </c>
      <c r="D1166" s="335" t="s">
        <v>1157</v>
      </c>
    </row>
    <row r="1167" spans="2:4" outlineLevel="1">
      <c r="B1167" s="71" t="s">
        <v>1155</v>
      </c>
      <c r="C1167" s="334">
        <v>205265</v>
      </c>
      <c r="D1167" s="335" t="s">
        <v>1158</v>
      </c>
    </row>
    <row r="1168" spans="2:4" outlineLevel="1">
      <c r="B1168" s="71" t="s">
        <v>1155</v>
      </c>
      <c r="C1168" s="334">
        <v>205358</v>
      </c>
      <c r="D1168" s="335" t="s">
        <v>1159</v>
      </c>
    </row>
    <row r="1169" spans="2:4" outlineLevel="1">
      <c r="B1169" s="71" t="s">
        <v>1155</v>
      </c>
      <c r="C1169" s="334">
        <v>205205</v>
      </c>
      <c r="D1169" s="335" t="s">
        <v>1160</v>
      </c>
    </row>
    <row r="1170" spans="2:4" outlineLevel="1">
      <c r="B1170" s="71" t="s">
        <v>1155</v>
      </c>
      <c r="C1170" s="334">
        <v>205206</v>
      </c>
      <c r="D1170" s="335" t="s">
        <v>1161</v>
      </c>
    </row>
    <row r="1171" spans="2:4" outlineLevel="1">
      <c r="B1171" s="71" t="s">
        <v>1155</v>
      </c>
      <c r="C1171" s="334">
        <v>205207</v>
      </c>
      <c r="D1171" s="335" t="s">
        <v>1162</v>
      </c>
    </row>
    <row r="1172" spans="2:4" outlineLevel="1">
      <c r="B1172" s="71" t="s">
        <v>1155</v>
      </c>
      <c r="C1172" s="334">
        <v>205388</v>
      </c>
      <c r="D1172" s="335" t="s">
        <v>1163</v>
      </c>
    </row>
    <row r="1173" spans="2:4" outlineLevel="1">
      <c r="B1173" s="71" t="s">
        <v>1155</v>
      </c>
      <c r="C1173" s="334">
        <v>205394</v>
      </c>
      <c r="D1173" s="335" t="s">
        <v>1164</v>
      </c>
    </row>
    <row r="1174" spans="2:4" outlineLevel="1">
      <c r="B1174" s="71" t="s">
        <v>1155</v>
      </c>
      <c r="C1174" s="334">
        <v>205034</v>
      </c>
      <c r="D1174" s="335" t="s">
        <v>1165</v>
      </c>
    </row>
    <row r="1175" spans="2:4" outlineLevel="1">
      <c r="B1175" s="71" t="s">
        <v>1166</v>
      </c>
      <c r="C1175" s="334">
        <v>205299</v>
      </c>
      <c r="D1175" s="335" t="s">
        <v>1167</v>
      </c>
    </row>
    <row r="1176" spans="2:4" outlineLevel="1">
      <c r="B1176" s="71" t="s">
        <v>1166</v>
      </c>
      <c r="C1176" s="334">
        <v>205033</v>
      </c>
      <c r="D1176" s="335" t="s">
        <v>1168</v>
      </c>
    </row>
    <row r="1177" spans="2:4" outlineLevel="1">
      <c r="B1177" s="71" t="s">
        <v>1166</v>
      </c>
      <c r="C1177" s="340">
        <v>205350</v>
      </c>
      <c r="D1177" s="341" t="s">
        <v>1169</v>
      </c>
    </row>
    <row r="1178" spans="2:4" outlineLevel="1">
      <c r="B1178" s="71" t="s">
        <v>1166</v>
      </c>
      <c r="C1178" s="334">
        <v>205266</v>
      </c>
      <c r="D1178" s="335" t="s">
        <v>1170</v>
      </c>
    </row>
    <row r="1179" spans="2:4" outlineLevel="1">
      <c r="B1179" s="71" t="s">
        <v>1166</v>
      </c>
      <c r="C1179" s="334">
        <v>205267</v>
      </c>
      <c r="D1179" s="335" t="s">
        <v>1171</v>
      </c>
    </row>
    <row r="1180" spans="2:4" outlineLevel="1">
      <c r="B1180" s="71" t="s">
        <v>1166</v>
      </c>
      <c r="C1180" s="334">
        <v>205268</v>
      </c>
      <c r="D1180" s="335" t="s">
        <v>1172</v>
      </c>
    </row>
    <row r="1181" spans="2:4" outlineLevel="1">
      <c r="B1181" s="71" t="s">
        <v>1166</v>
      </c>
      <c r="C1181" s="334">
        <v>205208</v>
      </c>
      <c r="D1181" s="335" t="s">
        <v>1173</v>
      </c>
    </row>
    <row r="1182" spans="2:4" outlineLevel="1">
      <c r="B1182" s="71" t="s">
        <v>1166</v>
      </c>
      <c r="C1182" s="334">
        <v>205209</v>
      </c>
      <c r="D1182" s="335" t="s">
        <v>1174</v>
      </c>
    </row>
    <row r="1183" spans="2:4" outlineLevel="1">
      <c r="B1183" s="71" t="s">
        <v>1166</v>
      </c>
      <c r="C1183" s="334">
        <v>205210</v>
      </c>
      <c r="D1183" s="335" t="s">
        <v>1175</v>
      </c>
    </row>
    <row r="1184" spans="2:4" outlineLevel="1">
      <c r="B1184" s="71" t="s">
        <v>1166</v>
      </c>
      <c r="C1184" s="334">
        <v>205421</v>
      </c>
      <c r="D1184" s="335" t="s">
        <v>1176</v>
      </c>
    </row>
    <row r="1185" spans="2:4" outlineLevel="1">
      <c r="B1185" s="71" t="s">
        <v>1177</v>
      </c>
      <c r="C1185" s="334">
        <v>205115</v>
      </c>
      <c r="D1185" s="335" t="s">
        <v>1178</v>
      </c>
    </row>
    <row r="1186" spans="2:4" outlineLevel="1">
      <c r="B1186" s="71" t="s">
        <v>1177</v>
      </c>
      <c r="C1186" s="334">
        <v>205404</v>
      </c>
      <c r="D1186" s="335" t="s">
        <v>1179</v>
      </c>
    </row>
    <row r="1187" spans="2:4" outlineLevel="1">
      <c r="B1187" s="71" t="s">
        <v>1180</v>
      </c>
      <c r="C1187" s="334">
        <v>205140</v>
      </c>
      <c r="D1187" s="335" t="s">
        <v>1181</v>
      </c>
    </row>
    <row r="1188" spans="2:4" outlineLevel="1">
      <c r="B1188" s="71" t="s">
        <v>1180</v>
      </c>
      <c r="C1188" s="334">
        <v>205204</v>
      </c>
      <c r="D1188" s="335" t="s">
        <v>1182</v>
      </c>
    </row>
    <row r="1189" spans="2:4" outlineLevel="1">
      <c r="B1189" s="71" t="s">
        <v>1180</v>
      </c>
      <c r="C1189" s="334">
        <v>205419</v>
      </c>
      <c r="D1189" s="335" t="s">
        <v>1183</v>
      </c>
    </row>
    <row r="1190" spans="2:4" outlineLevel="1">
      <c r="B1190" s="71" t="s">
        <v>1180</v>
      </c>
      <c r="C1190" s="334">
        <v>205418</v>
      </c>
      <c r="D1190" s="335" t="s">
        <v>1184</v>
      </c>
    </row>
    <row r="1191" spans="2:4" outlineLevel="1">
      <c r="B1191" s="71" t="s">
        <v>1180</v>
      </c>
      <c r="C1191" s="334">
        <v>205420</v>
      </c>
      <c r="D1191" s="335" t="s">
        <v>1185</v>
      </c>
    </row>
    <row r="1192" spans="2:4" outlineLevel="1">
      <c r="B1192" s="71" t="s">
        <v>1180</v>
      </c>
      <c r="C1192" s="334">
        <v>205224</v>
      </c>
      <c r="D1192" s="335" t="s">
        <v>1186</v>
      </c>
    </row>
    <row r="1193" spans="2:4" outlineLevel="1">
      <c r="B1193" s="71" t="s">
        <v>1180</v>
      </c>
      <c r="C1193" s="334">
        <v>205005</v>
      </c>
      <c r="D1193" s="335" t="s">
        <v>1187</v>
      </c>
    </row>
    <row r="1194" spans="2:4" outlineLevel="1">
      <c r="B1194" s="71" t="s">
        <v>1180</v>
      </c>
      <c r="C1194" s="334">
        <v>205006</v>
      </c>
      <c r="D1194" s="335" t="s">
        <v>1188</v>
      </c>
    </row>
    <row r="1195" spans="2:4" outlineLevel="1">
      <c r="B1195" s="71" t="s">
        <v>1180</v>
      </c>
      <c r="C1195" s="334">
        <v>205011</v>
      </c>
      <c r="D1195" s="335" t="s">
        <v>1189</v>
      </c>
    </row>
    <row r="1196" spans="2:4" outlineLevel="1">
      <c r="B1196" s="71" t="s">
        <v>1180</v>
      </c>
      <c r="C1196" s="334">
        <v>205424</v>
      </c>
      <c r="D1196" s="335" t="s">
        <v>1190</v>
      </c>
    </row>
    <row r="1197" spans="2:4" outlineLevel="1">
      <c r="B1197" s="71" t="s">
        <v>1180</v>
      </c>
      <c r="C1197" s="334">
        <v>205426</v>
      </c>
      <c r="D1197" s="335" t="s">
        <v>1191</v>
      </c>
    </row>
    <row r="1198" spans="2:4" outlineLevel="1">
      <c r="B1198" s="71" t="s">
        <v>1180</v>
      </c>
      <c r="C1198" s="334">
        <v>205326</v>
      </c>
      <c r="D1198" s="335" t="s">
        <v>1192</v>
      </c>
    </row>
    <row r="1199" spans="2:4" outlineLevel="1">
      <c r="B1199" s="71" t="s">
        <v>1193</v>
      </c>
      <c r="C1199" s="334">
        <v>205281</v>
      </c>
      <c r="D1199" s="335" t="s">
        <v>1194</v>
      </c>
    </row>
    <row r="1200" spans="2:4" outlineLevel="1">
      <c r="B1200" s="71" t="s">
        <v>1193</v>
      </c>
      <c r="C1200" s="334">
        <v>205338</v>
      </c>
      <c r="D1200" s="335" t="s">
        <v>1195</v>
      </c>
    </row>
    <row r="1201" spans="2:4" outlineLevel="1">
      <c r="B1201" s="71" t="s">
        <v>1193</v>
      </c>
      <c r="C1201" s="334">
        <v>205313</v>
      </c>
      <c r="D1201" s="335" t="s">
        <v>1196</v>
      </c>
    </row>
    <row r="1202" spans="2:4" outlineLevel="1">
      <c r="B1202" s="71" t="s">
        <v>1193</v>
      </c>
      <c r="C1202" s="334">
        <v>205314</v>
      </c>
      <c r="D1202" s="335" t="s">
        <v>1197</v>
      </c>
    </row>
    <row r="1203" spans="2:4" outlineLevel="1">
      <c r="B1203" s="71" t="s">
        <v>1193</v>
      </c>
      <c r="C1203" s="334">
        <v>205315</v>
      </c>
      <c r="D1203" s="335" t="s">
        <v>1198</v>
      </c>
    </row>
    <row r="1204" spans="2:4" outlineLevel="1">
      <c r="B1204" s="71" t="s">
        <v>1193</v>
      </c>
      <c r="C1204" s="334">
        <v>205471</v>
      </c>
      <c r="D1204" s="335" t="s">
        <v>1199</v>
      </c>
    </row>
    <row r="1205" spans="2:4" outlineLevel="1">
      <c r="B1205" s="71" t="s">
        <v>1193</v>
      </c>
      <c r="C1205" s="334">
        <v>2050043</v>
      </c>
      <c r="D1205" s="335" t="s">
        <v>1200</v>
      </c>
    </row>
    <row r="1206" spans="2:4" outlineLevel="1">
      <c r="B1206" s="71" t="s">
        <v>1193</v>
      </c>
      <c r="C1206" s="334">
        <v>205397</v>
      </c>
      <c r="D1206" s="335" t="s">
        <v>1201</v>
      </c>
    </row>
    <row r="1207" spans="2:4" outlineLevel="1">
      <c r="B1207" s="71" t="s">
        <v>1193</v>
      </c>
      <c r="C1207" s="334">
        <v>205398</v>
      </c>
      <c r="D1207" s="335" t="s">
        <v>1202</v>
      </c>
    </row>
    <row r="1208" spans="2:4" outlineLevel="1">
      <c r="B1208" s="71" t="s">
        <v>1193</v>
      </c>
      <c r="C1208" s="334">
        <v>205399</v>
      </c>
      <c r="D1208" s="335" t="s">
        <v>1203</v>
      </c>
    </row>
    <row r="1209" spans="2:4" outlineLevel="1">
      <c r="B1209" s="71" t="s">
        <v>1193</v>
      </c>
      <c r="C1209" s="334">
        <v>205475</v>
      </c>
      <c r="D1209" s="335" t="s">
        <v>1204</v>
      </c>
    </row>
    <row r="1210" spans="2:4" outlineLevel="1">
      <c r="B1210" s="71" t="s">
        <v>1205</v>
      </c>
      <c r="C1210" s="334">
        <v>205282</v>
      </c>
      <c r="D1210" s="335" t="s">
        <v>1206</v>
      </c>
    </row>
    <row r="1211" spans="2:4" outlineLevel="1">
      <c r="B1211" s="71" t="s">
        <v>1205</v>
      </c>
      <c r="C1211" s="334">
        <v>205339</v>
      </c>
      <c r="D1211" s="335" t="s">
        <v>1207</v>
      </c>
    </row>
    <row r="1212" spans="2:4" outlineLevel="1">
      <c r="B1212" s="71" t="s">
        <v>1205</v>
      </c>
      <c r="C1212" s="334">
        <v>205316</v>
      </c>
      <c r="D1212" s="335" t="s">
        <v>1208</v>
      </c>
    </row>
    <row r="1213" spans="2:4" outlineLevel="1">
      <c r="B1213" s="71" t="s">
        <v>1205</v>
      </c>
      <c r="C1213" s="334">
        <v>205317</v>
      </c>
      <c r="D1213" s="335" t="s">
        <v>1209</v>
      </c>
    </row>
    <row r="1214" spans="2:4" outlineLevel="1">
      <c r="B1214" s="71" t="s">
        <v>1205</v>
      </c>
      <c r="C1214" s="334">
        <v>205318</v>
      </c>
      <c r="D1214" s="335" t="s">
        <v>1210</v>
      </c>
    </row>
    <row r="1215" spans="2:4" outlineLevel="1">
      <c r="B1215" s="71" t="s">
        <v>1205</v>
      </c>
      <c r="C1215" s="334">
        <v>205469</v>
      </c>
      <c r="D1215" s="335" t="s">
        <v>1211</v>
      </c>
    </row>
    <row r="1216" spans="2:4" outlineLevel="1">
      <c r="B1216" s="71" t="s">
        <v>1205</v>
      </c>
      <c r="C1216" s="334">
        <v>2050036</v>
      </c>
      <c r="D1216" s="335" t="s">
        <v>1212</v>
      </c>
    </row>
    <row r="1217" spans="2:4" outlineLevel="1">
      <c r="B1217" s="71" t="s">
        <v>1205</v>
      </c>
      <c r="C1217" s="334">
        <v>205444</v>
      </c>
      <c r="D1217" s="335" t="s">
        <v>1213</v>
      </c>
    </row>
    <row r="1218" spans="2:4" outlineLevel="1">
      <c r="B1218" s="71" t="s">
        <v>1205</v>
      </c>
      <c r="C1218" s="334">
        <v>2050045</v>
      </c>
      <c r="D1218" s="335" t="s">
        <v>1214</v>
      </c>
    </row>
    <row r="1219" spans="2:4" outlineLevel="1">
      <c r="B1219" s="71" t="s">
        <v>1205</v>
      </c>
      <c r="C1219" s="334">
        <v>205476</v>
      </c>
      <c r="D1219" s="335" t="s">
        <v>1215</v>
      </c>
    </row>
    <row r="1220" spans="2:4" outlineLevel="1">
      <c r="B1220" s="71" t="s">
        <v>1216</v>
      </c>
      <c r="C1220" s="334">
        <v>205283</v>
      </c>
      <c r="D1220" s="335" t="s">
        <v>1217</v>
      </c>
    </row>
    <row r="1221" spans="2:4" outlineLevel="1">
      <c r="B1221" s="71" t="s">
        <v>1216</v>
      </c>
      <c r="C1221" s="334">
        <v>205340</v>
      </c>
      <c r="D1221" s="335" t="s">
        <v>1218</v>
      </c>
    </row>
    <row r="1222" spans="2:4" outlineLevel="1">
      <c r="B1222" s="71" t="s">
        <v>1216</v>
      </c>
      <c r="C1222" s="334">
        <v>205319</v>
      </c>
      <c r="D1222" s="335" t="s">
        <v>1219</v>
      </c>
    </row>
    <row r="1223" spans="2:4" outlineLevel="1">
      <c r="B1223" s="71" t="s">
        <v>1216</v>
      </c>
      <c r="C1223" s="334">
        <v>205320</v>
      </c>
      <c r="D1223" s="335" t="s">
        <v>1220</v>
      </c>
    </row>
    <row r="1224" spans="2:4" outlineLevel="1">
      <c r="B1224" s="71" t="s">
        <v>1216</v>
      </c>
      <c r="C1224" s="334">
        <v>205321</v>
      </c>
      <c r="D1224" s="335" t="s">
        <v>1221</v>
      </c>
    </row>
    <row r="1225" spans="2:4" outlineLevel="1">
      <c r="B1225" s="71" t="s">
        <v>1216</v>
      </c>
      <c r="C1225" s="334">
        <v>205470</v>
      </c>
      <c r="D1225" s="335" t="s">
        <v>1222</v>
      </c>
    </row>
    <row r="1226" spans="2:4" outlineLevel="1">
      <c r="B1226" s="71" t="s">
        <v>1216</v>
      </c>
      <c r="C1226" s="334">
        <v>2050044</v>
      </c>
      <c r="D1226" s="335" t="s">
        <v>1223</v>
      </c>
    </row>
    <row r="1227" spans="2:4" outlineLevel="1">
      <c r="B1227" s="71" t="s">
        <v>1216</v>
      </c>
      <c r="C1227" s="334">
        <v>205400</v>
      </c>
      <c r="D1227" s="335" t="s">
        <v>1224</v>
      </c>
    </row>
    <row r="1228" spans="2:4" outlineLevel="1">
      <c r="B1228" s="71" t="s">
        <v>1216</v>
      </c>
      <c r="C1228" s="334">
        <v>205401</v>
      </c>
      <c r="D1228" s="335" t="s">
        <v>1225</v>
      </c>
    </row>
    <row r="1229" spans="2:4" outlineLevel="1">
      <c r="B1229" s="71" t="s">
        <v>1216</v>
      </c>
      <c r="C1229" s="334">
        <v>205402</v>
      </c>
      <c r="D1229" s="335" t="s">
        <v>3480</v>
      </c>
    </row>
    <row r="1230" spans="2:4" outlineLevel="1">
      <c r="B1230" s="71" t="s">
        <v>1216</v>
      </c>
      <c r="C1230" s="334">
        <v>205477</v>
      </c>
      <c r="D1230" s="335" t="s">
        <v>1226</v>
      </c>
    </row>
    <row r="1231" spans="2:4" outlineLevel="1">
      <c r="B1231" s="71" t="s">
        <v>1227</v>
      </c>
      <c r="C1231" s="334">
        <v>205232</v>
      </c>
      <c r="D1231" s="335" t="s">
        <v>1228</v>
      </c>
    </row>
    <row r="1232" spans="2:4" outlineLevel="1">
      <c r="B1232" s="71" t="s">
        <v>1227</v>
      </c>
      <c r="C1232" s="334">
        <v>205347</v>
      </c>
      <c r="D1232" s="335" t="s">
        <v>1229</v>
      </c>
    </row>
    <row r="1233" spans="2:4" outlineLevel="1">
      <c r="B1233" s="71" t="s">
        <v>1227</v>
      </c>
      <c r="C1233" s="334">
        <v>205348</v>
      </c>
      <c r="D1233" s="335" t="s">
        <v>1230</v>
      </c>
    </row>
    <row r="1234" spans="2:4" outlineLevel="1">
      <c r="B1234" s="71" t="s">
        <v>1227</v>
      </c>
      <c r="C1234" s="334">
        <v>205349</v>
      </c>
      <c r="D1234" s="335" t="s">
        <v>1231</v>
      </c>
    </row>
    <row r="1235" spans="2:4" outlineLevel="1">
      <c r="B1235" s="71" t="s">
        <v>3458</v>
      </c>
      <c r="C1235" s="334">
        <v>205467</v>
      </c>
      <c r="D1235" s="335" t="s">
        <v>1233</v>
      </c>
    </row>
    <row r="1236" spans="2:4" outlineLevel="1">
      <c r="B1236" s="71" t="s">
        <v>3458</v>
      </c>
      <c r="C1236" s="344" t="s">
        <v>1234</v>
      </c>
      <c r="D1236" s="335" t="s">
        <v>1235</v>
      </c>
    </row>
    <row r="1237" spans="2:4" outlineLevel="1">
      <c r="B1237" s="71" t="s">
        <v>3458</v>
      </c>
      <c r="C1237" s="344" t="s">
        <v>1234</v>
      </c>
      <c r="D1237" s="335" t="s">
        <v>1236</v>
      </c>
    </row>
    <row r="1238" spans="2:4" outlineLevel="1">
      <c r="B1238" s="71" t="s">
        <v>3458</v>
      </c>
      <c r="C1238" s="344" t="s">
        <v>1234</v>
      </c>
      <c r="D1238" s="335" t="s">
        <v>1237</v>
      </c>
    </row>
    <row r="1239" spans="2:4" outlineLevel="1">
      <c r="B1239" s="71" t="s">
        <v>3458</v>
      </c>
      <c r="C1239" s="344" t="s">
        <v>1234</v>
      </c>
      <c r="D1239" s="335" t="s">
        <v>1238</v>
      </c>
    </row>
    <row r="1240" spans="2:4" outlineLevel="1">
      <c r="B1240" s="71" t="s">
        <v>3458</v>
      </c>
      <c r="C1240" s="344" t="s">
        <v>1234</v>
      </c>
      <c r="D1240" s="335" t="s">
        <v>1239</v>
      </c>
    </row>
    <row r="1241" spans="2:4" outlineLevel="1">
      <c r="B1241" s="71" t="s">
        <v>3458</v>
      </c>
      <c r="C1241" s="344" t="s">
        <v>1234</v>
      </c>
      <c r="D1241" s="335" t="s">
        <v>1240</v>
      </c>
    </row>
    <row r="1242" spans="2:4" outlineLevel="1">
      <c r="B1242" s="71" t="s">
        <v>3458</v>
      </c>
      <c r="C1242" s="344" t="s">
        <v>1234</v>
      </c>
      <c r="D1242" s="335" t="s">
        <v>1241</v>
      </c>
    </row>
    <row r="1243" spans="2:4" outlineLevel="1">
      <c r="B1243" s="71" t="s">
        <v>3458</v>
      </c>
      <c r="C1243" s="344" t="s">
        <v>1234</v>
      </c>
      <c r="D1243" s="335" t="s">
        <v>1242</v>
      </c>
    </row>
    <row r="1244" spans="2:4" outlineLevel="1">
      <c r="B1244" s="71" t="s">
        <v>3458</v>
      </c>
      <c r="C1244" s="344" t="s">
        <v>1234</v>
      </c>
      <c r="D1244" s="335" t="s">
        <v>1243</v>
      </c>
    </row>
    <row r="1245" spans="2:4" outlineLevel="1">
      <c r="B1245" s="71" t="s">
        <v>3458</v>
      </c>
      <c r="C1245" s="344" t="s">
        <v>1234</v>
      </c>
      <c r="D1245" s="335" t="s">
        <v>1244</v>
      </c>
    </row>
    <row r="1246" spans="2:4" outlineLevel="1">
      <c r="B1246" s="71" t="s">
        <v>1245</v>
      </c>
      <c r="C1246" s="334">
        <v>2200006</v>
      </c>
      <c r="D1246" s="335" t="s">
        <v>1246</v>
      </c>
    </row>
    <row r="1247" spans="2:4" outlineLevel="1">
      <c r="B1247" s="71" t="s">
        <v>1232</v>
      </c>
      <c r="C1247" s="334">
        <v>205466</v>
      </c>
      <c r="D1247" s="335" t="s">
        <v>1247</v>
      </c>
    </row>
    <row r="1248" spans="2:4" outlineLevel="1">
      <c r="B1248" s="71" t="s">
        <v>1232</v>
      </c>
      <c r="C1248" s="344" t="s">
        <v>1234</v>
      </c>
      <c r="D1248" s="335" t="s">
        <v>1248</v>
      </c>
    </row>
    <row r="1249" spans="2:4" outlineLevel="1">
      <c r="B1249" s="71" t="s">
        <v>1232</v>
      </c>
      <c r="C1249" s="344" t="s">
        <v>1234</v>
      </c>
      <c r="D1249" s="335" t="s">
        <v>1249</v>
      </c>
    </row>
    <row r="1250" spans="2:4" outlineLevel="1">
      <c r="B1250" s="71" t="s">
        <v>1232</v>
      </c>
      <c r="C1250" s="334">
        <v>2050020</v>
      </c>
      <c r="D1250" s="335" t="s">
        <v>1250</v>
      </c>
    </row>
    <row r="1251" spans="2:4" outlineLevel="1">
      <c r="B1251" s="71" t="s">
        <v>1232</v>
      </c>
      <c r="C1251" s="344" t="s">
        <v>1234</v>
      </c>
      <c r="D1251" s="335" t="s">
        <v>1251</v>
      </c>
    </row>
    <row r="1252" spans="2:4" outlineLevel="1">
      <c r="B1252" s="71" t="s">
        <v>1232</v>
      </c>
      <c r="C1252" s="344" t="s">
        <v>1234</v>
      </c>
      <c r="D1252" s="335" t="s">
        <v>1252</v>
      </c>
    </row>
    <row r="1253" spans="2:4" outlineLevel="1">
      <c r="B1253" s="71" t="s">
        <v>1232</v>
      </c>
      <c r="C1253" s="344" t="s">
        <v>1234</v>
      </c>
      <c r="D1253" s="335" t="s">
        <v>1253</v>
      </c>
    </row>
    <row r="1254" spans="2:4" outlineLevel="1">
      <c r="B1254" s="71" t="s">
        <v>1232</v>
      </c>
      <c r="C1254" s="344" t="s">
        <v>1234</v>
      </c>
      <c r="D1254" s="335" t="s">
        <v>1254</v>
      </c>
    </row>
    <row r="1255" spans="2:4" outlineLevel="1">
      <c r="B1255" s="71" t="s">
        <v>1232</v>
      </c>
      <c r="C1255" s="334">
        <v>2050021</v>
      </c>
      <c r="D1255" s="335" t="s">
        <v>1255</v>
      </c>
    </row>
    <row r="1256" spans="2:4" outlineLevel="1">
      <c r="B1256" s="71" t="s">
        <v>1232</v>
      </c>
      <c r="C1256" s="344" t="s">
        <v>1234</v>
      </c>
      <c r="D1256" s="335" t="s">
        <v>1256</v>
      </c>
    </row>
    <row r="1257" spans="2:4" outlineLevel="1">
      <c r="B1257" s="71" t="s">
        <v>1232</v>
      </c>
      <c r="C1257" s="344" t="s">
        <v>1234</v>
      </c>
      <c r="D1257" s="335" t="s">
        <v>1257</v>
      </c>
    </row>
    <row r="1258" spans="2:4" outlineLevel="1">
      <c r="B1258" s="71" t="s">
        <v>1245</v>
      </c>
      <c r="C1258" s="334">
        <v>2200005</v>
      </c>
      <c r="D1258" s="335" t="s">
        <v>1258</v>
      </c>
    </row>
    <row r="1259" spans="2:4" outlineLevel="1">
      <c r="B1259" s="71" t="s">
        <v>1259</v>
      </c>
      <c r="C1259" s="334">
        <v>205324</v>
      </c>
      <c r="D1259" s="345" t="s">
        <v>1260</v>
      </c>
    </row>
    <row r="1260" spans="2:4" outlineLevel="1">
      <c r="B1260" s="71" t="s">
        <v>1261</v>
      </c>
      <c r="C1260" s="334">
        <v>2050078</v>
      </c>
      <c r="D1260" s="335" t="s">
        <v>1262</v>
      </c>
    </row>
    <row r="1261" spans="2:4" outlineLevel="1">
      <c r="B1261" s="71" t="s">
        <v>1263</v>
      </c>
      <c r="C1261" s="334">
        <v>205310</v>
      </c>
      <c r="D1261" s="335" t="s">
        <v>1264</v>
      </c>
    </row>
    <row r="1262" spans="2:4" outlineLevel="1">
      <c r="B1262" s="71" t="s">
        <v>1263</v>
      </c>
      <c r="C1262" s="334">
        <v>205376</v>
      </c>
      <c r="D1262" s="335" t="s">
        <v>1265</v>
      </c>
    </row>
    <row r="1263" spans="2:4" outlineLevel="1">
      <c r="B1263" s="71" t="s">
        <v>1263</v>
      </c>
      <c r="C1263" s="334">
        <v>205377</v>
      </c>
      <c r="D1263" s="335" t="s">
        <v>1266</v>
      </c>
    </row>
    <row r="1264" spans="2:4" outlineLevel="1">
      <c r="B1264" s="71" t="s">
        <v>1263</v>
      </c>
      <c r="C1264" s="334">
        <v>205378</v>
      </c>
      <c r="D1264" s="335" t="s">
        <v>1267</v>
      </c>
    </row>
    <row r="1265" spans="2:4" outlineLevel="1">
      <c r="B1265" s="71" t="s">
        <v>1263</v>
      </c>
      <c r="C1265" s="334">
        <v>205379</v>
      </c>
      <c r="D1265" s="335" t="s">
        <v>1268</v>
      </c>
    </row>
    <row r="1266" spans="2:4" outlineLevel="1">
      <c r="B1266" s="71" t="s">
        <v>1263</v>
      </c>
      <c r="C1266" s="334">
        <v>2050032</v>
      </c>
      <c r="D1266" s="335" t="s">
        <v>1269</v>
      </c>
    </row>
    <row r="1267" spans="2:4" outlineLevel="1">
      <c r="B1267" s="71" t="s">
        <v>1263</v>
      </c>
      <c r="C1267" s="334">
        <v>205311</v>
      </c>
      <c r="D1267" s="335" t="s">
        <v>1270</v>
      </c>
    </row>
    <row r="1268" spans="2:4" outlineLevel="1">
      <c r="B1268" s="71" t="s">
        <v>1263</v>
      </c>
      <c r="C1268" s="334">
        <v>205380</v>
      </c>
      <c r="D1268" s="335" t="s">
        <v>1271</v>
      </c>
    </row>
    <row r="1269" spans="2:4" outlineLevel="1">
      <c r="B1269" s="71" t="s">
        <v>1263</v>
      </c>
      <c r="C1269" s="334">
        <v>205381</v>
      </c>
      <c r="D1269" s="335" t="s">
        <v>1272</v>
      </c>
    </row>
    <row r="1270" spans="2:4" outlineLevel="1">
      <c r="B1270" s="71" t="s">
        <v>1263</v>
      </c>
      <c r="C1270" s="334">
        <v>205382</v>
      </c>
      <c r="D1270" s="335" t="s">
        <v>1273</v>
      </c>
    </row>
    <row r="1271" spans="2:4" outlineLevel="1">
      <c r="B1271" s="71" t="s">
        <v>1263</v>
      </c>
      <c r="C1271" s="334">
        <v>205383</v>
      </c>
      <c r="D1271" s="335" t="s">
        <v>1274</v>
      </c>
    </row>
    <row r="1274" spans="2:4" outlineLevel="1">
      <c r="B1274" s="346" t="s">
        <v>1275</v>
      </c>
      <c r="C1274" s="347">
        <v>1115916</v>
      </c>
      <c r="D1274" s="2" t="s">
        <v>1276</v>
      </c>
    </row>
    <row r="1275" spans="2:4" outlineLevel="1">
      <c r="B1275" s="346" t="s">
        <v>1275</v>
      </c>
      <c r="C1275" s="347">
        <v>1115952</v>
      </c>
      <c r="D1275" s="2" t="s">
        <v>1277</v>
      </c>
    </row>
    <row r="1276" spans="2:4" outlineLevel="1">
      <c r="B1276" s="346" t="s">
        <v>1275</v>
      </c>
      <c r="C1276" s="347">
        <v>1115934</v>
      </c>
      <c r="D1276" s="2" t="s">
        <v>1278</v>
      </c>
    </row>
    <row r="1277" spans="2:4" outlineLevel="1">
      <c r="B1277" s="346" t="s">
        <v>1275</v>
      </c>
      <c r="C1277" s="347">
        <v>1115179</v>
      </c>
      <c r="D1277" s="2" t="s">
        <v>1279</v>
      </c>
    </row>
    <row r="1278" spans="2:4" outlineLevel="1">
      <c r="B1278" s="346" t="s">
        <v>1275</v>
      </c>
      <c r="C1278" s="347">
        <v>1115962</v>
      </c>
      <c r="D1278" s="2" t="s">
        <v>1280</v>
      </c>
    </row>
    <row r="1279" spans="2:4" outlineLevel="1">
      <c r="B1279" s="346" t="s">
        <v>1275</v>
      </c>
      <c r="C1279" s="347">
        <v>1115178</v>
      </c>
      <c r="D1279" s="2" t="s">
        <v>1281</v>
      </c>
    </row>
    <row r="1280" spans="2:4" outlineLevel="1">
      <c r="B1280" s="346" t="s">
        <v>1275</v>
      </c>
      <c r="C1280" s="347">
        <v>1115636</v>
      </c>
      <c r="D1280" s="2" t="s">
        <v>1282</v>
      </c>
    </row>
    <row r="1281" spans="2:4" outlineLevel="1">
      <c r="B1281" s="346"/>
      <c r="C1281" s="347"/>
      <c r="D1281" s="2"/>
    </row>
    <row r="1282" spans="2:4" outlineLevel="1">
      <c r="B1282" s="346" t="s">
        <v>1283</v>
      </c>
      <c r="C1282" s="347">
        <v>1115910</v>
      </c>
      <c r="D1282" s="2" t="s">
        <v>1284</v>
      </c>
    </row>
    <row r="1283" spans="2:4" outlineLevel="1">
      <c r="B1283" s="346" t="s">
        <v>1283</v>
      </c>
      <c r="C1283" s="347">
        <v>1115302</v>
      </c>
      <c r="D1283" s="2" t="s">
        <v>1285</v>
      </c>
    </row>
    <row r="1284" spans="2:4" outlineLevel="1">
      <c r="B1284" s="346" t="s">
        <v>1283</v>
      </c>
      <c r="C1284" s="347">
        <v>1115438</v>
      </c>
      <c r="D1284" s="2" t="s">
        <v>1286</v>
      </c>
    </row>
    <row r="1285" spans="2:4" outlineLevel="1">
      <c r="B1285" s="346"/>
      <c r="C1285" s="347"/>
      <c r="D1285" s="2"/>
    </row>
    <row r="1286" spans="2:4" outlineLevel="1">
      <c r="B1286" s="346" t="s">
        <v>1287</v>
      </c>
      <c r="C1286" s="347">
        <v>1115919</v>
      </c>
      <c r="D1286" s="2" t="s">
        <v>1288</v>
      </c>
    </row>
    <row r="1287" spans="2:4" outlineLevel="1">
      <c r="B1287" s="346" t="s">
        <v>1287</v>
      </c>
      <c r="C1287" s="347">
        <v>1115335</v>
      </c>
      <c r="D1287" s="2" t="s">
        <v>1289</v>
      </c>
    </row>
    <row r="1288" spans="2:4" outlineLevel="1">
      <c r="B1288" s="346"/>
      <c r="C1288" s="347"/>
      <c r="D1288" s="2"/>
    </row>
    <row r="1289" spans="2:4" outlineLevel="1">
      <c r="B1289" s="346" t="s">
        <v>1290</v>
      </c>
      <c r="C1289" s="347">
        <v>1115125</v>
      </c>
      <c r="D1289" s="2" t="s">
        <v>1291</v>
      </c>
    </row>
    <row r="1290" spans="2:4" outlineLevel="1">
      <c r="B1290" s="346" t="s">
        <v>1290</v>
      </c>
      <c r="C1290" s="347">
        <v>1115336</v>
      </c>
      <c r="D1290" s="2" t="s">
        <v>1292</v>
      </c>
    </row>
    <row r="1291" spans="2:4" outlineLevel="1">
      <c r="B1291" s="346" t="s">
        <v>1290</v>
      </c>
      <c r="C1291" s="347">
        <v>1115337</v>
      </c>
      <c r="D1291" s="2" t="s">
        <v>1293</v>
      </c>
    </row>
    <row r="1292" spans="2:4" outlineLevel="1">
      <c r="B1292" s="346"/>
      <c r="C1292" s="347"/>
      <c r="D1292" s="2"/>
    </row>
    <row r="1293" spans="2:4" outlineLevel="1">
      <c r="B1293" s="346" t="s">
        <v>1294</v>
      </c>
      <c r="C1293" s="347">
        <v>1115950</v>
      </c>
      <c r="D1293" s="2" t="s">
        <v>1295</v>
      </c>
    </row>
    <row r="1294" spans="2:4" outlineLevel="1">
      <c r="B1294" s="346" t="s">
        <v>1294</v>
      </c>
      <c r="C1294" s="347">
        <v>1115541</v>
      </c>
      <c r="D1294" s="2" t="s">
        <v>1296</v>
      </c>
    </row>
    <row r="1295" spans="2:4" outlineLevel="1">
      <c r="B1295" s="346" t="s">
        <v>1294</v>
      </c>
      <c r="C1295" s="347">
        <v>1115558</v>
      </c>
      <c r="D1295" s="2" t="s">
        <v>1297</v>
      </c>
    </row>
    <row r="1296" spans="2:4" outlineLevel="1">
      <c r="B1296" s="346" t="s">
        <v>1294</v>
      </c>
      <c r="C1296" s="347">
        <v>1115545</v>
      </c>
      <c r="D1296" s="2" t="s">
        <v>1298</v>
      </c>
    </row>
    <row r="1297" spans="2:4" outlineLevel="1">
      <c r="B1297" s="346" t="s">
        <v>1294</v>
      </c>
      <c r="C1297" s="347"/>
      <c r="D1297" s="2" t="s">
        <v>1299</v>
      </c>
    </row>
    <row r="1298" spans="2:4" outlineLevel="1">
      <c r="B1298" s="346"/>
      <c r="C1298" s="347"/>
      <c r="D1298" s="2"/>
    </row>
    <row r="1299" spans="2:4" outlineLevel="1">
      <c r="B1299" s="346" t="s">
        <v>1300</v>
      </c>
      <c r="C1299" s="347">
        <v>1115953</v>
      </c>
      <c r="D1299" s="2" t="s">
        <v>1301</v>
      </c>
    </row>
    <row r="1300" spans="2:4" outlineLevel="1">
      <c r="B1300" s="346" t="s">
        <v>1300</v>
      </c>
      <c r="C1300" s="347">
        <v>1115948</v>
      </c>
      <c r="D1300" s="2" t="s">
        <v>1302</v>
      </c>
    </row>
    <row r="1301" spans="2:4" outlineLevel="1">
      <c r="B1301" s="346" t="s">
        <v>1300</v>
      </c>
      <c r="C1301" s="798">
        <v>104448</v>
      </c>
      <c r="D1301" s="797" t="s">
        <v>4326</v>
      </c>
    </row>
    <row r="1302" spans="2:4" outlineLevel="1">
      <c r="B1302" s="346" t="s">
        <v>1300</v>
      </c>
      <c r="C1302" s="347">
        <v>1115904</v>
      </c>
      <c r="D1302" s="2" t="s">
        <v>1303</v>
      </c>
    </row>
    <row r="1303" spans="2:4" outlineLevel="1">
      <c r="B1303" s="346" t="s">
        <v>1300</v>
      </c>
      <c r="C1303" s="347">
        <v>1115175</v>
      </c>
      <c r="D1303" s="2" t="s">
        <v>1304</v>
      </c>
    </row>
    <row r="1304" spans="2:4" outlineLevel="1">
      <c r="B1304" s="346" t="s">
        <v>1300</v>
      </c>
      <c r="C1304" s="347">
        <v>1115176</v>
      </c>
      <c r="D1304" s="2" t="s">
        <v>1305</v>
      </c>
    </row>
    <row r="1305" spans="2:4" outlineLevel="1">
      <c r="B1305" s="346" t="s">
        <v>1300</v>
      </c>
      <c r="C1305" s="347">
        <v>1115177</v>
      </c>
      <c r="D1305" s="2" t="s">
        <v>1306</v>
      </c>
    </row>
    <row r="1306" spans="2:4" outlineLevel="1">
      <c r="B1306" s="346" t="s">
        <v>1300</v>
      </c>
      <c r="C1306" s="347">
        <v>1115274</v>
      </c>
      <c r="D1306" s="2" t="s">
        <v>1307</v>
      </c>
    </row>
    <row r="1307" spans="2:4" outlineLevel="1">
      <c r="B1307" s="346" t="s">
        <v>1300</v>
      </c>
      <c r="C1307" s="347">
        <v>1115598</v>
      </c>
      <c r="D1307" s="2" t="s">
        <v>1308</v>
      </c>
    </row>
    <row r="1308" spans="2:4" outlineLevel="1">
      <c r="B1308" s="346" t="s">
        <v>1300</v>
      </c>
      <c r="C1308" s="347">
        <v>1115599</v>
      </c>
      <c r="D1308" s="2" t="s">
        <v>1309</v>
      </c>
    </row>
    <row r="1309" spans="2:4" outlineLevel="1">
      <c r="B1309" s="346"/>
      <c r="C1309" s="347"/>
      <c r="D1309" s="2"/>
    </row>
    <row r="1310" spans="2:4" outlineLevel="1">
      <c r="B1310" s="346" t="s">
        <v>1310</v>
      </c>
      <c r="C1310" s="347">
        <v>1115256</v>
      </c>
      <c r="D1310" s="2" t="s">
        <v>1311</v>
      </c>
    </row>
    <row r="1311" spans="2:4" outlineLevel="1">
      <c r="B1311" s="346" t="s">
        <v>1310</v>
      </c>
      <c r="C1311" s="347">
        <v>1115251</v>
      </c>
      <c r="D1311" s="2" t="s">
        <v>1312</v>
      </c>
    </row>
    <row r="1312" spans="2:4" outlineLevel="1">
      <c r="B1312" s="346" t="s">
        <v>1310</v>
      </c>
      <c r="C1312" s="347">
        <v>1115439</v>
      </c>
      <c r="D1312" s="2" t="s">
        <v>1313</v>
      </c>
    </row>
    <row r="1313" spans="2:4" outlineLevel="1">
      <c r="B1313" s="346" t="s">
        <v>1310</v>
      </c>
      <c r="C1313" s="347">
        <v>1115440</v>
      </c>
      <c r="D1313" s="2" t="s">
        <v>1314</v>
      </c>
    </row>
    <row r="1314" spans="2:4" outlineLevel="1">
      <c r="B1314" s="346" t="s">
        <v>1310</v>
      </c>
      <c r="C1314" s="347">
        <v>1115441</v>
      </c>
      <c r="D1314" s="2" t="s">
        <v>1315</v>
      </c>
    </row>
    <row r="1315" spans="2:4" outlineLevel="1">
      <c r="B1315" s="346" t="s">
        <v>1310</v>
      </c>
      <c r="C1315" s="347">
        <v>1115442</v>
      </c>
      <c r="D1315" s="2" t="s">
        <v>1316</v>
      </c>
    </row>
    <row r="1316" spans="2:4" outlineLevel="1">
      <c r="B1316" s="346" t="s">
        <v>1310</v>
      </c>
      <c r="C1316" s="347">
        <v>1115443</v>
      </c>
      <c r="D1316" s="2" t="s">
        <v>1317</v>
      </c>
    </row>
    <row r="1317" spans="2:4" outlineLevel="1">
      <c r="B1317" s="346" t="s">
        <v>1310</v>
      </c>
      <c r="C1317" s="347">
        <v>1115659</v>
      </c>
      <c r="D1317" s="2" t="s">
        <v>1318</v>
      </c>
    </row>
    <row r="1318" spans="2:4" outlineLevel="1">
      <c r="B1318" s="346" t="s">
        <v>1310</v>
      </c>
      <c r="C1318" s="347">
        <v>1115660</v>
      </c>
      <c r="D1318" s="2" t="s">
        <v>1319</v>
      </c>
    </row>
    <row r="1319" spans="2:4" outlineLevel="1">
      <c r="B1319" s="346" t="s">
        <v>1310</v>
      </c>
      <c r="C1319" s="347">
        <v>1115661</v>
      </c>
      <c r="D1319" s="2" t="s">
        <v>1320</v>
      </c>
    </row>
    <row r="1320" spans="2:4" outlineLevel="1">
      <c r="B1320" s="346" t="s">
        <v>1310</v>
      </c>
      <c r="C1320" s="347">
        <v>1115662</v>
      </c>
      <c r="D1320" s="2" t="s">
        <v>1321</v>
      </c>
    </row>
    <row r="1321" spans="2:4" outlineLevel="1">
      <c r="B1321" s="346"/>
      <c r="C1321" s="347"/>
      <c r="D1321" s="2"/>
    </row>
    <row r="1322" spans="2:4" outlineLevel="1">
      <c r="B1322" s="346" t="s">
        <v>1322</v>
      </c>
      <c r="C1322" s="347">
        <v>1115918</v>
      </c>
      <c r="D1322" s="2" t="s">
        <v>1323</v>
      </c>
    </row>
    <row r="1323" spans="2:4" outlineLevel="1">
      <c r="B1323" s="346" t="s">
        <v>1322</v>
      </c>
      <c r="C1323" s="347">
        <v>1115959</v>
      </c>
      <c r="D1323" s="2" t="s">
        <v>1324</v>
      </c>
    </row>
    <row r="1324" spans="2:4" outlineLevel="1">
      <c r="B1324" s="346" t="s">
        <v>1322</v>
      </c>
      <c r="C1324" s="347">
        <v>1115911</v>
      </c>
      <c r="D1324" s="2" t="s">
        <v>2768</v>
      </c>
    </row>
    <row r="1325" spans="2:4" outlineLevel="1">
      <c r="B1325" s="346" t="s">
        <v>1322</v>
      </c>
      <c r="C1325" s="347">
        <v>1115171</v>
      </c>
      <c r="D1325" s="2" t="s">
        <v>1325</v>
      </c>
    </row>
    <row r="1326" spans="2:4" outlineLevel="1">
      <c r="B1326" s="346" t="s">
        <v>1322</v>
      </c>
      <c r="C1326" s="347">
        <v>1115172</v>
      </c>
      <c r="D1326" s="2" t="s">
        <v>1326</v>
      </c>
    </row>
    <row r="1327" spans="2:4" outlineLevel="1">
      <c r="B1327" s="346" t="s">
        <v>1322</v>
      </c>
      <c r="C1327" s="347">
        <v>1115173</v>
      </c>
      <c r="D1327" s="2" t="s">
        <v>1327</v>
      </c>
    </row>
    <row r="1328" spans="2:4" outlineLevel="1">
      <c r="B1328" s="346" t="s">
        <v>1322</v>
      </c>
      <c r="C1328" s="347">
        <v>1115174</v>
      </c>
      <c r="D1328" s="2" t="s">
        <v>1328</v>
      </c>
    </row>
    <row r="1329" spans="2:4" outlineLevel="1">
      <c r="B1329" s="346" t="s">
        <v>1322</v>
      </c>
      <c r="C1329" s="347">
        <v>1115292</v>
      </c>
      <c r="D1329" s="2" t="s">
        <v>1329</v>
      </c>
    </row>
    <row r="1330" spans="2:4" outlineLevel="1">
      <c r="B1330" s="346" t="s">
        <v>1322</v>
      </c>
      <c r="C1330" s="347">
        <v>1115721</v>
      </c>
      <c r="D1330" s="2" t="s">
        <v>1330</v>
      </c>
    </row>
    <row r="1331" spans="2:4" outlineLevel="1">
      <c r="B1331" s="346"/>
      <c r="C1331" s="347"/>
      <c r="D1331" s="2"/>
    </row>
    <row r="1332" spans="2:4" outlineLevel="1">
      <c r="B1332" s="346" t="s">
        <v>1331</v>
      </c>
      <c r="C1332" s="347">
        <v>1115935</v>
      </c>
      <c r="D1332" s="2" t="s">
        <v>1332</v>
      </c>
    </row>
    <row r="1333" spans="2:4" outlineLevel="1">
      <c r="B1333" s="346" t="s">
        <v>1331</v>
      </c>
      <c r="C1333" s="347">
        <v>1115665</v>
      </c>
      <c r="D1333" s="2" t="s">
        <v>1333</v>
      </c>
    </row>
    <row r="1334" spans="2:4" outlineLevel="1">
      <c r="B1334" s="346"/>
      <c r="C1334" s="347"/>
      <c r="D1334" s="2"/>
    </row>
    <row r="1335" spans="2:4" outlineLevel="1">
      <c r="B1335" s="346" t="s">
        <v>1334</v>
      </c>
      <c r="C1335" s="347">
        <v>1115589</v>
      </c>
      <c r="D1335" s="2" t="s">
        <v>1335</v>
      </c>
    </row>
    <row r="1336" spans="2:4" outlineLevel="1">
      <c r="B1336" s="346" t="s">
        <v>1334</v>
      </c>
      <c r="C1336" s="347">
        <v>1115590</v>
      </c>
      <c r="D1336" s="2" t="s">
        <v>1336</v>
      </c>
    </row>
    <row r="1337" spans="2:4" outlineLevel="1">
      <c r="B1337" s="346" t="s">
        <v>1334</v>
      </c>
      <c r="C1337" s="347">
        <v>1115591</v>
      </c>
      <c r="D1337" s="2" t="s">
        <v>1337</v>
      </c>
    </row>
    <row r="1338" spans="2:4" outlineLevel="1">
      <c r="B1338" s="346"/>
      <c r="C1338" s="347"/>
      <c r="D1338" s="2"/>
    </row>
    <row r="1339" spans="2:4" outlineLevel="1">
      <c r="B1339" s="346" t="s">
        <v>1338</v>
      </c>
      <c r="C1339" s="347">
        <v>1115941</v>
      </c>
      <c r="D1339" s="2" t="s">
        <v>1339</v>
      </c>
    </row>
    <row r="1340" spans="2:4" outlineLevel="1">
      <c r="B1340" s="346" t="s">
        <v>1338</v>
      </c>
      <c r="C1340" s="347">
        <v>1115941</v>
      </c>
      <c r="D1340" s="2" t="s">
        <v>2616</v>
      </c>
    </row>
    <row r="1341" spans="2:4" outlineLevel="1">
      <c r="B1341" s="346" t="s">
        <v>1338</v>
      </c>
      <c r="C1341" s="347">
        <v>1115602</v>
      </c>
      <c r="D1341" s="2" t="s">
        <v>1340</v>
      </c>
    </row>
    <row r="1342" spans="2:4" outlineLevel="1">
      <c r="B1342" s="346"/>
      <c r="C1342" s="347"/>
      <c r="D1342" s="2"/>
    </row>
    <row r="1343" spans="2:4" outlineLevel="1">
      <c r="B1343" s="346" t="s">
        <v>1341</v>
      </c>
      <c r="C1343" s="347">
        <v>1115607</v>
      </c>
      <c r="D1343" s="2" t="s">
        <v>1342</v>
      </c>
    </row>
    <row r="1344" spans="2:4" outlineLevel="1">
      <c r="B1344" s="346" t="s">
        <v>1341</v>
      </c>
      <c r="C1344" s="347">
        <v>1115608</v>
      </c>
      <c r="D1344" s="2" t="s">
        <v>1343</v>
      </c>
    </row>
    <row r="1345" spans="2:4" outlineLevel="1">
      <c r="B1345" s="346" t="s">
        <v>1341</v>
      </c>
      <c r="C1345" s="347">
        <v>1115922</v>
      </c>
      <c r="D1345" s="2" t="s">
        <v>1344</v>
      </c>
    </row>
    <row r="1346" spans="2:4" outlineLevel="1">
      <c r="B1346" s="346"/>
      <c r="C1346" s="347"/>
      <c r="D1346" s="2"/>
    </row>
    <row r="1347" spans="2:4" outlineLevel="1">
      <c r="B1347" s="346" t="s">
        <v>1345</v>
      </c>
      <c r="C1347" s="347">
        <v>1115924</v>
      </c>
      <c r="D1347" s="2" t="s">
        <v>1346</v>
      </c>
    </row>
    <row r="1348" spans="2:4" outlineLevel="1">
      <c r="B1348" s="346"/>
      <c r="C1348" s="347"/>
      <c r="D1348" s="2"/>
    </row>
    <row r="1349" spans="2:4" outlineLevel="1">
      <c r="B1349" s="346" t="s">
        <v>1347</v>
      </c>
      <c r="C1349" s="347">
        <v>1115951</v>
      </c>
      <c r="D1349" s="2" t="s">
        <v>1348</v>
      </c>
    </row>
    <row r="1350" spans="2:4" outlineLevel="1">
      <c r="B1350" s="346"/>
      <c r="C1350" s="347"/>
      <c r="D1350" s="2"/>
    </row>
    <row r="1351" spans="2:4" outlineLevel="1">
      <c r="B1351" s="346" t="s">
        <v>1349</v>
      </c>
      <c r="C1351" s="347">
        <v>1115923</v>
      </c>
      <c r="D1351" s="2" t="s">
        <v>1350</v>
      </c>
    </row>
    <row r="1352" spans="2:4" outlineLevel="1">
      <c r="B1352" s="346" t="s">
        <v>1349</v>
      </c>
      <c r="C1352" s="347">
        <v>1115906</v>
      </c>
      <c r="D1352" s="2" t="s">
        <v>1351</v>
      </c>
    </row>
    <row r="1353" spans="2:4" outlineLevel="1">
      <c r="B1353" s="346"/>
      <c r="C1353" s="347"/>
      <c r="D1353" s="2"/>
    </row>
    <row r="1354" spans="2:4" outlineLevel="1">
      <c r="B1354" s="346" t="s">
        <v>1352</v>
      </c>
      <c r="C1354" s="347">
        <v>1115033</v>
      </c>
      <c r="D1354" s="2" t="s">
        <v>1353</v>
      </c>
    </row>
    <row r="1355" spans="2:4" outlineLevel="1">
      <c r="B1355" s="346" t="s">
        <v>1352</v>
      </c>
      <c r="C1355" s="347">
        <v>1115033</v>
      </c>
      <c r="D1355" s="2" t="s">
        <v>1354</v>
      </c>
    </row>
    <row r="1356" spans="2:4" outlineLevel="1">
      <c r="B1356" s="346" t="s">
        <v>1352</v>
      </c>
      <c r="C1356" s="347">
        <v>1115075</v>
      </c>
      <c r="D1356" s="2" t="s">
        <v>1355</v>
      </c>
    </row>
    <row r="1357" spans="2:4" outlineLevel="1">
      <c r="B1357" s="346" t="s">
        <v>1352</v>
      </c>
      <c r="C1357" s="347">
        <v>1115100</v>
      </c>
      <c r="D1357" s="2" t="s">
        <v>1356</v>
      </c>
    </row>
    <row r="1358" spans="2:4" outlineLevel="1">
      <c r="B1358" s="346" t="s">
        <v>1352</v>
      </c>
      <c r="C1358" s="347">
        <v>1115310</v>
      </c>
      <c r="D1358" s="2" t="s">
        <v>1357</v>
      </c>
    </row>
    <row r="1359" spans="2:4" outlineLevel="1">
      <c r="B1359" s="346"/>
      <c r="C1359" s="347"/>
      <c r="D1359" s="2"/>
    </row>
    <row r="1360" spans="2:4" outlineLevel="1">
      <c r="B1360" s="346" t="s">
        <v>1358</v>
      </c>
      <c r="C1360" s="347">
        <v>1115909</v>
      </c>
      <c r="D1360" s="2" t="s">
        <v>1359</v>
      </c>
    </row>
    <row r="1361" spans="2:4" outlineLevel="1">
      <c r="B1361" s="346" t="s">
        <v>1358</v>
      </c>
      <c r="C1361" s="347">
        <v>1115849</v>
      </c>
      <c r="D1361" s="2" t="s">
        <v>1360</v>
      </c>
    </row>
    <row r="1362" spans="2:4" outlineLevel="1">
      <c r="B1362" s="346" t="s">
        <v>1358</v>
      </c>
      <c r="C1362" s="347">
        <v>1115208</v>
      </c>
      <c r="D1362" s="2" t="s">
        <v>1361</v>
      </c>
    </row>
    <row r="1363" spans="2:4" outlineLevel="1">
      <c r="B1363" s="346" t="s">
        <v>1358</v>
      </c>
      <c r="C1363" s="347">
        <v>1115020</v>
      </c>
      <c r="D1363" s="2" t="s">
        <v>1362</v>
      </c>
    </row>
    <row r="1364" spans="2:4" outlineLevel="1">
      <c r="B1364" s="346"/>
      <c r="C1364" s="347"/>
      <c r="D1364" s="2"/>
    </row>
    <row r="1365" spans="2:4" outlineLevel="1">
      <c r="B1365" s="346" t="s">
        <v>1363</v>
      </c>
      <c r="C1365" s="347">
        <v>1115954</v>
      </c>
      <c r="D1365" s="2" t="s">
        <v>1364</v>
      </c>
    </row>
    <row r="1366" spans="2:4" outlineLevel="1">
      <c r="B1366" s="346" t="s">
        <v>1363</v>
      </c>
      <c r="C1366" s="347">
        <v>1115908</v>
      </c>
      <c r="D1366" s="2" t="s">
        <v>1365</v>
      </c>
    </row>
    <row r="1367" spans="2:4" outlineLevel="1">
      <c r="B1367" s="346" t="s">
        <v>1363</v>
      </c>
      <c r="C1367" s="347">
        <v>1115743</v>
      </c>
      <c r="D1367" s="2" t="s">
        <v>1366</v>
      </c>
    </row>
    <row r="1368" spans="2:4" outlineLevel="1">
      <c r="B1368" s="346" t="s">
        <v>1363</v>
      </c>
      <c r="C1368" s="347">
        <v>1115249</v>
      </c>
      <c r="D1368" s="2" t="s">
        <v>1367</v>
      </c>
    </row>
    <row r="1369" spans="2:4" outlineLevel="1">
      <c r="B1369" s="346"/>
      <c r="C1369" s="347"/>
      <c r="D1369" s="2"/>
    </row>
    <row r="1370" spans="2:4" outlineLevel="1">
      <c r="B1370" s="346" t="s">
        <v>1368</v>
      </c>
      <c r="C1370" s="347">
        <v>1115331</v>
      </c>
      <c r="D1370" s="2" t="s">
        <v>1369</v>
      </c>
    </row>
    <row r="1371" spans="2:4" outlineLevel="1">
      <c r="B1371" s="346" t="s">
        <v>1368</v>
      </c>
      <c r="C1371" s="347">
        <v>1115332</v>
      </c>
      <c r="D1371" s="2" t="s">
        <v>1370</v>
      </c>
    </row>
    <row r="1372" spans="2:4" outlineLevel="1">
      <c r="B1372" s="346"/>
      <c r="C1372" s="347"/>
      <c r="D1372" s="2"/>
    </row>
    <row r="1373" spans="2:4" outlineLevel="1">
      <c r="B1373" s="346" t="s">
        <v>1371</v>
      </c>
      <c r="C1373" s="347">
        <v>1115267</v>
      </c>
      <c r="D1373" s="2" t="s">
        <v>1372</v>
      </c>
    </row>
    <row r="1374" spans="2:4" outlineLevel="1">
      <c r="B1374" s="346" t="s">
        <v>1371</v>
      </c>
      <c r="C1374" s="347">
        <v>1115932</v>
      </c>
      <c r="D1374" s="2" t="s">
        <v>1373</v>
      </c>
    </row>
    <row r="1375" spans="2:4" outlineLevel="1">
      <c r="B1375" s="346" t="s">
        <v>1371</v>
      </c>
      <c r="C1375" s="347" t="s">
        <v>1787</v>
      </c>
      <c r="D1375" s="2" t="s">
        <v>2750</v>
      </c>
    </row>
    <row r="1376" spans="2:4" outlineLevel="1">
      <c r="B1376" s="346" t="s">
        <v>1371</v>
      </c>
      <c r="C1376" s="347"/>
      <c r="D1376" s="2"/>
    </row>
    <row r="1377" spans="2:4" outlineLevel="1">
      <c r="B1377" s="346"/>
      <c r="C1377" s="347"/>
      <c r="D1377" s="2"/>
    </row>
    <row r="1378" spans="2:4" outlineLevel="1">
      <c r="B1378" s="346" t="s">
        <v>1374</v>
      </c>
      <c r="C1378" s="347">
        <v>1115931</v>
      </c>
      <c r="D1378" s="2" t="s">
        <v>1375</v>
      </c>
    </row>
    <row r="1379" spans="2:4" outlineLevel="1">
      <c r="B1379" s="346" t="s">
        <v>1374</v>
      </c>
      <c r="C1379" s="347">
        <v>1115985</v>
      </c>
      <c r="D1379" s="2" t="s">
        <v>2628</v>
      </c>
    </row>
    <row r="1380" spans="2:4" outlineLevel="1">
      <c r="B1380" s="346" t="s">
        <v>1374</v>
      </c>
      <c r="C1380" s="347">
        <v>1115664</v>
      </c>
      <c r="D1380" s="2" t="s">
        <v>1376</v>
      </c>
    </row>
    <row r="1381" spans="2:4" outlineLevel="1">
      <c r="B1381" s="346" t="s">
        <v>1374</v>
      </c>
      <c r="C1381" s="347">
        <v>1115907</v>
      </c>
      <c r="D1381" s="2" t="s">
        <v>1377</v>
      </c>
    </row>
    <row r="1382" spans="2:4" outlineLevel="1">
      <c r="B1382" s="346" t="s">
        <v>1374</v>
      </c>
      <c r="C1382" s="347">
        <v>1115333</v>
      </c>
      <c r="D1382" s="2" t="s">
        <v>1378</v>
      </c>
    </row>
    <row r="1383" spans="2:4" outlineLevel="1">
      <c r="B1383" s="346"/>
      <c r="C1383" s="347"/>
      <c r="D1383" s="2"/>
    </row>
    <row r="1384" spans="2:4" outlineLevel="1">
      <c r="B1384" s="346" t="s">
        <v>1379</v>
      </c>
      <c r="C1384" s="347">
        <v>1115903</v>
      </c>
      <c r="D1384" s="2" t="s">
        <v>1380</v>
      </c>
    </row>
    <row r="1385" spans="2:4" outlineLevel="1">
      <c r="B1385" s="346" t="s">
        <v>1379</v>
      </c>
      <c r="C1385" s="347">
        <v>1115915</v>
      </c>
      <c r="D1385" s="2" t="s">
        <v>1381</v>
      </c>
    </row>
    <row r="1386" spans="2:4" outlineLevel="1">
      <c r="B1386" s="346"/>
      <c r="C1386" s="347"/>
      <c r="D1386" s="2"/>
    </row>
    <row r="1387" spans="2:4" outlineLevel="1">
      <c r="B1387" s="346" t="s">
        <v>1382</v>
      </c>
      <c r="C1387" s="347">
        <v>1115902</v>
      </c>
      <c r="D1387" s="2" t="s">
        <v>1383</v>
      </c>
    </row>
    <row r="1388" spans="2:4" outlineLevel="1">
      <c r="B1388" s="346" t="s">
        <v>1382</v>
      </c>
      <c r="C1388" s="347">
        <v>1115914</v>
      </c>
      <c r="D1388" s="2" t="s">
        <v>1384</v>
      </c>
    </row>
    <row r="1389" spans="2:4" outlineLevel="1">
      <c r="B1389" s="346" t="s">
        <v>1382</v>
      </c>
      <c r="C1389" s="347">
        <v>1115955</v>
      </c>
      <c r="D1389" s="2" t="s">
        <v>1385</v>
      </c>
    </row>
    <row r="1390" spans="2:4" outlineLevel="1">
      <c r="B1390" s="346" t="s">
        <v>1382</v>
      </c>
      <c r="C1390" s="347">
        <v>1115960</v>
      </c>
      <c r="D1390" s="2" t="s">
        <v>1386</v>
      </c>
    </row>
    <row r="1391" spans="2:4" outlineLevel="1"/>
    <row r="1392" spans="2:4" outlineLevel="1">
      <c r="B1392" s="346" t="s">
        <v>1387</v>
      </c>
      <c r="C1392" s="274">
        <v>104096</v>
      </c>
      <c r="D1392" s="71" t="s">
        <v>1388</v>
      </c>
    </row>
    <row r="1393" spans="2:5" outlineLevel="1">
      <c r="B1393" s="346" t="s">
        <v>1387</v>
      </c>
      <c r="C1393" s="274">
        <v>1115326</v>
      </c>
      <c r="D1393" s="71" t="s">
        <v>1389</v>
      </c>
    </row>
    <row r="1394" spans="2:5">
      <c r="E1394" s="71"/>
    </row>
    <row r="1395" spans="2:5">
      <c r="B1395" s="121" t="s">
        <v>3468</v>
      </c>
      <c r="C1395" s="274">
        <v>1115970</v>
      </c>
      <c r="D1395" s="71" t="s">
        <v>3467</v>
      </c>
      <c r="E1395" s="71"/>
    </row>
    <row r="1396" spans="2:5">
      <c r="E1396" s="71"/>
    </row>
    <row r="1397" spans="2:5">
      <c r="E1397" s="71"/>
    </row>
    <row r="1398" spans="2:5">
      <c r="E1398" s="71"/>
    </row>
    <row r="1399" spans="2:5">
      <c r="E1399" s="71"/>
    </row>
    <row r="1400" spans="2:5">
      <c r="E1400" s="71"/>
    </row>
    <row r="1401" spans="2:5">
      <c r="E1401" s="71"/>
    </row>
    <row r="1402" spans="2:5">
      <c r="E1402" s="71"/>
    </row>
    <row r="1403" spans="2:5">
      <c r="E1403" s="71"/>
    </row>
    <row r="1404" spans="2:5">
      <c r="E1404" s="71"/>
    </row>
    <row r="1405" spans="2:5">
      <c r="E1405" s="71"/>
    </row>
    <row r="1406" spans="2:5">
      <c r="E1406" s="71"/>
    </row>
    <row r="1407" spans="2:5">
      <c r="E1407" s="71"/>
    </row>
    <row r="1408" spans="2:5">
      <c r="E1408" s="71"/>
    </row>
    <row r="1409" spans="3:5">
      <c r="E1409" s="71"/>
    </row>
    <row r="1410" spans="3:5">
      <c r="E1410" s="71"/>
    </row>
    <row r="1411" spans="3:5">
      <c r="E1411" s="71"/>
    </row>
    <row r="1412" spans="3:5">
      <c r="E1412" s="71"/>
    </row>
    <row r="1413" spans="3:5">
      <c r="E1413" s="71"/>
    </row>
    <row r="1414" spans="3:5">
      <c r="E1414" s="71"/>
    </row>
    <row r="1415" spans="3:5">
      <c r="E1415" s="71"/>
    </row>
    <row r="1416" spans="3:5">
      <c r="C1416" s="274">
        <v>122870</v>
      </c>
      <c r="D1416" s="71" t="s">
        <v>4092</v>
      </c>
      <c r="E1416" s="71"/>
    </row>
    <row r="1417" spans="3:5">
      <c r="C1417" s="274">
        <v>220671</v>
      </c>
      <c r="D1417" s="71" t="s">
        <v>4093</v>
      </c>
      <c r="E1417" s="71"/>
    </row>
    <row r="1418" spans="3:5">
      <c r="E1418" s="71"/>
    </row>
    <row r="1419" spans="3:5">
      <c r="C1419" s="274">
        <v>122870</v>
      </c>
      <c r="D1419" s="71" t="s">
        <v>4092</v>
      </c>
      <c r="E1419" s="71"/>
    </row>
    <row r="1420" spans="3:5">
      <c r="C1420" s="274">
        <v>121664</v>
      </c>
      <c r="D1420" s="71" t="s">
        <v>4094</v>
      </c>
      <c r="E1420" s="71"/>
    </row>
    <row r="1421" spans="3:5">
      <c r="C1421" s="274">
        <v>220300</v>
      </c>
      <c r="D1421" s="71" t="s">
        <v>4095</v>
      </c>
      <c r="E1421" s="71"/>
    </row>
    <row r="1422" spans="3:5">
      <c r="E1422" s="71"/>
    </row>
    <row r="1423" spans="3:5">
      <c r="E1423" s="71"/>
    </row>
    <row r="1424" spans="3:5">
      <c r="E1424" s="71"/>
    </row>
    <row r="1425" spans="2:5">
      <c r="E1425" s="71"/>
    </row>
    <row r="1426" spans="2:5">
      <c r="B1426" s="121" t="s">
        <v>2495</v>
      </c>
      <c r="C1426" s="478"/>
      <c r="D1426" s="71" t="s">
        <v>3108</v>
      </c>
      <c r="E1426" s="123">
        <v>0.25</v>
      </c>
    </row>
    <row r="1427" spans="2:5">
      <c r="B1427" s="121" t="s">
        <v>2495</v>
      </c>
      <c r="C1427" s="478"/>
      <c r="D1427" s="71" t="s">
        <v>3209</v>
      </c>
      <c r="E1427" s="123">
        <v>0.25</v>
      </c>
    </row>
    <row r="1428" spans="2:5">
      <c r="B1428" s="121" t="s">
        <v>2495</v>
      </c>
      <c r="C1428" s="478"/>
      <c r="D1428" s="71" t="s">
        <v>3103</v>
      </c>
      <c r="E1428" s="123">
        <v>0.25</v>
      </c>
    </row>
    <row r="1429" spans="2:5">
      <c r="B1429" s="121" t="s">
        <v>2495</v>
      </c>
      <c r="C1429" s="478"/>
      <c r="D1429" s="71" t="s">
        <v>3104</v>
      </c>
      <c r="E1429" s="123">
        <v>0.25</v>
      </c>
    </row>
    <row r="1430" spans="2:5">
      <c r="B1430" s="121" t="s">
        <v>2495</v>
      </c>
      <c r="C1430" s="478"/>
      <c r="D1430" s="71" t="s">
        <v>4126</v>
      </c>
      <c r="E1430" s="123">
        <v>0.25</v>
      </c>
    </row>
    <row r="1431" spans="2:5">
      <c r="B1431" s="121" t="s">
        <v>2495</v>
      </c>
      <c r="C1431" s="478"/>
      <c r="D1431" s="71" t="s">
        <v>4127</v>
      </c>
      <c r="E1431" s="123">
        <v>0.25</v>
      </c>
    </row>
    <row r="1432" spans="2:5">
      <c r="B1432" s="121" t="s">
        <v>2495</v>
      </c>
      <c r="C1432" s="478"/>
      <c r="D1432" s="71" t="s">
        <v>4128</v>
      </c>
      <c r="E1432" s="123">
        <v>0.25</v>
      </c>
    </row>
    <row r="1433" spans="2:5">
      <c r="B1433" s="121" t="s">
        <v>2495</v>
      </c>
      <c r="C1433" s="478"/>
      <c r="D1433" s="71" t="s">
        <v>4129</v>
      </c>
      <c r="E1433" s="123">
        <v>0.25</v>
      </c>
    </row>
    <row r="1434" spans="2:5">
      <c r="C1434" s="478"/>
      <c r="D1434" s="503" t="s">
        <v>3053</v>
      </c>
      <c r="E1434" s="123">
        <v>0.5</v>
      </c>
    </row>
    <row r="1435" spans="2:5">
      <c r="B1435" s="121" t="s">
        <v>2495</v>
      </c>
      <c r="C1435" s="478"/>
      <c r="D1435" s="503" t="s">
        <v>2988</v>
      </c>
      <c r="E1435" s="123">
        <v>0.25</v>
      </c>
    </row>
    <row r="1436" spans="2:5">
      <c r="C1436" s="478"/>
      <c r="E1436" s="123"/>
    </row>
    <row r="1437" spans="2:5">
      <c r="C1437" s="478"/>
      <c r="E1437" s="123"/>
    </row>
    <row r="1438" spans="2:5">
      <c r="B1438" s="121" t="s">
        <v>52</v>
      </c>
      <c r="C1438" s="478">
        <v>122255</v>
      </c>
      <c r="D1438" s="71" t="s">
        <v>2567</v>
      </c>
      <c r="E1438" s="123">
        <v>0.5</v>
      </c>
    </row>
    <row r="1439" spans="2:5">
      <c r="B1439" s="121" t="s">
        <v>52</v>
      </c>
      <c r="C1439" s="478">
        <v>115004</v>
      </c>
      <c r="D1439" s="71" t="s">
        <v>2586</v>
      </c>
      <c r="E1439" s="123">
        <v>1</v>
      </c>
    </row>
    <row r="1440" spans="2:5">
      <c r="B1440" s="121" t="s">
        <v>52</v>
      </c>
      <c r="C1440" s="479" t="s">
        <v>1787</v>
      </c>
      <c r="D1440" s="71" t="s">
        <v>4204</v>
      </c>
      <c r="E1440" s="123">
        <v>0.5</v>
      </c>
    </row>
    <row r="1441" spans="2:5">
      <c r="B1441" s="121" t="s">
        <v>52</v>
      </c>
      <c r="C1441" s="478"/>
      <c r="D1441" s="71" t="s">
        <v>1527</v>
      </c>
      <c r="E1441" s="123">
        <v>0.5</v>
      </c>
    </row>
    <row r="1442" spans="2:5">
      <c r="B1442" s="121" t="s">
        <v>52</v>
      </c>
      <c r="C1442" s="478"/>
      <c r="D1442" s="503" t="s">
        <v>3053</v>
      </c>
      <c r="E1442" s="123">
        <v>0.5</v>
      </c>
    </row>
    <row r="1443" spans="2:5">
      <c r="B1443" s="121" t="s">
        <v>52</v>
      </c>
      <c r="C1443" s="481" t="s">
        <v>1787</v>
      </c>
      <c r="D1443" s="2" t="s">
        <v>1868</v>
      </c>
      <c r="E1443" s="123">
        <v>0</v>
      </c>
    </row>
    <row r="1444" spans="2:5" ht="15.75" customHeight="1">
      <c r="B1444" s="121" t="s">
        <v>52</v>
      </c>
      <c r="C1444" s="481">
        <v>120775</v>
      </c>
      <c r="D1444" s="2" t="s">
        <v>2928</v>
      </c>
      <c r="E1444" s="123">
        <v>1</v>
      </c>
    </row>
    <row r="1445" spans="2:5" ht="15.75" customHeight="1">
      <c r="B1445" s="121" t="s">
        <v>52</v>
      </c>
      <c r="C1445" s="543">
        <v>122235</v>
      </c>
      <c r="D1445" s="71" t="s">
        <v>4364</v>
      </c>
      <c r="E1445" s="123">
        <v>1</v>
      </c>
    </row>
    <row r="1446" spans="2:5" ht="15.75" customHeight="1">
      <c r="B1446" s="121" t="s">
        <v>52</v>
      </c>
      <c r="C1446" s="543" t="s">
        <v>1787</v>
      </c>
      <c r="D1446" s="71" t="s">
        <v>4330</v>
      </c>
      <c r="E1446" s="123">
        <v>1</v>
      </c>
    </row>
    <row r="1447" spans="2:5">
      <c r="B1447" s="121" t="s">
        <v>52</v>
      </c>
      <c r="C1447" s="543">
        <v>121161</v>
      </c>
      <c r="D1447" s="71" t="s">
        <v>3538</v>
      </c>
      <c r="E1447" s="123">
        <v>1</v>
      </c>
    </row>
    <row r="1448" spans="2:5">
      <c r="B1448" s="121" t="s">
        <v>52</v>
      </c>
      <c r="C1448" s="543" t="s">
        <v>1787</v>
      </c>
      <c r="D1448" s="71" t="s">
        <v>4313</v>
      </c>
      <c r="E1448" s="123">
        <v>1</v>
      </c>
    </row>
    <row r="1449" spans="2:5">
      <c r="B1449" s="121" t="s">
        <v>52</v>
      </c>
      <c r="C1449" s="692" t="s">
        <v>1787</v>
      </c>
      <c r="D1449" s="691" t="s">
        <v>3821</v>
      </c>
      <c r="E1449" s="123">
        <v>1</v>
      </c>
    </row>
    <row r="1450" spans="2:5">
      <c r="B1450" s="121" t="s">
        <v>52</v>
      </c>
      <c r="C1450" s="692" t="s">
        <v>1787</v>
      </c>
      <c r="D1450" s="742" t="s">
        <v>4028</v>
      </c>
      <c r="E1450" s="123">
        <v>1</v>
      </c>
    </row>
    <row r="1451" spans="2:5">
      <c r="B1451" s="121" t="s">
        <v>52</v>
      </c>
      <c r="C1451" s="744">
        <v>123036</v>
      </c>
      <c r="D1451" s="765" t="s">
        <v>4164</v>
      </c>
      <c r="E1451" s="123">
        <v>1</v>
      </c>
    </row>
    <row r="1452" spans="2:5">
      <c r="B1452" s="121" t="s">
        <v>52</v>
      </c>
      <c r="C1452" s="274">
        <v>122870</v>
      </c>
      <c r="D1452" s="71" t="s">
        <v>4096</v>
      </c>
      <c r="E1452" s="123">
        <v>1</v>
      </c>
    </row>
    <row r="1453" spans="2:5">
      <c r="E1453" s="123"/>
    </row>
    <row r="1454" spans="2:5">
      <c r="B1454" s="121" t="s">
        <v>52</v>
      </c>
      <c r="C1454" s="481">
        <v>122102</v>
      </c>
      <c r="D1454" s="2" t="s">
        <v>4148</v>
      </c>
      <c r="E1454" s="123">
        <v>1</v>
      </c>
    </row>
    <row r="1455" spans="2:5">
      <c r="B1455" s="121" t="s">
        <v>52</v>
      </c>
      <c r="C1455" s="481" t="s">
        <v>1787</v>
      </c>
      <c r="D1455" s="2" t="s">
        <v>4362</v>
      </c>
      <c r="E1455" s="123">
        <v>1</v>
      </c>
    </row>
    <row r="1456" spans="2:5">
      <c r="B1456" s="121" t="s">
        <v>52</v>
      </c>
      <c r="C1456" s="274">
        <v>121664</v>
      </c>
      <c r="D1456" s="71" t="s">
        <v>4097</v>
      </c>
      <c r="E1456" s="123">
        <v>1</v>
      </c>
    </row>
    <row r="1457" spans="2:5" ht="15.75" customHeight="1">
      <c r="B1457" s="121" t="s">
        <v>52</v>
      </c>
      <c r="C1457" s="479">
        <v>122898</v>
      </c>
      <c r="D1457" s="71" t="s">
        <v>3069</v>
      </c>
      <c r="E1457" s="123">
        <v>1</v>
      </c>
    </row>
    <row r="1458" spans="2:5">
      <c r="B1458" s="121" t="s">
        <v>52</v>
      </c>
      <c r="C1458" s="479">
        <v>122043</v>
      </c>
      <c r="D1458" s="71" t="s">
        <v>1418</v>
      </c>
      <c r="E1458" s="123">
        <v>1</v>
      </c>
    </row>
    <row r="1459" spans="2:5">
      <c r="B1459" s="121" t="s">
        <v>52</v>
      </c>
      <c r="C1459" s="479">
        <v>122042</v>
      </c>
      <c r="D1459" s="71" t="s">
        <v>1419</v>
      </c>
      <c r="E1459" s="123">
        <v>1</v>
      </c>
    </row>
    <row r="1460" spans="2:5">
      <c r="B1460" s="121" t="s">
        <v>52</v>
      </c>
      <c r="C1460" s="481">
        <v>121291</v>
      </c>
      <c r="D1460" s="2" t="s">
        <v>2902</v>
      </c>
      <c r="E1460" s="123">
        <v>1</v>
      </c>
    </row>
    <row r="1461" spans="2:5">
      <c r="B1461" s="121" t="s">
        <v>52</v>
      </c>
      <c r="C1461" s="479">
        <v>121504</v>
      </c>
      <c r="D1461" s="71" t="s">
        <v>2786</v>
      </c>
      <c r="E1461" s="123">
        <v>1</v>
      </c>
    </row>
    <row r="1462" spans="2:5">
      <c r="B1462" s="121" t="s">
        <v>52</v>
      </c>
      <c r="C1462" s="479">
        <v>121420</v>
      </c>
      <c r="D1462" s="71" t="s">
        <v>1414</v>
      </c>
      <c r="E1462" s="123">
        <v>1</v>
      </c>
    </row>
    <row r="1463" spans="2:5">
      <c r="B1463" s="121" t="s">
        <v>52</v>
      </c>
      <c r="C1463" s="479">
        <v>121285</v>
      </c>
      <c r="D1463" s="71" t="s">
        <v>2359</v>
      </c>
      <c r="E1463" s="123">
        <v>1</v>
      </c>
    </row>
    <row r="1464" spans="2:5">
      <c r="B1464" s="121" t="s">
        <v>52</v>
      </c>
      <c r="C1464" s="479">
        <v>122091</v>
      </c>
      <c r="D1464" s="71" t="s">
        <v>2631</v>
      </c>
      <c r="E1464" s="123">
        <v>1</v>
      </c>
    </row>
    <row r="1465" spans="2:5">
      <c r="B1465" s="121" t="s">
        <v>52</v>
      </c>
      <c r="C1465" s="479">
        <v>121608</v>
      </c>
      <c r="D1465" s="71" t="s">
        <v>2518</v>
      </c>
      <c r="E1465" s="123">
        <v>1</v>
      </c>
    </row>
    <row r="1466" spans="2:5">
      <c r="B1466" s="121" t="s">
        <v>52</v>
      </c>
      <c r="C1466" s="481">
        <v>122223</v>
      </c>
      <c r="D1466" s="2" t="s">
        <v>3029</v>
      </c>
      <c r="E1466" s="123">
        <v>1</v>
      </c>
    </row>
    <row r="1467" spans="2:5">
      <c r="B1467" s="121" t="s">
        <v>52</v>
      </c>
      <c r="C1467" s="479">
        <v>121750</v>
      </c>
      <c r="D1467" s="71" t="s">
        <v>1396</v>
      </c>
      <c r="E1467" s="123">
        <v>1</v>
      </c>
    </row>
    <row r="1468" spans="2:5">
      <c r="B1468" s="121" t="s">
        <v>52</v>
      </c>
      <c r="C1468" s="479">
        <v>121379</v>
      </c>
      <c r="D1468" s="71" t="s">
        <v>1408</v>
      </c>
      <c r="E1468" s="123">
        <v>1</v>
      </c>
    </row>
    <row r="1469" spans="2:5">
      <c r="B1469" s="121" t="s">
        <v>52</v>
      </c>
      <c r="C1469" s="479">
        <v>121239</v>
      </c>
      <c r="D1469" s="71" t="s">
        <v>1405</v>
      </c>
      <c r="E1469" s="123">
        <v>1</v>
      </c>
    </row>
    <row r="1470" spans="2:5">
      <c r="B1470" s="121" t="s">
        <v>52</v>
      </c>
      <c r="C1470" s="479">
        <v>121239</v>
      </c>
      <c r="D1470" s="71" t="s">
        <v>1405</v>
      </c>
      <c r="E1470" s="123">
        <v>1</v>
      </c>
    </row>
    <row r="1471" spans="2:5">
      <c r="B1471" s="121" t="s">
        <v>52</v>
      </c>
      <c r="C1471" s="479">
        <v>121749</v>
      </c>
      <c r="D1471" s="71" t="s">
        <v>2351</v>
      </c>
      <c r="E1471" s="123">
        <v>1</v>
      </c>
    </row>
    <row r="1472" spans="2:5">
      <c r="B1472" s="121" t="s">
        <v>52</v>
      </c>
      <c r="C1472" s="479">
        <v>122606</v>
      </c>
      <c r="D1472" s="480" t="s">
        <v>2584</v>
      </c>
      <c r="E1472" s="123">
        <v>1</v>
      </c>
    </row>
    <row r="1473" spans="2:5">
      <c r="B1473" s="121" t="s">
        <v>52</v>
      </c>
      <c r="C1473" s="481">
        <v>122647</v>
      </c>
      <c r="D1473" s="2" t="s">
        <v>3805</v>
      </c>
      <c r="E1473" s="123">
        <v>1</v>
      </c>
    </row>
    <row r="1474" spans="2:5">
      <c r="B1474" s="121" t="s">
        <v>52</v>
      </c>
      <c r="C1474" s="479">
        <v>121277</v>
      </c>
      <c r="D1474" s="480" t="s">
        <v>2670</v>
      </c>
      <c r="E1474" s="123">
        <v>1</v>
      </c>
    </row>
    <row r="1475" spans="2:5">
      <c r="B1475" s="121" t="s">
        <v>52</v>
      </c>
      <c r="C1475" s="481">
        <v>121479</v>
      </c>
      <c r="D1475" s="2" t="s">
        <v>3610</v>
      </c>
      <c r="E1475" s="123">
        <v>1</v>
      </c>
    </row>
    <row r="1476" spans="2:5">
      <c r="B1476" s="121" t="s">
        <v>52</v>
      </c>
      <c r="C1476" s="692">
        <v>121369</v>
      </c>
      <c r="D1476" s="691" t="s">
        <v>3820</v>
      </c>
      <c r="E1476" s="123">
        <v>1</v>
      </c>
    </row>
    <row r="1477" spans="2:5">
      <c r="B1477" s="121" t="s">
        <v>52</v>
      </c>
      <c r="C1477" s="479">
        <v>121135</v>
      </c>
      <c r="D1477" s="480" t="s">
        <v>2671</v>
      </c>
      <c r="E1477" s="123">
        <v>1</v>
      </c>
    </row>
    <row r="1478" spans="2:5" ht="15.75" customHeight="1">
      <c r="B1478" s="121" t="s">
        <v>52</v>
      </c>
      <c r="C1478" s="543">
        <v>122491</v>
      </c>
      <c r="D1478" s="71" t="s">
        <v>2671</v>
      </c>
      <c r="E1478" s="123">
        <v>1</v>
      </c>
    </row>
    <row r="1479" spans="2:5">
      <c r="B1479" s="121" t="s">
        <v>52</v>
      </c>
      <c r="C1479" s="543">
        <v>121137</v>
      </c>
      <c r="D1479" s="71" t="s">
        <v>2792</v>
      </c>
      <c r="E1479" s="123">
        <v>1</v>
      </c>
    </row>
    <row r="1480" spans="2:5">
      <c r="B1480" s="121" t="s">
        <v>52</v>
      </c>
      <c r="C1480" s="763">
        <v>121516</v>
      </c>
      <c r="D1480" s="762" t="s">
        <v>4150</v>
      </c>
      <c r="E1480" s="123">
        <v>1</v>
      </c>
    </row>
    <row r="1481" spans="2:5">
      <c r="B1481" s="121" t="s">
        <v>52</v>
      </c>
      <c r="C1481" s="763">
        <v>122326</v>
      </c>
      <c r="D1481" s="762" t="s">
        <v>4151</v>
      </c>
      <c r="E1481" s="123">
        <v>1</v>
      </c>
    </row>
    <row r="1482" spans="2:5">
      <c r="B1482" s="121" t="s">
        <v>52</v>
      </c>
      <c r="C1482" s="763">
        <v>121516</v>
      </c>
      <c r="D1482" s="762" t="s">
        <v>4152</v>
      </c>
      <c r="E1482" s="123">
        <v>1</v>
      </c>
    </row>
    <row r="1483" spans="2:5">
      <c r="B1483" s="121" t="s">
        <v>52</v>
      </c>
      <c r="C1483" s="763">
        <v>122326</v>
      </c>
      <c r="D1483" s="762" t="s">
        <v>4153</v>
      </c>
      <c r="E1483" s="123">
        <v>1</v>
      </c>
    </row>
    <row r="1484" spans="2:5">
      <c r="B1484" s="121" t="s">
        <v>52</v>
      </c>
      <c r="C1484" s="763">
        <v>121516</v>
      </c>
      <c r="D1484" s="762" t="s">
        <v>4154</v>
      </c>
      <c r="E1484" s="123">
        <v>1</v>
      </c>
    </row>
    <row r="1485" spans="2:5">
      <c r="B1485" s="121" t="s">
        <v>52</v>
      </c>
      <c r="C1485" s="763">
        <v>122326</v>
      </c>
      <c r="D1485" s="762" t="s">
        <v>4155</v>
      </c>
      <c r="E1485" s="123">
        <v>1</v>
      </c>
    </row>
    <row r="1486" spans="2:5">
      <c r="B1486" s="121" t="s">
        <v>52</v>
      </c>
      <c r="C1486" s="543">
        <v>122270</v>
      </c>
      <c r="D1486" s="71" t="s">
        <v>2672</v>
      </c>
      <c r="E1486" s="123">
        <v>1</v>
      </c>
    </row>
    <row r="1487" spans="2:5">
      <c r="B1487" s="121" t="s">
        <v>52</v>
      </c>
      <c r="C1487" s="543">
        <v>121788</v>
      </c>
      <c r="D1487" s="71" t="s">
        <v>2673</v>
      </c>
      <c r="E1487" s="123">
        <v>1</v>
      </c>
    </row>
    <row r="1488" spans="2:5">
      <c r="B1488" s="121" t="s">
        <v>52</v>
      </c>
      <c r="C1488" s="543">
        <v>122151</v>
      </c>
      <c r="D1488" s="71" t="s">
        <v>1413</v>
      </c>
      <c r="E1488" s="123">
        <v>1</v>
      </c>
    </row>
    <row r="1489" spans="2:5">
      <c r="B1489" s="121" t="s">
        <v>52</v>
      </c>
      <c r="C1489" s="543">
        <v>121313</v>
      </c>
      <c r="D1489" s="71" t="s">
        <v>2342</v>
      </c>
      <c r="E1489" s="123">
        <v>1</v>
      </c>
    </row>
    <row r="1490" spans="2:5">
      <c r="B1490" s="121" t="s">
        <v>52</v>
      </c>
      <c r="C1490" s="543">
        <v>121663</v>
      </c>
      <c r="D1490" s="71" t="s">
        <v>1404</v>
      </c>
      <c r="E1490" s="123">
        <v>1</v>
      </c>
    </row>
    <row r="1491" spans="2:5" ht="15.75" customHeight="1">
      <c r="B1491" s="121" t="s">
        <v>52</v>
      </c>
      <c r="C1491" s="543">
        <v>122542</v>
      </c>
      <c r="D1491" s="2" t="s">
        <v>2894</v>
      </c>
      <c r="E1491" s="123">
        <v>1</v>
      </c>
    </row>
    <row r="1492" spans="2:5">
      <c r="B1492" s="121" t="s">
        <v>52</v>
      </c>
      <c r="C1492" s="543">
        <v>121161</v>
      </c>
      <c r="D1492" s="71" t="s">
        <v>2705</v>
      </c>
      <c r="E1492" s="123">
        <v>1</v>
      </c>
    </row>
    <row r="1493" spans="2:5">
      <c r="B1493" s="121" t="s">
        <v>52</v>
      </c>
      <c r="C1493" s="543">
        <v>121157</v>
      </c>
      <c r="D1493" s="71" t="s">
        <v>2566</v>
      </c>
      <c r="E1493" s="123">
        <v>1</v>
      </c>
    </row>
    <row r="1494" spans="2:5">
      <c r="B1494" s="121" t="s">
        <v>52</v>
      </c>
      <c r="C1494" s="543">
        <v>121119</v>
      </c>
      <c r="D1494" s="71" t="s">
        <v>2674</v>
      </c>
      <c r="E1494" s="123">
        <v>1</v>
      </c>
    </row>
    <row r="1495" spans="2:5">
      <c r="B1495" s="121" t="s">
        <v>52</v>
      </c>
      <c r="C1495" s="543">
        <v>121119</v>
      </c>
      <c r="D1495" s="71" t="s">
        <v>2675</v>
      </c>
      <c r="E1495" s="123">
        <v>1</v>
      </c>
    </row>
    <row r="1496" spans="2:5">
      <c r="B1496" s="121" t="s">
        <v>52</v>
      </c>
      <c r="C1496" s="481">
        <v>122032</v>
      </c>
      <c r="D1496" s="2" t="s">
        <v>3216</v>
      </c>
      <c r="E1496" s="123">
        <v>1</v>
      </c>
    </row>
    <row r="1497" spans="2:5">
      <c r="B1497" s="121" t="s">
        <v>52</v>
      </c>
      <c r="C1497" s="689">
        <v>122236</v>
      </c>
      <c r="D1497" s="690" t="s">
        <v>3816</v>
      </c>
      <c r="E1497" s="123">
        <v>1</v>
      </c>
    </row>
    <row r="1498" spans="2:5">
      <c r="B1498" s="121" t="s">
        <v>52</v>
      </c>
      <c r="C1498" s="543">
        <v>121278</v>
      </c>
      <c r="D1498" s="71" t="s">
        <v>2978</v>
      </c>
      <c r="E1498" s="123">
        <v>1</v>
      </c>
    </row>
    <row r="1499" spans="2:5" ht="15.75" customHeight="1">
      <c r="B1499" s="121" t="s">
        <v>52</v>
      </c>
      <c r="C1499" s="543">
        <v>121278</v>
      </c>
      <c r="D1499" s="71" t="s">
        <v>2977</v>
      </c>
      <c r="E1499" s="123">
        <v>1</v>
      </c>
    </row>
    <row r="1500" spans="2:5" ht="15.75" customHeight="1">
      <c r="B1500" s="121" t="s">
        <v>52</v>
      </c>
      <c r="C1500" s="543">
        <v>122785</v>
      </c>
      <c r="D1500" s="2" t="s">
        <v>2896</v>
      </c>
      <c r="E1500" s="123">
        <v>1</v>
      </c>
    </row>
    <row r="1501" spans="2:5" ht="15.75" customHeight="1">
      <c r="B1501" s="121" t="s">
        <v>52</v>
      </c>
      <c r="C1501" s="543">
        <v>122598</v>
      </c>
      <c r="D1501" s="71" t="s">
        <v>2307</v>
      </c>
      <c r="E1501" s="123">
        <v>1</v>
      </c>
    </row>
    <row r="1502" spans="2:5" ht="15.75" customHeight="1">
      <c r="B1502" s="121" t="s">
        <v>52</v>
      </c>
      <c r="C1502" s="543">
        <v>121280</v>
      </c>
      <c r="D1502" s="71" t="s">
        <v>4192</v>
      </c>
      <c r="E1502" s="123">
        <v>1</v>
      </c>
    </row>
    <row r="1503" spans="2:5">
      <c r="B1503" s="121" t="s">
        <v>52</v>
      </c>
      <c r="C1503" s="479">
        <v>121267</v>
      </c>
      <c r="D1503" s="71" t="s">
        <v>3599</v>
      </c>
      <c r="E1503" s="123">
        <v>1</v>
      </c>
    </row>
    <row r="1504" spans="2:5">
      <c r="B1504" s="121" t="s">
        <v>52</v>
      </c>
      <c r="C1504" s="479">
        <v>121267</v>
      </c>
      <c r="D1504" s="71" t="s">
        <v>3598</v>
      </c>
      <c r="E1504" s="123">
        <v>1</v>
      </c>
    </row>
    <row r="1505" spans="2:5">
      <c r="B1505" s="121" t="s">
        <v>52</v>
      </c>
      <c r="C1505" s="543">
        <v>121661</v>
      </c>
      <c r="D1505" s="71" t="s">
        <v>2676</v>
      </c>
      <c r="E1505" s="123">
        <v>1</v>
      </c>
    </row>
    <row r="1506" spans="2:5">
      <c r="B1506" s="121" t="s">
        <v>52</v>
      </c>
      <c r="C1506" s="543">
        <v>121742</v>
      </c>
      <c r="D1506" s="71" t="s">
        <v>2736</v>
      </c>
      <c r="E1506" s="123">
        <v>1</v>
      </c>
    </row>
    <row r="1507" spans="2:5">
      <c r="B1507" s="121" t="s">
        <v>52</v>
      </c>
      <c r="C1507" s="543">
        <v>122189</v>
      </c>
      <c r="D1507" s="71" t="s">
        <v>1395</v>
      </c>
      <c r="E1507" s="123">
        <v>1</v>
      </c>
    </row>
    <row r="1508" spans="2:5">
      <c r="B1508" s="121" t="s">
        <v>52</v>
      </c>
      <c r="C1508" s="543">
        <v>122176</v>
      </c>
      <c r="D1508" s="71" t="s">
        <v>2747</v>
      </c>
      <c r="E1508" s="123">
        <v>1</v>
      </c>
    </row>
    <row r="1509" spans="2:5">
      <c r="B1509" s="121" t="s">
        <v>52</v>
      </c>
      <c r="C1509" s="481">
        <v>121373</v>
      </c>
      <c r="D1509" s="2" t="s">
        <v>3122</v>
      </c>
      <c r="E1509" s="123">
        <v>1</v>
      </c>
    </row>
    <row r="1510" spans="2:5">
      <c r="B1510" s="121" t="s">
        <v>52</v>
      </c>
      <c r="C1510" s="543">
        <v>122421</v>
      </c>
      <c r="D1510" s="71" t="s">
        <v>2785</v>
      </c>
      <c r="E1510" s="123">
        <v>1</v>
      </c>
    </row>
    <row r="1511" spans="2:5">
      <c r="B1511" s="121" t="s">
        <v>52</v>
      </c>
      <c r="C1511" s="543">
        <v>122421</v>
      </c>
      <c r="D1511" s="78" t="s">
        <v>2785</v>
      </c>
      <c r="E1511" s="123">
        <v>1</v>
      </c>
    </row>
    <row r="1512" spans="2:5">
      <c r="B1512" s="121" t="s">
        <v>52</v>
      </c>
      <c r="C1512" s="543">
        <v>122257</v>
      </c>
      <c r="D1512" s="2" t="s">
        <v>2935</v>
      </c>
      <c r="E1512" s="123">
        <v>1</v>
      </c>
    </row>
    <row r="1513" spans="2:5">
      <c r="B1513" s="121" t="s">
        <v>52</v>
      </c>
      <c r="C1513" s="543">
        <v>122257</v>
      </c>
      <c r="D1513" s="2" t="s">
        <v>4337</v>
      </c>
      <c r="E1513" s="123">
        <v>1</v>
      </c>
    </row>
    <row r="1514" spans="2:5">
      <c r="B1514" s="121" t="s">
        <v>52</v>
      </c>
      <c r="C1514" s="543">
        <v>122230</v>
      </c>
      <c r="D1514" s="2" t="s">
        <v>2919</v>
      </c>
      <c r="E1514" s="123">
        <v>1</v>
      </c>
    </row>
    <row r="1515" spans="2:5">
      <c r="B1515" s="121" t="s">
        <v>52</v>
      </c>
      <c r="C1515" s="543">
        <v>121758</v>
      </c>
      <c r="D1515" s="71" t="s">
        <v>2644</v>
      </c>
      <c r="E1515" s="123">
        <v>1</v>
      </c>
    </row>
    <row r="1516" spans="2:5">
      <c r="B1516" s="121" t="s">
        <v>52</v>
      </c>
      <c r="C1516" s="479" t="s">
        <v>1787</v>
      </c>
      <c r="D1516" s="71" t="s">
        <v>2903</v>
      </c>
      <c r="E1516" s="123">
        <v>1</v>
      </c>
    </row>
    <row r="1517" spans="2:5">
      <c r="B1517" s="121" t="s">
        <v>52</v>
      </c>
      <c r="C1517" s="481">
        <v>122117</v>
      </c>
      <c r="D1517" s="2" t="s">
        <v>2932</v>
      </c>
      <c r="E1517" s="123">
        <v>1</v>
      </c>
    </row>
    <row r="1518" spans="2:5">
      <c r="B1518" s="121" t="s">
        <v>52</v>
      </c>
      <c r="C1518" s="479" t="s">
        <v>1787</v>
      </c>
      <c r="D1518" s="71" t="s">
        <v>2677</v>
      </c>
      <c r="E1518" s="123">
        <v>1</v>
      </c>
    </row>
    <row r="1519" spans="2:5">
      <c r="B1519" s="121" t="s">
        <v>52</v>
      </c>
      <c r="C1519" s="479" t="s">
        <v>1787</v>
      </c>
      <c r="D1519" s="71" t="s">
        <v>2678</v>
      </c>
      <c r="E1519" s="123">
        <v>1</v>
      </c>
    </row>
    <row r="1520" spans="2:5">
      <c r="B1520" s="121" t="s">
        <v>52</v>
      </c>
      <c r="C1520" s="479" t="s">
        <v>1787</v>
      </c>
      <c r="D1520" s="71" t="s">
        <v>2679</v>
      </c>
      <c r="E1520" s="123">
        <v>1</v>
      </c>
    </row>
    <row r="1521" spans="2:5">
      <c r="B1521" s="121" t="s">
        <v>52</v>
      </c>
      <c r="C1521" s="479" t="s">
        <v>1787</v>
      </c>
      <c r="D1521" s="71" t="s">
        <v>2877</v>
      </c>
      <c r="E1521" s="123">
        <v>1</v>
      </c>
    </row>
    <row r="1522" spans="2:5">
      <c r="B1522" s="121" t="s">
        <v>52</v>
      </c>
      <c r="C1522" s="481">
        <v>122321</v>
      </c>
      <c r="D1522" s="2" t="s">
        <v>3038</v>
      </c>
      <c r="E1522" s="123">
        <v>1</v>
      </c>
    </row>
    <row r="1523" spans="2:5">
      <c r="B1523" s="121" t="s">
        <v>52</v>
      </c>
      <c r="C1523" s="479" t="s">
        <v>1787</v>
      </c>
      <c r="D1523" s="71" t="s">
        <v>3586</v>
      </c>
      <c r="E1523" s="123">
        <v>1</v>
      </c>
    </row>
    <row r="1524" spans="2:5">
      <c r="B1524" s="121" t="s">
        <v>52</v>
      </c>
      <c r="C1524" s="479" t="s">
        <v>1787</v>
      </c>
      <c r="D1524" s="71" t="s">
        <v>2680</v>
      </c>
      <c r="E1524" s="123">
        <v>1</v>
      </c>
    </row>
    <row r="1525" spans="2:5" ht="15.75" customHeight="1">
      <c r="B1525" s="121" t="s">
        <v>52</v>
      </c>
      <c r="C1525" s="479" t="s">
        <v>1787</v>
      </c>
      <c r="D1525" s="2" t="s">
        <v>2941</v>
      </c>
      <c r="E1525" s="123">
        <v>1</v>
      </c>
    </row>
    <row r="1526" spans="2:5">
      <c r="B1526" s="121" t="s">
        <v>52</v>
      </c>
      <c r="C1526" s="479" t="s">
        <v>1787</v>
      </c>
      <c r="D1526" s="71" t="s">
        <v>1399</v>
      </c>
      <c r="E1526" s="123">
        <v>1</v>
      </c>
    </row>
    <row r="1527" spans="2:5">
      <c r="B1527" s="121" t="s">
        <v>52</v>
      </c>
      <c r="C1527" s="479" t="s">
        <v>1787</v>
      </c>
      <c r="D1527" s="71" t="s">
        <v>1393</v>
      </c>
      <c r="E1527" s="123">
        <v>1</v>
      </c>
    </row>
    <row r="1528" spans="2:5">
      <c r="B1528" s="121" t="s">
        <v>52</v>
      </c>
      <c r="C1528" s="479" t="s">
        <v>1787</v>
      </c>
      <c r="D1528" s="71" t="s">
        <v>2681</v>
      </c>
      <c r="E1528" s="123">
        <v>1</v>
      </c>
    </row>
    <row r="1529" spans="2:5">
      <c r="B1529" s="121" t="s">
        <v>52</v>
      </c>
      <c r="C1529" s="479" t="s">
        <v>1787</v>
      </c>
      <c r="D1529" s="2" t="s">
        <v>2973</v>
      </c>
      <c r="E1529" s="123">
        <v>1</v>
      </c>
    </row>
    <row r="1530" spans="2:5">
      <c r="B1530" s="121" t="s">
        <v>52</v>
      </c>
      <c r="C1530" s="479" t="s">
        <v>1787</v>
      </c>
      <c r="D1530" s="71" t="s">
        <v>2682</v>
      </c>
      <c r="E1530" s="123">
        <v>1</v>
      </c>
    </row>
    <row r="1531" spans="2:5">
      <c r="B1531" s="121" t="s">
        <v>52</v>
      </c>
      <c r="C1531" s="479" t="s">
        <v>1787</v>
      </c>
      <c r="D1531" s="71" t="s">
        <v>2683</v>
      </c>
      <c r="E1531" s="123">
        <v>1</v>
      </c>
    </row>
    <row r="1532" spans="2:5">
      <c r="B1532" s="121" t="s">
        <v>52</v>
      </c>
      <c r="C1532" s="479" t="s">
        <v>1787</v>
      </c>
      <c r="D1532" s="71" t="s">
        <v>2669</v>
      </c>
      <c r="E1532" s="123">
        <v>1</v>
      </c>
    </row>
    <row r="1533" spans="2:5">
      <c r="B1533" s="121" t="s">
        <v>52</v>
      </c>
      <c r="C1533" s="479" t="s">
        <v>1787</v>
      </c>
      <c r="D1533" s="71" t="s">
        <v>2684</v>
      </c>
      <c r="E1533" s="123">
        <v>1</v>
      </c>
    </row>
    <row r="1534" spans="2:5">
      <c r="B1534" s="121" t="s">
        <v>52</v>
      </c>
      <c r="C1534" s="479">
        <v>122559</v>
      </c>
      <c r="D1534" s="71" t="s">
        <v>3001</v>
      </c>
      <c r="E1534" s="123">
        <v>1</v>
      </c>
    </row>
    <row r="1535" spans="2:5">
      <c r="B1535" s="121" t="s">
        <v>52</v>
      </c>
      <c r="C1535" s="492">
        <v>122328</v>
      </c>
      <c r="D1535" s="491" t="s">
        <v>3082</v>
      </c>
      <c r="E1535" s="123">
        <v>1</v>
      </c>
    </row>
    <row r="1536" spans="2:5">
      <c r="B1536" s="121" t="s">
        <v>52</v>
      </c>
      <c r="C1536" s="479" t="s">
        <v>1787</v>
      </c>
      <c r="D1536" s="71" t="s">
        <v>2286</v>
      </c>
      <c r="E1536" s="123">
        <v>1</v>
      </c>
    </row>
    <row r="1537" spans="2:5">
      <c r="B1537" s="121" t="s">
        <v>52</v>
      </c>
      <c r="C1537" s="479" t="s">
        <v>1787</v>
      </c>
      <c r="D1537" s="71" t="s">
        <v>1394</v>
      </c>
      <c r="E1537" s="123">
        <v>1</v>
      </c>
    </row>
    <row r="1538" spans="2:5">
      <c r="B1538" s="121" t="s">
        <v>52</v>
      </c>
      <c r="C1538" s="479" t="s">
        <v>1787</v>
      </c>
      <c r="D1538" s="71" t="s">
        <v>2800</v>
      </c>
      <c r="E1538" s="123">
        <v>1</v>
      </c>
    </row>
    <row r="1539" spans="2:5">
      <c r="B1539" s="121" t="s">
        <v>52</v>
      </c>
      <c r="C1539" s="479" t="s">
        <v>1787</v>
      </c>
      <c r="D1539" s="71" t="s">
        <v>2756</v>
      </c>
      <c r="E1539" s="123">
        <v>1</v>
      </c>
    </row>
    <row r="1540" spans="2:5" ht="15.75" customHeight="1">
      <c r="B1540" s="121" t="s">
        <v>52</v>
      </c>
      <c r="C1540" s="546">
        <v>122903</v>
      </c>
      <c r="D1540" s="71" t="s">
        <v>3055</v>
      </c>
      <c r="E1540" s="123">
        <v>1</v>
      </c>
    </row>
    <row r="1541" spans="2:5">
      <c r="B1541" s="121" t="s">
        <v>52</v>
      </c>
      <c r="C1541" s="481" t="s">
        <v>1787</v>
      </c>
      <c r="D1541" s="2" t="s">
        <v>4332</v>
      </c>
      <c r="E1541" s="123">
        <v>1</v>
      </c>
    </row>
    <row r="1542" spans="2:5">
      <c r="B1542" s="121" t="s">
        <v>52</v>
      </c>
      <c r="C1542" s="481" t="s">
        <v>1787</v>
      </c>
      <c r="D1542" s="2" t="s">
        <v>3123</v>
      </c>
      <c r="E1542" s="123">
        <v>1</v>
      </c>
    </row>
    <row r="1543" spans="2:5">
      <c r="B1543" s="121" t="s">
        <v>52</v>
      </c>
      <c r="C1543" s="479" t="s">
        <v>1787</v>
      </c>
      <c r="D1543" s="2" t="s">
        <v>2937</v>
      </c>
      <c r="E1543" s="123">
        <v>1</v>
      </c>
    </row>
    <row r="1544" spans="2:5">
      <c r="B1544" s="121" t="s">
        <v>52</v>
      </c>
      <c r="C1544" s="481">
        <v>120966</v>
      </c>
      <c r="D1544" s="2" t="s">
        <v>3553</v>
      </c>
      <c r="E1544" s="123">
        <v>1</v>
      </c>
    </row>
    <row r="1545" spans="2:5">
      <c r="B1545" s="121" t="s">
        <v>52</v>
      </c>
      <c r="C1545" s="479" t="s">
        <v>1787</v>
      </c>
      <c r="D1545" s="71" t="s">
        <v>2572</v>
      </c>
      <c r="E1545" s="123">
        <v>1</v>
      </c>
    </row>
    <row r="1546" spans="2:5">
      <c r="B1546" s="121" t="s">
        <v>52</v>
      </c>
      <c r="C1546" s="481">
        <v>121195</v>
      </c>
      <c r="D1546" s="2" t="s">
        <v>3801</v>
      </c>
      <c r="E1546" s="123">
        <v>1</v>
      </c>
    </row>
    <row r="1547" spans="2:5">
      <c r="B1547" s="121" t="s">
        <v>52</v>
      </c>
      <c r="C1547" s="479" t="s">
        <v>1787</v>
      </c>
      <c r="D1547" s="71" t="s">
        <v>2806</v>
      </c>
      <c r="E1547" s="123">
        <v>1</v>
      </c>
    </row>
    <row r="1548" spans="2:5">
      <c r="B1548" s="121" t="s">
        <v>52</v>
      </c>
      <c r="C1548" s="479" t="s">
        <v>1787</v>
      </c>
      <c r="D1548" s="71" t="s">
        <v>2775</v>
      </c>
      <c r="E1548" s="123">
        <v>1</v>
      </c>
    </row>
    <row r="1549" spans="2:5">
      <c r="B1549" s="121" t="s">
        <v>52</v>
      </c>
      <c r="C1549" s="810">
        <v>122338</v>
      </c>
      <c r="D1549" s="71" t="s">
        <v>2777</v>
      </c>
      <c r="E1549" s="123">
        <v>1</v>
      </c>
    </row>
    <row r="1550" spans="2:5">
      <c r="B1550" s="121" t="s">
        <v>52</v>
      </c>
      <c r="C1550" s="479" t="s">
        <v>1787</v>
      </c>
      <c r="D1550" s="71" t="s">
        <v>4353</v>
      </c>
      <c r="E1550" s="123">
        <v>1</v>
      </c>
    </row>
    <row r="1551" spans="2:5">
      <c r="B1551" s="121" t="s">
        <v>52</v>
      </c>
      <c r="C1551" s="479" t="s">
        <v>1787</v>
      </c>
      <c r="D1551" s="71" t="s">
        <v>2685</v>
      </c>
      <c r="E1551" s="123">
        <v>1</v>
      </c>
    </row>
    <row r="1552" spans="2:5">
      <c r="B1552" s="121" t="s">
        <v>52</v>
      </c>
      <c r="C1552" s="479" t="s">
        <v>1787</v>
      </c>
      <c r="D1552" s="71" t="s">
        <v>2593</v>
      </c>
      <c r="E1552" s="123">
        <v>1</v>
      </c>
    </row>
    <row r="1553" spans="2:5">
      <c r="B1553" s="121" t="s">
        <v>52</v>
      </c>
      <c r="C1553" s="479" t="s">
        <v>1787</v>
      </c>
      <c r="D1553" s="71" t="s">
        <v>3524</v>
      </c>
      <c r="E1553" s="123">
        <v>1</v>
      </c>
    </row>
    <row r="1554" spans="2:5">
      <c r="B1554" s="121" t="s">
        <v>52</v>
      </c>
      <c r="C1554" s="478">
        <v>123046</v>
      </c>
      <c r="D1554" s="71" t="s">
        <v>3855</v>
      </c>
      <c r="E1554" s="123">
        <v>1</v>
      </c>
    </row>
    <row r="1555" spans="2:5">
      <c r="B1555" s="121" t="s">
        <v>52</v>
      </c>
      <c r="C1555" s="479" t="s">
        <v>1787</v>
      </c>
      <c r="D1555" s="71" t="s">
        <v>2901</v>
      </c>
      <c r="E1555" s="123">
        <v>0.5</v>
      </c>
    </row>
    <row r="1556" spans="2:5">
      <c r="B1556" s="121" t="s">
        <v>52</v>
      </c>
      <c r="C1556" s="479" t="s">
        <v>1787</v>
      </c>
      <c r="D1556" s="71" t="s">
        <v>4117</v>
      </c>
      <c r="E1556" s="123">
        <v>0.5</v>
      </c>
    </row>
    <row r="1557" spans="2:5">
      <c r="B1557" s="121" t="s">
        <v>52</v>
      </c>
      <c r="C1557" s="479" t="s">
        <v>1787</v>
      </c>
      <c r="D1557" s="71" t="s">
        <v>3102</v>
      </c>
      <c r="E1557" s="123">
        <v>0.5</v>
      </c>
    </row>
    <row r="1558" spans="2:5">
      <c r="B1558" s="121" t="s">
        <v>52</v>
      </c>
      <c r="C1558" s="479" t="s">
        <v>1787</v>
      </c>
      <c r="D1558" s="71" t="s">
        <v>3101</v>
      </c>
      <c r="E1558" s="123">
        <v>0.5</v>
      </c>
    </row>
    <row r="1559" spans="2:5">
      <c r="B1559" s="121" t="s">
        <v>52</v>
      </c>
      <c r="C1559" s="479">
        <v>122968</v>
      </c>
      <c r="D1559" s="2" t="s">
        <v>3240</v>
      </c>
      <c r="E1559" s="123">
        <v>1</v>
      </c>
    </row>
    <row r="1560" spans="2:5">
      <c r="B1560" s="121" t="s">
        <v>52</v>
      </c>
      <c r="C1560" s="479" t="s">
        <v>1787</v>
      </c>
      <c r="D1560" s="71" t="s">
        <v>3143</v>
      </c>
      <c r="E1560" s="123">
        <v>1</v>
      </c>
    </row>
    <row r="1561" spans="2:5">
      <c r="B1561" s="121" t="s">
        <v>52</v>
      </c>
      <c r="C1561" s="481" t="s">
        <v>1787</v>
      </c>
      <c r="D1561" s="2" t="s">
        <v>3143</v>
      </c>
      <c r="E1561" s="123">
        <v>1</v>
      </c>
    </row>
    <row r="1562" spans="2:5">
      <c r="B1562" s="121" t="s">
        <v>52</v>
      </c>
      <c r="C1562" s="481" t="s">
        <v>1787</v>
      </c>
      <c r="D1562" s="2" t="s">
        <v>3794</v>
      </c>
      <c r="E1562" s="123">
        <v>1</v>
      </c>
    </row>
    <row r="1563" spans="2:5">
      <c r="B1563" s="121" t="s">
        <v>52</v>
      </c>
      <c r="C1563" s="481" t="s">
        <v>1787</v>
      </c>
      <c r="D1563" s="2" t="s">
        <v>3793</v>
      </c>
      <c r="E1563" s="123">
        <v>1</v>
      </c>
    </row>
    <row r="1564" spans="2:5">
      <c r="B1564" s="121" t="s">
        <v>52</v>
      </c>
      <c r="C1564" s="479" t="s">
        <v>1787</v>
      </c>
      <c r="D1564" s="71" t="s">
        <v>2533</v>
      </c>
      <c r="E1564" s="123">
        <v>1</v>
      </c>
    </row>
    <row r="1565" spans="2:5">
      <c r="B1565" s="121" t="s">
        <v>52</v>
      </c>
      <c r="C1565" s="479" t="s">
        <v>1787</v>
      </c>
      <c r="D1565" s="2" t="s">
        <v>2920</v>
      </c>
      <c r="E1565" s="123">
        <v>1</v>
      </c>
    </row>
    <row r="1566" spans="2:5">
      <c r="B1566" s="121" t="s">
        <v>52</v>
      </c>
      <c r="C1566" s="479" t="s">
        <v>1787</v>
      </c>
      <c r="D1566" s="71" t="s">
        <v>2491</v>
      </c>
      <c r="E1566" s="123">
        <v>1</v>
      </c>
    </row>
    <row r="1567" spans="2:5">
      <c r="B1567" s="121" t="s">
        <v>52</v>
      </c>
      <c r="C1567" s="479" t="s">
        <v>1787</v>
      </c>
      <c r="D1567" s="71" t="s">
        <v>2490</v>
      </c>
      <c r="E1567" s="123">
        <v>1</v>
      </c>
    </row>
    <row r="1568" spans="2:5">
      <c r="B1568" s="121" t="s">
        <v>52</v>
      </c>
      <c r="C1568" s="698">
        <v>121260</v>
      </c>
      <c r="D1568" s="697" t="s">
        <v>3850</v>
      </c>
      <c r="E1568" s="123">
        <v>1</v>
      </c>
    </row>
    <row r="1569" spans="2:5">
      <c r="B1569" s="121" t="s">
        <v>52</v>
      </c>
      <c r="C1569" s="834">
        <v>121261</v>
      </c>
      <c r="D1569" s="836" t="s">
        <v>4660</v>
      </c>
      <c r="E1569" s="123">
        <v>1</v>
      </c>
    </row>
    <row r="1570" spans="2:5">
      <c r="B1570" s="121" t="s">
        <v>52</v>
      </c>
      <c r="C1570" s="479" t="s">
        <v>1787</v>
      </c>
      <c r="D1570" s="71" t="s">
        <v>2707</v>
      </c>
      <c r="E1570" s="123">
        <v>1</v>
      </c>
    </row>
    <row r="1571" spans="2:5">
      <c r="B1571" s="121" t="s">
        <v>52</v>
      </c>
      <c r="C1571" s="479" t="s">
        <v>1787</v>
      </c>
      <c r="D1571" s="71" t="s">
        <v>1407</v>
      </c>
      <c r="E1571" s="123">
        <v>1</v>
      </c>
    </row>
    <row r="1572" spans="2:5">
      <c r="B1572" s="121" t="s">
        <v>52</v>
      </c>
      <c r="C1572" s="479" t="s">
        <v>1787</v>
      </c>
      <c r="D1572" s="71" t="s">
        <v>2787</v>
      </c>
      <c r="E1572" s="123">
        <v>1</v>
      </c>
    </row>
    <row r="1573" spans="2:5">
      <c r="B1573" s="121" t="s">
        <v>52</v>
      </c>
      <c r="C1573" s="479" t="s">
        <v>1787</v>
      </c>
      <c r="D1573" s="71" t="s">
        <v>2489</v>
      </c>
      <c r="E1573" s="123">
        <v>1</v>
      </c>
    </row>
    <row r="1574" spans="2:5">
      <c r="B1574" s="121" t="s">
        <v>52</v>
      </c>
      <c r="C1574" s="481">
        <v>120944</v>
      </c>
      <c r="D1574" s="71" t="s">
        <v>2655</v>
      </c>
      <c r="E1574" s="123">
        <v>1</v>
      </c>
    </row>
    <row r="1575" spans="2:5">
      <c r="B1575" s="121" t="s">
        <v>52</v>
      </c>
      <c r="C1575" s="479" t="s">
        <v>1787</v>
      </c>
      <c r="D1575" s="71" t="s">
        <v>2656</v>
      </c>
      <c r="E1575" s="123">
        <v>1</v>
      </c>
    </row>
    <row r="1576" spans="2:5" ht="15.75" customHeight="1">
      <c r="B1576" s="121" t="s">
        <v>52</v>
      </c>
      <c r="C1576" s="479" t="s">
        <v>1787</v>
      </c>
      <c r="D1576" s="71" t="s">
        <v>2367</v>
      </c>
      <c r="E1576" s="123">
        <v>1</v>
      </c>
    </row>
    <row r="1577" spans="2:5">
      <c r="B1577" s="121" t="s">
        <v>52</v>
      </c>
      <c r="C1577" s="479" t="s">
        <v>1787</v>
      </c>
      <c r="D1577" s="78" t="s">
        <v>2367</v>
      </c>
      <c r="E1577" s="123">
        <v>1</v>
      </c>
    </row>
    <row r="1578" spans="2:5">
      <c r="B1578" s="121" t="s">
        <v>52</v>
      </c>
      <c r="C1578" s="744">
        <v>120441</v>
      </c>
      <c r="D1578" s="71" t="s">
        <v>2488</v>
      </c>
      <c r="E1578" s="123">
        <v>1</v>
      </c>
    </row>
    <row r="1579" spans="2:5">
      <c r="B1579" s="121" t="s">
        <v>52</v>
      </c>
      <c r="C1579" s="479" t="s">
        <v>1787</v>
      </c>
      <c r="D1579" s="71" t="s">
        <v>2487</v>
      </c>
      <c r="E1579" s="123">
        <v>1</v>
      </c>
    </row>
    <row r="1580" spans="2:5">
      <c r="B1580" s="121" t="s">
        <v>52</v>
      </c>
      <c r="C1580" s="544">
        <v>120715</v>
      </c>
      <c r="D1580" s="542" t="s">
        <v>3084</v>
      </c>
      <c r="E1580" s="123">
        <v>1</v>
      </c>
    </row>
    <row r="1581" spans="2:5">
      <c r="B1581" s="121" t="s">
        <v>52</v>
      </c>
      <c r="C1581" s="479" t="s">
        <v>1787</v>
      </c>
      <c r="D1581" s="71" t="s">
        <v>2486</v>
      </c>
      <c r="E1581" s="123">
        <v>1</v>
      </c>
    </row>
    <row r="1582" spans="2:5">
      <c r="B1582" s="121" t="s">
        <v>52</v>
      </c>
      <c r="C1582" s="479" t="s">
        <v>1787</v>
      </c>
      <c r="D1582" s="71" t="s">
        <v>2485</v>
      </c>
      <c r="E1582" s="123">
        <v>1</v>
      </c>
    </row>
    <row r="1583" spans="2:5">
      <c r="B1583" s="121" t="s">
        <v>52</v>
      </c>
      <c r="C1583" s="479" t="s">
        <v>1787</v>
      </c>
      <c r="D1583" s="71" t="s">
        <v>2603</v>
      </c>
      <c r="E1583" s="123">
        <v>1</v>
      </c>
    </row>
    <row r="1584" spans="2:5">
      <c r="B1584" s="121" t="s">
        <v>52</v>
      </c>
      <c r="C1584" s="479" t="s">
        <v>1787</v>
      </c>
      <c r="D1584" s="71" t="s">
        <v>2788</v>
      </c>
      <c r="E1584" s="123">
        <v>1</v>
      </c>
    </row>
    <row r="1585" spans="2:5">
      <c r="B1585" s="121" t="s">
        <v>52</v>
      </c>
      <c r="C1585" s="274">
        <v>122242</v>
      </c>
      <c r="D1585" s="71" t="s">
        <v>4003</v>
      </c>
      <c r="E1585" s="123">
        <v>1</v>
      </c>
    </row>
    <row r="1586" spans="2:5">
      <c r="B1586" s="121" t="s">
        <v>52</v>
      </c>
      <c r="C1586" s="744">
        <v>121377</v>
      </c>
      <c r="D1586" s="743" t="s">
        <v>4033</v>
      </c>
      <c r="E1586" s="123">
        <v>1</v>
      </c>
    </row>
    <row r="1587" spans="2:5">
      <c r="B1587" s="121" t="s">
        <v>52</v>
      </c>
      <c r="C1587" s="479" t="s">
        <v>1787</v>
      </c>
      <c r="D1587" s="71" t="s">
        <v>2624</v>
      </c>
      <c r="E1587" s="123">
        <v>1</v>
      </c>
    </row>
    <row r="1588" spans="2:5">
      <c r="C1588" s="479" t="s">
        <v>1787</v>
      </c>
      <c r="D1588" s="71" t="s">
        <v>4340</v>
      </c>
      <c r="E1588" s="123">
        <v>1</v>
      </c>
    </row>
    <row r="1589" spans="2:5">
      <c r="B1589" s="121" t="s">
        <v>52</v>
      </c>
      <c r="C1589" s="479" t="s">
        <v>1787</v>
      </c>
      <c r="D1589" s="71" t="s">
        <v>2796</v>
      </c>
      <c r="E1589" s="123">
        <v>1</v>
      </c>
    </row>
    <row r="1590" spans="2:5">
      <c r="B1590" s="121" t="s">
        <v>52</v>
      </c>
      <c r="C1590" s="481">
        <v>122667</v>
      </c>
      <c r="D1590" s="2" t="s">
        <v>3232</v>
      </c>
      <c r="E1590" s="123">
        <v>1</v>
      </c>
    </row>
    <row r="1591" spans="2:5">
      <c r="B1591" s="121" t="s">
        <v>52</v>
      </c>
      <c r="C1591" s="548">
        <v>122646</v>
      </c>
      <c r="D1591" s="533" t="s">
        <v>3213</v>
      </c>
      <c r="E1591" s="123">
        <v>1</v>
      </c>
    </row>
    <row r="1592" spans="2:5">
      <c r="B1592" s="121" t="s">
        <v>52</v>
      </c>
      <c r="C1592" s="479" t="s">
        <v>1787</v>
      </c>
      <c r="D1592" s="71" t="s">
        <v>2540</v>
      </c>
      <c r="E1592" s="123">
        <v>1</v>
      </c>
    </row>
    <row r="1593" spans="2:5">
      <c r="B1593" s="121" t="s">
        <v>52</v>
      </c>
      <c r="C1593" s="479">
        <v>122767</v>
      </c>
      <c r="D1593" s="71" t="s">
        <v>4121</v>
      </c>
      <c r="E1593" s="123">
        <v>1</v>
      </c>
    </row>
    <row r="1594" spans="2:5">
      <c r="B1594" s="121" t="s">
        <v>52</v>
      </c>
      <c r="C1594" s="479" t="s">
        <v>1787</v>
      </c>
      <c r="D1594" s="71" t="s">
        <v>2744</v>
      </c>
      <c r="E1594" s="123">
        <v>1</v>
      </c>
    </row>
    <row r="1595" spans="2:5">
      <c r="B1595" s="121" t="s">
        <v>52</v>
      </c>
      <c r="C1595" s="479">
        <v>123054</v>
      </c>
      <c r="D1595" s="697" t="s">
        <v>3849</v>
      </c>
      <c r="E1595" s="123">
        <v>1</v>
      </c>
    </row>
    <row r="1596" spans="2:5">
      <c r="B1596" s="121" t="s">
        <v>52</v>
      </c>
      <c r="C1596" s="479" t="s">
        <v>1787</v>
      </c>
      <c r="D1596" s="71" t="s">
        <v>1391</v>
      </c>
      <c r="E1596" s="123">
        <v>0.5</v>
      </c>
    </row>
    <row r="1597" spans="2:5">
      <c r="B1597" s="121" t="s">
        <v>52</v>
      </c>
      <c r="C1597" s="481">
        <v>122262</v>
      </c>
      <c r="D1597" s="2" t="s">
        <v>3078</v>
      </c>
      <c r="E1597" s="123">
        <v>1</v>
      </c>
    </row>
    <row r="1598" spans="2:5">
      <c r="B1598" s="121" t="s">
        <v>52</v>
      </c>
      <c r="C1598" s="479" t="s">
        <v>1787</v>
      </c>
      <c r="D1598" s="71" t="s">
        <v>2630</v>
      </c>
      <c r="E1598" s="123">
        <v>1</v>
      </c>
    </row>
    <row r="1599" spans="2:5">
      <c r="B1599" s="121" t="s">
        <v>52</v>
      </c>
      <c r="C1599" s="479">
        <v>122894</v>
      </c>
      <c r="D1599" s="71" t="s">
        <v>3054</v>
      </c>
      <c r="E1599" s="123">
        <v>1</v>
      </c>
    </row>
    <row r="1600" spans="2:5">
      <c r="B1600" s="121" t="s">
        <v>52</v>
      </c>
      <c r="C1600" s="479" t="s">
        <v>1787</v>
      </c>
      <c r="D1600" s="71" t="s">
        <v>2332</v>
      </c>
      <c r="E1600" s="123">
        <v>1</v>
      </c>
    </row>
    <row r="1601" spans="2:5">
      <c r="C1601" s="479" t="s">
        <v>1787</v>
      </c>
      <c r="D1601" s="71" t="s">
        <v>2507</v>
      </c>
      <c r="E1601" s="123">
        <v>1</v>
      </c>
    </row>
    <row r="1602" spans="2:5">
      <c r="B1602" s="121" t="s">
        <v>52</v>
      </c>
      <c r="C1602" s="479" t="s">
        <v>1787</v>
      </c>
      <c r="D1602" s="71" t="s">
        <v>1400</v>
      </c>
      <c r="E1602" s="123">
        <v>1.5</v>
      </c>
    </row>
    <row r="1603" spans="2:5">
      <c r="B1603" s="121" t="s">
        <v>52</v>
      </c>
      <c r="C1603" s="479" t="s">
        <v>1787</v>
      </c>
      <c r="D1603" s="71" t="s">
        <v>1390</v>
      </c>
      <c r="E1603" s="123">
        <v>0.5</v>
      </c>
    </row>
    <row r="1604" spans="2:5">
      <c r="B1604" s="121" t="s">
        <v>52</v>
      </c>
      <c r="C1604" s="479" t="s">
        <v>1787</v>
      </c>
      <c r="D1604" s="71" t="s">
        <v>2734</v>
      </c>
      <c r="E1604" s="123">
        <v>1</v>
      </c>
    </row>
    <row r="1605" spans="2:5">
      <c r="B1605" s="121" t="s">
        <v>52</v>
      </c>
      <c r="C1605" s="481" t="s">
        <v>1787</v>
      </c>
      <c r="D1605" s="2" t="s">
        <v>3795</v>
      </c>
      <c r="E1605" s="123">
        <v>1</v>
      </c>
    </row>
    <row r="1606" spans="2:5">
      <c r="B1606" s="121" t="s">
        <v>52</v>
      </c>
      <c r="C1606" s="481" t="s">
        <v>1787</v>
      </c>
      <c r="D1606" s="2" t="s">
        <v>3829</v>
      </c>
      <c r="E1606" s="123">
        <v>1</v>
      </c>
    </row>
    <row r="1607" spans="2:5">
      <c r="B1607" s="121" t="s">
        <v>52</v>
      </c>
      <c r="C1607" s="481">
        <v>122523</v>
      </c>
      <c r="D1607" s="2" t="s">
        <v>3809</v>
      </c>
      <c r="E1607" s="123">
        <v>1</v>
      </c>
    </row>
    <row r="1608" spans="2:5">
      <c r="B1608" s="121" t="s">
        <v>52</v>
      </c>
      <c r="C1608" s="479" t="s">
        <v>1787</v>
      </c>
      <c r="D1608" s="71" t="s">
        <v>2563</v>
      </c>
      <c r="E1608" s="123">
        <v>1</v>
      </c>
    </row>
    <row r="1609" spans="2:5">
      <c r="B1609" s="121" t="s">
        <v>52</v>
      </c>
      <c r="C1609" s="479" t="s">
        <v>1787</v>
      </c>
      <c r="D1609" s="71" t="s">
        <v>2922</v>
      </c>
      <c r="E1609" s="123">
        <v>1</v>
      </c>
    </row>
    <row r="1610" spans="2:5">
      <c r="B1610" s="121" t="s">
        <v>52</v>
      </c>
      <c r="C1610" s="479" t="s">
        <v>1787</v>
      </c>
      <c r="D1610" s="71" t="s">
        <v>2686</v>
      </c>
      <c r="E1610" s="123">
        <v>1</v>
      </c>
    </row>
    <row r="1611" spans="2:5">
      <c r="B1611" s="121" t="s">
        <v>52</v>
      </c>
      <c r="C1611" s="479" t="s">
        <v>1787</v>
      </c>
      <c r="D1611" s="2" t="s">
        <v>2945</v>
      </c>
      <c r="E1611" s="123">
        <v>1</v>
      </c>
    </row>
    <row r="1612" spans="2:5">
      <c r="B1612" s="121" t="s">
        <v>52</v>
      </c>
      <c r="C1612" s="479" t="s">
        <v>1787</v>
      </c>
      <c r="D1612" s="71" t="s">
        <v>2614</v>
      </c>
      <c r="E1612" s="123">
        <v>1</v>
      </c>
    </row>
    <row r="1613" spans="2:5">
      <c r="B1613" s="121" t="s">
        <v>52</v>
      </c>
      <c r="C1613" s="479" t="s">
        <v>1787</v>
      </c>
      <c r="D1613" s="71" t="s">
        <v>2539</v>
      </c>
      <c r="E1613" s="123">
        <v>1</v>
      </c>
    </row>
    <row r="1614" spans="2:5">
      <c r="B1614" s="121" t="s">
        <v>52</v>
      </c>
      <c r="C1614" s="479" t="s">
        <v>1787</v>
      </c>
      <c r="D1614" s="71" t="s">
        <v>2874</v>
      </c>
      <c r="E1614" s="123">
        <v>1.5</v>
      </c>
    </row>
    <row r="1615" spans="2:5">
      <c r="B1615" s="121" t="s">
        <v>52</v>
      </c>
      <c r="C1615" s="479" t="s">
        <v>1787</v>
      </c>
      <c r="D1615" s="71" t="s">
        <v>1417</v>
      </c>
      <c r="E1615" s="123">
        <v>1</v>
      </c>
    </row>
    <row r="1616" spans="2:5">
      <c r="B1616" s="121" t="s">
        <v>52</v>
      </c>
      <c r="C1616" s="479" t="s">
        <v>1787</v>
      </c>
      <c r="D1616" s="71" t="s">
        <v>2340</v>
      </c>
      <c r="E1616" s="123">
        <v>1</v>
      </c>
    </row>
    <row r="1617" spans="2:5">
      <c r="B1617" s="121" t="s">
        <v>52</v>
      </c>
      <c r="C1617" s="479" t="s">
        <v>1787</v>
      </c>
      <c r="D1617" s="71" t="s">
        <v>2340</v>
      </c>
      <c r="E1617" s="123">
        <v>1</v>
      </c>
    </row>
    <row r="1618" spans="2:5">
      <c r="B1618" s="121" t="s">
        <v>52</v>
      </c>
      <c r="C1618" s="479" t="s">
        <v>1787</v>
      </c>
      <c r="D1618" s="71" t="s">
        <v>2341</v>
      </c>
      <c r="E1618" s="123">
        <v>1.5</v>
      </c>
    </row>
    <row r="1619" spans="2:5">
      <c r="B1619" s="121" t="s">
        <v>52</v>
      </c>
      <c r="C1619" s="479" t="s">
        <v>1787</v>
      </c>
      <c r="D1619" s="71" t="s">
        <v>2590</v>
      </c>
      <c r="E1619" s="123">
        <v>1</v>
      </c>
    </row>
    <row r="1620" spans="2:5">
      <c r="B1620" s="121" t="s">
        <v>52</v>
      </c>
      <c r="C1620" s="479" t="s">
        <v>1787</v>
      </c>
      <c r="D1620" s="71" t="s">
        <v>2589</v>
      </c>
      <c r="E1620" s="123">
        <v>1</v>
      </c>
    </row>
    <row r="1621" spans="2:5">
      <c r="B1621" s="121" t="s">
        <v>52</v>
      </c>
      <c r="C1621" s="479" t="s">
        <v>1787</v>
      </c>
      <c r="D1621" s="71" t="s">
        <v>2611</v>
      </c>
      <c r="E1621" s="123">
        <v>1</v>
      </c>
    </row>
    <row r="1622" spans="2:5">
      <c r="B1622" s="121" t="s">
        <v>52</v>
      </c>
      <c r="C1622" s="479" t="s">
        <v>1787</v>
      </c>
      <c r="D1622" s="71" t="s">
        <v>1392</v>
      </c>
      <c r="E1622" s="123">
        <v>0.5</v>
      </c>
    </row>
    <row r="1623" spans="2:5">
      <c r="B1623" s="121" t="s">
        <v>52</v>
      </c>
      <c r="C1623" s="479" t="s">
        <v>1787</v>
      </c>
      <c r="D1623" s="71" t="s">
        <v>2612</v>
      </c>
      <c r="E1623" s="123">
        <v>1</v>
      </c>
    </row>
    <row r="1624" spans="2:5">
      <c r="C1624" s="479" t="s">
        <v>1787</v>
      </c>
      <c r="D1624" s="71" t="s">
        <v>2591</v>
      </c>
      <c r="E1624" s="123">
        <v>1</v>
      </c>
    </row>
    <row r="1625" spans="2:5">
      <c r="B1625" s="121" t="s">
        <v>52</v>
      </c>
      <c r="C1625" s="479" t="s">
        <v>1787</v>
      </c>
      <c r="D1625" s="71" t="s">
        <v>2847</v>
      </c>
      <c r="E1625" s="123">
        <v>1.5</v>
      </c>
    </row>
    <row r="1626" spans="2:5">
      <c r="B1626" s="121" t="s">
        <v>52</v>
      </c>
      <c r="C1626" s="479" t="s">
        <v>1787</v>
      </c>
      <c r="D1626" s="71" t="s">
        <v>1397</v>
      </c>
      <c r="E1626" s="123">
        <v>1</v>
      </c>
    </row>
    <row r="1627" spans="2:5" ht="15.75" customHeight="1">
      <c r="B1627" s="121" t="s">
        <v>52</v>
      </c>
      <c r="C1627" s="479" t="s">
        <v>1787</v>
      </c>
      <c r="D1627" s="71" t="s">
        <v>1402</v>
      </c>
      <c r="E1627" s="123">
        <v>1.5</v>
      </c>
    </row>
    <row r="1628" spans="2:5">
      <c r="B1628" s="121" t="s">
        <v>52</v>
      </c>
      <c r="C1628" s="611">
        <v>121923</v>
      </c>
      <c r="D1628" s="610" t="s">
        <v>3476</v>
      </c>
      <c r="E1628" s="123">
        <v>1</v>
      </c>
    </row>
    <row r="1629" spans="2:5">
      <c r="B1629" s="121" t="s">
        <v>52</v>
      </c>
      <c r="C1629" s="479" t="s">
        <v>1787</v>
      </c>
      <c r="D1629" s="71" t="s">
        <v>1411</v>
      </c>
      <c r="E1629" s="123">
        <v>1.5</v>
      </c>
    </row>
    <row r="1630" spans="2:5">
      <c r="B1630" s="121" t="s">
        <v>52</v>
      </c>
      <c r="C1630" s="479" t="s">
        <v>1787</v>
      </c>
      <c r="D1630" s="71" t="s">
        <v>2608</v>
      </c>
      <c r="E1630" s="123">
        <v>1</v>
      </c>
    </row>
    <row r="1631" spans="2:5">
      <c r="B1631" s="121" t="s">
        <v>52</v>
      </c>
      <c r="C1631" s="481">
        <v>121915</v>
      </c>
      <c r="D1631" s="2" t="s">
        <v>3600</v>
      </c>
      <c r="E1631" s="123">
        <v>1</v>
      </c>
    </row>
    <row r="1632" spans="2:5">
      <c r="B1632" s="121" t="s">
        <v>52</v>
      </c>
      <c r="C1632" s="479" t="s">
        <v>1787</v>
      </c>
      <c r="D1632" s="71" t="s">
        <v>3221</v>
      </c>
      <c r="E1632" s="123">
        <v>1</v>
      </c>
    </row>
    <row r="1633" spans="2:5">
      <c r="B1633" s="121" t="s">
        <v>52</v>
      </c>
      <c r="C1633" s="479" t="s">
        <v>1787</v>
      </c>
      <c r="D1633" s="71" t="s">
        <v>1398</v>
      </c>
      <c r="E1633" s="123">
        <v>1</v>
      </c>
    </row>
    <row r="1634" spans="2:5">
      <c r="B1634" s="121" t="s">
        <v>52</v>
      </c>
      <c r="C1634" s="479" t="s">
        <v>1787</v>
      </c>
      <c r="D1634" s="71" t="s">
        <v>1403</v>
      </c>
      <c r="E1634" s="123">
        <v>1</v>
      </c>
    </row>
    <row r="1635" spans="2:5">
      <c r="B1635" s="121" t="s">
        <v>52</v>
      </c>
      <c r="C1635" s="479" t="s">
        <v>1787</v>
      </c>
      <c r="D1635" s="71" t="s">
        <v>2609</v>
      </c>
      <c r="E1635" s="123">
        <v>1</v>
      </c>
    </row>
    <row r="1636" spans="2:5" ht="15.75" customHeight="1">
      <c r="B1636" s="121" t="s">
        <v>52</v>
      </c>
      <c r="C1636" s="479" t="s">
        <v>1787</v>
      </c>
      <c r="D1636" s="71" t="s">
        <v>2642</v>
      </c>
      <c r="E1636" s="123">
        <v>1</v>
      </c>
    </row>
    <row r="1637" spans="2:5" ht="15.75" customHeight="1">
      <c r="B1637" s="121" t="s">
        <v>52</v>
      </c>
      <c r="C1637" s="481">
        <v>122019</v>
      </c>
      <c r="D1637" s="2" t="s">
        <v>3002</v>
      </c>
      <c r="E1637" s="123">
        <v>1</v>
      </c>
    </row>
    <row r="1638" spans="2:5">
      <c r="B1638" s="121" t="s">
        <v>52</v>
      </c>
      <c r="C1638" s="479" t="s">
        <v>1787</v>
      </c>
      <c r="D1638" s="71" t="s">
        <v>2610</v>
      </c>
      <c r="E1638" s="123">
        <v>1</v>
      </c>
    </row>
    <row r="1639" spans="2:5">
      <c r="B1639" s="121" t="s">
        <v>52</v>
      </c>
      <c r="C1639" s="479">
        <v>122459</v>
      </c>
      <c r="D1639" s="71" t="s">
        <v>3536</v>
      </c>
      <c r="E1639" s="123">
        <v>0.5</v>
      </c>
    </row>
    <row r="1640" spans="2:5">
      <c r="B1640" s="121" t="s">
        <v>52</v>
      </c>
      <c r="C1640" s="479" t="s">
        <v>1787</v>
      </c>
      <c r="D1640" s="71" t="s">
        <v>4267</v>
      </c>
      <c r="E1640" s="123">
        <v>1</v>
      </c>
    </row>
    <row r="1641" spans="2:5">
      <c r="C1641" s="744">
        <v>122706</v>
      </c>
      <c r="D1641" s="766" t="s">
        <v>4168</v>
      </c>
      <c r="E1641" s="123">
        <v>1</v>
      </c>
    </row>
    <row r="1642" spans="2:5">
      <c r="C1642" s="479" t="s">
        <v>1787</v>
      </c>
      <c r="D1642" s="71" t="s">
        <v>1412</v>
      </c>
      <c r="E1642" s="123">
        <v>1</v>
      </c>
    </row>
    <row r="1643" spans="2:5">
      <c r="C1643" s="479"/>
      <c r="E1643" s="123"/>
    </row>
    <row r="1644" spans="2:5">
      <c r="B1644" s="121" t="s">
        <v>52</v>
      </c>
      <c r="C1644" s="479" t="s">
        <v>1787</v>
      </c>
      <c r="D1644" s="71" t="s">
        <v>1401</v>
      </c>
      <c r="E1644" s="123">
        <v>1</v>
      </c>
    </row>
    <row r="1645" spans="2:5">
      <c r="B1645" s="121" t="s">
        <v>52</v>
      </c>
      <c r="C1645" s="715">
        <v>110864</v>
      </c>
      <c r="D1645" s="748" t="s">
        <v>4062</v>
      </c>
      <c r="E1645" s="123">
        <v>1</v>
      </c>
    </row>
    <row r="1646" spans="2:5">
      <c r="B1646" s="121" t="s">
        <v>52</v>
      </c>
      <c r="C1646" s="479" t="s">
        <v>1787</v>
      </c>
      <c r="D1646" s="71" t="s">
        <v>3962</v>
      </c>
      <c r="E1646" s="123">
        <v>1</v>
      </c>
    </row>
    <row r="1647" spans="2:5">
      <c r="B1647" s="121" t="s">
        <v>52</v>
      </c>
      <c r="C1647" s="479" t="s">
        <v>1787</v>
      </c>
      <c r="D1647" s="71" t="s">
        <v>3963</v>
      </c>
      <c r="E1647" s="123">
        <v>1</v>
      </c>
    </row>
    <row r="1648" spans="2:5">
      <c r="B1648" s="121" t="s">
        <v>52</v>
      </c>
      <c r="C1648" s="479" t="s">
        <v>1787</v>
      </c>
      <c r="D1648" s="71" t="s">
        <v>3964</v>
      </c>
      <c r="E1648" s="123">
        <v>1</v>
      </c>
    </row>
    <row r="1649" spans="2:5">
      <c r="C1649" s="479" t="s">
        <v>1787</v>
      </c>
      <c r="D1649" s="71" t="s">
        <v>3965</v>
      </c>
      <c r="E1649" s="123">
        <v>1</v>
      </c>
    </row>
    <row r="1650" spans="2:5">
      <c r="B1650" s="121" t="s">
        <v>52</v>
      </c>
      <c r="C1650" s="479" t="s">
        <v>1787</v>
      </c>
      <c r="D1650" s="71" t="s">
        <v>2314</v>
      </c>
      <c r="E1650" s="123">
        <v>0.5</v>
      </c>
    </row>
    <row r="1651" spans="2:5">
      <c r="C1651" s="479" t="s">
        <v>1787</v>
      </c>
      <c r="D1651" s="71" t="s">
        <v>3966</v>
      </c>
      <c r="E1651" s="123">
        <v>1</v>
      </c>
    </row>
    <row r="1652" spans="2:5">
      <c r="B1652" s="121" t="s">
        <v>52</v>
      </c>
      <c r="C1652" s="481">
        <v>122685</v>
      </c>
      <c r="D1652" s="2" t="s">
        <v>3967</v>
      </c>
      <c r="E1652" s="123">
        <v>1</v>
      </c>
    </row>
    <row r="1653" spans="2:5">
      <c r="B1653" s="121" t="s">
        <v>52</v>
      </c>
      <c r="C1653" s="479" t="s">
        <v>1787</v>
      </c>
      <c r="D1653" s="71" t="s">
        <v>3968</v>
      </c>
      <c r="E1653" s="123">
        <v>1</v>
      </c>
    </row>
    <row r="1654" spans="2:5">
      <c r="B1654" s="121" t="s">
        <v>52</v>
      </c>
      <c r="C1654" s="481">
        <v>120158</v>
      </c>
      <c r="D1654" s="2" t="s">
        <v>3227</v>
      </c>
      <c r="E1654" s="123">
        <v>1</v>
      </c>
    </row>
    <row r="1655" spans="2:5">
      <c r="B1655" s="121" t="s">
        <v>52</v>
      </c>
      <c r="C1655" s="479" t="s">
        <v>1787</v>
      </c>
      <c r="D1655" s="71" t="s">
        <v>3969</v>
      </c>
      <c r="E1655" s="123">
        <v>1</v>
      </c>
    </row>
    <row r="1656" spans="2:5">
      <c r="B1656" s="121" t="s">
        <v>52</v>
      </c>
      <c r="C1656" s="481">
        <v>110600</v>
      </c>
      <c r="D1656" s="2" t="s">
        <v>3970</v>
      </c>
      <c r="E1656" s="123">
        <v>1</v>
      </c>
    </row>
    <row r="1657" spans="2:5">
      <c r="B1657" s="121" t="s">
        <v>52</v>
      </c>
      <c r="C1657" s="479" t="s">
        <v>1787</v>
      </c>
      <c r="D1657" s="71" t="s">
        <v>3971</v>
      </c>
      <c r="E1657" s="123">
        <v>1</v>
      </c>
    </row>
    <row r="1658" spans="2:5">
      <c r="C1658" s="479">
        <v>110662</v>
      </c>
      <c r="D1658" s="71" t="s">
        <v>4178</v>
      </c>
      <c r="E1658" s="123">
        <v>1</v>
      </c>
    </row>
    <row r="1659" spans="2:5">
      <c r="B1659" s="121" t="s">
        <v>52</v>
      </c>
      <c r="C1659" s="479" t="s">
        <v>1787</v>
      </c>
      <c r="D1659" s="71" t="s">
        <v>3972</v>
      </c>
      <c r="E1659" s="123">
        <v>1</v>
      </c>
    </row>
    <row r="1660" spans="2:5">
      <c r="B1660" s="121" t="s">
        <v>52</v>
      </c>
      <c r="C1660" s="479" t="s">
        <v>1787</v>
      </c>
      <c r="D1660" s="71" t="s">
        <v>4617</v>
      </c>
      <c r="E1660" s="123">
        <v>1</v>
      </c>
    </row>
    <row r="1661" spans="2:5">
      <c r="B1661" s="121" t="s">
        <v>52</v>
      </c>
      <c r="C1661" s="481">
        <v>110529</v>
      </c>
      <c r="D1661" s="2" t="s">
        <v>3973</v>
      </c>
      <c r="E1661" s="123">
        <v>1</v>
      </c>
    </row>
    <row r="1662" spans="2:5">
      <c r="B1662" s="121" t="s">
        <v>52</v>
      </c>
      <c r="C1662" s="481">
        <v>122716</v>
      </c>
      <c r="D1662" s="2" t="s">
        <v>3974</v>
      </c>
      <c r="E1662" s="123">
        <v>1</v>
      </c>
    </row>
    <row r="1663" spans="2:5">
      <c r="B1663" s="121" t="s">
        <v>52</v>
      </c>
      <c r="C1663" s="479" t="s">
        <v>1787</v>
      </c>
      <c r="D1663" s="71" t="s">
        <v>3975</v>
      </c>
      <c r="E1663" s="123">
        <v>1</v>
      </c>
    </row>
    <row r="1664" spans="2:5">
      <c r="B1664" s="121" t="s">
        <v>52</v>
      </c>
      <c r="C1664" s="274">
        <v>122232</v>
      </c>
      <c r="D1664" s="71" t="s">
        <v>3991</v>
      </c>
      <c r="E1664" s="123">
        <v>1</v>
      </c>
    </row>
    <row r="1665" spans="2:5">
      <c r="C1665" s="481">
        <v>110624</v>
      </c>
      <c r="D1665" s="2" t="s">
        <v>4130</v>
      </c>
      <c r="E1665" s="123">
        <v>1</v>
      </c>
    </row>
    <row r="1666" spans="2:5">
      <c r="B1666" s="121" t="s">
        <v>52</v>
      </c>
      <c r="C1666" s="479" t="s">
        <v>1787</v>
      </c>
      <c r="D1666" s="71" t="s">
        <v>3976</v>
      </c>
      <c r="E1666" s="123">
        <v>1</v>
      </c>
    </row>
    <row r="1667" spans="2:5">
      <c r="B1667" s="121" t="s">
        <v>52</v>
      </c>
      <c r="C1667" s="481">
        <v>110407</v>
      </c>
      <c r="D1667" s="2" t="s">
        <v>3977</v>
      </c>
      <c r="E1667" s="123">
        <v>1</v>
      </c>
    </row>
    <row r="1668" spans="2:5">
      <c r="B1668" s="121" t="s">
        <v>52</v>
      </c>
      <c r="C1668" s="479">
        <v>122861</v>
      </c>
      <c r="D1668" s="71" t="s">
        <v>3992</v>
      </c>
      <c r="E1668" s="123">
        <v>1</v>
      </c>
    </row>
    <row r="1669" spans="2:5">
      <c r="B1669" s="121" t="s">
        <v>52</v>
      </c>
      <c r="C1669" s="479" t="s">
        <v>1787</v>
      </c>
      <c r="D1669" s="253" t="s">
        <v>3892</v>
      </c>
      <c r="E1669" s="123">
        <v>1</v>
      </c>
    </row>
    <row r="1670" spans="2:5">
      <c r="B1670" s="121" t="s">
        <v>52</v>
      </c>
      <c r="C1670" s="479">
        <v>122761</v>
      </c>
      <c r="D1670" s="253" t="s">
        <v>2841</v>
      </c>
      <c r="E1670" s="123">
        <v>1</v>
      </c>
    </row>
    <row r="1671" spans="2:5">
      <c r="B1671" s="121" t="s">
        <v>52</v>
      </c>
      <c r="C1671" s="481">
        <v>122711</v>
      </c>
      <c r="D1671" s="2" t="s">
        <v>3218</v>
      </c>
      <c r="E1671" s="123">
        <v>1</v>
      </c>
    </row>
    <row r="1672" spans="2:5">
      <c r="B1672" s="121" t="s">
        <v>52</v>
      </c>
      <c r="C1672" s="479" t="s">
        <v>1787</v>
      </c>
      <c r="D1672" s="2" t="s">
        <v>2905</v>
      </c>
      <c r="E1672" s="123">
        <v>1</v>
      </c>
    </row>
    <row r="1673" spans="2:5" ht="15.75" customHeight="1">
      <c r="B1673" s="121" t="s">
        <v>52</v>
      </c>
      <c r="C1673" s="479">
        <v>122734</v>
      </c>
      <c r="D1673" s="71" t="s">
        <v>4177</v>
      </c>
      <c r="E1673" s="123">
        <v>1</v>
      </c>
    </row>
    <row r="1674" spans="2:5">
      <c r="B1674" s="121" t="s">
        <v>52</v>
      </c>
      <c r="C1674" s="479" t="s">
        <v>1787</v>
      </c>
      <c r="D1674" s="71" t="s">
        <v>2639</v>
      </c>
      <c r="E1674" s="123">
        <v>1</v>
      </c>
    </row>
    <row r="1675" spans="2:5">
      <c r="B1675" s="121" t="s">
        <v>52</v>
      </c>
      <c r="C1675" s="479" t="s">
        <v>1787</v>
      </c>
      <c r="D1675" s="71" t="s">
        <v>2757</v>
      </c>
      <c r="E1675" s="123">
        <v>1</v>
      </c>
    </row>
    <row r="1676" spans="2:5">
      <c r="B1676" s="121" t="s">
        <v>52</v>
      </c>
      <c r="C1676" s="479" t="s">
        <v>1787</v>
      </c>
      <c r="D1676" s="71" t="s">
        <v>3978</v>
      </c>
      <c r="E1676" s="123">
        <v>1</v>
      </c>
    </row>
    <row r="1677" spans="2:5">
      <c r="B1677" s="121" t="s">
        <v>52</v>
      </c>
      <c r="C1677" s="631">
        <v>122264</v>
      </c>
      <c r="D1677" s="721" t="s">
        <v>3979</v>
      </c>
      <c r="E1677" s="123">
        <v>1</v>
      </c>
    </row>
    <row r="1678" spans="2:5">
      <c r="B1678" s="121" t="s">
        <v>52</v>
      </c>
      <c r="C1678" s="631">
        <v>120968</v>
      </c>
      <c r="D1678" s="768" t="s">
        <v>4191</v>
      </c>
      <c r="E1678" s="123">
        <v>1</v>
      </c>
    </row>
    <row r="1679" spans="2:5">
      <c r="B1679" s="121" t="s">
        <v>52</v>
      </c>
      <c r="C1679" s="479" t="s">
        <v>1787</v>
      </c>
      <c r="D1679" s="71" t="s">
        <v>3980</v>
      </c>
      <c r="E1679" s="123">
        <v>1</v>
      </c>
    </row>
    <row r="1680" spans="2:5">
      <c r="B1680" s="121" t="s">
        <v>52</v>
      </c>
      <c r="C1680" s="479">
        <v>110306</v>
      </c>
      <c r="D1680" s="71" t="s">
        <v>3910</v>
      </c>
      <c r="E1680" s="123">
        <v>1</v>
      </c>
    </row>
    <row r="1681" spans="2:5">
      <c r="B1681" s="121" t="s">
        <v>52</v>
      </c>
      <c r="C1681" s="479" t="s">
        <v>1787</v>
      </c>
      <c r="D1681" s="148" t="s">
        <v>2882</v>
      </c>
      <c r="E1681" s="123">
        <v>1</v>
      </c>
    </row>
    <row r="1682" spans="2:5">
      <c r="B1682" s="121" t="s">
        <v>52</v>
      </c>
      <c r="C1682" s="479">
        <v>120707</v>
      </c>
      <c r="D1682" s="71" t="s">
        <v>3127</v>
      </c>
      <c r="E1682" s="123">
        <v>1</v>
      </c>
    </row>
    <row r="1683" spans="2:5">
      <c r="B1683" s="121" t="s">
        <v>52</v>
      </c>
      <c r="C1683" s="545">
        <v>120707</v>
      </c>
      <c r="D1683" s="516" t="s">
        <v>3127</v>
      </c>
      <c r="E1683" s="123">
        <v>1</v>
      </c>
    </row>
    <row r="1684" spans="2:5">
      <c r="B1684" s="121" t="s">
        <v>52</v>
      </c>
      <c r="C1684" s="479" t="s">
        <v>1787</v>
      </c>
      <c r="D1684" s="71" t="s">
        <v>1406</v>
      </c>
      <c r="E1684" s="123">
        <v>1</v>
      </c>
    </row>
    <row r="1685" spans="2:5">
      <c r="B1685" s="121" t="s">
        <v>52</v>
      </c>
      <c r="C1685" s="479" t="s">
        <v>1787</v>
      </c>
      <c r="D1685" s="71" t="s">
        <v>2664</v>
      </c>
      <c r="E1685" s="123">
        <v>2.8</v>
      </c>
    </row>
    <row r="1686" spans="2:5">
      <c r="B1686" s="121" t="s">
        <v>52</v>
      </c>
      <c r="C1686" s="481" t="s">
        <v>1787</v>
      </c>
      <c r="D1686" s="2" t="s">
        <v>3228</v>
      </c>
      <c r="E1686" s="123">
        <v>1</v>
      </c>
    </row>
    <row r="1687" spans="2:5">
      <c r="B1687" s="121" t="s">
        <v>52</v>
      </c>
      <c r="C1687" s="479" t="s">
        <v>1787</v>
      </c>
      <c r="D1687" s="71" t="s">
        <v>2904</v>
      </c>
      <c r="E1687" s="123">
        <v>1</v>
      </c>
    </row>
    <row r="1688" spans="2:5">
      <c r="B1688" s="121" t="s">
        <v>52</v>
      </c>
      <c r="C1688" s="479" t="s">
        <v>1787</v>
      </c>
      <c r="D1688" s="71" t="s">
        <v>3981</v>
      </c>
      <c r="E1688" s="123">
        <v>1</v>
      </c>
    </row>
    <row r="1689" spans="2:5" ht="15.75" customHeight="1">
      <c r="B1689" s="121" t="s">
        <v>52</v>
      </c>
      <c r="C1689" s="479" t="s">
        <v>1787</v>
      </c>
      <c r="D1689" s="71" t="s">
        <v>3981</v>
      </c>
      <c r="E1689" s="123">
        <v>1</v>
      </c>
    </row>
    <row r="1690" spans="2:5" ht="15.75" customHeight="1">
      <c r="B1690" s="121" t="s">
        <v>52</v>
      </c>
      <c r="C1690" s="479">
        <v>122988</v>
      </c>
      <c r="D1690" s="71" t="s">
        <v>3845</v>
      </c>
      <c r="E1690" s="123">
        <v>1</v>
      </c>
    </row>
    <row r="1691" spans="2:5" ht="15.75" customHeight="1">
      <c r="B1691" s="121" t="s">
        <v>52</v>
      </c>
      <c r="C1691" s="479" t="s">
        <v>1787</v>
      </c>
      <c r="D1691" s="71" t="s">
        <v>2508</v>
      </c>
      <c r="E1691" s="123">
        <v>1</v>
      </c>
    </row>
    <row r="1692" spans="2:5" ht="15.75" customHeight="1">
      <c r="B1692" s="121" t="s">
        <v>52</v>
      </c>
      <c r="C1692" s="481">
        <v>122434</v>
      </c>
      <c r="D1692" s="2" t="s">
        <v>3124</v>
      </c>
      <c r="E1692" s="123">
        <v>1</v>
      </c>
    </row>
    <row r="1693" spans="2:5" ht="15.75" customHeight="1">
      <c r="B1693" s="121" t="s">
        <v>52</v>
      </c>
      <c r="C1693" s="481" t="s">
        <v>1787</v>
      </c>
      <c r="D1693" s="2" t="s">
        <v>3611</v>
      </c>
      <c r="E1693" s="123">
        <v>1</v>
      </c>
    </row>
    <row r="1694" spans="2:5" ht="15.75" customHeight="1">
      <c r="B1694" s="121" t="s">
        <v>52</v>
      </c>
      <c r="C1694" s="481">
        <v>123187</v>
      </c>
      <c r="D1694" s="2" t="s">
        <v>4363</v>
      </c>
      <c r="E1694" s="123">
        <v>1</v>
      </c>
    </row>
    <row r="1695" spans="2:5">
      <c r="B1695" s="121" t="s">
        <v>52</v>
      </c>
      <c r="C1695" s="479" t="s">
        <v>1787</v>
      </c>
      <c r="D1695" s="71" t="s">
        <v>2346</v>
      </c>
      <c r="E1695" s="123">
        <v>1</v>
      </c>
    </row>
    <row r="1696" spans="2:5">
      <c r="B1696" s="121" t="s">
        <v>52</v>
      </c>
      <c r="C1696" s="479" t="s">
        <v>1787</v>
      </c>
      <c r="D1696" s="71" t="s">
        <v>1416</v>
      </c>
      <c r="E1696" s="123">
        <v>1</v>
      </c>
    </row>
    <row r="1697" spans="2:5">
      <c r="B1697" s="121" t="s">
        <v>52</v>
      </c>
      <c r="C1697" s="479" t="s">
        <v>1787</v>
      </c>
      <c r="D1697" s="71" t="s">
        <v>1415</v>
      </c>
      <c r="E1697" s="123">
        <v>1</v>
      </c>
    </row>
    <row r="1698" spans="2:5">
      <c r="B1698" s="121" t="s">
        <v>52</v>
      </c>
      <c r="C1698" s="479" t="s">
        <v>1787</v>
      </c>
      <c r="D1698" s="71" t="s">
        <v>2509</v>
      </c>
      <c r="E1698" s="123">
        <v>1</v>
      </c>
    </row>
    <row r="1699" spans="2:5" ht="15.75" customHeight="1">
      <c r="B1699" s="121" t="s">
        <v>52</v>
      </c>
      <c r="C1699" s="479" t="s">
        <v>1787</v>
      </c>
      <c r="D1699" s="71" t="s">
        <v>3982</v>
      </c>
      <c r="E1699" s="123">
        <v>1</v>
      </c>
    </row>
    <row r="1700" spans="2:5" ht="15.75" customHeight="1">
      <c r="B1700" s="121" t="s">
        <v>52</v>
      </c>
      <c r="C1700" s="479" t="s">
        <v>1787</v>
      </c>
      <c r="D1700" s="71" t="s">
        <v>3983</v>
      </c>
      <c r="E1700" s="123">
        <v>1</v>
      </c>
    </row>
    <row r="1701" spans="2:5">
      <c r="B1701" s="121" t="s">
        <v>52</v>
      </c>
      <c r="C1701" s="479" t="s">
        <v>1787</v>
      </c>
      <c r="D1701" s="71" t="s">
        <v>2839</v>
      </c>
      <c r="E1701" s="123">
        <v>1</v>
      </c>
    </row>
    <row r="1702" spans="2:5" ht="15.75" customHeight="1">
      <c r="B1702" s="121" t="s">
        <v>52</v>
      </c>
      <c r="C1702" s="479" t="s">
        <v>1787</v>
      </c>
      <c r="D1702" s="71" t="s">
        <v>3985</v>
      </c>
      <c r="E1702" s="123">
        <v>1</v>
      </c>
    </row>
    <row r="1703" spans="2:5" ht="15.75" customHeight="1">
      <c r="B1703" s="121" t="s">
        <v>52</v>
      </c>
      <c r="C1703" s="479" t="s">
        <v>1787</v>
      </c>
      <c r="D1703" s="71" t="s">
        <v>3986</v>
      </c>
      <c r="E1703" s="123">
        <v>1</v>
      </c>
    </row>
    <row r="1704" spans="2:5" ht="15.75" customHeight="1">
      <c r="B1704" s="121" t="s">
        <v>52</v>
      </c>
      <c r="C1704" s="479" t="s">
        <v>1787</v>
      </c>
      <c r="D1704" s="71" t="s">
        <v>3130</v>
      </c>
      <c r="E1704" s="123">
        <v>1</v>
      </c>
    </row>
    <row r="1705" spans="2:5">
      <c r="B1705" s="121" t="s">
        <v>52</v>
      </c>
      <c r="C1705" s="479" t="s">
        <v>1787</v>
      </c>
      <c r="D1705" s="71" t="s">
        <v>2498</v>
      </c>
      <c r="E1705" s="123">
        <v>1</v>
      </c>
    </row>
    <row r="1706" spans="2:5">
      <c r="B1706" s="121" t="s">
        <v>52</v>
      </c>
      <c r="C1706" s="479" t="s">
        <v>1787</v>
      </c>
      <c r="D1706" s="71" t="s">
        <v>3589</v>
      </c>
      <c r="E1706" s="123">
        <v>1</v>
      </c>
    </row>
    <row r="1707" spans="2:5" ht="15.75" customHeight="1">
      <c r="B1707" s="121" t="s">
        <v>52</v>
      </c>
      <c r="C1707" s="479" t="s">
        <v>1787</v>
      </c>
      <c r="D1707" s="71" t="s">
        <v>3588</v>
      </c>
      <c r="E1707" s="123">
        <v>1</v>
      </c>
    </row>
    <row r="1708" spans="2:5" ht="15.75" customHeight="1">
      <c r="B1708" s="121" t="s">
        <v>52</v>
      </c>
      <c r="C1708" s="479" t="s">
        <v>1787</v>
      </c>
      <c r="D1708" s="71" t="s">
        <v>3984</v>
      </c>
      <c r="E1708" s="123">
        <v>1</v>
      </c>
    </row>
    <row r="1709" spans="2:5" ht="15.75" customHeight="1">
      <c r="B1709" s="121" t="s">
        <v>52</v>
      </c>
      <c r="C1709" s="479" t="s">
        <v>1787</v>
      </c>
      <c r="D1709" s="71" t="s">
        <v>2643</v>
      </c>
      <c r="E1709" s="123">
        <v>1</v>
      </c>
    </row>
    <row r="1710" spans="2:5" ht="15.75" customHeight="1">
      <c r="B1710" s="121" t="s">
        <v>52</v>
      </c>
      <c r="C1710" s="479" t="s">
        <v>1787</v>
      </c>
      <c r="D1710" s="71" t="s">
        <v>2852</v>
      </c>
      <c r="E1710" s="123">
        <v>1</v>
      </c>
    </row>
    <row r="1711" spans="2:5" ht="15.75" customHeight="1">
      <c r="B1711" s="121" t="s">
        <v>52</v>
      </c>
      <c r="C1711" s="479" t="s">
        <v>1787</v>
      </c>
      <c r="D1711" s="71" t="s">
        <v>2871</v>
      </c>
      <c r="E1711" s="123">
        <v>1</v>
      </c>
    </row>
    <row r="1712" spans="2:5">
      <c r="B1712" s="121" t="s">
        <v>52</v>
      </c>
      <c r="C1712" s="550">
        <v>121583</v>
      </c>
      <c r="D1712" s="549" t="s">
        <v>3229</v>
      </c>
      <c r="E1712" s="123">
        <v>1</v>
      </c>
    </row>
    <row r="1713" spans="2:5">
      <c r="B1713" s="121" t="s">
        <v>52</v>
      </c>
      <c r="C1713" s="481">
        <v>110130</v>
      </c>
      <c r="D1713" s="2" t="s">
        <v>4113</v>
      </c>
      <c r="E1713" s="123">
        <v>1</v>
      </c>
    </row>
    <row r="1714" spans="2:5">
      <c r="B1714" s="121" t="s">
        <v>52</v>
      </c>
      <c r="C1714" s="481" t="s">
        <v>1787</v>
      </c>
      <c r="D1714" s="2" t="s">
        <v>4338</v>
      </c>
      <c r="E1714" s="123">
        <v>1</v>
      </c>
    </row>
    <row r="1715" spans="2:5" ht="15.75" customHeight="1">
      <c r="B1715" s="121" t="s">
        <v>52</v>
      </c>
      <c r="C1715" s="479" t="s">
        <v>1787</v>
      </c>
      <c r="D1715" s="71" t="s">
        <v>2687</v>
      </c>
      <c r="E1715" s="123">
        <v>1</v>
      </c>
    </row>
    <row r="1716" spans="2:5">
      <c r="B1716" s="121" t="s">
        <v>52</v>
      </c>
      <c r="C1716" s="708">
        <v>120650</v>
      </c>
      <c r="D1716" s="693" t="s">
        <v>3836</v>
      </c>
      <c r="E1716" s="123">
        <v>1</v>
      </c>
    </row>
    <row r="1717" spans="2:5" ht="15.75" customHeight="1">
      <c r="B1717" s="121" t="s">
        <v>52</v>
      </c>
      <c r="C1717" s="547">
        <v>120396</v>
      </c>
      <c r="D1717" s="499" t="s">
        <v>3987</v>
      </c>
      <c r="E1717" s="123">
        <v>1</v>
      </c>
    </row>
    <row r="1718" spans="2:5" ht="15.75" customHeight="1">
      <c r="B1718" s="121" t="s">
        <v>52</v>
      </c>
      <c r="C1718" s="479" t="s">
        <v>1787</v>
      </c>
      <c r="D1718" s="148" t="s">
        <v>3988</v>
      </c>
      <c r="E1718" s="123">
        <v>1</v>
      </c>
    </row>
    <row r="1719" spans="2:5" ht="15.75" customHeight="1">
      <c r="B1719" s="121" t="s">
        <v>52</v>
      </c>
      <c r="C1719" s="707">
        <v>120451</v>
      </c>
      <c r="D1719" s="706" t="s">
        <v>3905</v>
      </c>
      <c r="E1719" s="123">
        <v>1</v>
      </c>
    </row>
    <row r="1720" spans="2:5" ht="15.75" customHeight="1">
      <c r="B1720" s="121" t="s">
        <v>52</v>
      </c>
      <c r="C1720" s="479" t="s">
        <v>1787</v>
      </c>
      <c r="D1720" s="71" t="s">
        <v>2688</v>
      </c>
      <c r="E1720" s="123">
        <v>1</v>
      </c>
    </row>
    <row r="1721" spans="2:5" ht="15.75" customHeight="1">
      <c r="B1721" s="121" t="s">
        <v>52</v>
      </c>
      <c r="C1721" s="479" t="s">
        <v>1787</v>
      </c>
      <c r="D1721" s="71" t="s">
        <v>2689</v>
      </c>
      <c r="E1721" s="123">
        <v>1</v>
      </c>
    </row>
    <row r="1722" spans="2:5">
      <c r="B1722" s="121" t="s">
        <v>52</v>
      </c>
      <c r="C1722" s="479">
        <v>122168</v>
      </c>
      <c r="D1722" s="71" t="s">
        <v>3066</v>
      </c>
      <c r="E1722" s="123">
        <v>1</v>
      </c>
    </row>
    <row r="1723" spans="2:5">
      <c r="B1723" s="121" t="s">
        <v>52</v>
      </c>
      <c r="C1723" s="479" t="s">
        <v>1787</v>
      </c>
      <c r="D1723" s="71" t="s">
        <v>3525</v>
      </c>
      <c r="E1723" s="123">
        <v>1</v>
      </c>
    </row>
    <row r="1724" spans="2:5">
      <c r="B1724" s="121" t="s">
        <v>52</v>
      </c>
      <c r="C1724" s="479" t="s">
        <v>1787</v>
      </c>
      <c r="D1724" s="71" t="s">
        <v>2857</v>
      </c>
      <c r="E1724" s="123">
        <v>1</v>
      </c>
    </row>
    <row r="1725" spans="2:5">
      <c r="B1725" s="121" t="s">
        <v>52</v>
      </c>
      <c r="C1725" s="479" t="s">
        <v>1787</v>
      </c>
      <c r="D1725" s="71" t="s">
        <v>3079</v>
      </c>
      <c r="E1725" s="123">
        <v>1</v>
      </c>
    </row>
    <row r="1726" spans="2:5">
      <c r="B1726" s="121" t="s">
        <v>52</v>
      </c>
      <c r="C1726" s="479" t="s">
        <v>1787</v>
      </c>
      <c r="D1726" s="71" t="s">
        <v>3080</v>
      </c>
      <c r="E1726" s="123">
        <v>1</v>
      </c>
    </row>
    <row r="1727" spans="2:5">
      <c r="B1727" s="121" t="s">
        <v>52</v>
      </c>
      <c r="C1727" s="481">
        <v>121852</v>
      </c>
      <c r="D1727" s="2" t="s">
        <v>3034</v>
      </c>
      <c r="E1727" s="123">
        <v>1</v>
      </c>
    </row>
    <row r="1728" spans="2:5">
      <c r="B1728" s="121" t="s">
        <v>52</v>
      </c>
      <c r="C1728" s="481">
        <v>122833</v>
      </c>
      <c r="D1728" s="2" t="s">
        <v>3231</v>
      </c>
      <c r="E1728" s="123">
        <v>1</v>
      </c>
    </row>
    <row r="1729" spans="2:5">
      <c r="B1729" s="121" t="s">
        <v>52</v>
      </c>
      <c r="C1729" s="479" t="s">
        <v>1787</v>
      </c>
      <c r="D1729" s="148" t="s">
        <v>2888</v>
      </c>
      <c r="E1729" s="123">
        <v>1</v>
      </c>
    </row>
    <row r="1730" spans="2:5">
      <c r="B1730" s="121" t="s">
        <v>52</v>
      </c>
      <c r="C1730" s="479" t="s">
        <v>1787</v>
      </c>
      <c r="D1730" s="71" t="s">
        <v>2855</v>
      </c>
      <c r="E1730" s="123">
        <v>1</v>
      </c>
    </row>
    <row r="1731" spans="2:5">
      <c r="B1731" s="121" t="s">
        <v>52</v>
      </c>
      <c r="C1731" s="744">
        <v>120126</v>
      </c>
      <c r="D1731" s="743" t="s">
        <v>4030</v>
      </c>
      <c r="E1731" s="123">
        <v>1</v>
      </c>
    </row>
    <row r="1732" spans="2:5" ht="15.75" customHeight="1">
      <c r="B1732" s="121" t="s">
        <v>52</v>
      </c>
      <c r="C1732" s="479">
        <v>120107</v>
      </c>
      <c r="D1732" s="71" t="s">
        <v>2770</v>
      </c>
      <c r="E1732" s="123">
        <v>1</v>
      </c>
    </row>
    <row r="1733" spans="2:5">
      <c r="B1733" s="121" t="s">
        <v>52</v>
      </c>
      <c r="C1733" s="479" t="s">
        <v>1787</v>
      </c>
      <c r="D1733" s="71" t="s">
        <v>2856</v>
      </c>
      <c r="E1733" s="123">
        <v>1</v>
      </c>
    </row>
    <row r="1734" spans="2:5">
      <c r="B1734" s="121" t="s">
        <v>52</v>
      </c>
      <c r="C1734" s="481">
        <v>110614</v>
      </c>
      <c r="D1734" s="2" t="s">
        <v>2983</v>
      </c>
      <c r="E1734" s="123">
        <v>1</v>
      </c>
    </row>
    <row r="1735" spans="2:5">
      <c r="B1735" s="121" t="s">
        <v>52</v>
      </c>
      <c r="C1735" s="481">
        <v>110614</v>
      </c>
      <c r="D1735" s="2" t="s">
        <v>2979</v>
      </c>
      <c r="E1735" s="123">
        <v>1</v>
      </c>
    </row>
    <row r="1736" spans="2:5">
      <c r="B1736" s="121" t="s">
        <v>52</v>
      </c>
      <c r="C1736" s="625">
        <v>120006</v>
      </c>
      <c r="D1736" s="722" t="s">
        <v>3989</v>
      </c>
      <c r="E1736" s="123">
        <v>1</v>
      </c>
    </row>
    <row r="1737" spans="2:5">
      <c r="B1737" s="121" t="s">
        <v>52</v>
      </c>
      <c r="C1737" s="479">
        <v>120090</v>
      </c>
      <c r="D1737" s="71" t="s">
        <v>2832</v>
      </c>
      <c r="E1737" s="123">
        <v>1</v>
      </c>
    </row>
    <row r="1738" spans="2:5">
      <c r="B1738" s="121" t="s">
        <v>52</v>
      </c>
      <c r="C1738" s="479" t="s">
        <v>1787</v>
      </c>
      <c r="D1738" s="71" t="s">
        <v>2690</v>
      </c>
      <c r="E1738" s="123">
        <v>1</v>
      </c>
    </row>
    <row r="1739" spans="2:5">
      <c r="B1739" s="121" t="s">
        <v>52</v>
      </c>
      <c r="C1739" s="479">
        <v>121228</v>
      </c>
      <c r="D1739" s="71" t="s">
        <v>2691</v>
      </c>
      <c r="E1739" s="123">
        <v>1</v>
      </c>
    </row>
    <row r="1740" spans="2:5">
      <c r="B1740" s="121" t="s">
        <v>52</v>
      </c>
      <c r="C1740" s="479" t="s">
        <v>1787</v>
      </c>
      <c r="D1740" s="71" t="s">
        <v>2692</v>
      </c>
      <c r="E1740" s="123">
        <v>1</v>
      </c>
    </row>
    <row r="1741" spans="2:5">
      <c r="B1741" s="121" t="s">
        <v>52</v>
      </c>
      <c r="C1741" s="631">
        <v>120978</v>
      </c>
      <c r="D1741" s="630" t="s">
        <v>3550</v>
      </c>
      <c r="E1741" s="123">
        <v>1</v>
      </c>
    </row>
    <row r="1742" spans="2:5">
      <c r="B1742" s="121" t="s">
        <v>52</v>
      </c>
      <c r="C1742" s="715">
        <v>120960</v>
      </c>
      <c r="D1742" s="2" t="s">
        <v>2909</v>
      </c>
      <c r="E1742" s="123">
        <v>1</v>
      </c>
    </row>
    <row r="1743" spans="2:5">
      <c r="B1743" s="121" t="s">
        <v>52</v>
      </c>
      <c r="C1743" s="715">
        <v>120960</v>
      </c>
      <c r="D1743" s="2" t="s">
        <v>2906</v>
      </c>
      <c r="E1743" s="123">
        <v>1</v>
      </c>
    </row>
    <row r="1744" spans="2:5">
      <c r="B1744" s="121" t="s">
        <v>52</v>
      </c>
      <c r="C1744" s="715">
        <v>122082</v>
      </c>
      <c r="D1744" s="2" t="s">
        <v>2976</v>
      </c>
      <c r="E1744" s="123">
        <v>1</v>
      </c>
    </row>
    <row r="1745" spans="2:5">
      <c r="B1745" s="121" t="s">
        <v>52</v>
      </c>
      <c r="C1745" s="715">
        <v>122082</v>
      </c>
      <c r="D1745" s="2" t="s">
        <v>2975</v>
      </c>
      <c r="E1745" s="123">
        <v>1</v>
      </c>
    </row>
    <row r="1746" spans="2:5">
      <c r="B1746" s="121" t="s">
        <v>52</v>
      </c>
      <c r="C1746" s="481">
        <v>122389</v>
      </c>
      <c r="D1746" s="2" t="s">
        <v>3580</v>
      </c>
      <c r="E1746" s="123">
        <v>1</v>
      </c>
    </row>
    <row r="1747" spans="2:5">
      <c r="B1747" s="121" t="s">
        <v>52</v>
      </c>
      <c r="C1747" s="479" t="s">
        <v>1787</v>
      </c>
      <c r="D1747" s="71" t="s">
        <v>2693</v>
      </c>
      <c r="E1747" s="123">
        <v>1</v>
      </c>
    </row>
    <row r="1748" spans="2:5">
      <c r="B1748" s="121" t="s">
        <v>52</v>
      </c>
      <c r="C1748" s="479">
        <v>110264</v>
      </c>
      <c r="D1748" s="71" t="s">
        <v>3121</v>
      </c>
      <c r="E1748" s="123">
        <v>1</v>
      </c>
    </row>
    <row r="1749" spans="2:5">
      <c r="B1749" s="121" t="s">
        <v>52</v>
      </c>
      <c r="C1749" s="479" t="s">
        <v>1787</v>
      </c>
      <c r="D1749" s="71" t="s">
        <v>2694</v>
      </c>
      <c r="E1749" s="123">
        <v>1</v>
      </c>
    </row>
    <row r="1750" spans="2:5">
      <c r="B1750" s="121" t="s">
        <v>52</v>
      </c>
      <c r="C1750" s="834">
        <v>110088</v>
      </c>
      <c r="D1750" s="71" t="s">
        <v>2695</v>
      </c>
      <c r="E1750" s="123">
        <v>1</v>
      </c>
    </row>
    <row r="1751" spans="2:5">
      <c r="B1751" s="121" t="s">
        <v>52</v>
      </c>
      <c r="C1751" s="479" t="s">
        <v>1787</v>
      </c>
      <c r="D1751" s="71" t="s">
        <v>2696</v>
      </c>
      <c r="E1751" s="123">
        <v>1</v>
      </c>
    </row>
    <row r="1752" spans="2:5">
      <c r="B1752" s="121" t="s">
        <v>52</v>
      </c>
      <c r="C1752" s="479" t="s">
        <v>1787</v>
      </c>
      <c r="D1752" s="71" t="s">
        <v>2697</v>
      </c>
      <c r="E1752" s="123">
        <v>1</v>
      </c>
    </row>
    <row r="1753" spans="2:5">
      <c r="B1753" s="121" t="s">
        <v>52</v>
      </c>
      <c r="C1753" s="479" t="s">
        <v>1787</v>
      </c>
      <c r="D1753" s="71" t="s">
        <v>2844</v>
      </c>
      <c r="E1753" s="123">
        <v>1</v>
      </c>
    </row>
    <row r="1754" spans="2:5">
      <c r="B1754" s="121" t="s">
        <v>52</v>
      </c>
      <c r="C1754" s="479" t="s">
        <v>1787</v>
      </c>
      <c r="D1754" s="71" t="s">
        <v>2698</v>
      </c>
      <c r="E1754" s="123">
        <v>1</v>
      </c>
    </row>
    <row r="1755" spans="2:5">
      <c r="B1755" s="121" t="s">
        <v>52</v>
      </c>
      <c r="C1755" s="479" t="s">
        <v>1787</v>
      </c>
      <c r="D1755" s="71" t="s">
        <v>2793</v>
      </c>
      <c r="E1755" s="123">
        <v>1</v>
      </c>
    </row>
    <row r="1756" spans="2:5">
      <c r="B1756" s="121" t="s">
        <v>52</v>
      </c>
      <c r="C1756" s="481">
        <v>120100</v>
      </c>
      <c r="D1756" s="2" t="s">
        <v>3028</v>
      </c>
      <c r="E1756" s="123">
        <v>1</v>
      </c>
    </row>
    <row r="1757" spans="2:5">
      <c r="B1757" s="121" t="s">
        <v>52</v>
      </c>
      <c r="C1757" s="548">
        <v>120018</v>
      </c>
      <c r="D1757" s="533" t="s">
        <v>3212</v>
      </c>
      <c r="E1757" s="123">
        <v>1</v>
      </c>
    </row>
    <row r="1758" spans="2:5">
      <c r="B1758" s="121" t="s">
        <v>52</v>
      </c>
      <c r="C1758" s="479" t="s">
        <v>1787</v>
      </c>
      <c r="D1758" s="71" t="s">
        <v>2833</v>
      </c>
      <c r="E1758" s="123">
        <v>1</v>
      </c>
    </row>
    <row r="1759" spans="2:5">
      <c r="B1759" s="121" t="s">
        <v>52</v>
      </c>
      <c r="C1759" s="479" t="s">
        <v>1787</v>
      </c>
      <c r="D1759" s="71" t="s">
        <v>2699</v>
      </c>
      <c r="E1759" s="123">
        <v>1</v>
      </c>
    </row>
    <row r="1760" spans="2:5">
      <c r="B1760" s="121" t="s">
        <v>52</v>
      </c>
      <c r="C1760" s="479" t="s">
        <v>1787</v>
      </c>
      <c r="D1760" s="71" t="s">
        <v>2700</v>
      </c>
      <c r="E1760" s="123">
        <v>1</v>
      </c>
    </row>
    <row r="1761" spans="2:5">
      <c r="B1761" s="121" t="s">
        <v>52</v>
      </c>
      <c r="C1761" s="481">
        <v>120505</v>
      </c>
      <c r="D1761" s="2" t="s">
        <v>3990</v>
      </c>
      <c r="E1761" s="123">
        <v>1</v>
      </c>
    </row>
    <row r="1762" spans="2:5">
      <c r="B1762" s="121" t="s">
        <v>52</v>
      </c>
      <c r="C1762" s="479" t="s">
        <v>1787</v>
      </c>
      <c r="D1762" s="71" t="s">
        <v>1410</v>
      </c>
      <c r="E1762" s="123">
        <v>1</v>
      </c>
    </row>
    <row r="1763" spans="2:5">
      <c r="B1763" s="121" t="s">
        <v>52</v>
      </c>
      <c r="C1763" s="479" t="s">
        <v>1787</v>
      </c>
      <c r="D1763" s="71" t="s">
        <v>3120</v>
      </c>
      <c r="E1763" s="123">
        <v>1</v>
      </c>
    </row>
    <row r="1764" spans="2:5">
      <c r="B1764" s="121" t="s">
        <v>52</v>
      </c>
      <c r="C1764" s="479" t="s">
        <v>1787</v>
      </c>
      <c r="D1764" s="71" t="s">
        <v>2769</v>
      </c>
      <c r="E1764" s="123">
        <v>1</v>
      </c>
    </row>
    <row r="1765" spans="2:5">
      <c r="B1765" s="121" t="s">
        <v>52</v>
      </c>
      <c r="C1765" s="479" t="s">
        <v>1787</v>
      </c>
      <c r="D1765" s="71" t="s">
        <v>2393</v>
      </c>
      <c r="E1765" s="123">
        <v>1</v>
      </c>
    </row>
    <row r="1766" spans="2:5">
      <c r="B1766" s="121" t="s">
        <v>52</v>
      </c>
      <c r="C1766" s="479">
        <v>122848</v>
      </c>
      <c r="D1766" s="71" t="s">
        <v>3025</v>
      </c>
      <c r="E1766" s="123">
        <v>1</v>
      </c>
    </row>
    <row r="1767" spans="2:5">
      <c r="B1767" s="121" t="s">
        <v>52</v>
      </c>
      <c r="C1767" s="479">
        <v>122848</v>
      </c>
      <c r="D1767" s="71" t="s">
        <v>3017</v>
      </c>
      <c r="E1767" s="123">
        <v>1</v>
      </c>
    </row>
    <row r="1768" spans="2:5">
      <c r="B1768" s="121" t="s">
        <v>52</v>
      </c>
      <c r="C1768" s="479" t="s">
        <v>1787</v>
      </c>
      <c r="D1768" s="71" t="s">
        <v>2701</v>
      </c>
      <c r="E1768" s="123">
        <v>1</v>
      </c>
    </row>
    <row r="1769" spans="2:5">
      <c r="B1769" s="121" t="s">
        <v>52</v>
      </c>
      <c r="C1769" s="479" t="s">
        <v>1787</v>
      </c>
      <c r="D1769" s="71" t="s">
        <v>2753</v>
      </c>
      <c r="E1769" s="123">
        <v>1</v>
      </c>
    </row>
    <row r="1770" spans="2:5">
      <c r="B1770" s="121" t="s">
        <v>52</v>
      </c>
      <c r="C1770" s="479" t="s">
        <v>1787</v>
      </c>
      <c r="D1770" s="71" t="s">
        <v>2702</v>
      </c>
      <c r="E1770" s="123">
        <v>1</v>
      </c>
    </row>
    <row r="1771" spans="2:5">
      <c r="B1771" s="121" t="s">
        <v>52</v>
      </c>
      <c r="C1771" s="481">
        <v>122629</v>
      </c>
      <c r="D1771" s="2" t="s">
        <v>3806</v>
      </c>
      <c r="E1771" s="123">
        <v>1</v>
      </c>
    </row>
    <row r="1772" spans="2:5">
      <c r="B1772" s="121" t="s">
        <v>52</v>
      </c>
      <c r="C1772" s="479" t="s">
        <v>1787</v>
      </c>
      <c r="D1772" s="71" t="s">
        <v>2789</v>
      </c>
      <c r="E1772" s="123">
        <v>1</v>
      </c>
    </row>
    <row r="1773" spans="2:5">
      <c r="B1773" s="121" t="s">
        <v>52</v>
      </c>
      <c r="C1773" s="479" t="s">
        <v>1787</v>
      </c>
      <c r="D1773" s="71" t="s">
        <v>2703</v>
      </c>
      <c r="E1773" s="123">
        <v>1</v>
      </c>
    </row>
    <row r="1774" spans="2:5">
      <c r="B1774" s="121" t="s">
        <v>52</v>
      </c>
      <c r="C1774" s="479" t="s">
        <v>1787</v>
      </c>
      <c r="D1774" s="71" t="s">
        <v>2704</v>
      </c>
      <c r="E1774" s="123">
        <v>1</v>
      </c>
    </row>
    <row r="1775" spans="2:5">
      <c r="B1775" s="121" t="s">
        <v>52</v>
      </c>
      <c r="C1775" s="479" t="s">
        <v>1787</v>
      </c>
      <c r="D1775" s="71" t="s">
        <v>4102</v>
      </c>
      <c r="E1775" s="123">
        <v>1</v>
      </c>
    </row>
    <row r="1776" spans="2:5">
      <c r="B1776" s="121" t="s">
        <v>52</v>
      </c>
      <c r="C1776" s="479">
        <v>122332</v>
      </c>
      <c r="D1776" s="71" t="s">
        <v>3018</v>
      </c>
      <c r="E1776" s="123">
        <v>1</v>
      </c>
    </row>
    <row r="1777" spans="2:5">
      <c r="B1777" s="121" t="s">
        <v>52</v>
      </c>
      <c r="C1777" s="479" t="s">
        <v>1787</v>
      </c>
      <c r="D1777" s="71" t="s">
        <v>2776</v>
      </c>
      <c r="E1777" s="123">
        <v>1</v>
      </c>
    </row>
    <row r="1778" spans="2:5">
      <c r="B1778" s="121" t="s">
        <v>52</v>
      </c>
      <c r="C1778" s="479" t="s">
        <v>1787</v>
      </c>
      <c r="D1778" s="71" t="s">
        <v>2783</v>
      </c>
      <c r="E1778" s="123">
        <v>1</v>
      </c>
    </row>
    <row r="1779" spans="2:5">
      <c r="B1779" s="121" t="s">
        <v>52</v>
      </c>
      <c r="C1779" s="479" t="s">
        <v>1787</v>
      </c>
      <c r="D1779" s="71" t="s">
        <v>2782</v>
      </c>
      <c r="E1779" s="123">
        <v>1</v>
      </c>
    </row>
    <row r="1780" spans="2:5">
      <c r="B1780" s="121" t="s">
        <v>52</v>
      </c>
      <c r="C1780" s="479" t="s">
        <v>1787</v>
      </c>
      <c r="D1780" s="71" t="s">
        <v>3537</v>
      </c>
      <c r="E1780" s="123">
        <v>1</v>
      </c>
    </row>
    <row r="1781" spans="2:5">
      <c r="B1781" s="121" t="s">
        <v>52</v>
      </c>
      <c r="C1781" s="750">
        <v>120349</v>
      </c>
      <c r="D1781" s="749" t="s">
        <v>4065</v>
      </c>
      <c r="E1781" s="123">
        <v>1.5</v>
      </c>
    </row>
    <row r="1782" spans="2:5">
      <c r="B1782" s="121" t="s">
        <v>52</v>
      </c>
      <c r="C1782" s="481">
        <v>121542</v>
      </c>
      <c r="D1782" s="2" t="s">
        <v>4066</v>
      </c>
      <c r="E1782" s="123">
        <v>1</v>
      </c>
    </row>
    <row r="1783" spans="2:5">
      <c r="B1783" s="121" t="s">
        <v>52</v>
      </c>
      <c r="C1783" s="744">
        <v>123080</v>
      </c>
      <c r="D1783" s="752" t="s">
        <v>4077</v>
      </c>
      <c r="E1783" s="123">
        <v>1</v>
      </c>
    </row>
    <row r="1784" spans="2:5">
      <c r="B1784" s="121" t="s">
        <v>52</v>
      </c>
      <c r="C1784" s="744">
        <v>123081</v>
      </c>
      <c r="D1784" s="752" t="s">
        <v>4078</v>
      </c>
      <c r="E1784" s="123">
        <v>1</v>
      </c>
    </row>
    <row r="1785" spans="2:5">
      <c r="B1785" s="121" t="s">
        <v>52</v>
      </c>
      <c r="C1785" s="744">
        <v>122786</v>
      </c>
      <c r="D1785" s="757" t="s">
        <v>4116</v>
      </c>
      <c r="E1785" s="123">
        <v>1</v>
      </c>
    </row>
    <row r="1786" spans="2:5">
      <c r="B1786" s="121" t="s">
        <v>52</v>
      </c>
      <c r="C1786" s="744">
        <v>123091</v>
      </c>
      <c r="D1786" s="758" t="s">
        <v>4123</v>
      </c>
      <c r="E1786" s="123">
        <v>1</v>
      </c>
    </row>
    <row r="1787" spans="2:5">
      <c r="B1787" s="121" t="s">
        <v>52</v>
      </c>
      <c r="C1787" s="744">
        <v>121278</v>
      </c>
      <c r="D1787" s="758" t="s">
        <v>4124</v>
      </c>
      <c r="E1787" s="123">
        <v>1</v>
      </c>
    </row>
    <row r="1788" spans="2:5">
      <c r="B1788" s="121" t="s">
        <v>52</v>
      </c>
      <c r="C1788" s="479">
        <v>123011</v>
      </c>
      <c r="D1788" s="764" t="s">
        <v>4160</v>
      </c>
      <c r="E1788" s="123">
        <v>1</v>
      </c>
    </row>
    <row r="1789" spans="2:5">
      <c r="B1789" s="121" t="s">
        <v>52</v>
      </c>
      <c r="C1789" s="479">
        <v>123092</v>
      </c>
      <c r="D1789" s="71" t="s">
        <v>4161</v>
      </c>
      <c r="E1789" s="123">
        <v>1</v>
      </c>
    </row>
    <row r="1790" spans="2:5">
      <c r="B1790" s="121" t="s">
        <v>52</v>
      </c>
      <c r="C1790" s="479">
        <v>123117</v>
      </c>
      <c r="D1790" s="71" t="s">
        <v>4175</v>
      </c>
      <c r="E1790" s="123">
        <v>1</v>
      </c>
    </row>
    <row r="1791" spans="2:5">
      <c r="B1791" s="121" t="s">
        <v>52</v>
      </c>
      <c r="C1791" s="481">
        <v>21513</v>
      </c>
      <c r="D1791" s="2" t="s">
        <v>4173</v>
      </c>
      <c r="E1791" s="123">
        <v>1</v>
      </c>
    </row>
    <row r="1792" spans="2:5">
      <c r="B1792" s="121" t="s">
        <v>52</v>
      </c>
      <c r="C1792" s="274">
        <v>121661</v>
      </c>
      <c r="D1792" s="556" t="s">
        <v>4174</v>
      </c>
      <c r="E1792" s="123">
        <v>1</v>
      </c>
    </row>
    <row r="1793" spans="2:7">
      <c r="B1793" s="121" t="s">
        <v>52</v>
      </c>
      <c r="C1793" s="479">
        <v>123107</v>
      </c>
      <c r="D1793" s="71" t="s">
        <v>4195</v>
      </c>
      <c r="E1793" s="123">
        <v>1</v>
      </c>
      <c r="G1793" s="71" t="s">
        <v>4194</v>
      </c>
    </row>
    <row r="1794" spans="2:7">
      <c r="B1794" s="121" t="s">
        <v>52</v>
      </c>
      <c r="C1794" s="479">
        <v>123116</v>
      </c>
      <c r="D1794" s="71" t="s">
        <v>4196</v>
      </c>
      <c r="E1794" s="123">
        <v>1</v>
      </c>
    </row>
    <row r="1795" spans="2:7">
      <c r="B1795" s="121" t="s">
        <v>52</v>
      </c>
      <c r="C1795" s="479" t="s">
        <v>1787</v>
      </c>
      <c r="D1795" s="71" t="s">
        <v>4214</v>
      </c>
      <c r="E1795" s="123">
        <v>1</v>
      </c>
    </row>
    <row r="1796" spans="2:7">
      <c r="B1796" s="121" t="s">
        <v>52</v>
      </c>
      <c r="C1796" s="479" t="s">
        <v>1787</v>
      </c>
      <c r="D1796" s="71" t="s">
        <v>4334</v>
      </c>
      <c r="E1796" s="123">
        <v>1</v>
      </c>
    </row>
    <row r="1797" spans="2:7">
      <c r="B1797" s="121" t="s">
        <v>52</v>
      </c>
      <c r="C1797" s="479" t="s">
        <v>1787</v>
      </c>
      <c r="D1797" s="71" t="s">
        <v>4205</v>
      </c>
      <c r="E1797" s="123">
        <v>1</v>
      </c>
    </row>
    <row r="1798" spans="2:7">
      <c r="B1798" s="121" t="s">
        <v>52</v>
      </c>
      <c r="C1798" s="479" t="s">
        <v>1787</v>
      </c>
      <c r="D1798" s="71" t="s">
        <v>4206</v>
      </c>
      <c r="E1798" s="123">
        <v>1</v>
      </c>
    </row>
    <row r="1799" spans="2:7">
      <c r="B1799" s="121" t="s">
        <v>52</v>
      </c>
      <c r="C1799" s="789">
        <v>121387</v>
      </c>
      <c r="D1799" s="788" t="s">
        <v>4266</v>
      </c>
      <c r="E1799" s="123">
        <v>1</v>
      </c>
    </row>
    <row r="1800" spans="2:7">
      <c r="B1800" s="121" t="s">
        <v>52</v>
      </c>
      <c r="C1800" s="790" t="s">
        <v>1787</v>
      </c>
      <c r="D1800" s="791" t="s">
        <v>4305</v>
      </c>
      <c r="E1800" s="123">
        <v>1</v>
      </c>
    </row>
    <row r="1801" spans="2:7">
      <c r="B1801" s="121" t="s">
        <v>52</v>
      </c>
      <c r="C1801" s="790" t="s">
        <v>1787</v>
      </c>
      <c r="D1801" s="791" t="s">
        <v>4306</v>
      </c>
      <c r="E1801" s="123">
        <v>1</v>
      </c>
    </row>
    <row r="1802" spans="2:7">
      <c r="B1802" s="121" t="s">
        <v>52</v>
      </c>
      <c r="C1802" s="790" t="s">
        <v>1787</v>
      </c>
      <c r="D1802" s="835" t="s">
        <v>4648</v>
      </c>
      <c r="E1802" s="123">
        <v>1</v>
      </c>
    </row>
    <row r="1803" spans="2:7">
      <c r="B1803" s="121" t="s">
        <v>52</v>
      </c>
      <c r="C1803" s="834">
        <v>122655</v>
      </c>
      <c r="D1803" s="836" t="s">
        <v>4647</v>
      </c>
      <c r="E1803" s="123">
        <v>1</v>
      </c>
    </row>
    <row r="1804" spans="2:7">
      <c r="B1804" s="121" t="s">
        <v>52</v>
      </c>
      <c r="C1804" s="790" t="s">
        <v>1787</v>
      </c>
      <c r="D1804" s="808" t="s">
        <v>4356</v>
      </c>
      <c r="E1804" s="123">
        <v>1</v>
      </c>
    </row>
    <row r="1805" spans="2:7">
      <c r="B1805" s="121" t="s">
        <v>52</v>
      </c>
      <c r="C1805" s="790" t="s">
        <v>1787</v>
      </c>
      <c r="D1805" s="812" t="s">
        <v>4380</v>
      </c>
      <c r="E1805" s="123">
        <v>1</v>
      </c>
    </row>
    <row r="1806" spans="2:7">
      <c r="B1806" s="121" t="s">
        <v>52</v>
      </c>
      <c r="C1806" s="274" t="s">
        <v>1787</v>
      </c>
      <c r="D1806" s="71" t="s">
        <v>4386</v>
      </c>
      <c r="E1806" s="123">
        <v>1</v>
      </c>
    </row>
    <row r="1807" spans="2:7">
      <c r="B1807" s="121" t="s">
        <v>52</v>
      </c>
      <c r="C1807" s="274">
        <v>23182</v>
      </c>
      <c r="D1807" s="71" t="s">
        <v>4387</v>
      </c>
      <c r="E1807" s="123">
        <v>1</v>
      </c>
    </row>
    <row r="1808" spans="2:7">
      <c r="B1808" s="121" t="s">
        <v>52</v>
      </c>
      <c r="C1808" s="274">
        <v>123249</v>
      </c>
      <c r="D1808" s="71" t="s">
        <v>4583</v>
      </c>
      <c r="E1808" s="123">
        <v>1</v>
      </c>
    </row>
    <row r="1809" spans="2:5">
      <c r="B1809" s="121" t="s">
        <v>52</v>
      </c>
      <c r="C1809" s="479">
        <v>123208</v>
      </c>
      <c r="D1809" s="71" t="s">
        <v>4394</v>
      </c>
      <c r="E1809" s="123">
        <v>1</v>
      </c>
    </row>
    <row r="1810" spans="2:5">
      <c r="B1810" s="121" t="s">
        <v>52</v>
      </c>
      <c r="C1810" s="479">
        <v>123207</v>
      </c>
      <c r="D1810" s="71" t="s">
        <v>4393</v>
      </c>
      <c r="E1810" s="123">
        <v>1</v>
      </c>
    </row>
    <row r="1811" spans="2:5">
      <c r="B1811" s="121" t="s">
        <v>52</v>
      </c>
      <c r="C1811" s="479" t="s">
        <v>1787</v>
      </c>
      <c r="D1811" s="71" t="s">
        <v>4579</v>
      </c>
      <c r="E1811" s="123">
        <v>1</v>
      </c>
    </row>
    <row r="1812" spans="2:5">
      <c r="B1812" s="121" t="s">
        <v>52</v>
      </c>
      <c r="C1812" s="479">
        <v>123202</v>
      </c>
      <c r="D1812" s="71" t="s">
        <v>4403</v>
      </c>
      <c r="E1812" s="123">
        <v>1</v>
      </c>
    </row>
    <row r="1813" spans="2:5">
      <c r="B1813" s="121" t="s">
        <v>52</v>
      </c>
      <c r="C1813" s="479">
        <v>123201</v>
      </c>
      <c r="D1813" s="71" t="s">
        <v>4402</v>
      </c>
      <c r="E1813" s="123">
        <v>1</v>
      </c>
    </row>
    <row r="1814" spans="2:5">
      <c r="B1814" s="121" t="s">
        <v>52</v>
      </c>
      <c r="C1814" s="479">
        <v>123200</v>
      </c>
      <c r="D1814" s="71" t="s">
        <v>4401</v>
      </c>
      <c r="E1814" s="123">
        <v>1</v>
      </c>
    </row>
    <row r="1815" spans="2:5">
      <c r="B1815" s="121" t="s">
        <v>52</v>
      </c>
      <c r="C1815" s="479">
        <v>122427</v>
      </c>
      <c r="D1815" s="71" t="s">
        <v>4398</v>
      </c>
      <c r="E1815" s="123">
        <v>1</v>
      </c>
    </row>
    <row r="1816" spans="2:5">
      <c r="B1816" s="121" t="s">
        <v>52</v>
      </c>
      <c r="C1816" s="479">
        <v>122427</v>
      </c>
      <c r="D1816" s="71" t="s">
        <v>4574</v>
      </c>
      <c r="E1816" s="123">
        <v>1</v>
      </c>
    </row>
    <row r="1817" spans="2:5">
      <c r="B1817" s="121" t="s">
        <v>52</v>
      </c>
      <c r="C1817" s="479">
        <v>122989</v>
      </c>
      <c r="D1817" s="71" t="s">
        <v>4605</v>
      </c>
      <c r="E1817" s="123">
        <v>1</v>
      </c>
    </row>
    <row r="1818" spans="2:5">
      <c r="B1818" s="121" t="s">
        <v>52</v>
      </c>
      <c r="C1818" s="479" t="s">
        <v>1787</v>
      </c>
      <c r="D1818" s="71" t="s">
        <v>4606</v>
      </c>
      <c r="E1818" s="123">
        <v>1</v>
      </c>
    </row>
    <row r="1819" spans="2:5">
      <c r="C1819" s="479"/>
    </row>
    <row r="1820" spans="2:5">
      <c r="C1820" s="479"/>
    </row>
    <row r="1821" spans="2:5">
      <c r="C1821" s="479"/>
    </row>
    <row r="1822" spans="2:5">
      <c r="C1822" s="479"/>
    </row>
    <row r="1823" spans="2:5">
      <c r="C1823" s="479"/>
    </row>
    <row r="1824" spans="2:5">
      <c r="C1824" s="479"/>
    </row>
    <row r="1825" spans="3:3">
      <c r="C1825" s="479"/>
    </row>
    <row r="1826" spans="3:3">
      <c r="C1826" s="479"/>
    </row>
    <row r="1827" spans="3:3">
      <c r="C1827" s="479"/>
    </row>
    <row r="1828" spans="3:3">
      <c r="C1828" s="479"/>
    </row>
    <row r="1829" spans="3:3">
      <c r="C1829" s="479"/>
    </row>
    <row r="1830" spans="3:3">
      <c r="C1830" s="479"/>
    </row>
    <row r="1831" spans="3:3">
      <c r="C1831" s="479"/>
    </row>
    <row r="1832" spans="3:3">
      <c r="C1832" s="479"/>
    </row>
    <row r="1833" spans="3:3">
      <c r="C1833" s="479"/>
    </row>
    <row r="1834" spans="3:3">
      <c r="C1834" s="479"/>
    </row>
    <row r="1835" spans="3:3">
      <c r="C1835" s="479"/>
    </row>
    <row r="1836" spans="3:3">
      <c r="C1836" s="479"/>
    </row>
    <row r="1837" spans="3:3">
      <c r="C1837" s="479"/>
    </row>
    <row r="1838" spans="3:3">
      <c r="C1838" s="479"/>
    </row>
    <row r="1839" spans="3:3">
      <c r="C1839" s="479"/>
    </row>
    <row r="1840" spans="3:3">
      <c r="C1840" s="479"/>
    </row>
    <row r="1841" spans="3:3">
      <c r="C1841" s="479"/>
    </row>
    <row r="1842" spans="3:3">
      <c r="C1842" s="479"/>
    </row>
    <row r="1843" spans="3:3">
      <c r="C1843" s="479"/>
    </row>
    <row r="1844" spans="3:3">
      <c r="C1844" s="479"/>
    </row>
    <row r="1845" spans="3:3">
      <c r="C1845" s="479"/>
    </row>
    <row r="1846" spans="3:3">
      <c r="C1846" s="479"/>
    </row>
    <row r="1847" spans="3:3">
      <c r="C1847" s="479"/>
    </row>
    <row r="1848" spans="3:3">
      <c r="C1848" s="479"/>
    </row>
    <row r="1849" spans="3:3">
      <c r="C1849" s="479"/>
    </row>
    <row r="1850" spans="3:3">
      <c r="C1850" s="479"/>
    </row>
    <row r="1851" spans="3:3">
      <c r="C1851" s="479"/>
    </row>
    <row r="1852" spans="3:3">
      <c r="C1852" s="479"/>
    </row>
    <row r="1853" spans="3:3">
      <c r="C1853" s="479"/>
    </row>
    <row r="1854" spans="3:3">
      <c r="C1854" s="479"/>
    </row>
    <row r="1855" spans="3:3">
      <c r="C1855" s="479"/>
    </row>
    <row r="1856" spans="3:3">
      <c r="C1856" s="479"/>
    </row>
    <row r="1857" spans="3:3">
      <c r="C1857" s="479"/>
    </row>
    <row r="1858" spans="3:3">
      <c r="C1858" s="479"/>
    </row>
    <row r="1859" spans="3:3">
      <c r="C1859" s="479"/>
    </row>
    <row r="1860" spans="3:3">
      <c r="C1860" s="479"/>
    </row>
    <row r="1861" spans="3:3">
      <c r="C1861" s="479"/>
    </row>
    <row r="1862" spans="3:3">
      <c r="C1862" s="479"/>
    </row>
    <row r="1863" spans="3:3">
      <c r="C1863" s="479"/>
    </row>
    <row r="1864" spans="3:3">
      <c r="C1864" s="479"/>
    </row>
    <row r="1865" spans="3:3">
      <c r="C1865" s="479"/>
    </row>
    <row r="1866" spans="3:3">
      <c r="C1866" s="479"/>
    </row>
    <row r="1867" spans="3:3">
      <c r="C1867" s="479"/>
    </row>
    <row r="1868" spans="3:3">
      <c r="C1868" s="479"/>
    </row>
    <row r="1869" spans="3:3">
      <c r="C1869" s="479"/>
    </row>
    <row r="1870" spans="3:3">
      <c r="C1870" s="479"/>
    </row>
    <row r="1871" spans="3:3">
      <c r="C1871" s="479"/>
    </row>
    <row r="1872" spans="3:3">
      <c r="C1872" s="479"/>
    </row>
    <row r="1873" spans="3:3">
      <c r="C1873" s="479"/>
    </row>
    <row r="1874" spans="3:3">
      <c r="C1874" s="479"/>
    </row>
    <row r="1875" spans="3:3">
      <c r="C1875" s="479"/>
    </row>
    <row r="1876" spans="3:3">
      <c r="C1876" s="479"/>
    </row>
    <row r="1877" spans="3:3">
      <c r="C1877" s="479"/>
    </row>
    <row r="1878" spans="3:3">
      <c r="C1878" s="479"/>
    </row>
    <row r="1879" spans="3:3">
      <c r="C1879" s="479"/>
    </row>
    <row r="1880" spans="3:3">
      <c r="C1880" s="479"/>
    </row>
    <row r="1881" spans="3:3">
      <c r="C1881" s="479"/>
    </row>
    <row r="1882" spans="3:3">
      <c r="C1882" s="479"/>
    </row>
    <row r="1883" spans="3:3">
      <c r="C1883" s="479"/>
    </row>
    <row r="1884" spans="3:3">
      <c r="C1884" s="479"/>
    </row>
    <row r="1885" spans="3:3">
      <c r="C1885" s="479"/>
    </row>
    <row r="1886" spans="3:3">
      <c r="C1886" s="479"/>
    </row>
    <row r="1887" spans="3:3">
      <c r="C1887" s="479"/>
    </row>
    <row r="1888" spans="3:3">
      <c r="C1888" s="479"/>
    </row>
    <row r="1889" spans="3:3">
      <c r="C1889" s="479"/>
    </row>
    <row r="1890" spans="3:3">
      <c r="C1890" s="479"/>
    </row>
    <row r="1891" spans="3:3">
      <c r="C1891" s="479"/>
    </row>
    <row r="1892" spans="3:3">
      <c r="C1892" s="479"/>
    </row>
    <row r="1893" spans="3:3">
      <c r="C1893" s="479"/>
    </row>
    <row r="1894" spans="3:3">
      <c r="C1894" s="479"/>
    </row>
    <row r="1895" spans="3:3">
      <c r="C1895" s="479"/>
    </row>
    <row r="1896" spans="3:3">
      <c r="C1896" s="479"/>
    </row>
    <row r="1897" spans="3:3">
      <c r="C1897" s="479"/>
    </row>
    <row r="1898" spans="3:3">
      <c r="C1898" s="479"/>
    </row>
    <row r="1899" spans="3:3">
      <c r="C1899" s="479"/>
    </row>
    <row r="1900" spans="3:3">
      <c r="C1900" s="479"/>
    </row>
    <row r="1901" spans="3:3">
      <c r="C1901" s="479"/>
    </row>
    <row r="1902" spans="3:3">
      <c r="C1902" s="479"/>
    </row>
    <row r="1903" spans="3:3">
      <c r="C1903" s="479"/>
    </row>
    <row r="1904" spans="3:3">
      <c r="C1904" s="479"/>
    </row>
    <row r="1905" spans="3:3">
      <c r="C1905" s="479"/>
    </row>
    <row r="1906" spans="3:3">
      <c r="C1906" s="479"/>
    </row>
    <row r="1907" spans="3:3">
      <c r="C1907" s="479"/>
    </row>
    <row r="1908" spans="3:3">
      <c r="C1908" s="479"/>
    </row>
    <row r="1909" spans="3:3">
      <c r="C1909" s="479"/>
    </row>
    <row r="1910" spans="3:3">
      <c r="C1910" s="479"/>
    </row>
    <row r="1911" spans="3:3">
      <c r="C1911" s="479"/>
    </row>
    <row r="1912" spans="3:3">
      <c r="C1912" s="479"/>
    </row>
    <row r="1913" spans="3:3">
      <c r="C1913" s="479"/>
    </row>
    <row r="1914" spans="3:3">
      <c r="C1914" s="479"/>
    </row>
    <row r="1915" spans="3:3">
      <c r="C1915" s="479"/>
    </row>
    <row r="1916" spans="3:3">
      <c r="C1916" s="479"/>
    </row>
    <row r="1917" spans="3:3">
      <c r="C1917" s="479"/>
    </row>
    <row r="1918" spans="3:3">
      <c r="C1918" s="479"/>
    </row>
    <row r="1919" spans="3:3">
      <c r="C1919" s="479"/>
    </row>
    <row r="1920" spans="3:3">
      <c r="C1920" s="479"/>
    </row>
    <row r="1921" spans="2:6">
      <c r="C1921" s="479"/>
    </row>
    <row r="1922" spans="2:6">
      <c r="C1922" s="479"/>
    </row>
    <row r="1923" spans="2:6">
      <c r="C1923" s="479"/>
    </row>
    <row r="1924" spans="2:6">
      <c r="C1924" s="479"/>
    </row>
    <row r="1925" spans="2:6">
      <c r="C1925" s="479"/>
    </row>
    <row r="1926" spans="2:6">
      <c r="C1926" s="479"/>
    </row>
    <row r="1927" spans="2:6">
      <c r="C1927" s="479"/>
    </row>
    <row r="1928" spans="2:6">
      <c r="C1928" s="479"/>
    </row>
    <row r="1929" spans="2:6">
      <c r="C1929" s="479"/>
    </row>
    <row r="1930" spans="2:6">
      <c r="B1930" s="363"/>
      <c r="C1930" s="720"/>
      <c r="D1930" s="364"/>
      <c r="E1930" s="365"/>
      <c r="F1930" s="364"/>
    </row>
    <row r="1931" spans="2:6">
      <c r="C1931" s="479" t="s">
        <v>1787</v>
      </c>
    </row>
    <row r="1932" spans="2:6">
      <c r="C1932" s="479" t="s">
        <v>1787</v>
      </c>
    </row>
    <row r="1933" spans="2:6">
      <c r="B1933" s="121" t="s">
        <v>1420</v>
      </c>
      <c r="C1933" s="478">
        <v>210429</v>
      </c>
      <c r="D1933" s="253" t="s">
        <v>3839</v>
      </c>
      <c r="E1933" s="121">
        <v>1.3</v>
      </c>
    </row>
    <row r="1934" spans="2:6">
      <c r="C1934" s="478" t="s">
        <v>1787</v>
      </c>
      <c r="D1934" s="556" t="s">
        <v>2311</v>
      </c>
      <c r="E1934" s="121">
        <v>1</v>
      </c>
    </row>
    <row r="1935" spans="2:6">
      <c r="B1935" s="121" t="s">
        <v>1420</v>
      </c>
      <c r="C1935" s="478" t="s">
        <v>1787</v>
      </c>
      <c r="D1935" s="556" t="s">
        <v>1454</v>
      </c>
      <c r="E1935" s="121">
        <v>1</v>
      </c>
    </row>
    <row r="1936" spans="2:6">
      <c r="B1936" s="121" t="s">
        <v>1420</v>
      </c>
      <c r="C1936" s="478" t="s">
        <v>1787</v>
      </c>
      <c r="D1936" s="556" t="s">
        <v>1435</v>
      </c>
      <c r="E1936" s="121">
        <v>1</v>
      </c>
    </row>
    <row r="1937" spans="2:5">
      <c r="B1937" s="121" t="s">
        <v>1420</v>
      </c>
      <c r="C1937" s="478" t="s">
        <v>1787</v>
      </c>
      <c r="D1937" s="556" t="s">
        <v>1448</v>
      </c>
      <c r="E1937" s="121">
        <v>1</v>
      </c>
    </row>
    <row r="1938" spans="2:5">
      <c r="B1938" s="121" t="s">
        <v>1420</v>
      </c>
      <c r="C1938" s="478" t="s">
        <v>1787</v>
      </c>
      <c r="D1938" s="556" t="s">
        <v>1441</v>
      </c>
      <c r="E1938" s="121">
        <v>1</v>
      </c>
    </row>
    <row r="1939" spans="2:5">
      <c r="B1939" s="121" t="s">
        <v>1420</v>
      </c>
      <c r="C1939" s="478" t="s">
        <v>1787</v>
      </c>
      <c r="D1939" s="556" t="s">
        <v>1442</v>
      </c>
      <c r="E1939" s="121">
        <v>1</v>
      </c>
    </row>
    <row r="1940" spans="2:5">
      <c r="B1940" s="121" t="s">
        <v>1420</v>
      </c>
      <c r="C1940" s="478" t="s">
        <v>1787</v>
      </c>
      <c r="D1940" s="559" t="s">
        <v>1452</v>
      </c>
      <c r="E1940" s="121">
        <v>1</v>
      </c>
    </row>
    <row r="1941" spans="2:5">
      <c r="B1941" s="121" t="s">
        <v>1420</v>
      </c>
      <c r="C1941" s="478" t="s">
        <v>1787</v>
      </c>
      <c r="D1941" s="556" t="s">
        <v>2358</v>
      </c>
      <c r="E1941" s="121">
        <v>1</v>
      </c>
    </row>
    <row r="1942" spans="2:5">
      <c r="B1942" s="121" t="s">
        <v>1420</v>
      </c>
      <c r="C1942" s="478" t="s">
        <v>1787</v>
      </c>
      <c r="D1942" s="556" t="s">
        <v>2287</v>
      </c>
      <c r="E1942" s="121">
        <v>1</v>
      </c>
    </row>
    <row r="1943" spans="2:5">
      <c r="B1943" s="121" t="s">
        <v>1420</v>
      </c>
      <c r="C1943" s="478" t="s">
        <v>1787</v>
      </c>
      <c r="D1943" s="556" t="s">
        <v>1447</v>
      </c>
      <c r="E1943" s="121">
        <v>1</v>
      </c>
    </row>
    <row r="1944" spans="2:5">
      <c r="B1944" s="121" t="s">
        <v>1420</v>
      </c>
      <c r="C1944" s="478" t="s">
        <v>1787</v>
      </c>
      <c r="D1944" s="556" t="s">
        <v>1447</v>
      </c>
      <c r="E1944" s="121">
        <v>1</v>
      </c>
    </row>
    <row r="1945" spans="2:5" ht="15.75" customHeight="1">
      <c r="B1945" s="121" t="s">
        <v>1420</v>
      </c>
      <c r="C1945" s="478" t="s">
        <v>1787</v>
      </c>
      <c r="D1945" s="556" t="s">
        <v>2645</v>
      </c>
      <c r="E1945" s="121">
        <v>1</v>
      </c>
    </row>
    <row r="1946" spans="2:5" ht="15.75" customHeight="1">
      <c r="B1946" s="121" t="s">
        <v>1420</v>
      </c>
      <c r="C1946" s="478" t="s">
        <v>1787</v>
      </c>
      <c r="D1946" s="556" t="s">
        <v>2350</v>
      </c>
      <c r="E1946" s="121">
        <v>1</v>
      </c>
    </row>
    <row r="1947" spans="2:5">
      <c r="B1947" s="121" t="s">
        <v>1420</v>
      </c>
      <c r="C1947" s="557">
        <v>210373</v>
      </c>
      <c r="D1947" s="556" t="s">
        <v>2541</v>
      </c>
      <c r="E1947" s="121">
        <v>1</v>
      </c>
    </row>
    <row r="1948" spans="2:5">
      <c r="B1948" s="121" t="s">
        <v>1420</v>
      </c>
      <c r="C1948" s="478" t="s">
        <v>1787</v>
      </c>
      <c r="D1948" s="556" t="s">
        <v>3105</v>
      </c>
      <c r="E1948" s="121">
        <v>1</v>
      </c>
    </row>
    <row r="1949" spans="2:5">
      <c r="B1949" s="121" t="s">
        <v>1420</v>
      </c>
      <c r="C1949" s="478" t="s">
        <v>1787</v>
      </c>
      <c r="D1949" s="556" t="s">
        <v>1450</v>
      </c>
      <c r="E1949" s="121">
        <v>1</v>
      </c>
    </row>
    <row r="1950" spans="2:5">
      <c r="B1950" s="121" t="s">
        <v>1420</v>
      </c>
      <c r="C1950" s="763">
        <v>210391</v>
      </c>
      <c r="D1950" s="762" t="s">
        <v>4156</v>
      </c>
      <c r="E1950" s="121">
        <v>1</v>
      </c>
    </row>
    <row r="1951" spans="2:5">
      <c r="B1951" s="121" t="s">
        <v>1420</v>
      </c>
      <c r="C1951" s="478" t="s">
        <v>1787</v>
      </c>
      <c r="D1951" s="556" t="s">
        <v>2468</v>
      </c>
      <c r="E1951" s="121">
        <v>1</v>
      </c>
    </row>
    <row r="1952" spans="2:5">
      <c r="B1952" s="121" t="s">
        <v>1420</v>
      </c>
      <c r="C1952" s="478" t="s">
        <v>1787</v>
      </c>
      <c r="D1952" s="556" t="s">
        <v>2469</v>
      </c>
      <c r="E1952" s="121">
        <v>1</v>
      </c>
    </row>
    <row r="1953" spans="2:5" ht="15.75" customHeight="1">
      <c r="B1953" s="121" t="s">
        <v>1420</v>
      </c>
      <c r="C1953" s="478" t="s">
        <v>1787</v>
      </c>
      <c r="D1953" s="556" t="s">
        <v>1462</v>
      </c>
      <c r="E1953" s="121">
        <v>1</v>
      </c>
    </row>
    <row r="1954" spans="2:5">
      <c r="B1954" s="121" t="s">
        <v>1420</v>
      </c>
      <c r="C1954" s="479">
        <v>220182</v>
      </c>
      <c r="D1954" s="71" t="s">
        <v>3540</v>
      </c>
      <c r="E1954" s="121">
        <v>1</v>
      </c>
    </row>
    <row r="1955" spans="2:5">
      <c r="B1955" s="121" t="s">
        <v>1420</v>
      </c>
      <c r="C1955" s="478">
        <v>220031</v>
      </c>
      <c r="D1955" s="556" t="s">
        <v>2343</v>
      </c>
      <c r="E1955" s="121">
        <v>1</v>
      </c>
    </row>
    <row r="1956" spans="2:5">
      <c r="B1956" s="121" t="s">
        <v>1420</v>
      </c>
      <c r="C1956" s="478">
        <v>220555</v>
      </c>
      <c r="D1956" s="253" t="s">
        <v>4658</v>
      </c>
      <c r="E1956" s="121">
        <v>1</v>
      </c>
    </row>
    <row r="1957" spans="2:5">
      <c r="B1957" s="121" t="s">
        <v>1420</v>
      </c>
      <c r="C1957" s="478" t="s">
        <v>1787</v>
      </c>
      <c r="D1957" s="556" t="s">
        <v>2568</v>
      </c>
      <c r="E1957" s="121">
        <v>1</v>
      </c>
    </row>
    <row r="1958" spans="2:5">
      <c r="B1958" s="121" t="s">
        <v>1420</v>
      </c>
      <c r="C1958" s="478" t="s">
        <v>1787</v>
      </c>
      <c r="D1958" s="556" t="s">
        <v>2347</v>
      </c>
      <c r="E1958" s="121">
        <v>1</v>
      </c>
    </row>
    <row r="1959" spans="2:5">
      <c r="B1959" s="121" t="s">
        <v>1420</v>
      </c>
      <c r="C1959" s="478" t="s">
        <v>1787</v>
      </c>
      <c r="D1959" s="253" t="s">
        <v>4657</v>
      </c>
      <c r="E1959" s="121">
        <v>1</v>
      </c>
    </row>
    <row r="1960" spans="2:5">
      <c r="B1960" s="121" t="s">
        <v>1420</v>
      </c>
      <c r="C1960" s="478" t="s">
        <v>1787</v>
      </c>
      <c r="D1960" s="253" t="s">
        <v>4656</v>
      </c>
      <c r="E1960" s="121">
        <v>1</v>
      </c>
    </row>
    <row r="1961" spans="2:5">
      <c r="B1961" s="121" t="s">
        <v>1420</v>
      </c>
      <c r="C1961" s="478" t="s">
        <v>1787</v>
      </c>
      <c r="D1961" s="556" t="s">
        <v>2310</v>
      </c>
      <c r="E1961" s="121">
        <v>1</v>
      </c>
    </row>
    <row r="1962" spans="2:5">
      <c r="B1962" s="121" t="s">
        <v>1420</v>
      </c>
      <c r="C1962" s="478" t="s">
        <v>1787</v>
      </c>
      <c r="D1962" s="556" t="s">
        <v>2310</v>
      </c>
      <c r="E1962" s="121">
        <v>1</v>
      </c>
    </row>
    <row r="1963" spans="2:5">
      <c r="B1963" s="121" t="s">
        <v>1420</v>
      </c>
      <c r="C1963" s="478" t="s">
        <v>1787</v>
      </c>
      <c r="D1963" s="253" t="s">
        <v>4655</v>
      </c>
      <c r="E1963" s="121">
        <v>1</v>
      </c>
    </row>
    <row r="1964" spans="2:5">
      <c r="B1964" s="121" t="s">
        <v>1420</v>
      </c>
      <c r="C1964" s="478" t="s">
        <v>1787</v>
      </c>
      <c r="D1964" s="253" t="s">
        <v>4655</v>
      </c>
      <c r="E1964" s="121">
        <v>1</v>
      </c>
    </row>
    <row r="1965" spans="2:5">
      <c r="B1965" s="121" t="s">
        <v>1420</v>
      </c>
      <c r="C1965" s="478" t="s">
        <v>1787</v>
      </c>
      <c r="D1965" s="556" t="s">
        <v>2629</v>
      </c>
      <c r="E1965" s="121">
        <v>1</v>
      </c>
    </row>
    <row r="1966" spans="2:5">
      <c r="B1966" s="121" t="s">
        <v>1420</v>
      </c>
      <c r="C1966" s="478" t="s">
        <v>1787</v>
      </c>
      <c r="D1966" s="556" t="s">
        <v>1458</v>
      </c>
      <c r="E1966" s="121">
        <v>1.3</v>
      </c>
    </row>
    <row r="1967" spans="2:5">
      <c r="B1967" s="121" t="s">
        <v>1420</v>
      </c>
      <c r="C1967" s="478" t="s">
        <v>1787</v>
      </c>
      <c r="D1967" s="253" t="s">
        <v>3928</v>
      </c>
      <c r="E1967" s="121">
        <v>1</v>
      </c>
    </row>
    <row r="1968" spans="2:5">
      <c r="B1968" s="121" t="s">
        <v>1420</v>
      </c>
      <c r="C1968" s="478" t="s">
        <v>1787</v>
      </c>
      <c r="D1968" s="556" t="s">
        <v>2515</v>
      </c>
      <c r="E1968" s="121">
        <v>1</v>
      </c>
    </row>
    <row r="1969" spans="2:5">
      <c r="B1969" s="121" t="s">
        <v>1420</v>
      </c>
      <c r="C1969" s="478">
        <v>210469</v>
      </c>
      <c r="D1969" s="253" t="s">
        <v>2531</v>
      </c>
      <c r="E1969" s="121">
        <v>1</v>
      </c>
    </row>
    <row r="1970" spans="2:5">
      <c r="B1970" s="121" t="s">
        <v>1420</v>
      </c>
      <c r="C1970" s="478" t="s">
        <v>1787</v>
      </c>
      <c r="D1970" s="556" t="s">
        <v>2530</v>
      </c>
      <c r="E1970" s="121">
        <v>1</v>
      </c>
    </row>
    <row r="1971" spans="2:5">
      <c r="B1971" s="121" t="s">
        <v>1420</v>
      </c>
      <c r="C1971" s="478">
        <v>220464</v>
      </c>
      <c r="D1971" s="556" t="s">
        <v>3068</v>
      </c>
      <c r="E1971" s="121">
        <v>1</v>
      </c>
    </row>
    <row r="1972" spans="2:5">
      <c r="B1972" s="121" t="s">
        <v>1420</v>
      </c>
      <c r="C1972" s="478" t="s">
        <v>1787</v>
      </c>
      <c r="D1972" s="556" t="s">
        <v>2633</v>
      </c>
      <c r="E1972" s="121">
        <v>1</v>
      </c>
    </row>
    <row r="1973" spans="2:5">
      <c r="B1973" s="121" t="s">
        <v>1420</v>
      </c>
      <c r="C1973" s="478" t="s">
        <v>1787</v>
      </c>
      <c r="D1973" s="556" t="s">
        <v>2632</v>
      </c>
      <c r="E1973" s="121">
        <v>1</v>
      </c>
    </row>
    <row r="1974" spans="2:5">
      <c r="B1974" s="121" t="s">
        <v>1420</v>
      </c>
      <c r="C1974" s="478" t="s">
        <v>1787</v>
      </c>
      <c r="D1974" s="556" t="s">
        <v>2878</v>
      </c>
      <c r="E1974" s="121">
        <v>1</v>
      </c>
    </row>
    <row r="1975" spans="2:5" ht="15.75" customHeight="1">
      <c r="B1975" s="121" t="s">
        <v>1420</v>
      </c>
      <c r="C1975" s="478" t="s">
        <v>1787</v>
      </c>
      <c r="D1975" s="253" t="s">
        <v>3948</v>
      </c>
      <c r="E1975" s="121">
        <v>1</v>
      </c>
    </row>
    <row r="1976" spans="2:5" ht="15.75" customHeight="1">
      <c r="B1976" s="121" t="s">
        <v>1420</v>
      </c>
      <c r="C1976" s="478" t="s">
        <v>1787</v>
      </c>
      <c r="D1976" s="556" t="s">
        <v>2318</v>
      </c>
      <c r="E1976" s="121">
        <v>1</v>
      </c>
    </row>
    <row r="1977" spans="2:5">
      <c r="B1977" s="121" t="s">
        <v>1420</v>
      </c>
      <c r="C1977" s="478" t="s">
        <v>1787</v>
      </c>
      <c r="D1977" s="556" t="s">
        <v>2344</v>
      </c>
      <c r="E1977" s="121">
        <v>1</v>
      </c>
    </row>
    <row r="1978" spans="2:5">
      <c r="B1978" s="121" t="s">
        <v>1420</v>
      </c>
      <c r="C1978" s="478" t="s">
        <v>1787</v>
      </c>
      <c r="D1978" s="556" t="s">
        <v>2345</v>
      </c>
      <c r="E1978" s="121">
        <v>1</v>
      </c>
    </row>
    <row r="1979" spans="2:5">
      <c r="B1979" s="121" t="s">
        <v>1420</v>
      </c>
      <c r="C1979" s="478" t="s">
        <v>1787</v>
      </c>
      <c r="D1979" s="556" t="s">
        <v>2312</v>
      </c>
      <c r="E1979" s="121">
        <v>1</v>
      </c>
    </row>
    <row r="1980" spans="2:5">
      <c r="B1980" s="121" t="s">
        <v>1420</v>
      </c>
      <c r="C1980" s="478" t="s">
        <v>1787</v>
      </c>
      <c r="D1980" s="253" t="s">
        <v>3932</v>
      </c>
      <c r="E1980" s="121">
        <v>1</v>
      </c>
    </row>
    <row r="1981" spans="2:5">
      <c r="B1981" s="121" t="s">
        <v>1420</v>
      </c>
      <c r="C1981" s="478" t="s">
        <v>1787</v>
      </c>
      <c r="D1981" s="253" t="s">
        <v>3933</v>
      </c>
      <c r="E1981" s="121">
        <v>1</v>
      </c>
    </row>
    <row r="1982" spans="2:5">
      <c r="B1982" s="121" t="s">
        <v>1420</v>
      </c>
      <c r="C1982" s="526">
        <v>210481</v>
      </c>
      <c r="D1982" s="619" t="s">
        <v>1422</v>
      </c>
      <c r="E1982" s="121">
        <v>1</v>
      </c>
    </row>
    <row r="1983" spans="2:5">
      <c r="B1983" s="121" t="s">
        <v>1420</v>
      </c>
      <c r="C1983" s="732">
        <v>220530</v>
      </c>
      <c r="D1983" s="719" t="s">
        <v>4654</v>
      </c>
      <c r="E1983" s="121">
        <v>1</v>
      </c>
    </row>
    <row r="1984" spans="2:5">
      <c r="B1984" s="121" t="s">
        <v>1420</v>
      </c>
      <c r="C1984" s="732">
        <v>220140</v>
      </c>
      <c r="D1984" s="619" t="s">
        <v>1421</v>
      </c>
      <c r="E1984" s="121">
        <v>1</v>
      </c>
    </row>
    <row r="1985" spans="2:5">
      <c r="B1985" s="121" t="s">
        <v>1420</v>
      </c>
      <c r="C1985" s="732">
        <v>220531</v>
      </c>
      <c r="D1985" s="719" t="s">
        <v>4653</v>
      </c>
      <c r="E1985" s="121">
        <v>1</v>
      </c>
    </row>
    <row r="1986" spans="2:5">
      <c r="B1986" s="121" t="s">
        <v>1420</v>
      </c>
      <c r="C1986" s="478" t="s">
        <v>1787</v>
      </c>
      <c r="D1986" s="253" t="s">
        <v>4652</v>
      </c>
      <c r="E1986" s="121">
        <v>1</v>
      </c>
    </row>
    <row r="1987" spans="2:5">
      <c r="B1987" s="121" t="s">
        <v>1420</v>
      </c>
      <c r="C1987" s="478" t="s">
        <v>1787</v>
      </c>
      <c r="D1987" s="253" t="s">
        <v>4651</v>
      </c>
      <c r="E1987" s="121">
        <v>1</v>
      </c>
    </row>
    <row r="1988" spans="2:5">
      <c r="B1988" s="121" t="s">
        <v>1420</v>
      </c>
      <c r="C1988" s="551">
        <v>210490</v>
      </c>
      <c r="D1988" s="2" t="s">
        <v>4650</v>
      </c>
      <c r="E1988" s="121">
        <v>1</v>
      </c>
    </row>
    <row r="1989" spans="2:5">
      <c r="C1989" s="478" t="s">
        <v>1787</v>
      </c>
      <c r="D1989" s="253" t="s">
        <v>4649</v>
      </c>
      <c r="E1989" s="121">
        <v>1</v>
      </c>
    </row>
    <row r="1990" spans="2:5">
      <c r="B1990" s="121" t="s">
        <v>1420</v>
      </c>
      <c r="C1990" s="478" t="s">
        <v>1787</v>
      </c>
      <c r="D1990" s="556" t="s">
        <v>1465</v>
      </c>
      <c r="E1990" s="121">
        <v>1</v>
      </c>
    </row>
    <row r="1991" spans="2:5">
      <c r="B1991" s="121" t="s">
        <v>1420</v>
      </c>
      <c r="C1991" s="478" t="s">
        <v>1787</v>
      </c>
      <c r="D1991" s="556" t="s">
        <v>1466</v>
      </c>
      <c r="E1991" s="121">
        <v>1</v>
      </c>
    </row>
    <row r="1992" spans="2:5">
      <c r="B1992" s="121" t="s">
        <v>1420</v>
      </c>
      <c r="C1992" s="478" t="s">
        <v>1787</v>
      </c>
      <c r="D1992" s="556" t="s">
        <v>1443</v>
      </c>
      <c r="E1992" s="121">
        <v>1</v>
      </c>
    </row>
    <row r="1993" spans="2:5">
      <c r="B1993" s="121" t="s">
        <v>1420</v>
      </c>
      <c r="C1993" s="478" t="s">
        <v>1787</v>
      </c>
      <c r="D1993" s="556" t="s">
        <v>1444</v>
      </c>
      <c r="E1993" s="121">
        <v>1</v>
      </c>
    </row>
    <row r="1994" spans="2:5">
      <c r="B1994" s="121" t="s">
        <v>1420</v>
      </c>
      <c r="C1994" s="551" t="s">
        <v>1787</v>
      </c>
      <c r="D1994" s="2" t="s">
        <v>3810</v>
      </c>
      <c r="E1994" s="121">
        <v>1</v>
      </c>
    </row>
    <row r="1995" spans="2:5">
      <c r="B1995" s="121" t="s">
        <v>1420</v>
      </c>
      <c r="C1995" s="478" t="s">
        <v>1787</v>
      </c>
      <c r="D1995" s="767" t="s">
        <v>4335</v>
      </c>
      <c r="E1995" s="121">
        <v>1</v>
      </c>
    </row>
    <row r="1996" spans="2:5">
      <c r="B1996" s="121" t="s">
        <v>1420</v>
      </c>
      <c r="C1996" s="479" t="s">
        <v>1787</v>
      </c>
      <c r="D1996" s="767" t="s">
        <v>4336</v>
      </c>
      <c r="E1996" s="121"/>
    </row>
    <row r="1997" spans="2:5">
      <c r="B1997" s="121" t="s">
        <v>1420</v>
      </c>
      <c r="C1997" s="478" t="s">
        <v>1787</v>
      </c>
      <c r="D1997" s="559" t="s">
        <v>1468</v>
      </c>
      <c r="E1997" s="121">
        <v>1</v>
      </c>
    </row>
    <row r="1998" spans="2:5">
      <c r="B1998" s="121" t="s">
        <v>1420</v>
      </c>
      <c r="C1998" s="478">
        <v>220861</v>
      </c>
      <c r="D1998" s="767" t="s">
        <v>4176</v>
      </c>
      <c r="E1998" s="121">
        <v>1</v>
      </c>
    </row>
    <row r="1999" spans="2:5">
      <c r="B1999" s="121" t="s">
        <v>1420</v>
      </c>
      <c r="C1999" s="478">
        <v>221110</v>
      </c>
      <c r="D1999" s="767" t="s">
        <v>4659</v>
      </c>
      <c r="E1999" s="121"/>
    </row>
    <row r="2000" spans="2:5">
      <c r="B2000" s="121" t="s">
        <v>1420</v>
      </c>
      <c r="C2000" s="478" t="s">
        <v>1787</v>
      </c>
      <c r="D2000" s="556" t="s">
        <v>2641</v>
      </c>
      <c r="E2000" s="121">
        <v>1</v>
      </c>
    </row>
    <row r="2001" spans="2:5">
      <c r="B2001" s="121" t="s">
        <v>1420</v>
      </c>
      <c r="C2001" s="478" t="s">
        <v>1787</v>
      </c>
      <c r="D2001" s="556" t="s">
        <v>2604</v>
      </c>
      <c r="E2001" s="121">
        <v>1</v>
      </c>
    </row>
    <row r="2002" spans="2:5">
      <c r="B2002" s="121" t="s">
        <v>1420</v>
      </c>
      <c r="C2002" s="478">
        <v>220300</v>
      </c>
      <c r="D2002" s="253" t="s">
        <v>4029</v>
      </c>
      <c r="E2002" s="121">
        <v>1</v>
      </c>
    </row>
    <row r="2003" spans="2:5">
      <c r="B2003" s="121" t="s">
        <v>1420</v>
      </c>
      <c r="C2003" s="478" t="s">
        <v>1787</v>
      </c>
      <c r="D2003" s="556" t="s">
        <v>1449</v>
      </c>
      <c r="E2003" s="121">
        <v>1</v>
      </c>
    </row>
    <row r="2004" spans="2:5">
      <c r="B2004" s="121" t="s">
        <v>1420</v>
      </c>
      <c r="C2004" s="479">
        <v>220173</v>
      </c>
      <c r="D2004" s="71" t="s">
        <v>3851</v>
      </c>
      <c r="E2004" s="121">
        <v>1</v>
      </c>
    </row>
    <row r="2005" spans="2:5">
      <c r="B2005" s="121" t="s">
        <v>1420</v>
      </c>
      <c r="C2005" s="479" t="s">
        <v>1787</v>
      </c>
      <c r="D2005" s="71" t="s">
        <v>4661</v>
      </c>
      <c r="E2005" s="121">
        <v>1</v>
      </c>
    </row>
    <row r="2006" spans="2:5">
      <c r="B2006" s="121" t="s">
        <v>1420</v>
      </c>
      <c r="C2006" s="478" t="s">
        <v>1787</v>
      </c>
      <c r="D2006" s="556" t="s">
        <v>2709</v>
      </c>
      <c r="E2006" s="121">
        <v>1</v>
      </c>
    </row>
    <row r="2007" spans="2:5">
      <c r="B2007" s="121" t="s">
        <v>1420</v>
      </c>
      <c r="C2007" s="478">
        <v>220255</v>
      </c>
      <c r="D2007" s="253" t="s">
        <v>3935</v>
      </c>
      <c r="E2007" s="121">
        <v>1</v>
      </c>
    </row>
    <row r="2008" spans="2:5">
      <c r="B2008" s="121" t="s">
        <v>1420</v>
      </c>
      <c r="C2008" s="744">
        <v>220261</v>
      </c>
      <c r="D2008" s="743" t="s">
        <v>4034</v>
      </c>
      <c r="E2008" s="121">
        <v>1</v>
      </c>
    </row>
    <row r="2009" spans="2:5">
      <c r="C2009" s="478"/>
      <c r="D2009" s="253"/>
      <c r="E2009" s="121"/>
    </row>
    <row r="2010" spans="2:5">
      <c r="B2010" s="121" t="s">
        <v>1420</v>
      </c>
      <c r="C2010" s="478" t="s">
        <v>1787</v>
      </c>
      <c r="D2010" s="556" t="s">
        <v>2492</v>
      </c>
      <c r="E2010" s="121">
        <v>1</v>
      </c>
    </row>
    <row r="2011" spans="2:5">
      <c r="B2011" s="121" t="s">
        <v>1420</v>
      </c>
      <c r="C2011" s="478" t="s">
        <v>1787</v>
      </c>
      <c r="D2011" s="253" t="s">
        <v>3937</v>
      </c>
      <c r="E2011" s="121">
        <v>1</v>
      </c>
    </row>
    <row r="2012" spans="2:5">
      <c r="B2012" s="121" t="s">
        <v>1420</v>
      </c>
      <c r="C2012" s="274">
        <v>220543</v>
      </c>
      <c r="D2012" s="556" t="s">
        <v>2534</v>
      </c>
      <c r="E2012" s="121">
        <v>1</v>
      </c>
    </row>
    <row r="2013" spans="2:5">
      <c r="B2013" s="121" t="s">
        <v>1420</v>
      </c>
      <c r="C2013" s="478" t="s">
        <v>1787</v>
      </c>
      <c r="D2013" s="253" t="s">
        <v>4036</v>
      </c>
      <c r="E2013" s="121">
        <v>1</v>
      </c>
    </row>
    <row r="2014" spans="2:5">
      <c r="B2014" s="121" t="s">
        <v>1420</v>
      </c>
      <c r="C2014" s="478" t="s">
        <v>1787</v>
      </c>
      <c r="D2014" s="253" t="s">
        <v>4359</v>
      </c>
      <c r="E2014" s="121">
        <v>1</v>
      </c>
    </row>
    <row r="2015" spans="2:5">
      <c r="B2015" s="121" t="s">
        <v>1420</v>
      </c>
      <c r="C2015" s="478" t="s">
        <v>1787</v>
      </c>
      <c r="D2015" s="253" t="s">
        <v>4341</v>
      </c>
      <c r="E2015" s="121">
        <v>1</v>
      </c>
    </row>
    <row r="2016" spans="2:5">
      <c r="B2016" s="121" t="s">
        <v>1420</v>
      </c>
      <c r="C2016" s="478" t="s">
        <v>1787</v>
      </c>
      <c r="D2016" s="253" t="s">
        <v>4358</v>
      </c>
      <c r="E2016" s="121">
        <v>1</v>
      </c>
    </row>
    <row r="2017" spans="2:5">
      <c r="B2017" s="121" t="s">
        <v>1420</v>
      </c>
      <c r="C2017" s="478" t="s">
        <v>1787</v>
      </c>
      <c r="D2017" s="253" t="s">
        <v>4035</v>
      </c>
      <c r="E2017" s="121">
        <v>1</v>
      </c>
    </row>
    <row r="2018" spans="2:5">
      <c r="B2018" s="121" t="s">
        <v>1420</v>
      </c>
      <c r="C2018" s="551">
        <v>220880</v>
      </c>
      <c r="D2018" s="552" t="s">
        <v>3233</v>
      </c>
      <c r="E2018" s="121">
        <v>1</v>
      </c>
    </row>
    <row r="2019" spans="2:5">
      <c r="B2019" s="121" t="s">
        <v>1420</v>
      </c>
      <c r="C2019" s="481" t="s">
        <v>1787</v>
      </c>
      <c r="D2019" s="2" t="s">
        <v>4357</v>
      </c>
      <c r="E2019" s="121">
        <v>1</v>
      </c>
    </row>
    <row r="2020" spans="2:5">
      <c r="B2020" s="121" t="s">
        <v>1420</v>
      </c>
      <c r="C2020" s="554">
        <v>220852</v>
      </c>
      <c r="D2020" s="555" t="s">
        <v>4037</v>
      </c>
      <c r="E2020" s="121">
        <v>1</v>
      </c>
    </row>
    <row r="2021" spans="2:5">
      <c r="B2021" s="121" t="s">
        <v>1420</v>
      </c>
      <c r="C2021" s="478" t="s">
        <v>1787</v>
      </c>
      <c r="D2021" s="556" t="s">
        <v>1459</v>
      </c>
      <c r="E2021" s="121">
        <v>1</v>
      </c>
    </row>
    <row r="2022" spans="2:5">
      <c r="B2022" s="121" t="s">
        <v>1420</v>
      </c>
      <c r="C2022" s="478" t="s">
        <v>1787</v>
      </c>
      <c r="D2022" s="253" t="s">
        <v>4268</v>
      </c>
      <c r="E2022" s="121">
        <v>1</v>
      </c>
    </row>
    <row r="2023" spans="2:5">
      <c r="B2023" s="121" t="s">
        <v>1420</v>
      </c>
      <c r="C2023" s="478" t="s">
        <v>1787</v>
      </c>
      <c r="D2023" s="556" t="s">
        <v>2542</v>
      </c>
      <c r="E2023" s="121">
        <v>1</v>
      </c>
    </row>
    <row r="2024" spans="2:5">
      <c r="B2024" s="121" t="s">
        <v>1420</v>
      </c>
      <c r="C2024" s="551">
        <v>220082</v>
      </c>
      <c r="D2024" s="556" t="s">
        <v>2653</v>
      </c>
      <c r="E2024" s="121">
        <v>1</v>
      </c>
    </row>
    <row r="2025" spans="2:5">
      <c r="B2025" s="121" t="s">
        <v>1420</v>
      </c>
      <c r="C2025" s="551">
        <v>220082</v>
      </c>
      <c r="D2025" s="552" t="s">
        <v>2653</v>
      </c>
      <c r="E2025" s="121">
        <v>1</v>
      </c>
    </row>
    <row r="2026" spans="2:5">
      <c r="B2026" s="121" t="s">
        <v>1420</v>
      </c>
      <c r="C2026" s="478" t="s">
        <v>1787</v>
      </c>
      <c r="D2026" s="556" t="s">
        <v>2654</v>
      </c>
      <c r="E2026" s="121">
        <v>1</v>
      </c>
    </row>
    <row r="2027" spans="2:5">
      <c r="B2027" s="121" t="s">
        <v>1420</v>
      </c>
      <c r="C2027" s="478" t="s">
        <v>1787</v>
      </c>
      <c r="D2027" s="556" t="s">
        <v>1469</v>
      </c>
      <c r="E2027" s="121">
        <v>1</v>
      </c>
    </row>
    <row r="2028" spans="2:5">
      <c r="B2028" s="121" t="s">
        <v>1420</v>
      </c>
      <c r="C2028" s="478" t="s">
        <v>1787</v>
      </c>
      <c r="D2028" s="552" t="s">
        <v>2921</v>
      </c>
      <c r="E2028" s="121">
        <v>1</v>
      </c>
    </row>
    <row r="2029" spans="2:5">
      <c r="B2029" s="121" t="s">
        <v>1420</v>
      </c>
      <c r="C2029" s="478" t="s">
        <v>1787</v>
      </c>
      <c r="D2029" s="556" t="s">
        <v>1445</v>
      </c>
      <c r="E2029" s="121">
        <v>1</v>
      </c>
    </row>
    <row r="2030" spans="2:5">
      <c r="B2030" s="121" t="s">
        <v>1420</v>
      </c>
      <c r="C2030" s="481">
        <v>210474</v>
      </c>
      <c r="D2030" s="556" t="s">
        <v>1440</v>
      </c>
      <c r="E2030" s="121">
        <v>1</v>
      </c>
    </row>
    <row r="2031" spans="2:5">
      <c r="B2031" s="121" t="s">
        <v>1420</v>
      </c>
      <c r="C2031" s="481">
        <v>220133</v>
      </c>
      <c r="D2031" s="253" t="s">
        <v>4317</v>
      </c>
      <c r="E2031" s="121">
        <v>1</v>
      </c>
    </row>
    <row r="2032" spans="2:5">
      <c r="B2032" s="121" t="s">
        <v>1420</v>
      </c>
      <c r="C2032" s="744">
        <v>210455</v>
      </c>
      <c r="D2032" s="556" t="s">
        <v>1437</v>
      </c>
      <c r="E2032" s="121">
        <v>1</v>
      </c>
    </row>
    <row r="2033" spans="2:5">
      <c r="B2033" s="121" t="s">
        <v>1420</v>
      </c>
      <c r="C2033" s="481">
        <v>220195</v>
      </c>
      <c r="D2033" s="2" t="s">
        <v>4063</v>
      </c>
      <c r="E2033" s="121">
        <v>1</v>
      </c>
    </row>
    <row r="2034" spans="2:5">
      <c r="B2034" s="121" t="s">
        <v>1420</v>
      </c>
      <c r="C2034" s="478" t="s">
        <v>1787</v>
      </c>
      <c r="D2034" s="556" t="s">
        <v>1438</v>
      </c>
      <c r="E2034" s="121">
        <v>1</v>
      </c>
    </row>
    <row r="2035" spans="2:5">
      <c r="B2035" s="121" t="s">
        <v>1420</v>
      </c>
      <c r="C2035" s="478" t="s">
        <v>1787</v>
      </c>
      <c r="D2035" s="556" t="s">
        <v>1439</v>
      </c>
      <c r="E2035" s="121">
        <v>1</v>
      </c>
    </row>
    <row r="2036" spans="2:5">
      <c r="B2036" s="121" t="s">
        <v>1420</v>
      </c>
      <c r="C2036" s="478">
        <v>220944</v>
      </c>
      <c r="D2036" s="253" t="s">
        <v>4122</v>
      </c>
      <c r="E2036" s="121">
        <v>1</v>
      </c>
    </row>
    <row r="2037" spans="2:5">
      <c r="B2037" s="121" t="s">
        <v>1420</v>
      </c>
      <c r="C2037" s="478" t="s">
        <v>1787</v>
      </c>
      <c r="D2037" s="556" t="s">
        <v>2745</v>
      </c>
      <c r="E2037" s="121">
        <v>1</v>
      </c>
    </row>
    <row r="2038" spans="2:5">
      <c r="B2038" s="121" t="s">
        <v>1420</v>
      </c>
      <c r="C2038" s="479">
        <v>221069</v>
      </c>
      <c r="D2038" s="71" t="s">
        <v>3852</v>
      </c>
      <c r="E2038" s="121">
        <v>1</v>
      </c>
    </row>
    <row r="2039" spans="2:5">
      <c r="B2039" s="121" t="s">
        <v>1420</v>
      </c>
      <c r="C2039" s="551">
        <v>220946</v>
      </c>
      <c r="D2039" s="552" t="s">
        <v>3109</v>
      </c>
      <c r="E2039" s="121">
        <v>1</v>
      </c>
    </row>
    <row r="2040" spans="2:5">
      <c r="B2040" s="121" t="s">
        <v>1420</v>
      </c>
      <c r="C2040" s="696">
        <v>220891</v>
      </c>
      <c r="D2040" s="695" t="s">
        <v>3843</v>
      </c>
      <c r="E2040" s="121">
        <v>1</v>
      </c>
    </row>
    <row r="2041" spans="2:5">
      <c r="B2041" s="121" t="s">
        <v>1420</v>
      </c>
      <c r="C2041" s="478" t="s">
        <v>1787</v>
      </c>
      <c r="D2041" s="556" t="s">
        <v>1453</v>
      </c>
      <c r="E2041" s="121">
        <v>1</v>
      </c>
    </row>
    <row r="2042" spans="2:5">
      <c r="B2042" s="121" t="s">
        <v>1420</v>
      </c>
      <c r="C2042" s="478" t="s">
        <v>1787</v>
      </c>
      <c r="D2042" s="556" t="s">
        <v>1456</v>
      </c>
      <c r="E2042" s="121">
        <v>1</v>
      </c>
    </row>
    <row r="2043" spans="2:5">
      <c r="B2043" s="121" t="s">
        <v>1420</v>
      </c>
      <c r="C2043" s="481">
        <v>220932</v>
      </c>
      <c r="D2043" s="2" t="s">
        <v>4067</v>
      </c>
      <c r="E2043" s="121">
        <v>1</v>
      </c>
    </row>
    <row r="2044" spans="2:5">
      <c r="B2044" s="121" t="s">
        <v>1420</v>
      </c>
      <c r="C2044" s="478" t="s">
        <v>1787</v>
      </c>
      <c r="D2044" s="556" t="s">
        <v>2659</v>
      </c>
      <c r="E2044" s="121">
        <v>1</v>
      </c>
    </row>
    <row r="2045" spans="2:5">
      <c r="B2045" s="121" t="s">
        <v>1420</v>
      </c>
      <c r="C2045" s="478" t="s">
        <v>1787</v>
      </c>
      <c r="D2045" s="556" t="s">
        <v>2842</v>
      </c>
      <c r="E2045" s="121">
        <v>1</v>
      </c>
    </row>
    <row r="2046" spans="2:5">
      <c r="B2046" s="121" t="s">
        <v>1420</v>
      </c>
      <c r="C2046" s="551">
        <v>220917</v>
      </c>
      <c r="D2046" s="552" t="s">
        <v>3219</v>
      </c>
      <c r="E2046" s="121">
        <v>1</v>
      </c>
    </row>
    <row r="2047" spans="2:5">
      <c r="B2047" s="121" t="s">
        <v>1420</v>
      </c>
      <c r="C2047" s="481">
        <v>220917</v>
      </c>
      <c r="D2047" s="552" t="s">
        <v>3219</v>
      </c>
      <c r="E2047" s="121">
        <v>1</v>
      </c>
    </row>
    <row r="2048" spans="2:5">
      <c r="B2048" s="121" t="s">
        <v>1420</v>
      </c>
      <c r="C2048" s="478" t="s">
        <v>1787</v>
      </c>
      <c r="D2048" s="552" t="s">
        <v>2927</v>
      </c>
      <c r="E2048" s="121">
        <v>1</v>
      </c>
    </row>
    <row r="2049" spans="2:5">
      <c r="B2049" s="121" t="s">
        <v>1420</v>
      </c>
      <c r="C2049" s="478" t="s">
        <v>1787</v>
      </c>
      <c r="D2049" s="556" t="s">
        <v>2647</v>
      </c>
      <c r="E2049" s="121">
        <v>1</v>
      </c>
    </row>
    <row r="2050" spans="2:5">
      <c r="B2050" s="121" t="s">
        <v>1420</v>
      </c>
      <c r="C2050" s="478" t="s">
        <v>1787</v>
      </c>
      <c r="D2050" s="552" t="s">
        <v>2883</v>
      </c>
      <c r="E2050" s="121">
        <v>1</v>
      </c>
    </row>
    <row r="2051" spans="2:5">
      <c r="B2051" s="121" t="s">
        <v>1420</v>
      </c>
      <c r="C2051" s="478" t="s">
        <v>1787</v>
      </c>
      <c r="D2051" s="556" t="s">
        <v>1429</v>
      </c>
      <c r="E2051" s="121">
        <v>1</v>
      </c>
    </row>
    <row r="2052" spans="2:5">
      <c r="B2052" s="121" t="s">
        <v>1420</v>
      </c>
      <c r="C2052" s="478" t="s">
        <v>1787</v>
      </c>
      <c r="D2052" s="253" t="s">
        <v>4329</v>
      </c>
      <c r="E2052" s="121">
        <v>1</v>
      </c>
    </row>
    <row r="2053" spans="2:5">
      <c r="B2053" s="121" t="s">
        <v>1420</v>
      </c>
      <c r="C2053" s="478">
        <v>220011</v>
      </c>
      <c r="D2053" s="556" t="s">
        <v>1460</v>
      </c>
      <c r="E2053" s="121">
        <v>1</v>
      </c>
    </row>
    <row r="2054" spans="2:5">
      <c r="B2054" s="121" t="s">
        <v>1420</v>
      </c>
      <c r="C2054" s="631">
        <v>220538</v>
      </c>
      <c r="D2054" s="630" t="s">
        <v>3541</v>
      </c>
      <c r="E2054" s="121">
        <v>1</v>
      </c>
    </row>
    <row r="2055" spans="2:5">
      <c r="B2055" s="121" t="s">
        <v>1420</v>
      </c>
      <c r="C2055" s="715">
        <v>220214</v>
      </c>
      <c r="D2055" s="253" t="s">
        <v>4615</v>
      </c>
      <c r="E2055" s="121">
        <v>1</v>
      </c>
    </row>
    <row r="2056" spans="2:5">
      <c r="B2056" s="121" t="s">
        <v>1420</v>
      </c>
      <c r="C2056" s="478" t="s">
        <v>1787</v>
      </c>
      <c r="D2056" s="253" t="s">
        <v>4616</v>
      </c>
      <c r="E2056" s="121">
        <v>1</v>
      </c>
    </row>
    <row r="2057" spans="2:5">
      <c r="B2057" s="121" t="s">
        <v>1420</v>
      </c>
      <c r="C2057" s="478" t="s">
        <v>1787</v>
      </c>
      <c r="D2057" s="253" t="s">
        <v>4613</v>
      </c>
      <c r="E2057" s="121">
        <v>1</v>
      </c>
    </row>
    <row r="2058" spans="2:5">
      <c r="B2058" s="121" t="s">
        <v>1420</v>
      </c>
      <c r="C2058" s="478" t="s">
        <v>1787</v>
      </c>
      <c r="D2058" s="253" t="s">
        <v>4614</v>
      </c>
      <c r="E2058" s="121">
        <v>1</v>
      </c>
    </row>
    <row r="2059" spans="2:5">
      <c r="B2059" s="121" t="s">
        <v>1420</v>
      </c>
      <c r="C2059" s="478" t="s">
        <v>1787</v>
      </c>
      <c r="D2059" s="556" t="s">
        <v>1455</v>
      </c>
      <c r="E2059" s="121">
        <v>1</v>
      </c>
    </row>
    <row r="2060" spans="2:5">
      <c r="B2060" s="121" t="s">
        <v>1420</v>
      </c>
      <c r="C2060" s="478" t="s">
        <v>1787</v>
      </c>
      <c r="D2060" s="253" t="s">
        <v>3929</v>
      </c>
      <c r="E2060" s="121">
        <v>1</v>
      </c>
    </row>
    <row r="2061" spans="2:5">
      <c r="B2061" s="121" t="s">
        <v>1420</v>
      </c>
      <c r="C2061" s="478" t="s">
        <v>1787</v>
      </c>
      <c r="D2061" s="556" t="s">
        <v>2875</v>
      </c>
      <c r="E2061" s="121">
        <v>1</v>
      </c>
    </row>
    <row r="2062" spans="2:5">
      <c r="C2062" s="481" t="s">
        <v>1787</v>
      </c>
      <c r="D2062" s="2" t="s">
        <v>4131</v>
      </c>
      <c r="E2062" s="121">
        <v>1</v>
      </c>
    </row>
    <row r="2063" spans="2:5">
      <c r="C2063" s="481" t="s">
        <v>1787</v>
      </c>
      <c r="D2063" s="2" t="s">
        <v>4132</v>
      </c>
      <c r="E2063" s="121">
        <v>1</v>
      </c>
    </row>
    <row r="2064" spans="2:5">
      <c r="C2064" s="478"/>
      <c r="D2064" s="556"/>
      <c r="E2064" s="121"/>
    </row>
    <row r="2065" spans="2:5">
      <c r="B2065" s="121" t="s">
        <v>1420</v>
      </c>
      <c r="C2065" s="478" t="s">
        <v>1787</v>
      </c>
      <c r="D2065" s="556" t="s">
        <v>2740</v>
      </c>
      <c r="E2065" s="121">
        <v>1</v>
      </c>
    </row>
    <row r="2066" spans="2:5">
      <c r="B2066" s="121" t="s">
        <v>1420</v>
      </c>
      <c r="C2066" s="551" t="s">
        <v>1787</v>
      </c>
      <c r="D2066" s="552" t="s">
        <v>3220</v>
      </c>
      <c r="E2066" s="121">
        <v>1</v>
      </c>
    </row>
    <row r="2067" spans="2:5">
      <c r="B2067" s="121" t="s">
        <v>1420</v>
      </c>
      <c r="C2067" s="478" t="s">
        <v>1787</v>
      </c>
      <c r="D2067" s="2" t="s">
        <v>3953</v>
      </c>
      <c r="E2067" s="121">
        <v>1</v>
      </c>
    </row>
    <row r="2068" spans="2:5">
      <c r="B2068" s="121" t="s">
        <v>1420</v>
      </c>
      <c r="C2068" s="481">
        <v>210264</v>
      </c>
      <c r="D2068" s="2" t="s">
        <v>4114</v>
      </c>
      <c r="E2068" s="121">
        <v>1</v>
      </c>
    </row>
    <row r="2069" spans="2:5">
      <c r="B2069" s="121" t="s">
        <v>1420</v>
      </c>
      <c r="C2069" s="481">
        <v>220100</v>
      </c>
      <c r="D2069" s="2" t="s">
        <v>4115</v>
      </c>
      <c r="E2069" s="121">
        <v>1</v>
      </c>
    </row>
    <row r="2070" spans="2:5">
      <c r="B2070" s="121" t="s">
        <v>1420</v>
      </c>
      <c r="C2070" s="478" t="s">
        <v>1787</v>
      </c>
      <c r="D2070" s="253" t="s">
        <v>3936</v>
      </c>
      <c r="E2070" s="121">
        <v>1</v>
      </c>
    </row>
    <row r="2071" spans="2:5">
      <c r="C2071" s="478" t="s">
        <v>1787</v>
      </c>
      <c r="D2071" s="253" t="s">
        <v>4339</v>
      </c>
      <c r="E2071" s="121">
        <v>1</v>
      </c>
    </row>
    <row r="2072" spans="2:5">
      <c r="B2072" s="121" t="s">
        <v>1420</v>
      </c>
      <c r="C2072" s="478" t="s">
        <v>1787</v>
      </c>
      <c r="D2072" s="556" t="s">
        <v>2574</v>
      </c>
      <c r="E2072" s="121">
        <v>1</v>
      </c>
    </row>
    <row r="2073" spans="2:5">
      <c r="B2073" s="121" t="s">
        <v>1420</v>
      </c>
      <c r="C2073" s="478" t="s">
        <v>1787</v>
      </c>
      <c r="D2073" s="556" t="s">
        <v>2575</v>
      </c>
      <c r="E2073" s="121">
        <v>1</v>
      </c>
    </row>
    <row r="2074" spans="2:5">
      <c r="B2074" s="121" t="s">
        <v>1420</v>
      </c>
      <c r="C2074" s="694">
        <v>220329</v>
      </c>
      <c r="D2074" s="693" t="s">
        <v>3837</v>
      </c>
      <c r="E2074" s="121">
        <v>1</v>
      </c>
    </row>
    <row r="2075" spans="2:5">
      <c r="B2075" s="121" t="s">
        <v>1420</v>
      </c>
      <c r="C2075" s="694">
        <v>220330</v>
      </c>
      <c r="D2075" s="693" t="s">
        <v>3838</v>
      </c>
      <c r="E2075" s="121">
        <v>1</v>
      </c>
    </row>
    <row r="2076" spans="2:5">
      <c r="B2076" s="121" t="s">
        <v>1420</v>
      </c>
      <c r="C2076" s="478" t="s">
        <v>1787</v>
      </c>
      <c r="D2076" s="556" t="s">
        <v>1463</v>
      </c>
      <c r="E2076" s="121">
        <v>1</v>
      </c>
    </row>
    <row r="2077" spans="2:5">
      <c r="B2077" s="121" t="s">
        <v>1420</v>
      </c>
      <c r="C2077" s="478" t="s">
        <v>1787</v>
      </c>
      <c r="D2077" s="556" t="s">
        <v>1464</v>
      </c>
      <c r="E2077" s="121">
        <v>1</v>
      </c>
    </row>
    <row r="2078" spans="2:5">
      <c r="B2078" s="121" t="s">
        <v>1420</v>
      </c>
      <c r="C2078" s="478" t="s">
        <v>1787</v>
      </c>
      <c r="D2078" s="2" t="s">
        <v>3950</v>
      </c>
      <c r="E2078" s="121">
        <v>1</v>
      </c>
    </row>
    <row r="2079" spans="2:5">
      <c r="B2079" s="121" t="s">
        <v>1420</v>
      </c>
      <c r="C2079" s="478" t="s">
        <v>1787</v>
      </c>
      <c r="D2079" s="2" t="s">
        <v>3949</v>
      </c>
      <c r="E2079" s="121">
        <v>1</v>
      </c>
    </row>
    <row r="2080" spans="2:5">
      <c r="B2080" s="121" t="s">
        <v>1420</v>
      </c>
      <c r="C2080" s="478" t="s">
        <v>1787</v>
      </c>
      <c r="D2080" s="556" t="s">
        <v>2665</v>
      </c>
      <c r="E2080" s="121">
        <v>1</v>
      </c>
    </row>
    <row r="2081" spans="2:5">
      <c r="B2081" s="121" t="s">
        <v>1420</v>
      </c>
      <c r="C2081" s="478" t="s">
        <v>1787</v>
      </c>
      <c r="D2081" s="253" t="s">
        <v>3533</v>
      </c>
      <c r="E2081" s="121">
        <v>1</v>
      </c>
    </row>
    <row r="2082" spans="2:5">
      <c r="B2082" s="121" t="s">
        <v>1420</v>
      </c>
      <c r="C2082" s="478" t="s">
        <v>1787</v>
      </c>
      <c r="D2082" s="556" t="s">
        <v>1432</v>
      </c>
      <c r="E2082" s="121">
        <v>1</v>
      </c>
    </row>
    <row r="2083" spans="2:5">
      <c r="B2083" s="121" t="s">
        <v>1420</v>
      </c>
      <c r="C2083" s="478" t="s">
        <v>1787</v>
      </c>
      <c r="D2083" s="2" t="s">
        <v>3954</v>
      </c>
      <c r="E2083" s="121">
        <v>1</v>
      </c>
    </row>
    <row r="2084" spans="2:5">
      <c r="B2084" s="121" t="s">
        <v>1420</v>
      </c>
      <c r="C2084" s="478">
        <v>220464</v>
      </c>
      <c r="D2084" s="556" t="s">
        <v>3067</v>
      </c>
      <c r="E2084" s="121">
        <v>1</v>
      </c>
    </row>
    <row r="2085" spans="2:5">
      <c r="B2085" s="121" t="s">
        <v>1420</v>
      </c>
      <c r="C2085" s="478" t="s">
        <v>1787</v>
      </c>
      <c r="D2085" s="253" t="s">
        <v>3526</v>
      </c>
      <c r="E2085" s="121">
        <v>1</v>
      </c>
    </row>
    <row r="2086" spans="2:5">
      <c r="B2086" s="121" t="s">
        <v>1420</v>
      </c>
      <c r="C2086" s="478" t="s">
        <v>1787</v>
      </c>
      <c r="D2086" s="253" t="s">
        <v>3528</v>
      </c>
      <c r="E2086" s="121">
        <v>1</v>
      </c>
    </row>
    <row r="2087" spans="2:5">
      <c r="B2087" s="121" t="s">
        <v>1420</v>
      </c>
      <c r="C2087" s="478" t="s">
        <v>1787</v>
      </c>
      <c r="D2087" s="253" t="s">
        <v>3527</v>
      </c>
      <c r="E2087" s="121">
        <v>1</v>
      </c>
    </row>
    <row r="2088" spans="2:5">
      <c r="B2088" s="121" t="s">
        <v>1420</v>
      </c>
      <c r="C2088" s="478" t="s">
        <v>1787</v>
      </c>
      <c r="D2088" s="253" t="s">
        <v>3529</v>
      </c>
      <c r="E2088" s="121">
        <v>1</v>
      </c>
    </row>
    <row r="2089" spans="2:5">
      <c r="B2089" s="121" t="s">
        <v>1420</v>
      </c>
      <c r="C2089" s="478" t="s">
        <v>1787</v>
      </c>
      <c r="D2089" s="556" t="s">
        <v>2719</v>
      </c>
      <c r="E2089" s="121">
        <v>1</v>
      </c>
    </row>
    <row r="2090" spans="2:5">
      <c r="B2090" s="121" t="s">
        <v>1420</v>
      </c>
      <c r="C2090" s="478" t="s">
        <v>1787</v>
      </c>
      <c r="D2090" s="253" t="s">
        <v>3925</v>
      </c>
      <c r="E2090" s="121">
        <v>1</v>
      </c>
    </row>
    <row r="2091" spans="2:5">
      <c r="B2091" s="121" t="s">
        <v>1420</v>
      </c>
      <c r="C2091" s="478" t="s">
        <v>1787</v>
      </c>
      <c r="D2091" s="253" t="s">
        <v>3530</v>
      </c>
      <c r="E2091" s="121">
        <v>1</v>
      </c>
    </row>
    <row r="2092" spans="2:5">
      <c r="B2092" s="121" t="s">
        <v>1420</v>
      </c>
      <c r="C2092" s="551">
        <v>220370</v>
      </c>
      <c r="D2092" s="552" t="s">
        <v>3035</v>
      </c>
      <c r="E2092" s="121">
        <v>1</v>
      </c>
    </row>
    <row r="2093" spans="2:5">
      <c r="B2093" s="121" t="s">
        <v>1420</v>
      </c>
      <c r="C2093" s="551">
        <v>220965</v>
      </c>
      <c r="D2093" s="552" t="s">
        <v>3234</v>
      </c>
      <c r="E2093" s="121">
        <v>1</v>
      </c>
    </row>
    <row r="2094" spans="2:5">
      <c r="B2094" s="121" t="s">
        <v>1420</v>
      </c>
      <c r="C2094" s="478" t="s">
        <v>1787</v>
      </c>
      <c r="D2094" s="2" t="s">
        <v>3951</v>
      </c>
      <c r="E2094" s="121">
        <v>1</v>
      </c>
    </row>
    <row r="2095" spans="2:5">
      <c r="B2095" s="121" t="s">
        <v>1420</v>
      </c>
      <c r="C2095" s="730">
        <v>220114</v>
      </c>
      <c r="D2095" s="731" t="s">
        <v>4011</v>
      </c>
      <c r="E2095" s="121">
        <v>1</v>
      </c>
    </row>
    <row r="2096" spans="2:5">
      <c r="B2096" s="121" t="s">
        <v>1420</v>
      </c>
      <c r="C2096" s="730">
        <v>220219</v>
      </c>
      <c r="D2096" s="731" t="s">
        <v>4012</v>
      </c>
      <c r="E2096" s="121">
        <v>1</v>
      </c>
    </row>
    <row r="2097" spans="2:5">
      <c r="B2097" s="121" t="s">
        <v>1420</v>
      </c>
      <c r="C2097" s="478" t="s">
        <v>1787</v>
      </c>
      <c r="D2097" s="253" t="s">
        <v>3946</v>
      </c>
      <c r="E2097" s="121">
        <v>1</v>
      </c>
    </row>
    <row r="2098" spans="2:5">
      <c r="B2098" s="121" t="s">
        <v>1420</v>
      </c>
      <c r="C2098" s="478" t="s">
        <v>1787</v>
      </c>
      <c r="D2098" s="253" t="s">
        <v>3947</v>
      </c>
      <c r="E2098" s="121">
        <v>1</v>
      </c>
    </row>
    <row r="2099" spans="2:5">
      <c r="B2099" s="121" t="s">
        <v>1420</v>
      </c>
      <c r="C2099" s="481">
        <v>210263</v>
      </c>
      <c r="D2099" s="2" t="s">
        <v>3811</v>
      </c>
      <c r="E2099" s="121">
        <v>1</v>
      </c>
    </row>
    <row r="2100" spans="2:5">
      <c r="B2100" s="121" t="s">
        <v>1420</v>
      </c>
      <c r="C2100" s="481">
        <v>220417</v>
      </c>
      <c r="D2100" s="2" t="s">
        <v>3812</v>
      </c>
      <c r="E2100" s="121">
        <v>1</v>
      </c>
    </row>
    <row r="2101" spans="2:5">
      <c r="B2101" s="121" t="s">
        <v>1420</v>
      </c>
      <c r="C2101" s="744">
        <v>210319</v>
      </c>
      <c r="D2101" s="743" t="s">
        <v>4031</v>
      </c>
      <c r="E2101" s="121">
        <v>1</v>
      </c>
    </row>
    <row r="2102" spans="2:5">
      <c r="B2102" s="121" t="s">
        <v>1420</v>
      </c>
      <c r="C2102" s="744">
        <v>220279</v>
      </c>
      <c r="D2102" s="743" t="s">
        <v>4032</v>
      </c>
      <c r="E2102" s="121">
        <v>1</v>
      </c>
    </row>
    <row r="2103" spans="2:5">
      <c r="B2103" s="121" t="s">
        <v>1420</v>
      </c>
      <c r="C2103" s="479">
        <v>210346</v>
      </c>
      <c r="D2103" s="253" t="s">
        <v>3931</v>
      </c>
      <c r="E2103" s="121">
        <v>1</v>
      </c>
    </row>
    <row r="2104" spans="2:5">
      <c r="B2104" s="121" t="s">
        <v>1420</v>
      </c>
      <c r="C2104" s="478">
        <v>220266</v>
      </c>
      <c r="D2104" s="556" t="s">
        <v>4002</v>
      </c>
      <c r="E2104" s="121">
        <v>1</v>
      </c>
    </row>
    <row r="2105" spans="2:5">
      <c r="B2105" s="121" t="s">
        <v>1420</v>
      </c>
      <c r="C2105" s="478" t="s">
        <v>1787</v>
      </c>
      <c r="D2105" s="556" t="s">
        <v>2708</v>
      </c>
      <c r="E2105" s="121">
        <v>1</v>
      </c>
    </row>
    <row r="2106" spans="2:5">
      <c r="B2106" s="121" t="s">
        <v>1420</v>
      </c>
      <c r="C2106" s="478" t="s">
        <v>1787</v>
      </c>
      <c r="D2106" s="253" t="s">
        <v>3924</v>
      </c>
      <c r="E2106" s="121">
        <v>1</v>
      </c>
    </row>
    <row r="2107" spans="2:5">
      <c r="B2107" s="121" t="s">
        <v>1420</v>
      </c>
      <c r="C2107" s="551">
        <v>210316</v>
      </c>
      <c r="D2107" s="552" t="s">
        <v>2980</v>
      </c>
      <c r="E2107" s="121">
        <v>1</v>
      </c>
    </row>
    <row r="2108" spans="2:5">
      <c r="B2108" s="121" t="s">
        <v>1420</v>
      </c>
      <c r="C2108" s="551">
        <v>220420</v>
      </c>
      <c r="D2108" s="552" t="s">
        <v>2982</v>
      </c>
      <c r="E2108" s="121">
        <v>1</v>
      </c>
    </row>
    <row r="2109" spans="2:5">
      <c r="B2109" s="121" t="s">
        <v>1420</v>
      </c>
      <c r="C2109" s="625">
        <v>220042</v>
      </c>
      <c r="D2109" s="626" t="s">
        <v>3957</v>
      </c>
      <c r="E2109" s="121">
        <v>1</v>
      </c>
    </row>
    <row r="2110" spans="2:5">
      <c r="B2110" s="121" t="s">
        <v>1420</v>
      </c>
      <c r="C2110" s="627">
        <v>220264</v>
      </c>
      <c r="D2110" s="626" t="s">
        <v>3956</v>
      </c>
      <c r="E2110" s="121">
        <v>1</v>
      </c>
    </row>
    <row r="2111" spans="2:5">
      <c r="B2111" s="121" t="s">
        <v>1420</v>
      </c>
      <c r="C2111" s="478" t="s">
        <v>1787</v>
      </c>
      <c r="D2111" s="556" t="s">
        <v>1430</v>
      </c>
      <c r="E2111" s="121">
        <v>1</v>
      </c>
    </row>
    <row r="2112" spans="2:5">
      <c r="B2112" s="121" t="s">
        <v>1420</v>
      </c>
      <c r="C2112" s="478" t="s">
        <v>1787</v>
      </c>
      <c r="D2112" s="556" t="s">
        <v>1431</v>
      </c>
      <c r="E2112" s="121">
        <v>1</v>
      </c>
    </row>
    <row r="2113" spans="2:5">
      <c r="B2113" s="121" t="s">
        <v>1420</v>
      </c>
      <c r="C2113" s="479">
        <v>210295</v>
      </c>
      <c r="D2113" s="253" t="s">
        <v>3940</v>
      </c>
      <c r="E2113" s="121">
        <v>1</v>
      </c>
    </row>
    <row r="2114" spans="2:5">
      <c r="C2114" s="478"/>
      <c r="D2114" s="253"/>
      <c r="E2114" s="121"/>
    </row>
    <row r="2115" spans="2:5">
      <c r="B2115" s="121" t="s">
        <v>1420</v>
      </c>
      <c r="C2115" s="478" t="s">
        <v>1787</v>
      </c>
      <c r="D2115" s="556" t="s">
        <v>2872</v>
      </c>
      <c r="E2115" s="121">
        <v>1</v>
      </c>
    </row>
    <row r="2116" spans="2:5">
      <c r="B2116" s="121" t="s">
        <v>1420</v>
      </c>
      <c r="C2116" s="478" t="s">
        <v>1787</v>
      </c>
      <c r="D2116" s="556" t="s">
        <v>2873</v>
      </c>
      <c r="E2116" s="121">
        <v>1</v>
      </c>
    </row>
    <row r="2117" spans="2:5">
      <c r="B2117" s="121" t="s">
        <v>1420</v>
      </c>
      <c r="C2117" s="478" t="s">
        <v>1787</v>
      </c>
      <c r="D2117" s="556" t="s">
        <v>2640</v>
      </c>
      <c r="E2117" s="121">
        <v>1</v>
      </c>
    </row>
    <row r="2118" spans="2:5">
      <c r="B2118" s="121" t="s">
        <v>1420</v>
      </c>
      <c r="C2118" s="478" t="s">
        <v>1787</v>
      </c>
      <c r="D2118" s="253" t="s">
        <v>3531</v>
      </c>
      <c r="E2118" s="121">
        <v>1</v>
      </c>
    </row>
    <row r="2119" spans="2:5">
      <c r="B2119" s="121" t="s">
        <v>1420</v>
      </c>
      <c r="C2119" s="478" t="s">
        <v>1787</v>
      </c>
      <c r="D2119" s="556" t="s">
        <v>2754</v>
      </c>
      <c r="E2119" s="121">
        <v>1</v>
      </c>
    </row>
    <row r="2120" spans="2:5">
      <c r="B2120" s="121" t="s">
        <v>1420</v>
      </c>
      <c r="C2120" s="478" t="s">
        <v>1787</v>
      </c>
      <c r="D2120" s="556" t="s">
        <v>2755</v>
      </c>
      <c r="E2120" s="121">
        <v>1</v>
      </c>
    </row>
    <row r="2121" spans="2:5">
      <c r="B2121" s="121" t="s">
        <v>1420</v>
      </c>
      <c r="C2121" s="478" t="s">
        <v>1787</v>
      </c>
      <c r="D2121" s="556" t="s">
        <v>2368</v>
      </c>
      <c r="E2121" s="121">
        <v>1</v>
      </c>
    </row>
    <row r="2122" spans="2:5">
      <c r="B2122" s="121" t="s">
        <v>1420</v>
      </c>
      <c r="C2122" s="478" t="s">
        <v>1787</v>
      </c>
      <c r="D2122" s="253" t="s">
        <v>3532</v>
      </c>
      <c r="E2122" s="121">
        <v>1</v>
      </c>
    </row>
    <row r="2123" spans="2:5">
      <c r="B2123" s="121" t="s">
        <v>1420</v>
      </c>
      <c r="C2123" s="478">
        <v>220205</v>
      </c>
      <c r="D2123" s="556" t="s">
        <v>1467</v>
      </c>
      <c r="E2123" s="121">
        <v>1</v>
      </c>
    </row>
    <row r="2124" spans="2:5">
      <c r="B2124" s="121" t="s">
        <v>1420</v>
      </c>
      <c r="C2124" s="478" t="s">
        <v>1787</v>
      </c>
      <c r="D2124" s="253" t="s">
        <v>3955</v>
      </c>
      <c r="E2124" s="121">
        <v>1</v>
      </c>
    </row>
    <row r="2125" spans="2:5">
      <c r="B2125" s="121" t="s">
        <v>1420</v>
      </c>
      <c r="C2125" s="478" t="s">
        <v>1787</v>
      </c>
      <c r="D2125" s="556" t="s">
        <v>2658</v>
      </c>
      <c r="E2125" s="121">
        <v>1</v>
      </c>
    </row>
    <row r="2126" spans="2:5">
      <c r="B2126" s="121" t="s">
        <v>1420</v>
      </c>
      <c r="C2126" s="631">
        <v>220089</v>
      </c>
      <c r="D2126" s="630" t="s">
        <v>3542</v>
      </c>
      <c r="E2126" s="121">
        <v>1</v>
      </c>
    </row>
    <row r="2127" spans="2:5">
      <c r="B2127" s="121" t="s">
        <v>1420</v>
      </c>
      <c r="C2127" s="631">
        <v>220122</v>
      </c>
      <c r="D2127" s="630" t="s">
        <v>3543</v>
      </c>
      <c r="E2127" s="121">
        <v>1</v>
      </c>
    </row>
    <row r="2128" spans="2:5">
      <c r="B2128" s="121" t="s">
        <v>1420</v>
      </c>
      <c r="C2128" s="478" t="s">
        <v>1787</v>
      </c>
      <c r="D2128" s="2" t="s">
        <v>3952</v>
      </c>
      <c r="E2128" s="121">
        <v>1</v>
      </c>
    </row>
    <row r="2129" spans="2:5">
      <c r="B2129" s="121" t="s">
        <v>1420</v>
      </c>
      <c r="C2129" s="715">
        <v>220418</v>
      </c>
      <c r="D2129" s="714" t="s">
        <v>3912</v>
      </c>
      <c r="E2129" s="121">
        <v>1</v>
      </c>
    </row>
    <row r="2130" spans="2:5">
      <c r="B2130" s="121" t="s">
        <v>1420</v>
      </c>
      <c r="C2130" s="715">
        <v>220419</v>
      </c>
      <c r="D2130" s="714" t="s">
        <v>3913</v>
      </c>
      <c r="E2130" s="121">
        <v>1</v>
      </c>
    </row>
    <row r="2131" spans="2:5">
      <c r="B2131" s="121" t="s">
        <v>1420</v>
      </c>
      <c r="C2131" s="481">
        <v>220623</v>
      </c>
      <c r="D2131" s="2" t="s">
        <v>3581</v>
      </c>
      <c r="E2131" s="121">
        <v>1</v>
      </c>
    </row>
    <row r="2132" spans="2:5">
      <c r="B2132" s="121" t="s">
        <v>1420</v>
      </c>
      <c r="C2132" s="481">
        <v>220836</v>
      </c>
      <c r="D2132" s="2" t="s">
        <v>3582</v>
      </c>
      <c r="E2132" s="121">
        <v>1</v>
      </c>
    </row>
    <row r="2133" spans="2:5">
      <c r="B2133" s="121" t="s">
        <v>1420</v>
      </c>
      <c r="C2133" s="478" t="s">
        <v>1787</v>
      </c>
      <c r="D2133" s="556" t="s">
        <v>2594</v>
      </c>
      <c r="E2133" s="121">
        <v>1</v>
      </c>
    </row>
    <row r="2134" spans="2:5">
      <c r="B2134" s="121" t="s">
        <v>1420</v>
      </c>
      <c r="C2134" s="478" t="s">
        <v>1787</v>
      </c>
      <c r="D2134" s="253" t="s">
        <v>4636</v>
      </c>
      <c r="E2134" s="121">
        <v>1</v>
      </c>
    </row>
    <row r="2135" spans="2:5">
      <c r="B2135" s="121" t="s">
        <v>1420</v>
      </c>
      <c r="C2135" s="478">
        <v>210288</v>
      </c>
      <c r="D2135" s="556" t="s">
        <v>3020</v>
      </c>
      <c r="E2135" s="121">
        <v>1</v>
      </c>
    </row>
    <row r="2136" spans="2:5">
      <c r="B2136" s="121" t="s">
        <v>1420</v>
      </c>
      <c r="C2136" s="478" t="s">
        <v>1787</v>
      </c>
      <c r="D2136" s="556" t="s">
        <v>1433</v>
      </c>
      <c r="E2136" s="121">
        <v>1</v>
      </c>
    </row>
    <row r="2137" spans="2:5">
      <c r="B2137" s="121" t="s">
        <v>1420</v>
      </c>
      <c r="C2137" s="478" t="s">
        <v>1787</v>
      </c>
      <c r="D2137" s="253" t="s">
        <v>4635</v>
      </c>
      <c r="E2137" s="121">
        <v>1</v>
      </c>
    </row>
    <row r="2138" spans="2:5">
      <c r="B2138" s="121" t="s">
        <v>1420</v>
      </c>
      <c r="C2138" s="834">
        <v>220576</v>
      </c>
      <c r="D2138" s="253" t="s">
        <v>4637</v>
      </c>
      <c r="E2138" s="121">
        <v>1</v>
      </c>
    </row>
    <row r="2139" spans="2:5">
      <c r="B2139" s="121" t="s">
        <v>1420</v>
      </c>
      <c r="C2139" s="834">
        <v>220577</v>
      </c>
      <c r="D2139" s="253" t="s">
        <v>4638</v>
      </c>
      <c r="E2139" s="121">
        <v>1</v>
      </c>
    </row>
    <row r="2140" spans="2:5">
      <c r="B2140" s="121" t="s">
        <v>1420</v>
      </c>
      <c r="C2140" s="478" t="s">
        <v>1787</v>
      </c>
      <c r="D2140" s="556" t="s">
        <v>1434</v>
      </c>
      <c r="E2140" s="121">
        <v>1</v>
      </c>
    </row>
    <row r="2141" spans="2:5">
      <c r="B2141" s="121" t="s">
        <v>1420</v>
      </c>
      <c r="C2141" s="478" t="s">
        <v>1787</v>
      </c>
      <c r="D2141" s="253" t="s">
        <v>3916</v>
      </c>
      <c r="E2141" s="121">
        <v>1</v>
      </c>
    </row>
    <row r="2142" spans="2:5">
      <c r="B2142" s="121" t="s">
        <v>1420</v>
      </c>
      <c r="C2142" s="478" t="s">
        <v>1787</v>
      </c>
      <c r="D2142" s="253" t="s">
        <v>3943</v>
      </c>
      <c r="E2142" s="121">
        <v>1</v>
      </c>
    </row>
    <row r="2143" spans="2:5">
      <c r="B2143" s="121" t="s">
        <v>1420</v>
      </c>
      <c r="C2143" s="478" t="s">
        <v>1787</v>
      </c>
      <c r="D2143" s="253" t="s">
        <v>3917</v>
      </c>
      <c r="E2143" s="121">
        <v>1</v>
      </c>
    </row>
    <row r="2144" spans="2:5">
      <c r="B2144" s="121" t="s">
        <v>1420</v>
      </c>
      <c r="C2144" s="478" t="s">
        <v>1787</v>
      </c>
      <c r="D2144" s="253" t="s">
        <v>3918</v>
      </c>
      <c r="E2144" s="121">
        <v>1</v>
      </c>
    </row>
    <row r="2145" spans="2:5">
      <c r="B2145" s="121" t="s">
        <v>1420</v>
      </c>
      <c r="C2145" s="478" t="s">
        <v>1787</v>
      </c>
      <c r="D2145" s="253" t="s">
        <v>3938</v>
      </c>
      <c r="E2145" s="121">
        <v>1</v>
      </c>
    </row>
    <row r="2146" spans="2:5">
      <c r="B2146" s="121" t="s">
        <v>1420</v>
      </c>
      <c r="C2146" s="478" t="s">
        <v>1787</v>
      </c>
      <c r="D2146" s="253" t="s">
        <v>3939</v>
      </c>
      <c r="E2146" s="121">
        <v>1</v>
      </c>
    </row>
    <row r="2147" spans="2:5">
      <c r="B2147" s="121" t="s">
        <v>1420</v>
      </c>
      <c r="C2147" s="551">
        <v>220546</v>
      </c>
      <c r="D2147" s="2" t="s">
        <v>4639</v>
      </c>
      <c r="E2147" s="121">
        <v>1</v>
      </c>
    </row>
    <row r="2148" spans="2:5">
      <c r="B2148" s="121" t="s">
        <v>1420</v>
      </c>
      <c r="C2148" s="551">
        <v>220547</v>
      </c>
      <c r="D2148" s="2" t="s">
        <v>4640</v>
      </c>
      <c r="E2148" s="121">
        <v>1</v>
      </c>
    </row>
    <row r="2149" spans="2:5">
      <c r="B2149" s="121" t="s">
        <v>1420</v>
      </c>
      <c r="C2149" s="554">
        <v>210280</v>
      </c>
      <c r="D2149" s="555" t="s">
        <v>3210</v>
      </c>
      <c r="E2149" s="121">
        <v>1</v>
      </c>
    </row>
    <row r="2150" spans="2:5">
      <c r="B2150" s="121" t="s">
        <v>1420</v>
      </c>
      <c r="C2150" s="554">
        <v>220454</v>
      </c>
      <c r="D2150" s="555" t="s">
        <v>3211</v>
      </c>
      <c r="E2150" s="121">
        <v>1</v>
      </c>
    </row>
    <row r="2151" spans="2:5">
      <c r="B2151" s="121" t="s">
        <v>1420</v>
      </c>
      <c r="C2151" s="478">
        <v>210432</v>
      </c>
      <c r="D2151" s="253" t="s">
        <v>3941</v>
      </c>
      <c r="E2151" s="121">
        <v>1</v>
      </c>
    </row>
    <row r="2152" spans="2:5">
      <c r="B2152" s="121" t="s">
        <v>1420</v>
      </c>
      <c r="C2152" s="478">
        <v>220138</v>
      </c>
      <c r="D2152" s="253" t="s">
        <v>3942</v>
      </c>
      <c r="E2152" s="121">
        <v>1</v>
      </c>
    </row>
    <row r="2153" spans="2:5">
      <c r="B2153" s="121" t="s">
        <v>1420</v>
      </c>
      <c r="C2153" s="481">
        <v>220046</v>
      </c>
      <c r="D2153" s="2" t="s">
        <v>3585</v>
      </c>
      <c r="E2153" s="121">
        <v>1</v>
      </c>
    </row>
    <row r="2154" spans="2:5">
      <c r="B2154" s="121" t="s">
        <v>1420</v>
      </c>
      <c r="C2154" s="481">
        <v>220422</v>
      </c>
      <c r="D2154" s="2" t="s">
        <v>3584</v>
      </c>
      <c r="E2154" s="121">
        <v>1</v>
      </c>
    </row>
    <row r="2155" spans="2:5">
      <c r="B2155" s="121" t="s">
        <v>1420</v>
      </c>
      <c r="C2155" s="492">
        <v>220434</v>
      </c>
      <c r="D2155" s="553" t="s">
        <v>3083</v>
      </c>
      <c r="E2155" s="121">
        <v>1</v>
      </c>
    </row>
    <row r="2156" spans="2:5">
      <c r="B2156" s="121" t="s">
        <v>1420</v>
      </c>
      <c r="C2156" s="492">
        <v>220597</v>
      </c>
      <c r="D2156" s="553" t="s">
        <v>3241</v>
      </c>
      <c r="E2156" s="121">
        <v>1</v>
      </c>
    </row>
    <row r="2157" spans="2:5">
      <c r="B2157" s="121" t="s">
        <v>1420</v>
      </c>
      <c r="C2157" s="692">
        <v>210456</v>
      </c>
      <c r="D2157" s="691" t="s">
        <v>3818</v>
      </c>
      <c r="E2157" s="121">
        <v>1</v>
      </c>
    </row>
    <row r="2158" spans="2:5">
      <c r="B2158" s="121" t="s">
        <v>1420</v>
      </c>
      <c r="C2158" s="692">
        <v>220433</v>
      </c>
      <c r="D2158" s="691" t="s">
        <v>3819</v>
      </c>
      <c r="E2158" s="121">
        <v>1</v>
      </c>
    </row>
    <row r="2159" spans="2:5">
      <c r="B2159" s="121" t="s">
        <v>1420</v>
      </c>
      <c r="C2159" s="478" t="s">
        <v>1787</v>
      </c>
      <c r="D2159" s="556" t="s">
        <v>2748</v>
      </c>
      <c r="E2159" s="121">
        <v>1</v>
      </c>
    </row>
    <row r="2160" spans="2:5">
      <c r="B2160" s="121" t="s">
        <v>1420</v>
      </c>
      <c r="C2160" s="478" t="s">
        <v>1787</v>
      </c>
      <c r="D2160" s="556" t="s">
        <v>2749</v>
      </c>
      <c r="E2160" s="121">
        <v>1</v>
      </c>
    </row>
    <row r="2161" spans="2:5">
      <c r="B2161" s="121" t="s">
        <v>1420</v>
      </c>
      <c r="C2161" s="478" t="s">
        <v>1787</v>
      </c>
      <c r="D2161" s="253" t="s">
        <v>3944</v>
      </c>
      <c r="E2161" s="121">
        <v>1</v>
      </c>
    </row>
    <row r="2162" spans="2:5">
      <c r="B2162" s="121" t="s">
        <v>1420</v>
      </c>
      <c r="C2162" s="478" t="s">
        <v>1787</v>
      </c>
      <c r="D2162" s="253" t="s">
        <v>3945</v>
      </c>
      <c r="E2162" s="121">
        <v>1</v>
      </c>
    </row>
    <row r="2163" spans="2:5">
      <c r="B2163" s="121" t="s">
        <v>1420</v>
      </c>
      <c r="C2163" s="478" t="s">
        <v>1787</v>
      </c>
      <c r="D2163" s="556" t="s">
        <v>1436</v>
      </c>
      <c r="E2163" s="121">
        <v>1</v>
      </c>
    </row>
    <row r="2164" spans="2:5">
      <c r="B2164" s="121" t="s">
        <v>1420</v>
      </c>
      <c r="C2164" s="478" t="s">
        <v>1787</v>
      </c>
      <c r="D2164" s="253" t="s">
        <v>3919</v>
      </c>
      <c r="E2164" s="121">
        <v>1</v>
      </c>
    </row>
    <row r="2165" spans="2:5">
      <c r="B2165" s="121" t="s">
        <v>1420</v>
      </c>
      <c r="C2165" s="481">
        <v>220395</v>
      </c>
      <c r="D2165" s="2" t="s">
        <v>3961</v>
      </c>
      <c r="E2165" s="121">
        <v>1</v>
      </c>
    </row>
    <row r="2166" spans="2:5">
      <c r="B2166" s="121" t="s">
        <v>1420</v>
      </c>
      <c r="C2166" s="481">
        <v>220711</v>
      </c>
      <c r="D2166" s="2" t="s">
        <v>3844</v>
      </c>
      <c r="E2166" s="121">
        <v>1</v>
      </c>
    </row>
    <row r="2167" spans="2:5">
      <c r="B2167" s="121" t="s">
        <v>1420</v>
      </c>
      <c r="C2167" s="478" t="s">
        <v>1787</v>
      </c>
      <c r="D2167" s="556" t="s">
        <v>2320</v>
      </c>
      <c r="E2167" s="121">
        <v>1</v>
      </c>
    </row>
    <row r="2168" spans="2:5">
      <c r="B2168" s="121" t="s">
        <v>1420</v>
      </c>
      <c r="C2168" s="478" t="s">
        <v>1787</v>
      </c>
      <c r="D2168" s="253" t="s">
        <v>3920</v>
      </c>
      <c r="E2168" s="121">
        <v>1</v>
      </c>
    </row>
    <row r="2169" spans="2:5">
      <c r="B2169" s="121" t="s">
        <v>1420</v>
      </c>
      <c r="C2169" s="478" t="s">
        <v>1787</v>
      </c>
      <c r="D2169" s="556" t="s">
        <v>1461</v>
      </c>
      <c r="E2169" s="121">
        <v>1</v>
      </c>
    </row>
    <row r="2170" spans="2:5">
      <c r="B2170" s="121" t="s">
        <v>1420</v>
      </c>
      <c r="C2170" s="478" t="s">
        <v>1787</v>
      </c>
      <c r="D2170" s="253" t="s">
        <v>3926</v>
      </c>
      <c r="E2170" s="121">
        <v>1</v>
      </c>
    </row>
    <row r="2171" spans="2:5">
      <c r="B2171" s="121" t="s">
        <v>1420</v>
      </c>
      <c r="C2171" s="478" t="s">
        <v>1787</v>
      </c>
      <c r="D2171" s="253" t="s">
        <v>3927</v>
      </c>
      <c r="E2171" s="121">
        <v>1</v>
      </c>
    </row>
    <row r="2172" spans="2:5">
      <c r="B2172" s="121" t="s">
        <v>1420</v>
      </c>
      <c r="C2172" s="481">
        <v>220839</v>
      </c>
      <c r="D2172" s="2" t="s">
        <v>3807</v>
      </c>
      <c r="E2172" s="121">
        <v>1</v>
      </c>
    </row>
    <row r="2173" spans="2:5">
      <c r="B2173" s="121" t="s">
        <v>1420</v>
      </c>
      <c r="C2173" s="481">
        <v>220840</v>
      </c>
      <c r="D2173" s="2" t="s">
        <v>3808</v>
      </c>
      <c r="E2173" s="121">
        <v>1</v>
      </c>
    </row>
    <row r="2174" spans="2:5">
      <c r="B2174" s="121" t="s">
        <v>1420</v>
      </c>
      <c r="C2174" s="478" t="s">
        <v>1787</v>
      </c>
      <c r="D2174" s="253" t="s">
        <v>4641</v>
      </c>
      <c r="E2174" s="121">
        <v>1</v>
      </c>
    </row>
    <row r="2175" spans="2:5">
      <c r="B2175" s="121" t="s">
        <v>1420</v>
      </c>
      <c r="C2175" s="478" t="s">
        <v>1787</v>
      </c>
      <c r="D2175" s="253" t="s">
        <v>3921</v>
      </c>
      <c r="E2175" s="121">
        <v>1</v>
      </c>
    </row>
    <row r="2176" spans="2:5">
      <c r="C2176" s="478" t="s">
        <v>1787</v>
      </c>
      <c r="D2176" s="253" t="s">
        <v>3922</v>
      </c>
      <c r="E2176" s="121">
        <v>1</v>
      </c>
    </row>
    <row r="2177" spans="2:5">
      <c r="B2177" s="121" t="s">
        <v>1420</v>
      </c>
      <c r="C2177" s="478" t="s">
        <v>1787</v>
      </c>
      <c r="D2177" s="253" t="s">
        <v>3923</v>
      </c>
      <c r="E2177" s="121">
        <v>1</v>
      </c>
    </row>
    <row r="2178" spans="2:5">
      <c r="B2178" s="121" t="s">
        <v>1420</v>
      </c>
      <c r="C2178" s="478">
        <v>220724</v>
      </c>
      <c r="D2178" s="556" t="s">
        <v>3019</v>
      </c>
      <c r="E2178" s="121">
        <v>1</v>
      </c>
    </row>
    <row r="2179" spans="2:5">
      <c r="B2179" s="121" t="s">
        <v>1420</v>
      </c>
      <c r="C2179" s="478" t="s">
        <v>1787</v>
      </c>
      <c r="D2179" s="253" t="s">
        <v>4103</v>
      </c>
      <c r="E2179" s="121">
        <v>1</v>
      </c>
    </row>
    <row r="2180" spans="2:5">
      <c r="B2180" s="121" t="s">
        <v>1420</v>
      </c>
      <c r="C2180" s="478" t="s">
        <v>1787</v>
      </c>
      <c r="D2180" s="253" t="s">
        <v>3930</v>
      </c>
      <c r="E2180" s="121">
        <v>1</v>
      </c>
    </row>
    <row r="2181" spans="2:5">
      <c r="B2181" s="121" t="s">
        <v>1420</v>
      </c>
      <c r="C2181" s="478" t="s">
        <v>1787</v>
      </c>
      <c r="D2181" s="556" t="s">
        <v>2394</v>
      </c>
      <c r="E2181" s="121">
        <v>1</v>
      </c>
    </row>
    <row r="2182" spans="2:5">
      <c r="B2182" s="121" t="s">
        <v>1420</v>
      </c>
      <c r="C2182" s="478" t="s">
        <v>1787</v>
      </c>
      <c r="D2182" s="253" t="s">
        <v>4104</v>
      </c>
      <c r="E2182" s="121">
        <v>1</v>
      </c>
    </row>
    <row r="2183" spans="2:5">
      <c r="B2183" s="121" t="s">
        <v>1420</v>
      </c>
      <c r="C2183" s="478" t="s">
        <v>1787</v>
      </c>
      <c r="D2183" s="253" t="s">
        <v>4105</v>
      </c>
      <c r="E2183" s="121">
        <v>1</v>
      </c>
    </row>
    <row r="2184" spans="2:5">
      <c r="B2184" s="121" t="s">
        <v>1420</v>
      </c>
      <c r="C2184" s="807" t="s">
        <v>1787</v>
      </c>
      <c r="D2184" s="253" t="s">
        <v>4354</v>
      </c>
      <c r="E2184" s="121">
        <v>1</v>
      </c>
    </row>
    <row r="2185" spans="2:5">
      <c r="B2185" s="121" t="s">
        <v>1420</v>
      </c>
      <c r="C2185" s="807" t="s">
        <v>1787</v>
      </c>
      <c r="D2185" s="806" t="s">
        <v>4355</v>
      </c>
      <c r="E2185" s="121">
        <v>1</v>
      </c>
    </row>
    <row r="2186" spans="2:5">
      <c r="B2186" s="121" t="s">
        <v>1420</v>
      </c>
      <c r="C2186" s="744">
        <v>220823</v>
      </c>
      <c r="D2186" s="556" t="s">
        <v>2400</v>
      </c>
      <c r="E2186" s="121">
        <v>1</v>
      </c>
    </row>
    <row r="2187" spans="2:5" ht="15.75" customHeight="1">
      <c r="B2187" s="121" t="s">
        <v>1420</v>
      </c>
      <c r="C2187" s="744">
        <v>220833</v>
      </c>
      <c r="D2187" s="806" t="s">
        <v>4045</v>
      </c>
      <c r="E2187" s="121">
        <v>1</v>
      </c>
    </row>
    <row r="2188" spans="2:5">
      <c r="B2188" s="121" t="s">
        <v>1420</v>
      </c>
      <c r="C2188" s="478" t="s">
        <v>1787</v>
      </c>
      <c r="D2188" s="556" t="s">
        <v>2595</v>
      </c>
      <c r="E2188" s="121">
        <v>1</v>
      </c>
    </row>
    <row r="2189" spans="2:5">
      <c r="B2189" s="121" t="s">
        <v>1420</v>
      </c>
      <c r="C2189" s="478" t="s">
        <v>1787</v>
      </c>
      <c r="D2189" s="253" t="s">
        <v>3534</v>
      </c>
      <c r="E2189" s="121">
        <v>1</v>
      </c>
    </row>
    <row r="2190" spans="2:5">
      <c r="B2190" s="121" t="s">
        <v>1420</v>
      </c>
      <c r="C2190" s="478" t="s">
        <v>1787</v>
      </c>
      <c r="D2190" s="253" t="s">
        <v>4612</v>
      </c>
      <c r="E2190" s="121">
        <v>1</v>
      </c>
    </row>
    <row r="2191" spans="2:5" ht="15.75" customHeight="1">
      <c r="B2191" s="121" t="s">
        <v>1420</v>
      </c>
      <c r="C2191" s="478" t="s">
        <v>1787</v>
      </c>
      <c r="D2191" s="556" t="s">
        <v>1457</v>
      </c>
      <c r="E2191" s="121">
        <v>1</v>
      </c>
    </row>
    <row r="2192" spans="2:5" ht="15.75" customHeight="1">
      <c r="B2192" s="121" t="s">
        <v>1420</v>
      </c>
      <c r="C2192" s="478" t="s">
        <v>1787</v>
      </c>
      <c r="D2192" s="556" t="s">
        <v>1427</v>
      </c>
      <c r="E2192" s="121">
        <v>1</v>
      </c>
    </row>
    <row r="2193" spans="2:5">
      <c r="B2193" s="121" t="s">
        <v>1420</v>
      </c>
      <c r="C2193" s="478" t="s">
        <v>1787</v>
      </c>
      <c r="D2193" s="556" t="s">
        <v>2288</v>
      </c>
      <c r="E2193" s="121">
        <v>1</v>
      </c>
    </row>
    <row r="2194" spans="2:5">
      <c r="C2194" s="478" t="s">
        <v>1787</v>
      </c>
      <c r="D2194" s="556" t="s">
        <v>2571</v>
      </c>
      <c r="E2194" s="121">
        <v>1</v>
      </c>
    </row>
    <row r="2195" spans="2:5">
      <c r="B2195" s="121" t="s">
        <v>1420</v>
      </c>
      <c r="C2195" s="478" t="s">
        <v>1787</v>
      </c>
      <c r="D2195" s="556" t="s">
        <v>2477</v>
      </c>
      <c r="E2195" s="121">
        <v>1</v>
      </c>
    </row>
    <row r="2196" spans="2:5">
      <c r="B2196" s="121" t="s">
        <v>1420</v>
      </c>
      <c r="C2196" s="478" t="s">
        <v>1787</v>
      </c>
      <c r="D2196" s="556" t="s">
        <v>2481</v>
      </c>
      <c r="E2196" s="121">
        <v>1</v>
      </c>
    </row>
    <row r="2197" spans="2:5">
      <c r="B2197" s="121" t="s">
        <v>1420</v>
      </c>
      <c r="C2197" s="481">
        <v>220690</v>
      </c>
      <c r="D2197" s="556" t="s">
        <v>2784</v>
      </c>
      <c r="E2197" s="121">
        <v>1</v>
      </c>
    </row>
    <row r="2198" spans="2:5">
      <c r="C2198" s="481">
        <v>220933</v>
      </c>
      <c r="D2198" s="2" t="s">
        <v>4171</v>
      </c>
      <c r="E2198" s="121"/>
    </row>
    <row r="2199" spans="2:5">
      <c r="B2199" s="121" t="s">
        <v>1420</v>
      </c>
      <c r="C2199" s="478">
        <v>220587</v>
      </c>
      <c r="D2199" s="253" t="s">
        <v>4172</v>
      </c>
      <c r="E2199" s="121">
        <v>1</v>
      </c>
    </row>
    <row r="2200" spans="2:5">
      <c r="B2200" s="121" t="s">
        <v>1420</v>
      </c>
      <c r="C2200" s="478">
        <v>220652</v>
      </c>
      <c r="D2200" s="253" t="s">
        <v>4193</v>
      </c>
      <c r="E2200" s="121">
        <v>1</v>
      </c>
    </row>
    <row r="2201" spans="2:5">
      <c r="B2201" s="121" t="s">
        <v>1420</v>
      </c>
      <c r="C2201" s="732">
        <v>210047</v>
      </c>
      <c r="D2201" s="619" t="s">
        <v>1424</v>
      </c>
      <c r="E2201" s="121">
        <v>1</v>
      </c>
    </row>
    <row r="2202" spans="2:5">
      <c r="B2202" s="121" t="s">
        <v>1420</v>
      </c>
      <c r="C2202" s="478" t="s">
        <v>1787</v>
      </c>
      <c r="D2202" s="504" t="s">
        <v>1425</v>
      </c>
      <c r="E2202" s="121">
        <v>1</v>
      </c>
    </row>
    <row r="2203" spans="2:5">
      <c r="B2203" s="121" t="s">
        <v>1420</v>
      </c>
      <c r="C2203" s="732">
        <v>220386</v>
      </c>
      <c r="D2203" s="558" t="s">
        <v>1426</v>
      </c>
      <c r="E2203" s="121">
        <v>1.5</v>
      </c>
    </row>
    <row r="2204" spans="2:5">
      <c r="B2204" s="121" t="s">
        <v>1420</v>
      </c>
      <c r="C2204" s="478" t="s">
        <v>1787</v>
      </c>
      <c r="D2204" s="556" t="s">
        <v>2330</v>
      </c>
      <c r="E2204" s="121">
        <v>1</v>
      </c>
    </row>
    <row r="2205" spans="2:5">
      <c r="B2205" s="121" t="s">
        <v>1420</v>
      </c>
      <c r="C2205" s="478" t="s">
        <v>1787</v>
      </c>
      <c r="D2205" s="556" t="s">
        <v>2331</v>
      </c>
      <c r="E2205" s="121">
        <v>1</v>
      </c>
    </row>
    <row r="2206" spans="2:5" ht="15.75" customHeight="1">
      <c r="B2206" s="121" t="s">
        <v>1420</v>
      </c>
      <c r="C2206" s="478" t="s">
        <v>1787</v>
      </c>
      <c r="D2206" s="556" t="s">
        <v>2329</v>
      </c>
      <c r="E2206" s="121">
        <v>1</v>
      </c>
    </row>
    <row r="2207" spans="2:5" ht="15.75" customHeight="1">
      <c r="B2207" s="121" t="s">
        <v>1420</v>
      </c>
      <c r="C2207" s="478" t="s">
        <v>1787</v>
      </c>
      <c r="D2207" s="253" t="s">
        <v>3915</v>
      </c>
      <c r="E2207" s="121">
        <v>1</v>
      </c>
    </row>
    <row r="2208" spans="2:5">
      <c r="B2208" s="121" t="s">
        <v>1420</v>
      </c>
      <c r="C2208" s="478" t="s">
        <v>1787</v>
      </c>
      <c r="D2208" s="556" t="s">
        <v>1446</v>
      </c>
      <c r="E2208" s="121">
        <v>1</v>
      </c>
    </row>
    <row r="2209" spans="2:5">
      <c r="B2209" s="121" t="s">
        <v>1420</v>
      </c>
      <c r="C2209" s="478" t="s">
        <v>1787</v>
      </c>
      <c r="D2209" s="253" t="s">
        <v>4642</v>
      </c>
      <c r="E2209" s="121">
        <v>1</v>
      </c>
    </row>
    <row r="2210" spans="2:5" ht="15.75" customHeight="1">
      <c r="B2210" s="121" t="s">
        <v>1420</v>
      </c>
      <c r="C2210" s="274">
        <v>220695</v>
      </c>
      <c r="D2210" s="71" t="s">
        <v>3958</v>
      </c>
      <c r="E2210" s="121">
        <v>1</v>
      </c>
    </row>
    <row r="2211" spans="2:5" ht="15.75" customHeight="1">
      <c r="B2211" s="121" t="s">
        <v>1420</v>
      </c>
      <c r="C2211" s="274">
        <v>220696</v>
      </c>
      <c r="D2211" s="71" t="s">
        <v>3959</v>
      </c>
      <c r="E2211" s="121">
        <v>1</v>
      </c>
    </row>
    <row r="2212" spans="2:5" ht="15.75" customHeight="1">
      <c r="B2212" s="121" t="s">
        <v>1420</v>
      </c>
      <c r="C2212" s="715">
        <v>220695</v>
      </c>
      <c r="D2212" s="253" t="s">
        <v>4059</v>
      </c>
      <c r="E2212" s="121">
        <v>1</v>
      </c>
    </row>
    <row r="2213" spans="2:5">
      <c r="B2213" s="121" t="s">
        <v>1420</v>
      </c>
      <c r="C2213" s="478" t="s">
        <v>1787</v>
      </c>
      <c r="D2213" s="253" t="s">
        <v>4060</v>
      </c>
      <c r="E2213" s="121">
        <v>1</v>
      </c>
    </row>
    <row r="2214" spans="2:5">
      <c r="B2214" s="121" t="s">
        <v>1420</v>
      </c>
      <c r="C2214" s="478" t="s">
        <v>1787</v>
      </c>
      <c r="D2214" s="253" t="s">
        <v>3934</v>
      </c>
      <c r="E2214" s="121">
        <v>1</v>
      </c>
    </row>
    <row r="2215" spans="2:5">
      <c r="B2215" s="121" t="s">
        <v>1420</v>
      </c>
      <c r="C2215" s="478" t="s">
        <v>1787</v>
      </c>
      <c r="D2215" s="253" t="s">
        <v>3934</v>
      </c>
      <c r="E2215" s="121">
        <v>1</v>
      </c>
    </row>
    <row r="2216" spans="2:5">
      <c r="B2216" s="121" t="s">
        <v>1420</v>
      </c>
      <c r="C2216" s="478" t="s">
        <v>1787</v>
      </c>
      <c r="D2216" s="253" t="s">
        <v>4061</v>
      </c>
      <c r="E2216" s="121">
        <v>1</v>
      </c>
    </row>
    <row r="2217" spans="2:5">
      <c r="B2217" s="121" t="s">
        <v>1420</v>
      </c>
      <c r="C2217" s="479">
        <v>221030</v>
      </c>
      <c r="D2217" s="71" t="s">
        <v>3846</v>
      </c>
      <c r="E2217" s="121">
        <v>1</v>
      </c>
    </row>
    <row r="2218" spans="2:5">
      <c r="B2218" s="121" t="s">
        <v>1420</v>
      </c>
      <c r="C2218" s="479" t="s">
        <v>1787</v>
      </c>
      <c r="D2218" s="71" t="s">
        <v>3847</v>
      </c>
      <c r="E2218" s="121">
        <v>1</v>
      </c>
    </row>
    <row r="2219" spans="2:5">
      <c r="B2219" s="121" t="s">
        <v>1420</v>
      </c>
      <c r="C2219" s="623">
        <v>220893</v>
      </c>
      <c r="D2219" s="624" t="s">
        <v>3517</v>
      </c>
      <c r="E2219" s="121">
        <v>1</v>
      </c>
    </row>
    <row r="2220" spans="2:5">
      <c r="B2220" s="121" t="s">
        <v>1420</v>
      </c>
      <c r="C2220" s="623">
        <v>220894</v>
      </c>
      <c r="D2220" s="624" t="s">
        <v>3518</v>
      </c>
      <c r="E2220" s="121">
        <v>1</v>
      </c>
    </row>
    <row r="2221" spans="2:5">
      <c r="B2221" s="121" t="s">
        <v>1420</v>
      </c>
      <c r="C2221" s="478" t="s">
        <v>1787</v>
      </c>
      <c r="D2221" s="253" t="s">
        <v>4644</v>
      </c>
      <c r="E2221" s="121">
        <v>1</v>
      </c>
    </row>
    <row r="2222" spans="2:5">
      <c r="B2222" s="121" t="s">
        <v>1420</v>
      </c>
      <c r="C2222" s="478" t="s">
        <v>1787</v>
      </c>
      <c r="D2222" s="253" t="s">
        <v>4643</v>
      </c>
      <c r="E2222" s="121">
        <v>1</v>
      </c>
    </row>
    <row r="2223" spans="2:5">
      <c r="B2223" s="121" t="s">
        <v>1420</v>
      </c>
      <c r="C2223" s="478" t="s">
        <v>1787</v>
      </c>
      <c r="D2223" s="253" t="s">
        <v>4645</v>
      </c>
      <c r="E2223" s="121">
        <v>1</v>
      </c>
    </row>
    <row r="2224" spans="2:5">
      <c r="B2224" s="121" t="s">
        <v>1420</v>
      </c>
      <c r="C2224" s="481">
        <v>220826</v>
      </c>
      <c r="D2224" s="2" t="s">
        <v>3960</v>
      </c>
      <c r="E2224" s="121">
        <v>1</v>
      </c>
    </row>
    <row r="2225" spans="2:5">
      <c r="B2225" s="121" t="s">
        <v>1420</v>
      </c>
      <c r="C2225" s="478" t="s">
        <v>1787</v>
      </c>
      <c r="D2225" s="253" t="s">
        <v>4646</v>
      </c>
      <c r="E2225" s="121">
        <v>1</v>
      </c>
    </row>
    <row r="2226" spans="2:5">
      <c r="B2226" s="121" t="s">
        <v>1420</v>
      </c>
      <c r="C2226" s="492">
        <v>220705</v>
      </c>
      <c r="D2226" s="556" t="s">
        <v>1451</v>
      </c>
      <c r="E2226" s="121">
        <v>1</v>
      </c>
    </row>
    <row r="2227" spans="2:5">
      <c r="B2227" s="121" t="s">
        <v>1420</v>
      </c>
      <c r="C2227" s="492">
        <v>220723</v>
      </c>
      <c r="D2227" s="556" t="s">
        <v>3081</v>
      </c>
      <c r="E2227" s="121">
        <v>1</v>
      </c>
    </row>
    <row r="2228" spans="2:5">
      <c r="B2228" s="121" t="s">
        <v>1420</v>
      </c>
      <c r="C2228" s="478" t="s">
        <v>1787</v>
      </c>
      <c r="D2228" s="552" t="s">
        <v>2942</v>
      </c>
      <c r="E2228" s="121">
        <v>1</v>
      </c>
    </row>
    <row r="2229" spans="2:5">
      <c r="B2229" s="121" t="s">
        <v>1420</v>
      </c>
      <c r="C2229" s="478" t="s">
        <v>1787</v>
      </c>
      <c r="D2229" s="556" t="s">
        <v>2294</v>
      </c>
      <c r="E2229" s="121">
        <v>1</v>
      </c>
    </row>
    <row r="2230" spans="2:5">
      <c r="B2230" s="121" t="s">
        <v>1420</v>
      </c>
      <c r="C2230" s="478" t="s">
        <v>1787</v>
      </c>
      <c r="D2230" s="556" t="s">
        <v>2295</v>
      </c>
      <c r="E2230" s="121">
        <v>1</v>
      </c>
    </row>
    <row r="2231" spans="2:5">
      <c r="B2231" s="121" t="s">
        <v>1420</v>
      </c>
      <c r="C2231" s="478" t="s">
        <v>1787</v>
      </c>
      <c r="D2231" s="556" t="s">
        <v>3230</v>
      </c>
      <c r="E2231" s="121">
        <v>1</v>
      </c>
    </row>
    <row r="2232" spans="2:5">
      <c r="B2232" s="121" t="s">
        <v>1420</v>
      </c>
      <c r="C2232" s="479" t="s">
        <v>1787</v>
      </c>
      <c r="D2232" s="253" t="s">
        <v>3817</v>
      </c>
      <c r="E2232" s="121">
        <v>1</v>
      </c>
    </row>
    <row r="2233" spans="2:5">
      <c r="B2233" s="121" t="s">
        <v>1420</v>
      </c>
      <c r="C2233" s="478" t="s">
        <v>1787</v>
      </c>
      <c r="D2233" s="556" t="s">
        <v>2735</v>
      </c>
      <c r="E2233" s="121">
        <v>1</v>
      </c>
    </row>
    <row r="2234" spans="2:5">
      <c r="B2234" s="121" t="s">
        <v>1420</v>
      </c>
      <c r="C2234" s="478" t="s">
        <v>1787</v>
      </c>
      <c r="D2234" s="556" t="s">
        <v>1428</v>
      </c>
      <c r="E2234" s="121">
        <v>1</v>
      </c>
    </row>
    <row r="2235" spans="2:5">
      <c r="B2235" s="121" t="s">
        <v>1420</v>
      </c>
      <c r="C2235" s="478" t="s">
        <v>1787</v>
      </c>
      <c r="D2235" s="552" t="s">
        <v>2929</v>
      </c>
      <c r="E2235" s="121">
        <v>1</v>
      </c>
    </row>
    <row r="2236" spans="2:5">
      <c r="B2236" s="121" t="s">
        <v>1420</v>
      </c>
      <c r="C2236" s="481">
        <v>220808</v>
      </c>
      <c r="D2236" s="556" t="s">
        <v>2532</v>
      </c>
      <c r="E2236" s="121">
        <v>1</v>
      </c>
    </row>
    <row r="2237" spans="2:5">
      <c r="B2237" s="121" t="s">
        <v>1420</v>
      </c>
      <c r="C2237" s="732">
        <v>210017</v>
      </c>
      <c r="D2237" s="558" t="s">
        <v>1891</v>
      </c>
      <c r="E2237" s="121">
        <v>0.5</v>
      </c>
    </row>
    <row r="2238" spans="2:5">
      <c r="B2238" s="121" t="s">
        <v>1420</v>
      </c>
      <c r="C2238" s="479">
        <v>220946</v>
      </c>
      <c r="D2238" s="71" t="s">
        <v>3109</v>
      </c>
      <c r="E2238" s="121">
        <v>1</v>
      </c>
    </row>
    <row r="2239" spans="2:5">
      <c r="B2239" s="121" t="s">
        <v>1420</v>
      </c>
      <c r="C2239" s="274">
        <v>220813</v>
      </c>
      <c r="D2239" s="71" t="s">
        <v>3993</v>
      </c>
      <c r="E2239" s="121">
        <v>1</v>
      </c>
    </row>
    <row r="2240" spans="2:5">
      <c r="B2240" s="121" t="s">
        <v>1420</v>
      </c>
      <c r="C2240" s="274" t="s">
        <v>1787</v>
      </c>
      <c r="D2240" s="71" t="s">
        <v>4365</v>
      </c>
      <c r="E2240" s="121">
        <v>1</v>
      </c>
    </row>
    <row r="2241" spans="2:5">
      <c r="B2241" s="121" t="s">
        <v>1420</v>
      </c>
      <c r="C2241" s="274" t="s">
        <v>1787</v>
      </c>
      <c r="D2241" s="71" t="s">
        <v>3998</v>
      </c>
      <c r="E2241" s="121">
        <v>0</v>
      </c>
    </row>
    <row r="2242" spans="2:5">
      <c r="B2242" s="121" t="s">
        <v>1420</v>
      </c>
      <c r="C2242" s="744">
        <v>221087</v>
      </c>
      <c r="D2242" s="752" t="s">
        <v>4079</v>
      </c>
      <c r="E2242" s="121">
        <v>1</v>
      </c>
    </row>
    <row r="2243" spans="2:5">
      <c r="B2243" s="121" t="s">
        <v>1420</v>
      </c>
      <c r="C2243" s="744">
        <v>221088</v>
      </c>
      <c r="D2243" s="752" t="s">
        <v>4080</v>
      </c>
      <c r="E2243" s="121">
        <v>1</v>
      </c>
    </row>
    <row r="2244" spans="2:5">
      <c r="B2244" s="121" t="s">
        <v>1420</v>
      </c>
      <c r="C2244" s="274">
        <v>220067</v>
      </c>
      <c r="D2244" s="71" t="s">
        <v>4081</v>
      </c>
      <c r="E2244" s="121">
        <v>1</v>
      </c>
    </row>
    <row r="2245" spans="2:5">
      <c r="B2245" s="121" t="s">
        <v>1420</v>
      </c>
      <c r="C2245" s="274">
        <v>220432</v>
      </c>
      <c r="D2245" s="71" t="s">
        <v>4082</v>
      </c>
      <c r="E2245" s="121">
        <v>1</v>
      </c>
    </row>
    <row r="2246" spans="2:5">
      <c r="B2246" s="121" t="s">
        <v>1420</v>
      </c>
      <c r="C2246" s="274">
        <v>220827</v>
      </c>
      <c r="D2246" s="71" t="s">
        <v>4166</v>
      </c>
      <c r="E2246" s="121">
        <v>1</v>
      </c>
    </row>
    <row r="2247" spans="2:5">
      <c r="B2247" s="121" t="s">
        <v>1420</v>
      </c>
      <c r="C2247" s="274">
        <v>220978</v>
      </c>
      <c r="D2247" s="71" t="s">
        <v>4165</v>
      </c>
      <c r="E2247" s="121">
        <v>1</v>
      </c>
    </row>
    <row r="2248" spans="2:5">
      <c r="B2248" s="121" t="s">
        <v>1420</v>
      </c>
      <c r="C2248" s="744">
        <v>220066</v>
      </c>
      <c r="D2248" s="766" t="s">
        <v>4169</v>
      </c>
      <c r="E2248" s="121">
        <v>1</v>
      </c>
    </row>
    <row r="2249" spans="2:5">
      <c r="B2249" s="121" t="s">
        <v>1420</v>
      </c>
      <c r="C2249" s="274">
        <v>220104</v>
      </c>
      <c r="D2249" s="71" t="s">
        <v>4170</v>
      </c>
      <c r="E2249" s="121">
        <v>1</v>
      </c>
    </row>
    <row r="2250" spans="2:5">
      <c r="B2250" s="121" t="s">
        <v>1420</v>
      </c>
      <c r="C2250" s="479">
        <v>220942</v>
      </c>
      <c r="D2250" s="71" t="s">
        <v>4179</v>
      </c>
      <c r="E2250" s="121">
        <v>1</v>
      </c>
    </row>
    <row r="2251" spans="2:5">
      <c r="B2251" s="121" t="s">
        <v>1420</v>
      </c>
      <c r="C2251" s="479">
        <v>220248</v>
      </c>
      <c r="D2251" s="71" t="s">
        <v>4180</v>
      </c>
      <c r="E2251" s="121">
        <v>1</v>
      </c>
    </row>
    <row r="2252" spans="2:5">
      <c r="B2252" s="121" t="s">
        <v>1420</v>
      </c>
      <c r="C2252" s="479">
        <v>220134</v>
      </c>
      <c r="D2252" s="71" t="s">
        <v>4181</v>
      </c>
      <c r="E2252" s="121">
        <v>1</v>
      </c>
    </row>
    <row r="2253" spans="2:5">
      <c r="B2253" s="121" t="s">
        <v>1420</v>
      </c>
      <c r="C2253" s="479">
        <v>220205</v>
      </c>
      <c r="D2253" s="71" t="s">
        <v>1467</v>
      </c>
      <c r="E2253" s="121">
        <v>1</v>
      </c>
    </row>
    <row r="2254" spans="2:5">
      <c r="B2254" s="121" t="s">
        <v>1420</v>
      </c>
      <c r="C2254" s="479">
        <v>221113</v>
      </c>
      <c r="D2254" s="71" t="s">
        <v>4197</v>
      </c>
      <c r="E2254" s="121">
        <v>1</v>
      </c>
    </row>
    <row r="2255" spans="2:5">
      <c r="B2255" s="121" t="s">
        <v>1420</v>
      </c>
      <c r="C2255" s="479" t="s">
        <v>1787</v>
      </c>
      <c r="D2255" s="71" t="s">
        <v>4212</v>
      </c>
      <c r="E2255" s="121">
        <v>1</v>
      </c>
    </row>
    <row r="2256" spans="2:5">
      <c r="B2256" s="121" t="s">
        <v>1420</v>
      </c>
      <c r="C2256" s="479" t="s">
        <v>1787</v>
      </c>
      <c r="D2256" s="71" t="s">
        <v>4213</v>
      </c>
      <c r="E2256" s="121">
        <v>1</v>
      </c>
    </row>
    <row r="2257" spans="2:5">
      <c r="B2257" s="121" t="s">
        <v>1420</v>
      </c>
      <c r="C2257" s="479" t="s">
        <v>1787</v>
      </c>
      <c r="D2257" s="71" t="s">
        <v>4207</v>
      </c>
      <c r="E2257" s="121">
        <v>1</v>
      </c>
    </row>
    <row r="2258" spans="2:5">
      <c r="B2258" s="121" t="s">
        <v>1420</v>
      </c>
      <c r="C2258" s="479" t="s">
        <v>1787</v>
      </c>
      <c r="D2258" s="71" t="s">
        <v>4211</v>
      </c>
      <c r="E2258" s="121">
        <v>1</v>
      </c>
    </row>
    <row r="2259" spans="2:5">
      <c r="B2259" s="121" t="s">
        <v>1420</v>
      </c>
      <c r="C2259" s="479" t="s">
        <v>1787</v>
      </c>
      <c r="D2259" s="71" t="s">
        <v>4208</v>
      </c>
      <c r="E2259" s="121">
        <v>1</v>
      </c>
    </row>
    <row r="2260" spans="2:5">
      <c r="B2260" s="121" t="s">
        <v>1420</v>
      </c>
      <c r="C2260" s="479" t="s">
        <v>1787</v>
      </c>
      <c r="D2260" s="71" t="s">
        <v>4209</v>
      </c>
      <c r="E2260" s="123">
        <v>1</v>
      </c>
    </row>
    <row r="2261" spans="2:5">
      <c r="B2261" s="121" t="s">
        <v>1420</v>
      </c>
      <c r="C2261" s="479" t="s">
        <v>1787</v>
      </c>
      <c r="D2261" s="71" t="s">
        <v>4210</v>
      </c>
      <c r="E2261" s="123">
        <v>1</v>
      </c>
    </row>
    <row r="2262" spans="2:5">
      <c r="B2262" s="121" t="s">
        <v>1420</v>
      </c>
      <c r="C2262" s="479" t="s">
        <v>1787</v>
      </c>
      <c r="D2262" s="71" t="s">
        <v>4307</v>
      </c>
      <c r="E2262" s="123">
        <v>1</v>
      </c>
    </row>
    <row r="2263" spans="2:5">
      <c r="B2263" s="121" t="s">
        <v>1420</v>
      </c>
      <c r="C2263" s="479" t="s">
        <v>1787</v>
      </c>
      <c r="D2263" s="71" t="s">
        <v>4308</v>
      </c>
      <c r="E2263" s="123">
        <v>1</v>
      </c>
    </row>
    <row r="2264" spans="2:5">
      <c r="B2264" s="121" t="s">
        <v>1420</v>
      </c>
      <c r="C2264" s="479" t="s">
        <v>1787</v>
      </c>
      <c r="D2264" s="71" t="s">
        <v>4309</v>
      </c>
      <c r="E2264" s="123">
        <v>1</v>
      </c>
    </row>
    <row r="2265" spans="2:5">
      <c r="B2265" s="121" t="s">
        <v>1420</v>
      </c>
      <c r="C2265" s="479" t="s">
        <v>1787</v>
      </c>
      <c r="D2265" s="71" t="s">
        <v>4310</v>
      </c>
      <c r="E2265" s="123">
        <v>1</v>
      </c>
    </row>
    <row r="2266" spans="2:5">
      <c r="B2266" s="121" t="s">
        <v>1420</v>
      </c>
      <c r="C2266" s="794">
        <v>220599</v>
      </c>
      <c r="D2266" s="793" t="s">
        <v>4314</v>
      </c>
      <c r="E2266" s="123">
        <v>1</v>
      </c>
    </row>
    <row r="2267" spans="2:5">
      <c r="B2267" s="121" t="s">
        <v>1420</v>
      </c>
      <c r="C2267" s="794">
        <v>220600</v>
      </c>
      <c r="D2267" s="793" t="s">
        <v>4315</v>
      </c>
      <c r="E2267" s="123">
        <v>1</v>
      </c>
    </row>
    <row r="2268" spans="2:5">
      <c r="B2268" s="121" t="s">
        <v>1420</v>
      </c>
      <c r="C2268" s="481">
        <v>220418</v>
      </c>
      <c r="D2268" s="2" t="s">
        <v>3912</v>
      </c>
      <c r="E2268" s="123">
        <v>1</v>
      </c>
    </row>
    <row r="2269" spans="2:5">
      <c r="B2269" s="121" t="s">
        <v>1420</v>
      </c>
      <c r="C2269" s="481">
        <v>220419</v>
      </c>
      <c r="D2269" s="2" t="s">
        <v>3913</v>
      </c>
      <c r="E2269" s="123">
        <v>1</v>
      </c>
    </row>
    <row r="2270" spans="2:5">
      <c r="C2270" s="479"/>
      <c r="E2270" s="123"/>
    </row>
    <row r="2271" spans="2:5">
      <c r="B2271" s="121" t="s">
        <v>1420</v>
      </c>
      <c r="C2271" s="479">
        <v>220230</v>
      </c>
      <c r="D2271" s="71" t="s">
        <v>4327</v>
      </c>
      <c r="E2271" s="123">
        <v>1</v>
      </c>
    </row>
    <row r="2272" spans="2:5">
      <c r="B2272" s="121" t="s">
        <v>1420</v>
      </c>
      <c r="C2272" s="479">
        <v>220254</v>
      </c>
      <c r="D2272" s="71" t="s">
        <v>4328</v>
      </c>
      <c r="E2272" s="123">
        <v>1</v>
      </c>
    </row>
    <row r="2273" spans="2:5">
      <c r="B2273" s="121" t="s">
        <v>1420</v>
      </c>
      <c r="C2273" s="800">
        <v>210486</v>
      </c>
      <c r="D2273" s="799" t="s">
        <v>4331</v>
      </c>
      <c r="E2273" s="123">
        <v>1</v>
      </c>
    </row>
    <row r="2274" spans="2:5">
      <c r="E2274" s="71"/>
    </row>
    <row r="2275" spans="2:5">
      <c r="B2275" s="121" t="s">
        <v>1420</v>
      </c>
      <c r="C2275" s="274">
        <v>221169</v>
      </c>
      <c r="D2275" s="71" t="s">
        <v>4388</v>
      </c>
      <c r="E2275" s="123">
        <v>1</v>
      </c>
    </row>
    <row r="2276" spans="2:5">
      <c r="B2276" s="121" t="s">
        <v>1420</v>
      </c>
      <c r="C2276" s="274">
        <v>221170</v>
      </c>
      <c r="D2276" s="71" t="s">
        <v>4389</v>
      </c>
      <c r="E2276" s="123">
        <v>1</v>
      </c>
    </row>
    <row r="2277" spans="2:5">
      <c r="B2277" s="121" t="s">
        <v>1420</v>
      </c>
      <c r="C2277" s="274" t="s">
        <v>1787</v>
      </c>
      <c r="D2277" s="71" t="s">
        <v>4392</v>
      </c>
      <c r="E2277" s="123">
        <v>1</v>
      </c>
    </row>
    <row r="2278" spans="2:5">
      <c r="B2278" s="121" t="s">
        <v>1420</v>
      </c>
      <c r="C2278" s="479">
        <v>221171</v>
      </c>
      <c r="D2278" s="71" t="s">
        <v>4395</v>
      </c>
      <c r="E2278" s="123">
        <v>1</v>
      </c>
    </row>
    <row r="2279" spans="2:5">
      <c r="B2279" s="121" t="s">
        <v>1420</v>
      </c>
      <c r="C2279" s="479" t="s">
        <v>1787</v>
      </c>
      <c r="D2279" s="71" t="s">
        <v>4396</v>
      </c>
      <c r="E2279" s="123">
        <v>1</v>
      </c>
    </row>
    <row r="2280" spans="2:5">
      <c r="B2280" s="121" t="s">
        <v>1420</v>
      </c>
      <c r="C2280" s="479">
        <v>210414</v>
      </c>
      <c r="D2280" s="71" t="s">
        <v>4400</v>
      </c>
      <c r="E2280" s="123">
        <v>1</v>
      </c>
    </row>
    <row r="2281" spans="2:5">
      <c r="B2281" s="121" t="s">
        <v>1420</v>
      </c>
      <c r="C2281" s="479">
        <v>221182</v>
      </c>
      <c r="D2281" s="71" t="s">
        <v>4399</v>
      </c>
      <c r="E2281" s="123">
        <v>1</v>
      </c>
    </row>
    <row r="2282" spans="2:5">
      <c r="B2282" s="121" t="s">
        <v>1420</v>
      </c>
      <c r="C2282" s="479">
        <v>221111</v>
      </c>
      <c r="D2282" s="71" t="s">
        <v>4572</v>
      </c>
      <c r="E2282" s="123">
        <v>1</v>
      </c>
    </row>
    <row r="2283" spans="2:5">
      <c r="B2283" s="121" t="s">
        <v>1420</v>
      </c>
      <c r="C2283" s="479">
        <v>221112</v>
      </c>
      <c r="D2283" s="71" t="s">
        <v>4573</v>
      </c>
      <c r="E2283" s="123">
        <v>1</v>
      </c>
    </row>
    <row r="2284" spans="2:5">
      <c r="B2284" s="121" t="s">
        <v>1420</v>
      </c>
      <c r="C2284" s="481">
        <v>220804</v>
      </c>
      <c r="D2284" s="2" t="s">
        <v>4581</v>
      </c>
      <c r="E2284" s="123">
        <v>1</v>
      </c>
    </row>
    <row r="2285" spans="2:5">
      <c r="B2285" s="121" t="s">
        <v>1420</v>
      </c>
      <c r="C2285" s="481">
        <v>220459</v>
      </c>
      <c r="D2285" s="2" t="s">
        <v>4582</v>
      </c>
      <c r="E2285" s="123">
        <v>1</v>
      </c>
    </row>
    <row r="2286" spans="2:5">
      <c r="B2286" s="121" t="s">
        <v>1420</v>
      </c>
      <c r="C2286" s="479">
        <v>221033</v>
      </c>
      <c r="D2286" s="71" t="s">
        <v>4607</v>
      </c>
      <c r="E2286" s="123">
        <v>1</v>
      </c>
    </row>
    <row r="2287" spans="2:5">
      <c r="B2287" s="121" t="s">
        <v>1420</v>
      </c>
      <c r="C2287" s="479">
        <v>221035</v>
      </c>
      <c r="D2287" s="71" t="s">
        <v>4608</v>
      </c>
      <c r="E2287" s="123">
        <v>1</v>
      </c>
    </row>
    <row r="2288" spans="2:5">
      <c r="C2288" s="479"/>
      <c r="E2288" s="71"/>
    </row>
    <row r="2289" spans="1:6">
      <c r="C2289" s="479"/>
      <c r="E2289" s="71"/>
    </row>
    <row r="2290" spans="1:6">
      <c r="C2290" s="479"/>
      <c r="E2290" s="71"/>
    </row>
    <row r="2291" spans="1:6">
      <c r="C2291" s="479"/>
      <c r="E2291" s="71"/>
    </row>
    <row r="2292" spans="1:6">
      <c r="C2292" s="479"/>
      <c r="E2292" s="71"/>
    </row>
    <row r="2293" spans="1:6">
      <c r="C2293" s="479"/>
      <c r="E2293" s="71"/>
    </row>
    <row r="2294" spans="1:6">
      <c r="C2294" s="479"/>
      <c r="E2294" s="71"/>
    </row>
    <row r="2295" spans="1:6">
      <c r="C2295" s="479"/>
      <c r="E2295" s="71"/>
    </row>
    <row r="2296" spans="1:6">
      <c r="C2296" s="479"/>
      <c r="E2296" s="71"/>
    </row>
    <row r="2297" spans="1:6">
      <c r="C2297" s="479"/>
      <c r="E2297" s="71"/>
    </row>
    <row r="2298" spans="1:6">
      <c r="C2298" s="479" t="s">
        <v>1787</v>
      </c>
      <c r="D2298" s="71" t="s">
        <v>4366</v>
      </c>
      <c r="E2298" s="123">
        <v>1</v>
      </c>
    </row>
    <row r="2299" spans="1:6">
      <c r="C2299" s="479" t="s">
        <v>1787</v>
      </c>
      <c r="D2299" s="71" t="s">
        <v>2564</v>
      </c>
      <c r="E2299" s="123">
        <v>1</v>
      </c>
    </row>
    <row r="2300" spans="1:6">
      <c r="C2300" s="479" t="s">
        <v>1787</v>
      </c>
      <c r="D2300" s="71" t="s">
        <v>2506</v>
      </c>
      <c r="E2300" s="123">
        <v>1</v>
      </c>
    </row>
    <row r="2301" spans="1:6">
      <c r="C2301" s="479" t="s">
        <v>1787</v>
      </c>
      <c r="D2301" s="71" t="s">
        <v>2378</v>
      </c>
      <c r="E2301" s="121">
        <v>0.75</v>
      </c>
    </row>
    <row r="2302" spans="1:6">
      <c r="A2302" s="361"/>
      <c r="B2302" s="362"/>
      <c r="C2302" s="479" t="s">
        <v>1787</v>
      </c>
      <c r="D2302" s="361" t="s">
        <v>2285</v>
      </c>
      <c r="E2302" s="361"/>
      <c r="F2302" s="361"/>
    </row>
    <row r="2303" spans="1:6">
      <c r="C2303" s="479" t="s">
        <v>1787</v>
      </c>
    </row>
    <row r="2304" spans="1:6">
      <c r="C2304" s="479" t="s">
        <v>1787</v>
      </c>
    </row>
    <row r="2305" spans="2:4">
      <c r="C2305" s="479"/>
    </row>
    <row r="2306" spans="2:4">
      <c r="C2306" s="479"/>
    </row>
    <row r="2307" spans="2:4">
      <c r="C2307" s="481">
        <v>220804</v>
      </c>
      <c r="D2307" s="2" t="s">
        <v>4581</v>
      </c>
    </row>
    <row r="2308" spans="2:4">
      <c r="C2308" s="481">
        <v>220459</v>
      </c>
      <c r="D2308" s="2" t="s">
        <v>4582</v>
      </c>
    </row>
    <row r="2309" spans="2:4">
      <c r="C2309" s="479"/>
    </row>
    <row r="2310" spans="2:4">
      <c r="C2310" s="479"/>
    </row>
    <row r="2311" spans="2:4">
      <c r="C2311" s="479"/>
    </row>
    <row r="2312" spans="2:4">
      <c r="C2312" s="479"/>
    </row>
    <row r="2313" spans="2:4">
      <c r="C2313" s="479"/>
    </row>
    <row r="2314" spans="2:4">
      <c r="C2314" s="479"/>
    </row>
    <row r="2315" spans="2:4">
      <c r="B2315" s="816" t="s">
        <v>2398</v>
      </c>
      <c r="C2315" s="479"/>
      <c r="D2315" s="348"/>
    </row>
    <row r="2316" spans="2:4">
      <c r="B2316" s="817" t="s">
        <v>2386</v>
      </c>
      <c r="C2316" s="479"/>
    </row>
    <row r="2317" spans="2:4">
      <c r="B2317" s="817" t="s">
        <v>2399</v>
      </c>
      <c r="C2317" s="479"/>
    </row>
    <row r="2318" spans="2:4">
      <c r="B2318" s="805" t="s">
        <v>3238</v>
      </c>
      <c r="C2318" s="479"/>
    </row>
    <row r="2319" spans="2:4">
      <c r="C2319" s="479"/>
    </row>
    <row r="2320" spans="2:4">
      <c r="B2320" s="816" t="s">
        <v>1506</v>
      </c>
      <c r="C2320" s="479"/>
    </row>
    <row r="2321" spans="2:4">
      <c r="B2321" s="817" t="s">
        <v>3238</v>
      </c>
      <c r="C2321" s="479"/>
    </row>
    <row r="2322" spans="2:4">
      <c r="B2322" s="817" t="s">
        <v>4577</v>
      </c>
      <c r="C2322" s="479"/>
    </row>
    <row r="2323" spans="2:4">
      <c r="B2323" s="805"/>
      <c r="C2323" s="479"/>
    </row>
    <row r="2324" spans="2:4">
      <c r="C2324" s="479"/>
    </row>
    <row r="2325" spans="2:4">
      <c r="C2325" s="479"/>
      <c r="D2325" s="274"/>
    </row>
    <row r="2326" spans="2:4">
      <c r="C2326" s="763"/>
      <c r="D2326" s="762"/>
    </row>
    <row r="2327" spans="2:4">
      <c r="C2327" s="763"/>
      <c r="D2327" s="762"/>
    </row>
    <row r="2328" spans="2:4">
      <c r="C2328" s="481"/>
      <c r="D2328" s="2"/>
    </row>
    <row r="2329" spans="2:4">
      <c r="C2329" s="763"/>
      <c r="D2329" s="762"/>
    </row>
    <row r="2330" spans="2:4">
      <c r="C2330" s="744"/>
      <c r="D2330" s="743"/>
    </row>
    <row r="2331" spans="2:4">
      <c r="C2331" s="744"/>
      <c r="D2331" s="743"/>
    </row>
    <row r="2339" spans="4:4">
      <c r="D2339" s="1"/>
    </row>
    <row r="2340" spans="4:4">
      <c r="D2340" s="1"/>
    </row>
    <row r="2341" spans="4:4">
      <c r="D2341" s="34"/>
    </row>
    <row r="2342" spans="4:4">
      <c r="D2342" s="348"/>
    </row>
    <row r="2343" spans="4:4">
      <c r="D2343" s="1"/>
    </row>
    <row r="2344" spans="4:4">
      <c r="D2344" s="1"/>
    </row>
    <row r="2345" spans="4:4">
      <c r="D2345" s="1"/>
    </row>
    <row r="2346" spans="4:4">
      <c r="D2346" s="1"/>
    </row>
    <row r="2353" spans="2:2">
      <c r="B2353" s="801" t="s">
        <v>1470</v>
      </c>
    </row>
    <row r="2354" spans="2:2">
      <c r="B2354" s="802" t="s">
        <v>1471</v>
      </c>
    </row>
    <row r="2355" spans="2:2">
      <c r="B2355" s="802" t="s">
        <v>2605</v>
      </c>
    </row>
    <row r="2356" spans="2:2">
      <c r="B2356" s="802" t="s">
        <v>1472</v>
      </c>
    </row>
    <row r="2357" spans="2:2">
      <c r="B2357" s="802" t="s">
        <v>1473</v>
      </c>
    </row>
    <row r="2358" spans="2:2">
      <c r="B2358" s="802" t="s">
        <v>3095</v>
      </c>
    </row>
    <row r="2359" spans="2:2">
      <c r="B2359" s="802" t="s">
        <v>3094</v>
      </c>
    </row>
    <row r="2360" spans="2:2">
      <c r="B2360" s="802" t="s">
        <v>539</v>
      </c>
    </row>
    <row r="2361" spans="2:2">
      <c r="B2361" s="802" t="s">
        <v>1474</v>
      </c>
    </row>
    <row r="2362" spans="2:2">
      <c r="B2362" s="802" t="s">
        <v>1475</v>
      </c>
    </row>
    <row r="2363" spans="2:2">
      <c r="B2363" s="802" t="s">
        <v>4587</v>
      </c>
    </row>
    <row r="2364" spans="2:2">
      <c r="B2364" s="802" t="s">
        <v>438</v>
      </c>
    </row>
    <row r="2365" spans="2:2">
      <c r="B2365" s="802" t="s">
        <v>462</v>
      </c>
    </row>
    <row r="2366" spans="2:2">
      <c r="B2366" s="802" t="s">
        <v>3899</v>
      </c>
    </row>
    <row r="2367" spans="2:2">
      <c r="B2367" s="802" t="s">
        <v>4296</v>
      </c>
    </row>
    <row r="2368" spans="2:2">
      <c r="B2368" s="802" t="s">
        <v>2953</v>
      </c>
    </row>
    <row r="2369" spans="2:2">
      <c r="B2369" s="802" t="s">
        <v>2954</v>
      </c>
    </row>
    <row r="2370" spans="2:2">
      <c r="B2370" s="802" t="s">
        <v>2955</v>
      </c>
    </row>
    <row r="2371" spans="2:2">
      <c r="B2371" s="802" t="s">
        <v>2956</v>
      </c>
    </row>
    <row r="2372" spans="2:2">
      <c r="B2372" s="802" t="s">
        <v>2957</v>
      </c>
    </row>
    <row r="2373" spans="2:2">
      <c r="B2373" s="802" t="s">
        <v>2958</v>
      </c>
    </row>
    <row r="2374" spans="2:2">
      <c r="B2374" s="802" t="s">
        <v>2959</v>
      </c>
    </row>
    <row r="2375" spans="2:2">
      <c r="B2375" s="802" t="s">
        <v>2960</v>
      </c>
    </row>
    <row r="2376" spans="2:2">
      <c r="B2376" s="802" t="s">
        <v>2961</v>
      </c>
    </row>
    <row r="2377" spans="2:2">
      <c r="B2377" s="802" t="s">
        <v>1476</v>
      </c>
    </row>
    <row r="2378" spans="2:2">
      <c r="B2378" s="803" t="s">
        <v>2848</v>
      </c>
    </row>
    <row r="2379" spans="2:2">
      <c r="B2379" s="802" t="s">
        <v>1477</v>
      </c>
    </row>
    <row r="2380" spans="2:2">
      <c r="B2380" s="802" t="s">
        <v>4621</v>
      </c>
    </row>
    <row r="2381" spans="2:2">
      <c r="B2381" s="802" t="s">
        <v>1478</v>
      </c>
    </row>
    <row r="2382" spans="2:2">
      <c r="B2382" s="802" t="s">
        <v>1479</v>
      </c>
    </row>
    <row r="2383" spans="2:2">
      <c r="B2383" s="802" t="s">
        <v>1480</v>
      </c>
    </row>
    <row r="2384" spans="2:2">
      <c r="B2384" s="802" t="s">
        <v>1481</v>
      </c>
    </row>
    <row r="2385" spans="2:2">
      <c r="B2385" s="802" t="s">
        <v>1482</v>
      </c>
    </row>
    <row r="2386" spans="2:2">
      <c r="B2386" s="802" t="s">
        <v>1483</v>
      </c>
    </row>
    <row r="2387" spans="2:2">
      <c r="B2387" s="802" t="s">
        <v>1484</v>
      </c>
    </row>
    <row r="2388" spans="2:2">
      <c r="B2388" s="802" t="s">
        <v>1485</v>
      </c>
    </row>
    <row r="2389" spans="2:2">
      <c r="B2389" s="802" t="s">
        <v>1486</v>
      </c>
    </row>
    <row r="2390" spans="2:2">
      <c r="B2390" s="802" t="s">
        <v>1487</v>
      </c>
    </row>
    <row r="2391" spans="2:2">
      <c r="B2391" s="802" t="s">
        <v>3459</v>
      </c>
    </row>
    <row r="2392" spans="2:2">
      <c r="B2392" s="802" t="s">
        <v>1488</v>
      </c>
    </row>
    <row r="2393" spans="2:2">
      <c r="B2393" s="802" t="s">
        <v>1489</v>
      </c>
    </row>
    <row r="2394" spans="2:2">
      <c r="B2394" s="802" t="s">
        <v>1490</v>
      </c>
    </row>
    <row r="2395" spans="2:2">
      <c r="B2395" s="802" t="s">
        <v>1491</v>
      </c>
    </row>
    <row r="2396" spans="2:2">
      <c r="B2396" s="802" t="s">
        <v>1492</v>
      </c>
    </row>
    <row r="2397" spans="2:2">
      <c r="B2397" s="802" t="s">
        <v>1493</v>
      </c>
    </row>
    <row r="2398" spans="2:2">
      <c r="B2398" s="802" t="s">
        <v>1494</v>
      </c>
    </row>
    <row r="2399" spans="2:2">
      <c r="B2399" s="802" t="s">
        <v>4185</v>
      </c>
    </row>
    <row r="2400" spans="2:2">
      <c r="B2400" s="802" t="s">
        <v>1495</v>
      </c>
    </row>
    <row r="2401" spans="2:2">
      <c r="B2401" s="802" t="s">
        <v>1496</v>
      </c>
    </row>
    <row r="2402" spans="2:2">
      <c r="B2402" s="802" t="s">
        <v>1497</v>
      </c>
    </row>
    <row r="2403" spans="2:2">
      <c r="B2403" s="802" t="s">
        <v>1498</v>
      </c>
    </row>
    <row r="2404" spans="2:2">
      <c r="B2404" s="804" t="s">
        <v>1275</v>
      </c>
    </row>
    <row r="2405" spans="2:2">
      <c r="B2405" s="804" t="s">
        <v>1300</v>
      </c>
    </row>
    <row r="2406" spans="2:2">
      <c r="B2406" s="804" t="s">
        <v>1322</v>
      </c>
    </row>
    <row r="2407" spans="2:2">
      <c r="B2407" s="804" t="s">
        <v>1294</v>
      </c>
    </row>
    <row r="2408" spans="2:2">
      <c r="B2408" s="804" t="s">
        <v>1331</v>
      </c>
    </row>
    <row r="2409" spans="2:2">
      <c r="B2409" s="804" t="s">
        <v>1310</v>
      </c>
    </row>
    <row r="2410" spans="2:2">
      <c r="B2410" s="804" t="s">
        <v>1334</v>
      </c>
    </row>
    <row r="2411" spans="2:2">
      <c r="B2411" s="804" t="s">
        <v>1341</v>
      </c>
    </row>
    <row r="2412" spans="2:2">
      <c r="B2412" s="804" t="s">
        <v>1338</v>
      </c>
    </row>
    <row r="2413" spans="2:2">
      <c r="B2413" s="804" t="s">
        <v>1283</v>
      </c>
    </row>
    <row r="2414" spans="2:2">
      <c r="B2414" s="804" t="s">
        <v>1287</v>
      </c>
    </row>
    <row r="2415" spans="2:2">
      <c r="B2415" s="804" t="s">
        <v>1290</v>
      </c>
    </row>
    <row r="2416" spans="2:2">
      <c r="B2416" s="804" t="s">
        <v>1368</v>
      </c>
    </row>
    <row r="2417" spans="2:2">
      <c r="B2417" s="804" t="s">
        <v>1363</v>
      </c>
    </row>
    <row r="2418" spans="2:2">
      <c r="B2418" s="804" t="s">
        <v>1358</v>
      </c>
    </row>
    <row r="2419" spans="2:2">
      <c r="B2419" s="804" t="s">
        <v>1349</v>
      </c>
    </row>
    <row r="2420" spans="2:2">
      <c r="B2420" s="804" t="s">
        <v>1345</v>
      </c>
    </row>
    <row r="2421" spans="2:2">
      <c r="B2421" s="804" t="s">
        <v>1352</v>
      </c>
    </row>
    <row r="2422" spans="2:2">
      <c r="B2422" s="804" t="s">
        <v>3468</v>
      </c>
    </row>
    <row r="2423" spans="2:2">
      <c r="B2423" s="804" t="s">
        <v>1374</v>
      </c>
    </row>
    <row r="2424" spans="2:2">
      <c r="B2424" s="804" t="s">
        <v>1371</v>
      </c>
    </row>
    <row r="2425" spans="2:2">
      <c r="B2425" s="804" t="s">
        <v>1382</v>
      </c>
    </row>
    <row r="2426" spans="2:2">
      <c r="B2426" s="804" t="s">
        <v>1379</v>
      </c>
    </row>
    <row r="2427" spans="2:2">
      <c r="B2427" s="804" t="s">
        <v>1499</v>
      </c>
    </row>
    <row r="2428" spans="2:2">
      <c r="B2428" s="804" t="s">
        <v>52</v>
      </c>
    </row>
    <row r="2429" spans="2:2">
      <c r="B2429" s="804" t="s">
        <v>2495</v>
      </c>
    </row>
    <row r="2430" spans="2:2">
      <c r="B2430" s="804" t="s">
        <v>1420</v>
      </c>
    </row>
    <row r="2431" spans="2:2">
      <c r="B2431" s="804" t="s">
        <v>2397</v>
      </c>
    </row>
    <row r="2432" spans="2:2">
      <c r="B2432" s="803" t="s">
        <v>3186</v>
      </c>
    </row>
    <row r="2433" spans="2:2">
      <c r="B2433" s="803" t="s">
        <v>3187</v>
      </c>
    </row>
    <row r="2434" spans="2:2">
      <c r="B2434" s="803" t="s">
        <v>3188</v>
      </c>
    </row>
    <row r="2435" spans="2:2">
      <c r="B2435" s="803" t="s">
        <v>3189</v>
      </c>
    </row>
    <row r="2436" spans="2:2">
      <c r="B2436" s="803" t="s">
        <v>3195</v>
      </c>
    </row>
    <row r="2437" spans="2:2">
      <c r="B2437" s="803" t="s">
        <v>3196</v>
      </c>
    </row>
    <row r="2438" spans="2:2">
      <c r="B2438" s="803" t="s">
        <v>3197</v>
      </c>
    </row>
    <row r="2439" spans="2:2">
      <c r="B2439" s="803" t="s">
        <v>3198</v>
      </c>
    </row>
    <row r="2440" spans="2:2">
      <c r="B2440" s="803" t="s">
        <v>3199</v>
      </c>
    </row>
    <row r="2441" spans="2:2">
      <c r="B2441" s="803" t="s">
        <v>3200</v>
      </c>
    </row>
    <row r="2442" spans="2:2">
      <c r="B2442" s="803" t="s">
        <v>3201</v>
      </c>
    </row>
    <row r="2443" spans="2:2">
      <c r="B2443" s="802" t="s">
        <v>3178</v>
      </c>
    </row>
    <row r="2444" spans="2:2">
      <c r="B2444" s="803" t="s">
        <v>3179</v>
      </c>
    </row>
    <row r="2445" spans="2:2">
      <c r="B2445" s="803" t="s">
        <v>3180</v>
      </c>
    </row>
    <row r="2446" spans="2:2">
      <c r="B2446" s="803" t="s">
        <v>3181</v>
      </c>
    </row>
    <row r="2447" spans="2:2">
      <c r="B2447" s="803" t="s">
        <v>3182</v>
      </c>
    </row>
    <row r="2448" spans="2:2">
      <c r="B2448" s="803" t="s">
        <v>3183</v>
      </c>
    </row>
    <row r="2449" spans="2:2">
      <c r="B2449" s="803" t="s">
        <v>3184</v>
      </c>
    </row>
    <row r="2450" spans="2:2">
      <c r="B2450" s="803" t="s">
        <v>3185</v>
      </c>
    </row>
    <row r="2451" spans="2:2">
      <c r="B2451" s="803" t="s">
        <v>3190</v>
      </c>
    </row>
    <row r="2452" spans="2:2">
      <c r="B2452" s="803" t="s">
        <v>3191</v>
      </c>
    </row>
    <row r="2453" spans="2:2">
      <c r="B2453" s="803" t="s">
        <v>3192</v>
      </c>
    </row>
    <row r="2454" spans="2:2">
      <c r="B2454" s="803" t="s">
        <v>3193</v>
      </c>
    </row>
    <row r="2455" spans="2:2">
      <c r="B2455" s="803" t="s">
        <v>3194</v>
      </c>
    </row>
    <row r="2456" spans="2:2">
      <c r="B2456" s="803" t="s">
        <v>4101</v>
      </c>
    </row>
    <row r="2457" spans="2:2">
      <c r="B2457" s="803" t="s">
        <v>4384</v>
      </c>
    </row>
    <row r="2458" spans="2:2">
      <c r="B2458" s="803" t="s">
        <v>4487</v>
      </c>
    </row>
    <row r="2459" spans="2:2">
      <c r="B2459" s="803" t="s">
        <v>4603</v>
      </c>
    </row>
    <row r="2460" spans="2:2">
      <c r="B2460" s="805"/>
    </row>
    <row r="2523" spans="2:13">
      <c r="I2523" s="71" t="s">
        <v>4404</v>
      </c>
    </row>
    <row r="2524" spans="2:13">
      <c r="B2524" s="121" t="s">
        <v>4101</v>
      </c>
      <c r="C2524" s="813">
        <v>4901993</v>
      </c>
      <c r="D2524" s="686" t="s">
        <v>3612</v>
      </c>
      <c r="E2524" s="813"/>
      <c r="F2524" s="814"/>
      <c r="G2524" s="814" t="s">
        <v>3613</v>
      </c>
      <c r="I2524" s="71" t="s">
        <v>1868</v>
      </c>
      <c r="L2524" s="121" t="s">
        <v>4384</v>
      </c>
      <c r="M2524" s="71" t="s">
        <v>1868</v>
      </c>
    </row>
    <row r="2525" spans="2:13">
      <c r="B2525" s="121" t="s">
        <v>4101</v>
      </c>
      <c r="C2525" s="687">
        <v>4901447</v>
      </c>
      <c r="D2525" s="686" t="s">
        <v>3614</v>
      </c>
      <c r="E2525" s="687"/>
      <c r="F2525" s="688"/>
      <c r="G2525" s="688" t="s">
        <v>3615</v>
      </c>
      <c r="I2525" s="71" t="s">
        <v>1868</v>
      </c>
      <c r="L2525" s="121" t="s">
        <v>4384</v>
      </c>
      <c r="M2525" s="71" t="s">
        <v>4408</v>
      </c>
    </row>
    <row r="2526" spans="2:13">
      <c r="B2526" s="121" t="s">
        <v>4101</v>
      </c>
      <c r="C2526" s="687">
        <v>4914182</v>
      </c>
      <c r="D2526" s="686" t="s">
        <v>3616</v>
      </c>
      <c r="E2526" s="687"/>
      <c r="F2526" s="688"/>
      <c r="G2526" s="688" t="s">
        <v>3617</v>
      </c>
      <c r="I2526" s="71" t="s">
        <v>1868</v>
      </c>
      <c r="L2526" s="121" t="s">
        <v>4384</v>
      </c>
      <c r="M2526" s="71" t="s">
        <v>4381</v>
      </c>
    </row>
    <row r="2527" spans="2:13">
      <c r="B2527" s="121" t="s">
        <v>4101</v>
      </c>
      <c r="C2527" s="687">
        <v>4901966</v>
      </c>
      <c r="D2527" s="686" t="s">
        <v>3618</v>
      </c>
      <c r="E2527" s="687"/>
      <c r="F2527" s="688"/>
      <c r="G2527" s="688" t="s">
        <v>3619</v>
      </c>
      <c r="I2527" s="71" t="s">
        <v>1868</v>
      </c>
      <c r="L2527" s="121" t="s">
        <v>4384</v>
      </c>
      <c r="M2527" s="71" t="s">
        <v>4416</v>
      </c>
    </row>
    <row r="2528" spans="2:13">
      <c r="B2528" s="121" t="s">
        <v>4101</v>
      </c>
      <c r="C2528" s="687">
        <v>4901490</v>
      </c>
      <c r="D2528" s="686" t="s">
        <v>4008</v>
      </c>
      <c r="E2528" s="687"/>
      <c r="F2528" s="709"/>
      <c r="G2528" s="688" t="s">
        <v>3620</v>
      </c>
      <c r="I2528" s="71" t="s">
        <v>1868</v>
      </c>
      <c r="L2528" s="121" t="s">
        <v>4384</v>
      </c>
      <c r="M2528" s="71" t="s">
        <v>4417</v>
      </c>
    </row>
    <row r="2529" spans="2:13">
      <c r="B2529" s="121" t="s">
        <v>4101</v>
      </c>
      <c r="C2529" s="687">
        <v>4917727</v>
      </c>
      <c r="D2529" s="686" t="s">
        <v>3621</v>
      </c>
      <c r="E2529" s="687"/>
      <c r="F2529" s="709"/>
      <c r="G2529" s="688" t="s">
        <v>3622</v>
      </c>
      <c r="I2529" s="71" t="s">
        <v>1868</v>
      </c>
      <c r="L2529" s="121" t="s">
        <v>4384</v>
      </c>
      <c r="M2529" s="71" t="s">
        <v>4418</v>
      </c>
    </row>
    <row r="2530" spans="2:13">
      <c r="B2530" s="121" t="s">
        <v>4101</v>
      </c>
      <c r="C2530" s="687">
        <v>4911758</v>
      </c>
      <c r="D2530" s="686" t="s">
        <v>3623</v>
      </c>
      <c r="E2530" s="687"/>
      <c r="F2530" s="688"/>
      <c r="G2530" s="688" t="s">
        <v>3624</v>
      </c>
      <c r="I2530" s="71" t="s">
        <v>1868</v>
      </c>
      <c r="L2530" s="121" t="s">
        <v>4384</v>
      </c>
      <c r="M2530" s="71" t="s">
        <v>4434</v>
      </c>
    </row>
    <row r="2531" spans="2:13">
      <c r="B2531" s="121" t="s">
        <v>4101</v>
      </c>
      <c r="C2531" s="687">
        <v>4917682</v>
      </c>
      <c r="D2531" s="686" t="s">
        <v>3625</v>
      </c>
      <c r="E2531" s="687"/>
      <c r="F2531" s="709"/>
      <c r="G2531" s="688" t="s">
        <v>3626</v>
      </c>
      <c r="I2531" s="71" t="s">
        <v>1868</v>
      </c>
      <c r="L2531" s="121" t="s">
        <v>4384</v>
      </c>
      <c r="M2531" s="71" t="s">
        <v>4435</v>
      </c>
    </row>
    <row r="2532" spans="2:13">
      <c r="B2532" s="121" t="s">
        <v>4101</v>
      </c>
      <c r="C2532" s="687">
        <v>4901420</v>
      </c>
      <c r="D2532" s="686" t="s">
        <v>4009</v>
      </c>
      <c r="E2532" s="687"/>
      <c r="F2532" s="709"/>
      <c r="G2532" s="688" t="s">
        <v>3627</v>
      </c>
      <c r="I2532" s="71" t="s">
        <v>1868</v>
      </c>
      <c r="L2532" s="121" t="s">
        <v>4384</v>
      </c>
      <c r="M2532" s="71" t="s">
        <v>4436</v>
      </c>
    </row>
    <row r="2533" spans="2:13">
      <c r="B2533" s="121" t="s">
        <v>4101</v>
      </c>
      <c r="C2533" s="687">
        <v>4917728</v>
      </c>
      <c r="D2533" s="686" t="s">
        <v>4010</v>
      </c>
      <c r="E2533" s="687"/>
      <c r="F2533" s="709"/>
      <c r="G2533" s="688" t="s">
        <v>3628</v>
      </c>
      <c r="I2533" s="71" t="s">
        <v>1868</v>
      </c>
      <c r="L2533" s="121" t="s">
        <v>4384</v>
      </c>
      <c r="M2533" s="71" t="s">
        <v>4437</v>
      </c>
    </row>
    <row r="2534" spans="2:13">
      <c r="B2534" s="121" t="s">
        <v>4101</v>
      </c>
      <c r="C2534" s="687">
        <v>4916295</v>
      </c>
      <c r="D2534" s="686" t="s">
        <v>3629</v>
      </c>
      <c r="E2534" s="687"/>
      <c r="F2534" s="688"/>
      <c r="G2534" s="688" t="s">
        <v>3630</v>
      </c>
      <c r="I2534" s="71" t="s">
        <v>1868</v>
      </c>
      <c r="L2534" s="121" t="s">
        <v>4384</v>
      </c>
      <c r="M2534" s="71" t="s">
        <v>4438</v>
      </c>
    </row>
    <row r="2535" spans="2:13">
      <c r="B2535" s="121" t="s">
        <v>4101</v>
      </c>
      <c r="C2535" s="687">
        <v>4912922</v>
      </c>
      <c r="D2535" s="686" t="s">
        <v>3631</v>
      </c>
      <c r="E2535" s="687"/>
      <c r="F2535" s="688"/>
      <c r="G2535" s="688" t="s">
        <v>3632</v>
      </c>
      <c r="I2535" s="71" t="s">
        <v>1868</v>
      </c>
      <c r="L2535" s="121" t="s">
        <v>4384</v>
      </c>
      <c r="M2535" s="71" t="s">
        <v>4441</v>
      </c>
    </row>
    <row r="2536" spans="2:13">
      <c r="B2536" s="121" t="s">
        <v>4101</v>
      </c>
      <c r="C2536" s="687">
        <v>4905009</v>
      </c>
      <c r="D2536" s="686" t="s">
        <v>3633</v>
      </c>
      <c r="E2536" s="687"/>
      <c r="F2536" s="688"/>
      <c r="G2536" s="688" t="s">
        <v>3634</v>
      </c>
      <c r="I2536" s="71" t="s">
        <v>1868</v>
      </c>
      <c r="L2536" s="121" t="s">
        <v>4384</v>
      </c>
      <c r="M2536" s="71" t="s">
        <v>4442</v>
      </c>
    </row>
    <row r="2537" spans="2:13">
      <c r="B2537" s="121" t="s">
        <v>4101</v>
      </c>
      <c r="C2537" s="687">
        <v>4914048</v>
      </c>
      <c r="D2537" s="686" t="s">
        <v>3635</v>
      </c>
      <c r="E2537" s="687"/>
      <c r="F2537" s="688"/>
      <c r="G2537" s="688" t="s">
        <v>3636</v>
      </c>
      <c r="I2537" s="71" t="s">
        <v>1868</v>
      </c>
      <c r="L2537" s="121" t="s">
        <v>4384</v>
      </c>
      <c r="M2537" s="71" t="s">
        <v>4443</v>
      </c>
    </row>
    <row r="2538" spans="2:13">
      <c r="B2538" s="121" t="s">
        <v>4101</v>
      </c>
      <c r="C2538" s="687">
        <v>4413847</v>
      </c>
      <c r="D2538" s="686" t="s">
        <v>3637</v>
      </c>
      <c r="E2538" s="687"/>
      <c r="F2538" s="688"/>
      <c r="G2538" s="688" t="s">
        <v>3638</v>
      </c>
      <c r="I2538" s="71" t="s">
        <v>4405</v>
      </c>
      <c r="L2538" s="121" t="s">
        <v>4384</v>
      </c>
      <c r="M2538" s="71" t="s">
        <v>4444</v>
      </c>
    </row>
    <row r="2539" spans="2:13">
      <c r="B2539" s="121" t="s">
        <v>4101</v>
      </c>
      <c r="C2539" s="687">
        <v>4414181</v>
      </c>
      <c r="D2539" s="686" t="s">
        <v>3639</v>
      </c>
      <c r="E2539" s="687"/>
      <c r="F2539" s="688"/>
      <c r="G2539" s="688" t="s">
        <v>3640</v>
      </c>
      <c r="I2539" s="71" t="s">
        <v>4405</v>
      </c>
      <c r="L2539" s="121" t="s">
        <v>4384</v>
      </c>
      <c r="M2539" s="71" t="s">
        <v>4445</v>
      </c>
    </row>
    <row r="2540" spans="2:13">
      <c r="B2540" s="121" t="s">
        <v>4101</v>
      </c>
      <c r="C2540" s="687">
        <v>439428</v>
      </c>
      <c r="D2540" s="686" t="s">
        <v>3641</v>
      </c>
      <c r="E2540" s="687"/>
      <c r="F2540" s="688"/>
      <c r="G2540" s="688" t="s">
        <v>3642</v>
      </c>
      <c r="I2540" s="71" t="s">
        <v>4405</v>
      </c>
      <c r="L2540" s="121" t="s">
        <v>4384</v>
      </c>
      <c r="M2540" s="71" t="s">
        <v>4446</v>
      </c>
    </row>
    <row r="2541" spans="2:13">
      <c r="B2541" s="121" t="s">
        <v>4101</v>
      </c>
      <c r="C2541" s="687">
        <v>4902166</v>
      </c>
      <c r="D2541" s="686" t="s">
        <v>3643</v>
      </c>
      <c r="E2541" s="687"/>
      <c r="F2541" s="688"/>
      <c r="G2541" s="688" t="s">
        <v>3638</v>
      </c>
      <c r="I2541" s="71" t="s">
        <v>4406</v>
      </c>
      <c r="L2541" s="121" t="s">
        <v>4384</v>
      </c>
      <c r="M2541" s="71" t="s">
        <v>4447</v>
      </c>
    </row>
    <row r="2542" spans="2:13">
      <c r="B2542" s="121" t="s">
        <v>4101</v>
      </c>
      <c r="C2542" s="687">
        <v>4903442</v>
      </c>
      <c r="D2542" s="686" t="s">
        <v>3644</v>
      </c>
      <c r="E2542" s="687"/>
      <c r="F2542" s="688"/>
      <c r="G2542" s="688" t="s">
        <v>3645</v>
      </c>
      <c r="I2542" s="71" t="s">
        <v>4406</v>
      </c>
      <c r="L2542" s="121" t="s">
        <v>4384</v>
      </c>
      <c r="M2542" s="71" t="s">
        <v>4448</v>
      </c>
    </row>
    <row r="2543" spans="2:13">
      <c r="B2543" s="121" t="s">
        <v>4101</v>
      </c>
      <c r="C2543" s="687">
        <v>4915392</v>
      </c>
      <c r="D2543" s="686" t="s">
        <v>3646</v>
      </c>
      <c r="E2543" s="687"/>
      <c r="F2543" s="688"/>
      <c r="G2543" s="688" t="s">
        <v>3647</v>
      </c>
      <c r="I2543" s="71" t="s">
        <v>4406</v>
      </c>
      <c r="L2543" s="121" t="s">
        <v>4384</v>
      </c>
      <c r="M2543" s="71" t="s">
        <v>4449</v>
      </c>
    </row>
    <row r="2544" spans="2:13">
      <c r="B2544" s="121" t="s">
        <v>4101</v>
      </c>
      <c r="C2544" s="687">
        <v>4904358</v>
      </c>
      <c r="D2544" s="686" t="s">
        <v>3648</v>
      </c>
      <c r="E2544" s="687"/>
      <c r="F2544" s="709"/>
      <c r="G2544" s="688" t="s">
        <v>3638</v>
      </c>
      <c r="I2544" s="71" t="s">
        <v>4407</v>
      </c>
      <c r="L2544" s="121" t="s">
        <v>4384</v>
      </c>
      <c r="M2544" s="71" t="s">
        <v>4450</v>
      </c>
    </row>
    <row r="2545" spans="2:13">
      <c r="B2545" s="121" t="s">
        <v>4101</v>
      </c>
      <c r="C2545" s="687">
        <v>4908787</v>
      </c>
      <c r="D2545" s="686" t="s">
        <v>4004</v>
      </c>
      <c r="E2545" s="687"/>
      <c r="F2545" s="709"/>
      <c r="G2545" s="688" t="s">
        <v>3640</v>
      </c>
      <c r="I2545" s="71" t="s">
        <v>4407</v>
      </c>
      <c r="L2545" s="121" t="s">
        <v>4384</v>
      </c>
      <c r="M2545" s="71" t="s">
        <v>4485</v>
      </c>
    </row>
    <row r="2546" spans="2:13">
      <c r="B2546" s="121" t="s">
        <v>4101</v>
      </c>
      <c r="C2546" s="687">
        <v>4314006</v>
      </c>
      <c r="D2546" s="686" t="s">
        <v>4005</v>
      </c>
      <c r="E2546" s="687"/>
      <c r="F2546" s="709"/>
      <c r="G2546" s="688" t="s">
        <v>3647</v>
      </c>
      <c r="I2546" s="71" t="s">
        <v>4407</v>
      </c>
      <c r="L2546" s="121" t="s">
        <v>4384</v>
      </c>
      <c r="M2546" s="71" t="s">
        <v>4486</v>
      </c>
    </row>
    <row r="2547" spans="2:13">
      <c r="B2547" s="121" t="s">
        <v>4101</v>
      </c>
      <c r="C2547" s="687">
        <v>4916502</v>
      </c>
      <c r="D2547" s="686" t="s">
        <v>4006</v>
      </c>
      <c r="E2547" s="687"/>
      <c r="F2547" s="709"/>
      <c r="G2547" s="688" t="s">
        <v>3649</v>
      </c>
      <c r="I2547" s="71" t="s">
        <v>4407</v>
      </c>
      <c r="L2547" s="121" t="s">
        <v>4101</v>
      </c>
      <c r="M2547" s="71" t="s">
        <v>1868</v>
      </c>
    </row>
    <row r="2548" spans="2:13">
      <c r="B2548" s="121" t="s">
        <v>4101</v>
      </c>
      <c r="C2548" s="687">
        <v>4914014</v>
      </c>
      <c r="D2548" s="686" t="s">
        <v>4007</v>
      </c>
      <c r="E2548" s="687"/>
      <c r="F2548" s="709"/>
      <c r="G2548" s="688" t="s">
        <v>3622</v>
      </c>
      <c r="I2548" s="71" t="s">
        <v>4407</v>
      </c>
      <c r="L2548" s="121" t="s">
        <v>4101</v>
      </c>
      <c r="M2548" s="71" t="s">
        <v>4405</v>
      </c>
    </row>
    <row r="2549" spans="2:13">
      <c r="B2549" s="121" t="s">
        <v>4101</v>
      </c>
      <c r="C2549" s="687">
        <v>4917069</v>
      </c>
      <c r="D2549" s="686" t="s">
        <v>3650</v>
      </c>
      <c r="E2549" s="687"/>
      <c r="F2549" s="688"/>
      <c r="G2549" s="688" t="s">
        <v>3651</v>
      </c>
      <c r="I2549" s="71" t="s">
        <v>4407</v>
      </c>
      <c r="L2549" s="121" t="s">
        <v>4101</v>
      </c>
      <c r="M2549" s="71" t="s">
        <v>4406</v>
      </c>
    </row>
    <row r="2550" spans="2:13">
      <c r="B2550" s="121" t="s">
        <v>4101</v>
      </c>
      <c r="C2550" s="687">
        <v>4917069</v>
      </c>
      <c r="D2550" s="686" t="s">
        <v>3652</v>
      </c>
      <c r="E2550" s="687"/>
      <c r="F2550" s="688"/>
      <c r="G2550" s="688" t="s">
        <v>3653</v>
      </c>
      <c r="I2550" s="71" t="s">
        <v>4407</v>
      </c>
      <c r="L2550" s="121" t="s">
        <v>4101</v>
      </c>
      <c r="M2550" s="71" t="s">
        <v>4407</v>
      </c>
    </row>
    <row r="2551" spans="2:13">
      <c r="B2551" s="121" t="s">
        <v>4101</v>
      </c>
      <c r="C2551" s="687">
        <v>4918033</v>
      </c>
      <c r="D2551" s="686" t="s">
        <v>3654</v>
      </c>
      <c r="E2551" s="687"/>
      <c r="F2551" s="688"/>
      <c r="G2551" s="688" t="s">
        <v>3655</v>
      </c>
      <c r="I2551" s="71" t="s">
        <v>4407</v>
      </c>
      <c r="L2551" s="121" t="s">
        <v>4101</v>
      </c>
      <c r="M2551" s="71" t="s">
        <v>4409</v>
      </c>
    </row>
    <row r="2552" spans="2:13">
      <c r="B2552" s="121" t="s">
        <v>4101</v>
      </c>
      <c r="C2552" s="687">
        <v>4917824</v>
      </c>
      <c r="D2552" s="686" t="s">
        <v>3656</v>
      </c>
      <c r="E2552" s="687"/>
      <c r="F2552" s="688"/>
      <c r="G2552" s="688" t="s">
        <v>3657</v>
      </c>
      <c r="I2552" s="71" t="s">
        <v>4407</v>
      </c>
      <c r="L2552" s="121" t="s">
        <v>4101</v>
      </c>
      <c r="M2552" s="71" t="s">
        <v>4410</v>
      </c>
    </row>
    <row r="2553" spans="2:13">
      <c r="B2553" s="121" t="s">
        <v>4384</v>
      </c>
      <c r="C2553" s="687">
        <v>4601383</v>
      </c>
      <c r="D2553" s="686" t="s">
        <v>4015</v>
      </c>
      <c r="E2553" s="687"/>
      <c r="F2553" s="709"/>
      <c r="G2553" s="688" t="s">
        <v>3658</v>
      </c>
      <c r="I2553" s="71" t="s">
        <v>1868</v>
      </c>
      <c r="L2553" s="121" t="s">
        <v>4101</v>
      </c>
      <c r="M2553" s="71" t="s">
        <v>4411</v>
      </c>
    </row>
    <row r="2554" spans="2:13">
      <c r="B2554" s="121" t="s">
        <v>4384</v>
      </c>
      <c r="C2554" s="687">
        <v>4602993</v>
      </c>
      <c r="D2554" s="686" t="s">
        <v>4014</v>
      </c>
      <c r="E2554" s="687"/>
      <c r="F2554" s="709"/>
      <c r="G2554" s="688" t="s">
        <v>3620</v>
      </c>
      <c r="I2554" s="71" t="s">
        <v>1868</v>
      </c>
      <c r="L2554" s="121" t="s">
        <v>4101</v>
      </c>
      <c r="M2554" s="71" t="s">
        <v>4381</v>
      </c>
    </row>
    <row r="2555" spans="2:13">
      <c r="B2555" s="121" t="s">
        <v>4384</v>
      </c>
      <c r="C2555" s="687">
        <v>4607810</v>
      </c>
      <c r="D2555" s="686" t="s">
        <v>3659</v>
      </c>
      <c r="E2555" s="687"/>
      <c r="F2555" s="709"/>
      <c r="G2555" s="688" t="s">
        <v>3622</v>
      </c>
      <c r="I2555" s="71" t="s">
        <v>1868</v>
      </c>
      <c r="L2555" s="121" t="s">
        <v>4101</v>
      </c>
      <c r="M2555" s="71" t="s">
        <v>4412</v>
      </c>
    </row>
    <row r="2556" spans="2:13">
      <c r="B2556" s="121" t="s">
        <v>4384</v>
      </c>
      <c r="C2556" s="687">
        <v>4495564</v>
      </c>
      <c r="D2556" s="686" t="s">
        <v>3660</v>
      </c>
      <c r="E2556" s="687"/>
      <c r="F2556" s="709"/>
      <c r="G2556" s="688" t="s">
        <v>3661</v>
      </c>
      <c r="I2556" s="71" t="s">
        <v>4408</v>
      </c>
      <c r="L2556" s="121" t="s">
        <v>4101</v>
      </c>
      <c r="M2556" s="71" t="s">
        <v>4413</v>
      </c>
    </row>
    <row r="2557" spans="2:13">
      <c r="B2557" s="121" t="s">
        <v>4101</v>
      </c>
      <c r="C2557" s="687">
        <v>4851810</v>
      </c>
      <c r="D2557" s="686" t="s">
        <v>3662</v>
      </c>
      <c r="E2557" s="687"/>
      <c r="F2557" s="688"/>
      <c r="G2557" s="688" t="s">
        <v>3663</v>
      </c>
      <c r="I2557" s="71" t="s">
        <v>4409</v>
      </c>
      <c r="L2557" s="121" t="s">
        <v>4101</v>
      </c>
      <c r="M2557" s="71" t="s">
        <v>4414</v>
      </c>
    </row>
    <row r="2558" spans="2:13">
      <c r="B2558" s="121" t="s">
        <v>4101</v>
      </c>
      <c r="C2558" s="687">
        <v>4650634</v>
      </c>
      <c r="D2558" s="686" t="s">
        <v>3664</v>
      </c>
      <c r="E2558" s="687"/>
      <c r="F2558" s="688"/>
      <c r="G2558" s="688" t="s">
        <v>3665</v>
      </c>
      <c r="I2558" s="71" t="s">
        <v>4409</v>
      </c>
      <c r="L2558" s="121" t="s">
        <v>4101</v>
      </c>
      <c r="M2558" s="71" t="s">
        <v>4415</v>
      </c>
    </row>
    <row r="2559" spans="2:13">
      <c r="B2559" s="121" t="s">
        <v>4101</v>
      </c>
      <c r="C2559" s="687">
        <v>4651817</v>
      </c>
      <c r="D2559" s="686" t="s">
        <v>3666</v>
      </c>
      <c r="E2559" s="687"/>
      <c r="F2559" s="688"/>
      <c r="G2559" s="688" t="s">
        <v>3620</v>
      </c>
      <c r="I2559" s="71" t="s">
        <v>4410</v>
      </c>
      <c r="L2559" s="121" t="s">
        <v>4101</v>
      </c>
      <c r="M2559" s="71" t="s">
        <v>4419</v>
      </c>
    </row>
    <row r="2560" spans="2:13">
      <c r="B2560" s="121" t="s">
        <v>4101</v>
      </c>
      <c r="C2560" s="687">
        <v>4652414</v>
      </c>
      <c r="D2560" s="686" t="s">
        <v>3667</v>
      </c>
      <c r="E2560" s="687"/>
      <c r="F2560" s="688"/>
      <c r="G2560" s="688" t="s">
        <v>3668</v>
      </c>
      <c r="I2560" s="71" t="s">
        <v>4411</v>
      </c>
      <c r="L2560" s="121" t="s">
        <v>4101</v>
      </c>
      <c r="M2560" s="71" t="s">
        <v>4420</v>
      </c>
    </row>
    <row r="2561" spans="2:13">
      <c r="B2561" s="121" t="s">
        <v>4101</v>
      </c>
      <c r="C2561" s="687">
        <v>4652414</v>
      </c>
      <c r="D2561" s="686" t="s">
        <v>3669</v>
      </c>
      <c r="E2561" s="687"/>
      <c r="F2561" s="688"/>
      <c r="G2561" s="688" t="s">
        <v>3668</v>
      </c>
      <c r="I2561" s="71" t="s">
        <v>4411</v>
      </c>
      <c r="L2561" s="121" t="s">
        <v>4101</v>
      </c>
      <c r="M2561" s="71" t="s">
        <v>4360</v>
      </c>
    </row>
    <row r="2562" spans="2:13">
      <c r="B2562" s="121" t="s">
        <v>4384</v>
      </c>
      <c r="C2562" s="687">
        <v>4502517</v>
      </c>
      <c r="D2562" s="686" t="s">
        <v>3670</v>
      </c>
      <c r="E2562" s="687"/>
      <c r="F2562" s="709"/>
      <c r="G2562" s="688" t="s">
        <v>3620</v>
      </c>
      <c r="I2562" s="71" t="s">
        <v>4381</v>
      </c>
      <c r="L2562" s="121" t="s">
        <v>4101</v>
      </c>
      <c r="M2562" s="71" t="s">
        <v>4421</v>
      </c>
    </row>
    <row r="2563" spans="2:13">
      <c r="B2563" s="121" t="s">
        <v>4101</v>
      </c>
      <c r="C2563" s="687">
        <v>4515843</v>
      </c>
      <c r="D2563" s="686" t="s">
        <v>3671</v>
      </c>
      <c r="E2563" s="687"/>
      <c r="F2563" s="709"/>
      <c r="G2563" s="688" t="s">
        <v>3665</v>
      </c>
      <c r="I2563" s="71" t="s">
        <v>4381</v>
      </c>
      <c r="L2563" s="121" t="s">
        <v>4101</v>
      </c>
      <c r="M2563" s="71" t="s">
        <v>4422</v>
      </c>
    </row>
    <row r="2564" spans="2:13">
      <c r="B2564" s="121" t="s">
        <v>4101</v>
      </c>
      <c r="C2564" s="687">
        <v>4911903</v>
      </c>
      <c r="D2564" s="686" t="s">
        <v>4024</v>
      </c>
      <c r="E2564" s="687"/>
      <c r="F2564" s="709"/>
      <c r="G2564" s="688" t="s">
        <v>3620</v>
      </c>
      <c r="I2564" s="71" t="s">
        <v>4381</v>
      </c>
      <c r="L2564" s="121" t="s">
        <v>4101</v>
      </c>
      <c r="M2564" s="71" t="s">
        <v>4423</v>
      </c>
    </row>
    <row r="2565" spans="2:13">
      <c r="B2565" s="121" t="s">
        <v>4101</v>
      </c>
      <c r="C2565" s="687">
        <v>4504201</v>
      </c>
      <c r="D2565" s="686" t="s">
        <v>4025</v>
      </c>
      <c r="E2565" s="687"/>
      <c r="F2565" s="688"/>
      <c r="G2565" s="688" t="s">
        <v>3668</v>
      </c>
      <c r="I2565" s="71" t="s">
        <v>4381</v>
      </c>
      <c r="L2565" s="121" t="s">
        <v>4101</v>
      </c>
      <c r="M2565" s="71" t="s">
        <v>4424</v>
      </c>
    </row>
    <row r="2566" spans="2:13">
      <c r="B2566" s="121" t="s">
        <v>4101</v>
      </c>
      <c r="C2566" s="687">
        <v>4515780</v>
      </c>
      <c r="D2566" s="686" t="s">
        <v>4026</v>
      </c>
      <c r="E2566" s="687"/>
      <c r="F2566" s="688"/>
      <c r="G2566" s="688" t="s">
        <v>3672</v>
      </c>
      <c r="I2566" s="71" t="s">
        <v>4381</v>
      </c>
      <c r="L2566" s="121" t="s">
        <v>4101</v>
      </c>
      <c r="M2566" s="71" t="s">
        <v>4425</v>
      </c>
    </row>
    <row r="2567" spans="2:13">
      <c r="B2567" s="121" t="s">
        <v>4101</v>
      </c>
      <c r="C2567" s="687">
        <v>4992992</v>
      </c>
      <c r="D2567" s="686" t="s">
        <v>4027</v>
      </c>
      <c r="E2567" s="687"/>
      <c r="F2567" s="688"/>
      <c r="G2567" s="688" t="s">
        <v>3673</v>
      </c>
      <c r="I2567" s="71" t="s">
        <v>4381</v>
      </c>
      <c r="L2567" s="121" t="s">
        <v>4101</v>
      </c>
      <c r="M2567" s="71" t="s">
        <v>4426</v>
      </c>
    </row>
    <row r="2568" spans="2:13">
      <c r="B2568" s="121" t="s">
        <v>4101</v>
      </c>
      <c r="C2568" s="687">
        <v>4911757</v>
      </c>
      <c r="D2568" s="686" t="s">
        <v>3674</v>
      </c>
      <c r="E2568" s="687"/>
      <c r="F2568" s="709"/>
      <c r="G2568" s="688" t="s">
        <v>3627</v>
      </c>
      <c r="I2568" s="71" t="s">
        <v>4381</v>
      </c>
      <c r="L2568" s="121" t="s">
        <v>4101</v>
      </c>
      <c r="M2568" s="71" t="s">
        <v>4561</v>
      </c>
    </row>
    <row r="2569" spans="2:13">
      <c r="C2569" s="687"/>
      <c r="D2569" s="686"/>
      <c r="E2569" s="687"/>
      <c r="F2569" s="709"/>
      <c r="G2569" s="688"/>
      <c r="L2569" s="121" t="s">
        <v>4101</v>
      </c>
      <c r="M2569" s="71" t="s">
        <v>4562</v>
      </c>
    </row>
    <row r="2570" spans="2:13">
      <c r="B2570" s="121" t="s">
        <v>4101</v>
      </c>
      <c r="C2570" s="687">
        <v>4303539</v>
      </c>
      <c r="D2570" s="686" t="s">
        <v>3675</v>
      </c>
      <c r="E2570" s="687"/>
      <c r="F2570" s="688"/>
      <c r="G2570" s="688" t="s">
        <v>3665</v>
      </c>
      <c r="I2570" s="71" t="s">
        <v>4412</v>
      </c>
      <c r="L2570" s="121" t="s">
        <v>4101</v>
      </c>
      <c r="M2570" s="71" t="s">
        <v>4428</v>
      </c>
    </row>
    <row r="2571" spans="2:13">
      <c r="B2571" s="121" t="s">
        <v>4101</v>
      </c>
      <c r="C2571" s="687">
        <v>44303993</v>
      </c>
      <c r="D2571" s="686" t="s">
        <v>3676</v>
      </c>
      <c r="E2571" s="687"/>
      <c r="F2571" s="688"/>
      <c r="G2571" s="688" t="s">
        <v>3647</v>
      </c>
      <c r="I2571" s="71" t="s">
        <v>4412</v>
      </c>
      <c r="L2571" s="121" t="s">
        <v>4101</v>
      </c>
      <c r="M2571" s="71" t="s">
        <v>4429</v>
      </c>
    </row>
    <row r="2572" spans="2:13">
      <c r="B2572" s="121" t="s">
        <v>4101</v>
      </c>
      <c r="C2572" s="687">
        <v>4303985</v>
      </c>
      <c r="D2572" s="686" t="s">
        <v>3677</v>
      </c>
      <c r="E2572" s="687"/>
      <c r="F2572" s="688"/>
      <c r="G2572" s="688" t="s">
        <v>3678</v>
      </c>
      <c r="I2572" s="71" t="s">
        <v>4413</v>
      </c>
      <c r="L2572" s="121" t="s">
        <v>4101</v>
      </c>
      <c r="M2572" s="71" t="s">
        <v>4430</v>
      </c>
    </row>
    <row r="2573" spans="2:13">
      <c r="B2573" s="121" t="s">
        <v>4101</v>
      </c>
      <c r="C2573" s="687"/>
      <c r="D2573" s="686" t="s">
        <v>3679</v>
      </c>
      <c r="E2573" s="687"/>
      <c r="F2573" s="688"/>
      <c r="G2573" s="688" t="s">
        <v>3638</v>
      </c>
      <c r="I2573" s="71" t="s">
        <v>4413</v>
      </c>
      <c r="L2573" s="121" t="s">
        <v>4101</v>
      </c>
      <c r="M2573" s="71" t="s">
        <v>4431</v>
      </c>
    </row>
    <row r="2574" spans="2:13">
      <c r="B2574" s="121" t="s">
        <v>4101</v>
      </c>
      <c r="C2574" s="687">
        <v>4303930</v>
      </c>
      <c r="D2574" s="686" t="s">
        <v>3680</v>
      </c>
      <c r="E2574" s="687"/>
      <c r="F2574" s="688"/>
      <c r="G2574" s="688" t="s">
        <v>3681</v>
      </c>
      <c r="I2574" s="71" t="s">
        <v>4413</v>
      </c>
      <c r="L2574" s="121" t="s">
        <v>4101</v>
      </c>
      <c r="M2574" s="71" t="s">
        <v>4432</v>
      </c>
    </row>
    <row r="2575" spans="2:13">
      <c r="B2575" s="121" t="s">
        <v>4101</v>
      </c>
      <c r="C2575" s="687">
        <v>4303538</v>
      </c>
      <c r="D2575" s="686" t="s">
        <v>3682</v>
      </c>
      <c r="E2575" s="687"/>
      <c r="F2575" s="688"/>
      <c r="G2575" s="688" t="s">
        <v>3665</v>
      </c>
      <c r="I2575" s="71" t="s">
        <v>4414</v>
      </c>
      <c r="L2575" s="121" t="s">
        <v>4101</v>
      </c>
      <c r="M2575" s="71" t="s">
        <v>4433</v>
      </c>
    </row>
    <row r="2576" spans="2:13">
      <c r="B2576" s="121" t="s">
        <v>4101</v>
      </c>
      <c r="C2576" s="687">
        <v>434716</v>
      </c>
      <c r="D2576" s="686" t="s">
        <v>3683</v>
      </c>
      <c r="E2576" s="687"/>
      <c r="F2576" s="688"/>
      <c r="G2576" s="688" t="s">
        <v>3638</v>
      </c>
      <c r="I2576" s="71" t="s">
        <v>4414</v>
      </c>
      <c r="L2576" s="121" t="s">
        <v>4101</v>
      </c>
      <c r="M2576" s="71" t="s">
        <v>4439</v>
      </c>
    </row>
    <row r="2577" spans="2:13">
      <c r="B2577" s="121" t="s">
        <v>4101</v>
      </c>
      <c r="C2577" s="687">
        <v>4303922</v>
      </c>
      <c r="D2577" s="686" t="s">
        <v>3684</v>
      </c>
      <c r="E2577" s="687"/>
      <c r="F2577" s="688"/>
      <c r="G2577" s="688" t="s">
        <v>3678</v>
      </c>
      <c r="I2577" s="71" t="s">
        <v>4415</v>
      </c>
      <c r="L2577" s="121" t="s">
        <v>4101</v>
      </c>
      <c r="M2577" s="71" t="s">
        <v>4440</v>
      </c>
    </row>
    <row r="2578" spans="2:13">
      <c r="B2578" s="121" t="s">
        <v>4101</v>
      </c>
      <c r="C2578" s="687">
        <v>4303175</v>
      </c>
      <c r="D2578" s="686" t="s">
        <v>3685</v>
      </c>
      <c r="E2578" s="687"/>
      <c r="F2578" s="688"/>
      <c r="G2578" s="688" t="s">
        <v>3647</v>
      </c>
      <c r="I2578" s="71" t="s">
        <v>4415</v>
      </c>
      <c r="L2578" s="121" t="s">
        <v>4101</v>
      </c>
      <c r="M2578" s="71" t="s">
        <v>4451</v>
      </c>
    </row>
    <row r="2579" spans="2:13">
      <c r="B2579" s="121" t="s">
        <v>4101</v>
      </c>
      <c r="C2579" s="687">
        <v>4303845</v>
      </c>
      <c r="D2579" s="686" t="s">
        <v>3686</v>
      </c>
      <c r="E2579" s="687"/>
      <c r="F2579" s="688"/>
      <c r="G2579" s="688" t="s">
        <v>3687</v>
      </c>
      <c r="I2579" s="71" t="s">
        <v>4415</v>
      </c>
      <c r="L2579" s="121" t="s">
        <v>4101</v>
      </c>
      <c r="M2579" s="71" t="s">
        <v>4452</v>
      </c>
    </row>
    <row r="2580" spans="2:13">
      <c r="B2580" s="121" t="s">
        <v>4384</v>
      </c>
      <c r="C2580" s="687">
        <v>4302141</v>
      </c>
      <c r="D2580" s="686" t="s">
        <v>3688</v>
      </c>
      <c r="E2580" s="687"/>
      <c r="F2580" s="688"/>
      <c r="G2580" s="688" t="s">
        <v>3687</v>
      </c>
      <c r="I2580" s="71" t="s">
        <v>4416</v>
      </c>
      <c r="L2580" s="121" t="s">
        <v>4101</v>
      </c>
      <c r="M2580" s="71" t="s">
        <v>4453</v>
      </c>
    </row>
    <row r="2581" spans="2:13">
      <c r="B2581" s="121" t="s">
        <v>4384</v>
      </c>
      <c r="C2581" s="687">
        <v>4300350</v>
      </c>
      <c r="D2581" s="686" t="s">
        <v>3689</v>
      </c>
      <c r="E2581" s="687"/>
      <c r="F2581" s="688"/>
      <c r="G2581" s="688" t="s">
        <v>3687</v>
      </c>
      <c r="I2581" s="71" t="s">
        <v>4417</v>
      </c>
      <c r="L2581" s="121" t="s">
        <v>4101</v>
      </c>
      <c r="M2581" s="71" t="s">
        <v>4454</v>
      </c>
    </row>
    <row r="2582" spans="2:13">
      <c r="B2582" s="121" t="s">
        <v>4384</v>
      </c>
      <c r="C2582" s="687">
        <v>4303923</v>
      </c>
      <c r="D2582" s="686" t="s">
        <v>3690</v>
      </c>
      <c r="E2582" s="687"/>
      <c r="F2582" s="688"/>
      <c r="G2582" s="688" t="s">
        <v>3647</v>
      </c>
      <c r="I2582" s="71" t="s">
        <v>4417</v>
      </c>
      <c r="L2582" s="121" t="s">
        <v>4101</v>
      </c>
      <c r="M2582" s="71" t="s">
        <v>4455</v>
      </c>
    </row>
    <row r="2583" spans="2:13">
      <c r="B2583" s="121" t="s">
        <v>4384</v>
      </c>
      <c r="C2583" s="687">
        <v>433365</v>
      </c>
      <c r="D2583" s="686" t="s">
        <v>3691</v>
      </c>
      <c r="E2583" s="687"/>
      <c r="F2583" s="688"/>
      <c r="G2583" s="688" t="s">
        <v>3687</v>
      </c>
      <c r="I2583" s="71" t="s">
        <v>4418</v>
      </c>
      <c r="L2583" s="121" t="s">
        <v>4101</v>
      </c>
      <c r="M2583" s="71" t="s">
        <v>4456</v>
      </c>
    </row>
    <row r="2584" spans="2:13">
      <c r="B2584" s="121" t="s">
        <v>4101</v>
      </c>
      <c r="C2584" s="687">
        <v>439648</v>
      </c>
      <c r="D2584" s="686" t="s">
        <v>3692</v>
      </c>
      <c r="E2584" s="687"/>
      <c r="F2584" s="688"/>
      <c r="G2584" s="688" t="s">
        <v>3693</v>
      </c>
      <c r="I2584" s="71" t="s">
        <v>4419</v>
      </c>
      <c r="L2584" s="121" t="s">
        <v>4101</v>
      </c>
      <c r="M2584" s="71" t="s">
        <v>4457</v>
      </c>
    </row>
    <row r="2585" spans="2:13">
      <c r="B2585" s="121" t="s">
        <v>4101</v>
      </c>
      <c r="C2585" s="687">
        <v>4410726</v>
      </c>
      <c r="D2585" s="686" t="s">
        <v>3694</v>
      </c>
      <c r="E2585" s="687"/>
      <c r="F2585" s="688"/>
      <c r="G2585" s="688" t="s">
        <v>3642</v>
      </c>
      <c r="I2585" s="71" t="s">
        <v>4419</v>
      </c>
      <c r="L2585" s="121" t="s">
        <v>4101</v>
      </c>
      <c r="M2585" s="71" t="s">
        <v>4458</v>
      </c>
    </row>
    <row r="2586" spans="2:13">
      <c r="B2586" s="121" t="s">
        <v>4101</v>
      </c>
      <c r="C2586" s="687">
        <v>4419363</v>
      </c>
      <c r="D2586" s="686" t="s">
        <v>3695</v>
      </c>
      <c r="E2586" s="687"/>
      <c r="F2586" s="688"/>
      <c r="G2586" s="688" t="s">
        <v>3638</v>
      </c>
      <c r="I2586" s="71" t="s">
        <v>4419</v>
      </c>
      <c r="L2586" s="121" t="s">
        <v>4101</v>
      </c>
      <c r="M2586" s="71" t="s">
        <v>4459</v>
      </c>
    </row>
    <row r="2587" spans="2:13">
      <c r="B2587" s="121" t="s">
        <v>4101</v>
      </c>
      <c r="C2587" s="687">
        <v>4413948</v>
      </c>
      <c r="D2587" s="686" t="s">
        <v>3696</v>
      </c>
      <c r="E2587" s="687"/>
      <c r="F2587" s="688"/>
      <c r="G2587" s="688" t="s">
        <v>3697</v>
      </c>
      <c r="I2587" s="71" t="s">
        <v>4419</v>
      </c>
      <c r="L2587" s="121" t="s">
        <v>4101</v>
      </c>
      <c r="M2587" s="71" t="s">
        <v>4460</v>
      </c>
    </row>
    <row r="2588" spans="2:13">
      <c r="B2588" s="121" t="s">
        <v>4101</v>
      </c>
      <c r="C2588" s="687">
        <v>4405719</v>
      </c>
      <c r="D2588" s="686" t="s">
        <v>3698</v>
      </c>
      <c r="E2588" s="687"/>
      <c r="F2588" s="688"/>
      <c r="G2588" s="688" t="s">
        <v>3620</v>
      </c>
      <c r="I2588" s="71" t="s">
        <v>4420</v>
      </c>
      <c r="L2588" s="121" t="s">
        <v>4101</v>
      </c>
      <c r="M2588" s="71" t="s">
        <v>4461</v>
      </c>
    </row>
    <row r="2589" spans="2:13">
      <c r="B2589" s="121" t="s">
        <v>4101</v>
      </c>
      <c r="C2589" s="687">
        <v>4917783</v>
      </c>
      <c r="D2589" s="686" t="s">
        <v>4019</v>
      </c>
      <c r="E2589" s="687"/>
      <c r="F2589" s="709"/>
      <c r="G2589" s="688" t="s">
        <v>3620</v>
      </c>
      <c r="I2589" s="71" t="s">
        <v>4360</v>
      </c>
      <c r="L2589" s="121" t="s">
        <v>4101</v>
      </c>
      <c r="M2589" s="71" t="s">
        <v>4462</v>
      </c>
    </row>
    <row r="2590" spans="2:13">
      <c r="B2590" s="121" t="s">
        <v>4101</v>
      </c>
      <c r="C2590" s="687">
        <v>498714</v>
      </c>
      <c r="D2590" s="686" t="s">
        <v>4018</v>
      </c>
      <c r="E2590" s="687"/>
      <c r="F2590" s="709"/>
      <c r="G2590" s="688" t="s">
        <v>3661</v>
      </c>
      <c r="I2590" s="71" t="s">
        <v>4360</v>
      </c>
      <c r="L2590" s="121" t="s">
        <v>4101</v>
      </c>
      <c r="M2590" s="71" t="s">
        <v>4463</v>
      </c>
    </row>
    <row r="2591" spans="2:13">
      <c r="B2591" s="121" t="s">
        <v>4101</v>
      </c>
      <c r="C2591" s="687">
        <v>4918065</v>
      </c>
      <c r="D2591" s="686" t="s">
        <v>4017</v>
      </c>
      <c r="E2591" s="687"/>
      <c r="F2591" s="709"/>
      <c r="G2591" s="688" t="s">
        <v>3699</v>
      </c>
      <c r="I2591" s="71" t="s">
        <v>4360</v>
      </c>
      <c r="L2591" s="121" t="s">
        <v>4101</v>
      </c>
      <c r="M2591" s="71" t="s">
        <v>4464</v>
      </c>
    </row>
    <row r="2592" spans="2:13">
      <c r="B2592" s="121" t="s">
        <v>4101</v>
      </c>
      <c r="C2592" s="687">
        <v>425009</v>
      </c>
      <c r="D2592" s="686" t="s">
        <v>3700</v>
      </c>
      <c r="E2592" s="687"/>
      <c r="F2592" s="709"/>
      <c r="G2592" s="688" t="s">
        <v>3622</v>
      </c>
      <c r="I2592" s="71" t="s">
        <v>4360</v>
      </c>
      <c r="L2592" s="121" t="s">
        <v>4101</v>
      </c>
      <c r="M2592" s="71" t="s">
        <v>4465</v>
      </c>
    </row>
    <row r="2593" spans="2:13">
      <c r="B2593" s="121" t="s">
        <v>4101</v>
      </c>
      <c r="C2593" s="687">
        <v>4912987</v>
      </c>
      <c r="D2593" s="686" t="s">
        <v>3701</v>
      </c>
      <c r="E2593" s="687"/>
      <c r="F2593" s="709"/>
      <c r="G2593" s="688" t="s">
        <v>3702</v>
      </c>
      <c r="I2593" s="71" t="s">
        <v>4360</v>
      </c>
      <c r="L2593" s="121" t="s">
        <v>4101</v>
      </c>
      <c r="M2593" s="71" t="s">
        <v>4466</v>
      </c>
    </row>
    <row r="2594" spans="2:13">
      <c r="B2594" s="121" t="s">
        <v>4101</v>
      </c>
      <c r="C2594" s="687">
        <v>4906371</v>
      </c>
      <c r="D2594" s="686" t="s">
        <v>4020</v>
      </c>
      <c r="E2594" s="687"/>
      <c r="F2594" s="709"/>
      <c r="G2594" s="688" t="s">
        <v>3703</v>
      </c>
      <c r="I2594" s="71" t="s">
        <v>4360</v>
      </c>
      <c r="L2594" s="121" t="s">
        <v>4101</v>
      </c>
      <c r="M2594" s="71" t="s">
        <v>4467</v>
      </c>
    </row>
    <row r="2595" spans="2:13">
      <c r="B2595" s="121" t="s">
        <v>4101</v>
      </c>
      <c r="C2595" s="687">
        <v>4421030</v>
      </c>
      <c r="D2595" s="686" t="s">
        <v>3704</v>
      </c>
      <c r="E2595" s="687"/>
      <c r="F2595" s="688"/>
      <c r="G2595" s="688" t="s">
        <v>3620</v>
      </c>
      <c r="I2595" s="71" t="s">
        <v>4421</v>
      </c>
      <c r="L2595" s="121" t="s">
        <v>4101</v>
      </c>
      <c r="M2595" s="71" t="s">
        <v>4468</v>
      </c>
    </row>
    <row r="2596" spans="2:13">
      <c r="B2596" s="121" t="s">
        <v>4101</v>
      </c>
      <c r="C2596" s="687">
        <v>471763</v>
      </c>
      <c r="D2596" s="686" t="s">
        <v>4021</v>
      </c>
      <c r="E2596" s="687"/>
      <c r="F2596" s="709"/>
      <c r="G2596" s="688" t="s">
        <v>3665</v>
      </c>
      <c r="I2596" s="71" t="s">
        <v>4422</v>
      </c>
      <c r="L2596" s="121" t="s">
        <v>4101</v>
      </c>
      <c r="M2596" s="71" t="s">
        <v>4469</v>
      </c>
    </row>
    <row r="2597" spans="2:13">
      <c r="B2597" s="121" t="s">
        <v>4101</v>
      </c>
      <c r="C2597" s="687">
        <v>4918045</v>
      </c>
      <c r="D2597" s="686" t="s">
        <v>3705</v>
      </c>
      <c r="E2597" s="687"/>
      <c r="F2597" s="709"/>
      <c r="G2597" s="688" t="s">
        <v>3706</v>
      </c>
      <c r="I2597" s="71" t="s">
        <v>4422</v>
      </c>
      <c r="L2597" s="121" t="s">
        <v>4101</v>
      </c>
      <c r="M2597" s="71" t="s">
        <v>4470</v>
      </c>
    </row>
    <row r="2598" spans="2:13">
      <c r="B2598" s="121" t="s">
        <v>4101</v>
      </c>
      <c r="C2598" s="687">
        <v>4723732</v>
      </c>
      <c r="D2598" s="686" t="s">
        <v>3707</v>
      </c>
      <c r="E2598" s="687"/>
      <c r="F2598" s="709"/>
      <c r="G2598" s="688" t="s">
        <v>3626</v>
      </c>
      <c r="I2598" s="71" t="s">
        <v>4422</v>
      </c>
      <c r="L2598" s="121" t="s">
        <v>4101</v>
      </c>
      <c r="M2598" s="71" t="s">
        <v>4471</v>
      </c>
    </row>
    <row r="2599" spans="2:13">
      <c r="B2599" s="121" t="s">
        <v>4101</v>
      </c>
      <c r="C2599" s="687">
        <v>4412463</v>
      </c>
      <c r="D2599" s="686" t="s">
        <v>3708</v>
      </c>
      <c r="E2599" s="687"/>
      <c r="F2599" s="688"/>
      <c r="G2599" s="688" t="s">
        <v>3709</v>
      </c>
      <c r="I2599" s="71" t="s">
        <v>4423</v>
      </c>
      <c r="L2599" s="121" t="s">
        <v>4101</v>
      </c>
      <c r="M2599" s="71" t="s">
        <v>4472</v>
      </c>
    </row>
    <row r="2600" spans="2:13">
      <c r="B2600" s="121" t="s">
        <v>4101</v>
      </c>
      <c r="C2600" s="687">
        <v>438218</v>
      </c>
      <c r="D2600" s="686" t="s">
        <v>3710</v>
      </c>
      <c r="E2600" s="687"/>
      <c r="F2600" s="688"/>
      <c r="G2600" s="688" t="s">
        <v>3709</v>
      </c>
      <c r="I2600" s="71" t="s">
        <v>4424</v>
      </c>
      <c r="L2600" s="121" t="s">
        <v>4101</v>
      </c>
      <c r="M2600" s="71" t="s">
        <v>4473</v>
      </c>
    </row>
    <row r="2601" spans="2:13">
      <c r="B2601" s="121" t="s">
        <v>4101</v>
      </c>
      <c r="C2601" s="687">
        <v>438217</v>
      </c>
      <c r="D2601" s="686" t="s">
        <v>3711</v>
      </c>
      <c r="E2601" s="687"/>
      <c r="F2601" s="688"/>
      <c r="G2601" s="688" t="s">
        <v>3709</v>
      </c>
      <c r="I2601" s="71" t="s">
        <v>4425</v>
      </c>
      <c r="L2601" s="121" t="s">
        <v>4101</v>
      </c>
      <c r="M2601" s="71" t="s">
        <v>4474</v>
      </c>
    </row>
    <row r="2602" spans="2:13">
      <c r="B2602" s="121" t="s">
        <v>4101</v>
      </c>
      <c r="C2602" s="687">
        <v>4407536</v>
      </c>
      <c r="D2602" s="686" t="s">
        <v>3712</v>
      </c>
      <c r="E2602" s="687"/>
      <c r="F2602" s="688"/>
      <c r="G2602" s="688" t="s">
        <v>3709</v>
      </c>
      <c r="I2602" s="71" t="s">
        <v>4426</v>
      </c>
      <c r="L2602" s="121" t="s">
        <v>4101</v>
      </c>
      <c r="M2602" s="71" t="s">
        <v>4475</v>
      </c>
    </row>
    <row r="2603" spans="2:13">
      <c r="B2603" s="121" t="s">
        <v>4101</v>
      </c>
      <c r="C2603" s="687">
        <v>447691</v>
      </c>
      <c r="D2603" s="686" t="s">
        <v>3713</v>
      </c>
      <c r="E2603" s="687"/>
      <c r="F2603" s="688"/>
      <c r="G2603" s="688" t="s">
        <v>3714</v>
      </c>
      <c r="I2603" s="71" t="s">
        <v>4427</v>
      </c>
      <c r="L2603" s="121" t="s">
        <v>4101</v>
      </c>
      <c r="M2603" s="71" t="s">
        <v>4476</v>
      </c>
    </row>
    <row r="2604" spans="2:13">
      <c r="B2604" s="121" t="s">
        <v>4101</v>
      </c>
      <c r="C2604" s="687">
        <v>4426918</v>
      </c>
      <c r="D2604" s="686" t="s">
        <v>4022</v>
      </c>
      <c r="E2604" s="687"/>
      <c r="F2604" s="688"/>
      <c r="G2604" s="688" t="s">
        <v>3665</v>
      </c>
      <c r="I2604" s="71" t="s">
        <v>4427</v>
      </c>
      <c r="L2604" s="121" t="s">
        <v>4101</v>
      </c>
      <c r="M2604" s="71" t="s">
        <v>4477</v>
      </c>
    </row>
    <row r="2605" spans="2:13">
      <c r="B2605" s="121" t="s">
        <v>4385</v>
      </c>
      <c r="C2605" s="687">
        <v>4432329</v>
      </c>
      <c r="D2605" s="686" t="s">
        <v>4023</v>
      </c>
      <c r="E2605" s="687"/>
      <c r="F2605" s="688"/>
      <c r="G2605" s="688" t="s">
        <v>3715</v>
      </c>
      <c r="I2605" s="71" t="s">
        <v>4427</v>
      </c>
      <c r="L2605" s="121" t="s">
        <v>4101</v>
      </c>
      <c r="M2605" s="71" t="s">
        <v>4478</v>
      </c>
    </row>
    <row r="2606" spans="2:13">
      <c r="B2606" s="121" t="s">
        <v>4101</v>
      </c>
      <c r="C2606" s="687">
        <v>4413065</v>
      </c>
      <c r="D2606" s="686" t="s">
        <v>3716</v>
      </c>
      <c r="E2606" s="687"/>
      <c r="F2606" s="688"/>
      <c r="G2606" s="688" t="s">
        <v>3709</v>
      </c>
      <c r="I2606" s="71" t="s">
        <v>4428</v>
      </c>
      <c r="L2606" s="121" t="s">
        <v>4101</v>
      </c>
      <c r="M2606" s="71" t="s">
        <v>4479</v>
      </c>
    </row>
    <row r="2607" spans="2:13">
      <c r="B2607" s="121" t="s">
        <v>4101</v>
      </c>
      <c r="C2607" s="687">
        <v>4428085</v>
      </c>
      <c r="D2607" s="686" t="s">
        <v>3717</v>
      </c>
      <c r="E2607" s="687"/>
      <c r="F2607" s="688"/>
      <c r="G2607" s="688" t="s">
        <v>3663</v>
      </c>
      <c r="I2607" s="71" t="s">
        <v>4429</v>
      </c>
      <c r="L2607" s="121" t="s">
        <v>4101</v>
      </c>
      <c r="M2607" s="71" t="s">
        <v>4480</v>
      </c>
    </row>
    <row r="2608" spans="2:13">
      <c r="B2608" s="121" t="s">
        <v>4101</v>
      </c>
      <c r="C2608" s="687">
        <v>4413192</v>
      </c>
      <c r="D2608" s="686" t="s">
        <v>3718</v>
      </c>
      <c r="E2608" s="687"/>
      <c r="F2608" s="688"/>
      <c r="G2608" s="688" t="s">
        <v>3719</v>
      </c>
      <c r="I2608" s="71" t="s">
        <v>4429</v>
      </c>
      <c r="L2608" s="121" t="s">
        <v>4101</v>
      </c>
      <c r="M2608" s="71" t="s">
        <v>4481</v>
      </c>
    </row>
    <row r="2609" spans="2:13">
      <c r="B2609" s="121" t="s">
        <v>4101</v>
      </c>
      <c r="C2609" s="687">
        <v>448687</v>
      </c>
      <c r="D2609" s="686" t="s">
        <v>3720</v>
      </c>
      <c r="E2609" s="687"/>
      <c r="F2609" s="688"/>
      <c r="G2609" s="688" t="s">
        <v>3721</v>
      </c>
      <c r="I2609" s="71" t="s">
        <v>4430</v>
      </c>
      <c r="L2609" s="121" t="s">
        <v>4101</v>
      </c>
      <c r="M2609" s="71" t="s">
        <v>4482</v>
      </c>
    </row>
    <row r="2610" spans="2:13">
      <c r="B2610" s="121" t="s">
        <v>4101</v>
      </c>
      <c r="C2610" s="687">
        <v>448667</v>
      </c>
      <c r="D2610" s="686" t="s">
        <v>3722</v>
      </c>
      <c r="E2610" s="687"/>
      <c r="F2610" s="688"/>
      <c r="G2610" s="688" t="s">
        <v>3665</v>
      </c>
      <c r="I2610" s="71" t="s">
        <v>4430</v>
      </c>
      <c r="L2610" s="121" t="s">
        <v>4101</v>
      </c>
      <c r="M2610" s="71" t="s">
        <v>4483</v>
      </c>
    </row>
    <row r="2611" spans="2:13">
      <c r="B2611" s="121" t="s">
        <v>4101</v>
      </c>
      <c r="C2611" s="687">
        <v>4416101</v>
      </c>
      <c r="D2611" s="686" t="s">
        <v>3723</v>
      </c>
      <c r="E2611" s="687"/>
      <c r="F2611" s="688"/>
      <c r="G2611" s="688" t="s">
        <v>3721</v>
      </c>
      <c r="I2611" s="71" t="s">
        <v>4431</v>
      </c>
      <c r="L2611" s="121" t="s">
        <v>4101</v>
      </c>
      <c r="M2611" s="71" t="s">
        <v>4484</v>
      </c>
    </row>
    <row r="2612" spans="2:13">
      <c r="B2612" s="121" t="s">
        <v>4101</v>
      </c>
      <c r="C2612" s="687"/>
      <c r="D2612" s="686" t="s">
        <v>3724</v>
      </c>
      <c r="E2612" s="687"/>
      <c r="F2612" s="688"/>
      <c r="G2612" s="688" t="s">
        <v>3715</v>
      </c>
      <c r="I2612" s="71" t="s">
        <v>4431</v>
      </c>
    </row>
    <row r="2613" spans="2:13">
      <c r="B2613" s="121" t="s">
        <v>4101</v>
      </c>
      <c r="C2613" s="687">
        <v>4428035</v>
      </c>
      <c r="D2613" s="686" t="s">
        <v>3725</v>
      </c>
      <c r="E2613" s="687"/>
      <c r="F2613" s="688"/>
      <c r="G2613" s="688" t="s">
        <v>3721</v>
      </c>
      <c r="I2613" s="71" t="s">
        <v>4432</v>
      </c>
    </row>
    <row r="2614" spans="2:13">
      <c r="B2614" s="121" t="s">
        <v>4101</v>
      </c>
      <c r="C2614" s="687">
        <v>4404304</v>
      </c>
      <c r="D2614" s="686" t="s">
        <v>3726</v>
      </c>
      <c r="E2614" s="687"/>
      <c r="F2614" s="688"/>
      <c r="G2614" s="688" t="s">
        <v>3727</v>
      </c>
      <c r="I2614" s="71" t="s">
        <v>4433</v>
      </c>
    </row>
    <row r="2615" spans="2:13">
      <c r="B2615" s="121" t="s">
        <v>4384</v>
      </c>
      <c r="C2615" s="687">
        <v>4410437</v>
      </c>
      <c r="D2615" s="686" t="s">
        <v>3728</v>
      </c>
      <c r="E2615" s="687"/>
      <c r="F2615" s="688"/>
      <c r="G2615" s="688" t="s">
        <v>3729</v>
      </c>
      <c r="I2615" s="71" t="s">
        <v>4434</v>
      </c>
    </row>
    <row r="2616" spans="2:13">
      <c r="B2616" s="121" t="s">
        <v>4384</v>
      </c>
      <c r="C2616" s="687">
        <v>4415036</v>
      </c>
      <c r="D2616" s="686" t="s">
        <v>3730</v>
      </c>
      <c r="E2616" s="687"/>
      <c r="F2616" s="688"/>
      <c r="G2616" s="688" t="s">
        <v>3665</v>
      </c>
      <c r="I2616" s="71" t="s">
        <v>4434</v>
      </c>
    </row>
    <row r="2617" spans="2:13">
      <c r="B2617" s="121" t="s">
        <v>4384</v>
      </c>
      <c r="C2617" s="687">
        <v>441580</v>
      </c>
      <c r="D2617" s="686" t="s">
        <v>3731</v>
      </c>
      <c r="E2617" s="687"/>
      <c r="F2617" s="688"/>
      <c r="G2617" s="688" t="s">
        <v>3727</v>
      </c>
      <c r="I2617" s="71" t="s">
        <v>4434</v>
      </c>
    </row>
    <row r="2618" spans="2:13">
      <c r="B2618" s="121" t="s">
        <v>4384</v>
      </c>
      <c r="C2618" s="687">
        <v>4424465</v>
      </c>
      <c r="D2618" s="686" t="s">
        <v>3732</v>
      </c>
      <c r="E2618" s="687"/>
      <c r="F2618" s="688"/>
      <c r="G2618" s="688" t="s">
        <v>3665</v>
      </c>
      <c r="I2618" s="71" t="s">
        <v>4435</v>
      </c>
    </row>
    <row r="2619" spans="2:13">
      <c r="B2619" s="121" t="s">
        <v>4384</v>
      </c>
      <c r="C2619" s="687">
        <v>4424329</v>
      </c>
      <c r="D2619" s="686" t="s">
        <v>3733</v>
      </c>
      <c r="E2619" s="687"/>
      <c r="F2619" s="688"/>
      <c r="G2619" s="688" t="s">
        <v>3734</v>
      </c>
      <c r="I2619" s="71" t="s">
        <v>4436</v>
      </c>
    </row>
    <row r="2620" spans="2:13">
      <c r="B2620" s="121" t="s">
        <v>4384</v>
      </c>
      <c r="C2620" s="687">
        <v>4416410</v>
      </c>
      <c r="D2620" s="686" t="s">
        <v>3735</v>
      </c>
      <c r="E2620" s="687"/>
      <c r="F2620" s="688"/>
      <c r="G2620" s="688" t="s">
        <v>3665</v>
      </c>
      <c r="I2620" s="71" t="s">
        <v>4436</v>
      </c>
    </row>
    <row r="2621" spans="2:13">
      <c r="B2621" s="121" t="s">
        <v>4384</v>
      </c>
      <c r="C2621" s="687">
        <v>4418788</v>
      </c>
      <c r="D2621" s="686" t="s">
        <v>3736</v>
      </c>
      <c r="E2621" s="687"/>
      <c r="F2621" s="688"/>
      <c r="G2621" s="688" t="s">
        <v>3727</v>
      </c>
      <c r="I2621" s="71" t="s">
        <v>4436</v>
      </c>
    </row>
    <row r="2622" spans="2:13">
      <c r="B2622" s="121" t="s">
        <v>4384</v>
      </c>
      <c r="C2622" s="687">
        <v>4425587</v>
      </c>
      <c r="D2622" s="686" t="s">
        <v>3737</v>
      </c>
      <c r="E2622" s="687"/>
      <c r="F2622" s="688"/>
      <c r="G2622" s="688" t="s">
        <v>3727</v>
      </c>
      <c r="I2622" s="71" t="s">
        <v>4437</v>
      </c>
    </row>
    <row r="2623" spans="2:13">
      <c r="B2623" s="121" t="s">
        <v>4384</v>
      </c>
      <c r="C2623" s="687">
        <v>442695</v>
      </c>
      <c r="D2623" s="686" t="s">
        <v>3738</v>
      </c>
      <c r="E2623" s="687"/>
      <c r="F2623" s="688"/>
      <c r="G2623" s="688" t="s">
        <v>3727</v>
      </c>
      <c r="I2623" s="71" t="s">
        <v>4438</v>
      </c>
    </row>
    <row r="2624" spans="2:13">
      <c r="B2624" s="121" t="s">
        <v>4101</v>
      </c>
      <c r="C2624" s="687">
        <v>4415513</v>
      </c>
      <c r="D2624" s="686" t="s">
        <v>3739</v>
      </c>
      <c r="E2624" s="687"/>
      <c r="F2624" s="688"/>
      <c r="G2624" s="688" t="s">
        <v>3665</v>
      </c>
      <c r="I2624" s="71" t="s">
        <v>4439</v>
      </c>
    </row>
    <row r="2625" spans="2:9">
      <c r="B2625" s="121" t="s">
        <v>4101</v>
      </c>
      <c r="C2625" s="687">
        <v>435363</v>
      </c>
      <c r="D2625" s="686" t="s">
        <v>3740</v>
      </c>
      <c r="E2625" s="687"/>
      <c r="F2625" s="688"/>
      <c r="G2625" s="688" t="s">
        <v>3709</v>
      </c>
      <c r="I2625" s="71" t="s">
        <v>4440</v>
      </c>
    </row>
    <row r="2626" spans="2:9">
      <c r="B2626" s="121" t="s">
        <v>4384</v>
      </c>
      <c r="C2626" s="687">
        <v>4611270</v>
      </c>
      <c r="D2626" s="686" t="s">
        <v>3741</v>
      </c>
      <c r="E2626" s="687"/>
      <c r="F2626" s="688"/>
      <c r="G2626" s="688" t="s">
        <v>3647</v>
      </c>
      <c r="I2626" s="71" t="s">
        <v>4441</v>
      </c>
    </row>
    <row r="2627" spans="2:9">
      <c r="B2627" s="121" t="s">
        <v>4384</v>
      </c>
      <c r="C2627" s="687">
        <v>352376</v>
      </c>
      <c r="D2627" s="686" t="s">
        <v>3742</v>
      </c>
      <c r="E2627" s="687"/>
      <c r="F2627" s="688"/>
      <c r="G2627" s="688" t="s">
        <v>3638</v>
      </c>
      <c r="I2627" s="71" t="s">
        <v>4442</v>
      </c>
    </row>
    <row r="2628" spans="2:9">
      <c r="B2628" s="121" t="s">
        <v>4384</v>
      </c>
      <c r="C2628" s="687">
        <v>4431562</v>
      </c>
      <c r="D2628" s="686" t="s">
        <v>3743</v>
      </c>
      <c r="E2628" s="687"/>
      <c r="F2628" s="688"/>
      <c r="G2628" s="688" t="s">
        <v>3668</v>
      </c>
      <c r="I2628" s="71" t="s">
        <v>4443</v>
      </c>
    </row>
    <row r="2629" spans="2:9">
      <c r="B2629" s="121" t="s">
        <v>4384</v>
      </c>
      <c r="C2629" s="687">
        <v>4430367</v>
      </c>
      <c r="D2629" s="686" t="s">
        <v>3744</v>
      </c>
      <c r="E2629" s="687"/>
      <c r="F2629" s="688"/>
      <c r="G2629" s="688" t="s">
        <v>3745</v>
      </c>
      <c r="I2629" s="71" t="s">
        <v>4444</v>
      </c>
    </row>
    <row r="2630" spans="2:9">
      <c r="B2630" s="121" t="s">
        <v>4384</v>
      </c>
      <c r="C2630" s="687">
        <v>4422251</v>
      </c>
      <c r="D2630" s="686" t="s">
        <v>3746</v>
      </c>
      <c r="E2630" s="687"/>
      <c r="F2630" s="688"/>
      <c r="G2630" s="688" t="s">
        <v>3665</v>
      </c>
      <c r="I2630" s="71" t="s">
        <v>4445</v>
      </c>
    </row>
    <row r="2631" spans="2:9">
      <c r="B2631" s="121" t="s">
        <v>4384</v>
      </c>
      <c r="C2631" s="687">
        <v>4421113</v>
      </c>
      <c r="D2631" s="686" t="s">
        <v>3747</v>
      </c>
      <c r="E2631" s="687"/>
      <c r="F2631" s="688"/>
      <c r="G2631" s="688" t="s">
        <v>3665</v>
      </c>
      <c r="I2631" s="71" t="s">
        <v>4446</v>
      </c>
    </row>
    <row r="2632" spans="2:9">
      <c r="B2632" s="121" t="s">
        <v>4384</v>
      </c>
      <c r="C2632" s="687">
        <v>4428021</v>
      </c>
      <c r="D2632" s="686" t="s">
        <v>3748</v>
      </c>
      <c r="E2632" s="687"/>
      <c r="F2632" s="688"/>
      <c r="G2632" s="688" t="s">
        <v>3745</v>
      </c>
      <c r="I2632" s="71" t="s">
        <v>4447</v>
      </c>
    </row>
    <row r="2633" spans="2:9">
      <c r="B2633" s="121" t="s">
        <v>4384</v>
      </c>
      <c r="C2633" s="687">
        <v>4431715</v>
      </c>
      <c r="D2633" s="686" t="s">
        <v>3749</v>
      </c>
      <c r="E2633" s="687"/>
      <c r="F2633" s="688"/>
      <c r="G2633" s="688" t="s">
        <v>3745</v>
      </c>
      <c r="I2633" s="71" t="s">
        <v>4448</v>
      </c>
    </row>
    <row r="2634" spans="2:9">
      <c r="B2634" s="121" t="s">
        <v>4384</v>
      </c>
      <c r="C2634" s="687">
        <v>4431555</v>
      </c>
      <c r="D2634" s="686" t="s">
        <v>3750</v>
      </c>
      <c r="E2634" s="687"/>
      <c r="F2634" s="688"/>
      <c r="G2634" s="688" t="s">
        <v>3665</v>
      </c>
      <c r="I2634" s="71" t="s">
        <v>4449</v>
      </c>
    </row>
    <row r="2635" spans="2:9">
      <c r="B2635" s="121" t="s">
        <v>4384</v>
      </c>
      <c r="C2635" s="687">
        <v>4419998</v>
      </c>
      <c r="D2635" s="686" t="s">
        <v>3751</v>
      </c>
      <c r="E2635" s="687"/>
      <c r="F2635" s="688"/>
      <c r="G2635" s="688" t="s">
        <v>3665</v>
      </c>
      <c r="I2635" s="71" t="s">
        <v>4450</v>
      </c>
    </row>
    <row r="2636" spans="2:9">
      <c r="B2636" s="121" t="s">
        <v>4101</v>
      </c>
      <c r="C2636" s="687">
        <v>4420791</v>
      </c>
      <c r="D2636" s="686" t="s">
        <v>3752</v>
      </c>
      <c r="E2636" s="687"/>
      <c r="F2636" s="688"/>
      <c r="G2636" s="688" t="s">
        <v>3668</v>
      </c>
      <c r="I2636" s="71" t="s">
        <v>4451</v>
      </c>
    </row>
    <row r="2637" spans="2:9">
      <c r="B2637" s="121" t="s">
        <v>4101</v>
      </c>
      <c r="C2637" s="687">
        <v>4421707</v>
      </c>
      <c r="D2637" s="686" t="s">
        <v>3753</v>
      </c>
      <c r="E2637" s="687"/>
      <c r="F2637" s="688"/>
      <c r="G2637" s="688" t="s">
        <v>3668</v>
      </c>
      <c r="I2637" s="71" t="s">
        <v>4452</v>
      </c>
    </row>
    <row r="2638" spans="2:9">
      <c r="B2638" s="121" t="s">
        <v>4101</v>
      </c>
      <c r="C2638" s="687">
        <v>4430549</v>
      </c>
      <c r="D2638" s="686" t="s">
        <v>3754</v>
      </c>
      <c r="E2638" s="687"/>
      <c r="F2638" s="688"/>
      <c r="G2638" s="688" t="s">
        <v>3668</v>
      </c>
      <c r="I2638" s="71" t="s">
        <v>4453</v>
      </c>
    </row>
    <row r="2639" spans="2:9">
      <c r="B2639" s="121" t="s">
        <v>4101</v>
      </c>
      <c r="C2639" s="687">
        <v>4427794</v>
      </c>
      <c r="D2639" s="686" t="s">
        <v>3755</v>
      </c>
      <c r="E2639" s="687"/>
      <c r="F2639" s="688"/>
      <c r="G2639" s="688" t="s">
        <v>3668</v>
      </c>
      <c r="I2639" s="71" t="s">
        <v>4454</v>
      </c>
    </row>
    <row r="2640" spans="2:9">
      <c r="B2640" s="121" t="s">
        <v>4101</v>
      </c>
      <c r="C2640" s="687">
        <v>4427893</v>
      </c>
      <c r="D2640" s="686" t="s">
        <v>3756</v>
      </c>
      <c r="E2640" s="687"/>
      <c r="F2640" s="688"/>
      <c r="G2640" s="688" t="s">
        <v>3668</v>
      </c>
      <c r="I2640" s="71" t="s">
        <v>4455</v>
      </c>
    </row>
    <row r="2641" spans="2:9">
      <c r="B2641" s="121" t="s">
        <v>4101</v>
      </c>
      <c r="C2641" s="687">
        <v>4426611</v>
      </c>
      <c r="D2641" s="686" t="s">
        <v>3757</v>
      </c>
      <c r="E2641" s="687"/>
      <c r="F2641" s="688"/>
      <c r="G2641" s="688" t="s">
        <v>3668</v>
      </c>
      <c r="I2641" s="71" t="s">
        <v>4456</v>
      </c>
    </row>
    <row r="2642" spans="2:9">
      <c r="B2642" s="121" t="s">
        <v>4101</v>
      </c>
      <c r="C2642" s="687">
        <v>4420789</v>
      </c>
      <c r="D2642" s="686" t="s">
        <v>3758</v>
      </c>
      <c r="E2642" s="687"/>
      <c r="F2642" s="688"/>
      <c r="G2642" s="688" t="s">
        <v>3668</v>
      </c>
      <c r="I2642" s="71" t="s">
        <v>4457</v>
      </c>
    </row>
    <row r="2643" spans="2:9">
      <c r="B2643" s="121" t="s">
        <v>4101</v>
      </c>
      <c r="C2643" s="687">
        <v>4420790</v>
      </c>
      <c r="D2643" s="686" t="s">
        <v>3759</v>
      </c>
      <c r="E2643" s="687"/>
      <c r="F2643" s="688"/>
      <c r="G2643" s="688" t="s">
        <v>3668</v>
      </c>
      <c r="I2643" s="71" t="s">
        <v>4458</v>
      </c>
    </row>
    <row r="2644" spans="2:9">
      <c r="B2644" s="121" t="s">
        <v>4101</v>
      </c>
      <c r="C2644" s="687">
        <v>4422557</v>
      </c>
      <c r="D2644" s="686" t="s">
        <v>3760</v>
      </c>
      <c r="E2644" s="687"/>
      <c r="F2644" s="688"/>
      <c r="G2644" s="688" t="s">
        <v>3668</v>
      </c>
      <c r="I2644" s="71" t="s">
        <v>4459</v>
      </c>
    </row>
    <row r="2645" spans="2:9">
      <c r="B2645" s="121" t="s">
        <v>4101</v>
      </c>
      <c r="C2645" s="687">
        <v>4423697</v>
      </c>
      <c r="D2645" s="686" t="s">
        <v>3761</v>
      </c>
      <c r="E2645" s="687"/>
      <c r="F2645" s="688"/>
      <c r="G2645" s="688" t="s">
        <v>3668</v>
      </c>
      <c r="I2645" s="71" t="s">
        <v>4460</v>
      </c>
    </row>
    <row r="2646" spans="2:9">
      <c r="B2646" s="121" t="s">
        <v>4101</v>
      </c>
      <c r="C2646" s="687">
        <v>4424053</v>
      </c>
      <c r="D2646" s="686" t="s">
        <v>3762</v>
      </c>
      <c r="E2646" s="687"/>
      <c r="F2646" s="688"/>
      <c r="G2646" s="688" t="s">
        <v>3668</v>
      </c>
      <c r="I2646" s="71" t="s">
        <v>4461</v>
      </c>
    </row>
    <row r="2647" spans="2:9">
      <c r="B2647" s="121" t="s">
        <v>4101</v>
      </c>
      <c r="C2647" s="687">
        <v>4425874</v>
      </c>
      <c r="D2647" s="686" t="s">
        <v>3763</v>
      </c>
      <c r="E2647" s="687"/>
      <c r="F2647" s="688"/>
      <c r="G2647" s="688" t="s">
        <v>3668</v>
      </c>
      <c r="I2647" s="71" t="s">
        <v>4462</v>
      </c>
    </row>
    <row r="2648" spans="2:9">
      <c r="B2648" s="121" t="s">
        <v>4101</v>
      </c>
      <c r="C2648" s="687">
        <v>4425994</v>
      </c>
      <c r="D2648" s="686" t="s">
        <v>3764</v>
      </c>
      <c r="E2648" s="687"/>
      <c r="F2648" s="688"/>
      <c r="G2648" s="688" t="s">
        <v>3668</v>
      </c>
      <c r="I2648" s="71" t="s">
        <v>4463</v>
      </c>
    </row>
    <row r="2649" spans="2:9">
      <c r="B2649" s="121" t="s">
        <v>4101</v>
      </c>
      <c r="C2649" s="687">
        <v>4426557</v>
      </c>
      <c r="D2649" s="686" t="s">
        <v>3765</v>
      </c>
      <c r="E2649" s="687"/>
      <c r="F2649" s="688"/>
      <c r="G2649" s="688" t="s">
        <v>3668</v>
      </c>
      <c r="I2649" s="71" t="s">
        <v>4464</v>
      </c>
    </row>
    <row r="2650" spans="2:9">
      <c r="B2650" s="121" t="s">
        <v>4101</v>
      </c>
      <c r="C2650" s="687">
        <v>4430782</v>
      </c>
      <c r="D2650" s="686" t="s">
        <v>3766</v>
      </c>
      <c r="E2650" s="687"/>
      <c r="F2650" s="688"/>
      <c r="G2650" s="688" t="s">
        <v>3668</v>
      </c>
      <c r="I2650" s="71" t="s">
        <v>4465</v>
      </c>
    </row>
    <row r="2651" spans="2:9">
      <c r="B2651" s="121" t="s">
        <v>4101</v>
      </c>
      <c r="C2651" s="687">
        <v>4203158</v>
      </c>
      <c r="D2651" s="686" t="s">
        <v>3767</v>
      </c>
      <c r="E2651" s="687"/>
      <c r="F2651" s="688"/>
      <c r="G2651" s="688" t="s">
        <v>3668</v>
      </c>
      <c r="I2651" s="71" t="s">
        <v>4466</v>
      </c>
    </row>
    <row r="2652" spans="2:9">
      <c r="B2652" s="121" t="s">
        <v>4101</v>
      </c>
      <c r="C2652" s="687"/>
      <c r="D2652" s="686" t="s">
        <v>3768</v>
      </c>
      <c r="E2652" s="687"/>
      <c r="F2652" s="688"/>
      <c r="G2652" s="688" t="s">
        <v>3668</v>
      </c>
      <c r="I2652" s="71" t="s">
        <v>4467</v>
      </c>
    </row>
    <row r="2653" spans="2:9">
      <c r="B2653" s="121" t="s">
        <v>4101</v>
      </c>
      <c r="C2653" s="687">
        <v>4432125</v>
      </c>
      <c r="D2653" s="686" t="s">
        <v>3769</v>
      </c>
      <c r="E2653" s="687"/>
      <c r="F2653" s="688"/>
      <c r="G2653" s="688" t="s">
        <v>3668</v>
      </c>
      <c r="I2653" s="71" t="s">
        <v>4468</v>
      </c>
    </row>
    <row r="2654" spans="2:9">
      <c r="B2654" s="121" t="s">
        <v>4101</v>
      </c>
      <c r="C2654" s="687">
        <v>4413587</v>
      </c>
      <c r="D2654" s="686" t="s">
        <v>3770</v>
      </c>
      <c r="E2654" s="687"/>
      <c r="F2654" s="688"/>
      <c r="G2654" s="688" t="s">
        <v>3640</v>
      </c>
      <c r="I2654" s="71" t="s">
        <v>4469</v>
      </c>
    </row>
    <row r="2655" spans="2:9">
      <c r="B2655" s="121" t="s">
        <v>4101</v>
      </c>
      <c r="C2655" s="687">
        <v>4432371</v>
      </c>
      <c r="D2655" s="686" t="s">
        <v>3771</v>
      </c>
      <c r="E2655" s="687"/>
      <c r="F2655" s="688"/>
      <c r="G2655" s="688" t="s">
        <v>3668</v>
      </c>
      <c r="I2655" s="71" t="s">
        <v>4470</v>
      </c>
    </row>
    <row r="2656" spans="2:9">
      <c r="B2656" s="121" t="s">
        <v>4101</v>
      </c>
      <c r="C2656" s="687">
        <v>4431978</v>
      </c>
      <c r="D2656" s="686" t="s">
        <v>3772</v>
      </c>
      <c r="E2656" s="687"/>
      <c r="F2656" s="688"/>
      <c r="G2656" s="688" t="s">
        <v>3638</v>
      </c>
      <c r="I2656" s="71" t="s">
        <v>4471</v>
      </c>
    </row>
    <row r="2657" spans="2:9">
      <c r="B2657" s="121" t="s">
        <v>4101</v>
      </c>
      <c r="C2657" s="687"/>
      <c r="D2657" s="686" t="s">
        <v>3773</v>
      </c>
      <c r="E2657" s="687"/>
      <c r="F2657" s="688"/>
      <c r="G2657" s="688" t="s">
        <v>3668</v>
      </c>
      <c r="I2657" s="71" t="s">
        <v>4472</v>
      </c>
    </row>
    <row r="2658" spans="2:9">
      <c r="B2658" s="121" t="s">
        <v>4101</v>
      </c>
      <c r="C2658" s="687"/>
      <c r="D2658" s="686" t="s">
        <v>3774</v>
      </c>
      <c r="E2658" s="687"/>
      <c r="F2658" s="688"/>
      <c r="G2658" s="688" t="s">
        <v>3668</v>
      </c>
      <c r="I2658" s="71" t="s">
        <v>4470</v>
      </c>
    </row>
    <row r="2659" spans="2:9">
      <c r="B2659" s="121" t="s">
        <v>4101</v>
      </c>
      <c r="C2659" s="687"/>
      <c r="D2659" s="686" t="s">
        <v>3775</v>
      </c>
      <c r="E2659" s="687"/>
      <c r="F2659" s="688"/>
      <c r="G2659" s="688" t="s">
        <v>3638</v>
      </c>
      <c r="I2659" s="71" t="s">
        <v>4473</v>
      </c>
    </row>
    <row r="2660" spans="2:9">
      <c r="B2660" s="121" t="s">
        <v>4101</v>
      </c>
      <c r="C2660" s="687">
        <v>4201142</v>
      </c>
      <c r="D2660" s="686" t="s">
        <v>3776</v>
      </c>
      <c r="E2660" s="687"/>
      <c r="F2660" s="688"/>
      <c r="G2660" s="688" t="s">
        <v>3668</v>
      </c>
      <c r="I2660" s="71" t="s">
        <v>4474</v>
      </c>
    </row>
    <row r="2661" spans="2:9">
      <c r="B2661" s="121" t="s">
        <v>4101</v>
      </c>
      <c r="C2661" s="687">
        <v>4416945</v>
      </c>
      <c r="D2661" s="686" t="s">
        <v>3777</v>
      </c>
      <c r="E2661" s="687"/>
      <c r="F2661" s="688"/>
      <c r="G2661" s="688" t="s">
        <v>3687</v>
      </c>
      <c r="I2661" s="71" t="s">
        <v>4475</v>
      </c>
    </row>
    <row r="2662" spans="2:9">
      <c r="B2662" s="121" t="s">
        <v>4101</v>
      </c>
      <c r="C2662" s="687">
        <v>421460</v>
      </c>
      <c r="D2662" s="686" t="s">
        <v>3778</v>
      </c>
      <c r="E2662" s="687"/>
      <c r="F2662" s="688"/>
      <c r="G2662" s="688" t="s">
        <v>3687</v>
      </c>
      <c r="I2662" s="71" t="s">
        <v>4475</v>
      </c>
    </row>
    <row r="2663" spans="2:9">
      <c r="B2663" s="121" t="s">
        <v>4101</v>
      </c>
      <c r="C2663" s="687"/>
      <c r="D2663" s="686" t="s">
        <v>3779</v>
      </c>
      <c r="E2663" s="687"/>
      <c r="F2663" s="688"/>
      <c r="G2663" s="688" t="s">
        <v>3668</v>
      </c>
      <c r="I2663" s="71" t="s">
        <v>4476</v>
      </c>
    </row>
    <row r="2664" spans="2:9">
      <c r="B2664" s="121" t="s">
        <v>4101</v>
      </c>
      <c r="C2664" s="687"/>
      <c r="D2664" s="686" t="s">
        <v>3780</v>
      </c>
      <c r="E2664" s="687"/>
      <c r="F2664" s="688"/>
      <c r="G2664" s="688" t="s">
        <v>3668</v>
      </c>
      <c r="I2664" s="71" t="s">
        <v>4477</v>
      </c>
    </row>
    <row r="2665" spans="2:9">
      <c r="B2665" s="121" t="s">
        <v>4101</v>
      </c>
      <c r="C2665" s="687"/>
      <c r="D2665" s="686" t="s">
        <v>3781</v>
      </c>
      <c r="E2665" s="687"/>
      <c r="F2665" s="688"/>
      <c r="G2665" s="688" t="s">
        <v>3668</v>
      </c>
      <c r="I2665" s="71" t="s">
        <v>4478</v>
      </c>
    </row>
    <row r="2666" spans="2:9">
      <c r="B2666" s="121" t="s">
        <v>4101</v>
      </c>
      <c r="C2666" s="687">
        <v>4203171</v>
      </c>
      <c r="D2666" s="686" t="s">
        <v>3782</v>
      </c>
      <c r="E2666" s="687"/>
      <c r="F2666" s="688"/>
      <c r="G2666" s="688" t="s">
        <v>3668</v>
      </c>
      <c r="I2666" s="71" t="s">
        <v>4479</v>
      </c>
    </row>
    <row r="2667" spans="2:9">
      <c r="B2667" s="121" t="s">
        <v>4101</v>
      </c>
      <c r="C2667" s="687"/>
      <c r="D2667" s="686" t="s">
        <v>3783</v>
      </c>
      <c r="E2667" s="687"/>
      <c r="F2667" s="688"/>
      <c r="G2667" s="688" t="s">
        <v>3678</v>
      </c>
      <c r="I2667" s="71" t="s">
        <v>4480</v>
      </c>
    </row>
    <row r="2668" spans="2:9">
      <c r="B2668" s="121" t="s">
        <v>4101</v>
      </c>
      <c r="C2668" s="687"/>
      <c r="D2668" s="686" t="s">
        <v>3784</v>
      </c>
      <c r="E2668" s="687"/>
      <c r="F2668" s="688"/>
      <c r="G2668" s="688" t="s">
        <v>3681</v>
      </c>
      <c r="I2668" s="71" t="s">
        <v>4481</v>
      </c>
    </row>
    <row r="2669" spans="2:9">
      <c r="B2669" s="121" t="s">
        <v>4101</v>
      </c>
      <c r="C2669" s="687"/>
      <c r="D2669" s="686" t="s">
        <v>3785</v>
      </c>
      <c r="E2669" s="687"/>
      <c r="F2669" s="688"/>
      <c r="G2669" s="688" t="s">
        <v>3678</v>
      </c>
      <c r="I2669" s="71" t="s">
        <v>4482</v>
      </c>
    </row>
    <row r="2670" spans="2:9">
      <c r="B2670" s="121" t="s">
        <v>4101</v>
      </c>
      <c r="C2670" s="687"/>
      <c r="D2670" s="686" t="s">
        <v>3786</v>
      </c>
      <c r="E2670" s="687"/>
      <c r="F2670" s="688"/>
      <c r="G2670" s="688" t="s">
        <v>3681</v>
      </c>
      <c r="I2670" s="71" t="s">
        <v>4483</v>
      </c>
    </row>
    <row r="2671" spans="2:9">
      <c r="B2671" s="121" t="s">
        <v>4101</v>
      </c>
      <c r="C2671" s="687"/>
      <c r="D2671" s="686" t="s">
        <v>3787</v>
      </c>
      <c r="E2671" s="687"/>
      <c r="F2671" s="688"/>
      <c r="G2671" s="688" t="s">
        <v>3678</v>
      </c>
      <c r="I2671" s="71" t="s">
        <v>4483</v>
      </c>
    </row>
    <row r="2672" spans="2:9">
      <c r="B2672" s="121" t="s">
        <v>4101</v>
      </c>
      <c r="C2672" s="687"/>
      <c r="D2672" s="686" t="s">
        <v>3788</v>
      </c>
      <c r="E2672" s="687"/>
      <c r="F2672" s="688"/>
      <c r="G2672" s="688" t="s">
        <v>3681</v>
      </c>
      <c r="I2672" s="71" t="s">
        <v>4484</v>
      </c>
    </row>
    <row r="2673" spans="2:9">
      <c r="B2673" s="121" t="s">
        <v>4384</v>
      </c>
      <c r="C2673" s="687">
        <v>4611549</v>
      </c>
      <c r="D2673" s="686" t="s">
        <v>3789</v>
      </c>
      <c r="E2673" s="687"/>
      <c r="F2673" s="688"/>
      <c r="G2673" s="688" t="s">
        <v>3638</v>
      </c>
      <c r="I2673" s="71" t="s">
        <v>4485</v>
      </c>
    </row>
    <row r="2674" spans="2:9">
      <c r="B2674" s="121" t="s">
        <v>4384</v>
      </c>
      <c r="C2674" s="687">
        <v>4611959</v>
      </c>
      <c r="D2674" s="686" t="s">
        <v>3790</v>
      </c>
      <c r="E2674" s="687"/>
      <c r="F2674" s="688"/>
      <c r="G2674" s="688" t="s">
        <v>3791</v>
      </c>
      <c r="I2674" s="71" t="s">
        <v>4486</v>
      </c>
    </row>
    <row r="2675" spans="2:9">
      <c r="B2675" s="121" t="s">
        <v>4384</v>
      </c>
      <c r="C2675" s="687"/>
      <c r="D2675" s="686" t="s">
        <v>3792</v>
      </c>
      <c r="E2675" s="687"/>
      <c r="F2675" s="688"/>
      <c r="G2675" s="688" t="s">
        <v>3687</v>
      </c>
      <c r="I2675" s="71" t="s">
        <v>4486</v>
      </c>
    </row>
    <row r="2716" spans="3:4">
      <c r="C2716" s="121" t="s">
        <v>4384</v>
      </c>
      <c r="D2716" s="71" t="s">
        <v>1868</v>
      </c>
    </row>
    <row r="2717" spans="3:4">
      <c r="C2717" s="121" t="s">
        <v>4384</v>
      </c>
      <c r="D2717" s="71" t="s">
        <v>3516</v>
      </c>
    </row>
    <row r="2718" spans="3:4">
      <c r="C2718" s="121" t="s">
        <v>4384</v>
      </c>
      <c r="D2718" s="71" t="s">
        <v>4381</v>
      </c>
    </row>
    <row r="2719" spans="3:4">
      <c r="C2719" s="121" t="s">
        <v>4384</v>
      </c>
      <c r="D2719" s="71" t="s">
        <v>4186</v>
      </c>
    </row>
    <row r="2720" spans="3:4">
      <c r="C2720" s="121" t="s">
        <v>4384</v>
      </c>
      <c r="D2720" s="71" t="s">
        <v>4491</v>
      </c>
    </row>
    <row r="2721" spans="3:4">
      <c r="C2721" s="121" t="s">
        <v>4384</v>
      </c>
      <c r="D2721" s="71" t="s">
        <v>4492</v>
      </c>
    </row>
    <row r="2722" spans="3:4">
      <c r="C2722" s="121" t="s">
        <v>4384</v>
      </c>
      <c r="D2722" s="71" t="s">
        <v>4493</v>
      </c>
    </row>
    <row r="2723" spans="3:4">
      <c r="C2723" s="121" t="s">
        <v>4384</v>
      </c>
      <c r="D2723" s="71" t="s">
        <v>4494</v>
      </c>
    </row>
    <row r="2724" spans="3:4">
      <c r="C2724" s="121" t="s">
        <v>4384</v>
      </c>
      <c r="D2724" s="71" t="s">
        <v>4495</v>
      </c>
    </row>
    <row r="2725" spans="3:4">
      <c r="C2725" s="121" t="s">
        <v>4384</v>
      </c>
      <c r="D2725" s="71" t="s">
        <v>4496</v>
      </c>
    </row>
    <row r="2726" spans="3:4">
      <c r="C2726" s="121" t="s">
        <v>4384</v>
      </c>
      <c r="D2726" s="71" t="s">
        <v>4497</v>
      </c>
    </row>
    <row r="2727" spans="3:4">
      <c r="C2727" s="121" t="s">
        <v>4384</v>
      </c>
      <c r="D2727" s="71" t="s">
        <v>4498</v>
      </c>
    </row>
    <row r="2728" spans="3:4">
      <c r="C2728" s="121" t="s">
        <v>4384</v>
      </c>
      <c r="D2728" s="71" t="s">
        <v>4499</v>
      </c>
    </row>
    <row r="2729" spans="3:4">
      <c r="C2729" s="121" t="s">
        <v>4384</v>
      </c>
      <c r="D2729" s="71" t="s">
        <v>4500</v>
      </c>
    </row>
    <row r="2730" spans="3:4">
      <c r="C2730" s="121" t="s">
        <v>4384</v>
      </c>
      <c r="D2730" s="71" t="s">
        <v>4501</v>
      </c>
    </row>
    <row r="2731" spans="3:4">
      <c r="C2731" s="121" t="s">
        <v>4384</v>
      </c>
      <c r="D2731" s="71" t="s">
        <v>4502</v>
      </c>
    </row>
    <row r="2732" spans="3:4">
      <c r="C2732" s="121" t="s">
        <v>4384</v>
      </c>
      <c r="D2732" s="71" t="s">
        <v>4503</v>
      </c>
    </row>
    <row r="2733" spans="3:4">
      <c r="C2733" s="121" t="s">
        <v>4384</v>
      </c>
      <c r="D2733" s="71" t="s">
        <v>4504</v>
      </c>
    </row>
    <row r="2734" spans="3:4">
      <c r="C2734" s="121" t="s">
        <v>4384</v>
      </c>
      <c r="D2734" s="71" t="s">
        <v>4505</v>
      </c>
    </row>
    <row r="2735" spans="3:4">
      <c r="C2735" s="121" t="s">
        <v>4384</v>
      </c>
      <c r="D2735" s="71" t="s">
        <v>4506</v>
      </c>
    </row>
    <row r="2736" spans="3:4">
      <c r="C2736" s="121" t="s">
        <v>4384</v>
      </c>
      <c r="D2736" s="71" t="s">
        <v>4507</v>
      </c>
    </row>
    <row r="2737" spans="3:4">
      <c r="C2737" s="121" t="s">
        <v>4384</v>
      </c>
      <c r="D2737" s="71" t="s">
        <v>4508</v>
      </c>
    </row>
    <row r="2738" spans="3:4">
      <c r="C2738" s="121" t="s">
        <v>4384</v>
      </c>
      <c r="D2738" s="71" t="s">
        <v>4509</v>
      </c>
    </row>
    <row r="2739" spans="3:4">
      <c r="C2739" s="121"/>
    </row>
    <row r="2740" spans="3:4">
      <c r="C2740" s="121" t="s">
        <v>4101</v>
      </c>
      <c r="D2740" s="71" t="s">
        <v>1868</v>
      </c>
    </row>
    <row r="2741" spans="3:4">
      <c r="C2741" s="121" t="s">
        <v>4101</v>
      </c>
      <c r="D2741" s="71" t="s">
        <v>4510</v>
      </c>
    </row>
    <row r="2742" spans="3:4">
      <c r="C2742" s="121" t="s">
        <v>4101</v>
      </c>
      <c r="D2742" s="71" t="s">
        <v>4511</v>
      </c>
    </row>
    <row r="2743" spans="3:4">
      <c r="C2743" s="121" t="s">
        <v>4101</v>
      </c>
      <c r="D2743" s="71" t="s">
        <v>4512</v>
      </c>
    </row>
    <row r="2744" spans="3:4">
      <c r="C2744" s="121" t="s">
        <v>4101</v>
      </c>
      <c r="D2744" s="71" t="s">
        <v>4513</v>
      </c>
    </row>
    <row r="2745" spans="3:4">
      <c r="C2745" s="121" t="s">
        <v>4101</v>
      </c>
      <c r="D2745" s="71" t="s">
        <v>4514</v>
      </c>
    </row>
    <row r="2746" spans="3:4">
      <c r="C2746" s="121" t="s">
        <v>4101</v>
      </c>
      <c r="D2746" s="71" t="s">
        <v>4515</v>
      </c>
    </row>
    <row r="2747" spans="3:4">
      <c r="C2747" s="121" t="s">
        <v>4101</v>
      </c>
      <c r="D2747" s="71" t="s">
        <v>4381</v>
      </c>
    </row>
    <row r="2748" spans="3:4">
      <c r="C2748" s="121" t="s">
        <v>4101</v>
      </c>
      <c r="D2748" s="71" t="s">
        <v>4491</v>
      </c>
    </row>
    <row r="2749" spans="3:4">
      <c r="C2749" s="121" t="s">
        <v>4101</v>
      </c>
      <c r="D2749" s="71" t="s">
        <v>4516</v>
      </c>
    </row>
    <row r="2750" spans="3:4">
      <c r="C2750" s="121" t="s">
        <v>4101</v>
      </c>
      <c r="D2750" s="71" t="s">
        <v>4186</v>
      </c>
    </row>
    <row r="2751" spans="3:4">
      <c r="C2751" s="121" t="s">
        <v>4101</v>
      </c>
      <c r="D2751" s="71" t="s">
        <v>4517</v>
      </c>
    </row>
    <row r="2752" spans="3:4">
      <c r="C2752" s="121" t="s">
        <v>4101</v>
      </c>
      <c r="D2752" s="71" t="s">
        <v>4518</v>
      </c>
    </row>
    <row r="2753" spans="3:4">
      <c r="C2753" s="121" t="s">
        <v>4101</v>
      </c>
      <c r="D2753" s="71" t="s">
        <v>4519</v>
      </c>
    </row>
    <row r="2754" spans="3:4">
      <c r="C2754" s="121" t="s">
        <v>4101</v>
      </c>
      <c r="D2754" s="71" t="s">
        <v>4520</v>
      </c>
    </row>
    <row r="2755" spans="3:4">
      <c r="C2755" s="121" t="s">
        <v>4101</v>
      </c>
      <c r="D2755" s="71" t="s">
        <v>4521</v>
      </c>
    </row>
    <row r="2756" spans="3:4">
      <c r="C2756" s="121" t="s">
        <v>4101</v>
      </c>
      <c r="D2756" s="71" t="s">
        <v>4522</v>
      </c>
    </row>
    <row r="2757" spans="3:4">
      <c r="C2757" s="121" t="s">
        <v>4101</v>
      </c>
      <c r="D2757" s="71" t="s">
        <v>4423</v>
      </c>
    </row>
    <row r="2758" spans="3:4">
      <c r="C2758" s="121" t="s">
        <v>4101</v>
      </c>
      <c r="D2758" s="71" t="s">
        <v>4424</v>
      </c>
    </row>
    <row r="2759" spans="3:4">
      <c r="C2759" s="121" t="s">
        <v>4101</v>
      </c>
      <c r="D2759" s="71" t="s">
        <v>4425</v>
      </c>
    </row>
    <row r="2760" spans="3:4">
      <c r="C2760" s="121" t="s">
        <v>4101</v>
      </c>
      <c r="D2760" s="71" t="s">
        <v>4426</v>
      </c>
    </row>
    <row r="2761" spans="3:4">
      <c r="C2761" s="121" t="s">
        <v>4101</v>
      </c>
      <c r="D2761" s="71" t="s">
        <v>4561</v>
      </c>
    </row>
    <row r="2762" spans="3:4">
      <c r="C2762" s="121" t="s">
        <v>4101</v>
      </c>
      <c r="D2762" s="71" t="s">
        <v>4562</v>
      </c>
    </row>
    <row r="2763" spans="3:4">
      <c r="C2763" s="121" t="s">
        <v>4101</v>
      </c>
      <c r="D2763" s="71" t="s">
        <v>4428</v>
      </c>
    </row>
    <row r="2764" spans="3:4">
      <c r="C2764" s="121" t="s">
        <v>4101</v>
      </c>
      <c r="D2764" s="71" t="s">
        <v>4429</v>
      </c>
    </row>
    <row r="2765" spans="3:4">
      <c r="C2765" s="121" t="s">
        <v>4101</v>
      </c>
      <c r="D2765" s="71" t="s">
        <v>4430</v>
      </c>
    </row>
    <row r="2766" spans="3:4">
      <c r="C2766" s="121" t="s">
        <v>4101</v>
      </c>
      <c r="D2766" s="71" t="s">
        <v>4431</v>
      </c>
    </row>
    <row r="2767" spans="3:4">
      <c r="C2767" s="121" t="s">
        <v>4101</v>
      </c>
      <c r="D2767" s="71" t="s">
        <v>4523</v>
      </c>
    </row>
    <row r="2768" spans="3:4">
      <c r="C2768" s="121" t="s">
        <v>4101</v>
      </c>
      <c r="D2768" s="71" t="s">
        <v>4524</v>
      </c>
    </row>
    <row r="2769" spans="3:4">
      <c r="C2769" s="121" t="s">
        <v>4101</v>
      </c>
      <c r="D2769" s="71" t="s">
        <v>4525</v>
      </c>
    </row>
    <row r="2770" spans="3:4">
      <c r="C2770" s="121" t="s">
        <v>4101</v>
      </c>
      <c r="D2770" s="71" t="s">
        <v>4440</v>
      </c>
    </row>
    <row r="2771" spans="3:4">
      <c r="C2771" s="121" t="s">
        <v>4101</v>
      </c>
      <c r="D2771" s="71" t="s">
        <v>4526</v>
      </c>
    </row>
    <row r="2772" spans="3:4">
      <c r="C2772" s="121" t="s">
        <v>4101</v>
      </c>
      <c r="D2772" s="71" t="s">
        <v>4527</v>
      </c>
    </row>
    <row r="2773" spans="3:4">
      <c r="C2773" s="121" t="s">
        <v>4101</v>
      </c>
      <c r="D2773" s="71" t="s">
        <v>4528</v>
      </c>
    </row>
    <row r="2774" spans="3:4">
      <c r="C2774" s="121" t="s">
        <v>4101</v>
      </c>
      <c r="D2774" s="71" t="s">
        <v>4529</v>
      </c>
    </row>
    <row r="2775" spans="3:4">
      <c r="C2775" s="121" t="s">
        <v>4101</v>
      </c>
      <c r="D2775" s="71" t="s">
        <v>4530</v>
      </c>
    </row>
    <row r="2776" spans="3:4">
      <c r="C2776" s="121" t="s">
        <v>4101</v>
      </c>
      <c r="D2776" s="71" t="s">
        <v>4531</v>
      </c>
    </row>
    <row r="2777" spans="3:4">
      <c r="C2777" s="121" t="s">
        <v>4101</v>
      </c>
      <c r="D2777" s="71" t="s">
        <v>4532</v>
      </c>
    </row>
    <row r="2778" spans="3:4">
      <c r="C2778" s="121" t="s">
        <v>4101</v>
      </c>
      <c r="D2778" s="71" t="s">
        <v>4533</v>
      </c>
    </row>
    <row r="2779" spans="3:4">
      <c r="C2779" s="121" t="s">
        <v>4101</v>
      </c>
      <c r="D2779" s="71" t="s">
        <v>4534</v>
      </c>
    </row>
    <row r="2780" spans="3:4">
      <c r="C2780" s="121" t="s">
        <v>4101</v>
      </c>
      <c r="D2780" s="71" t="s">
        <v>4535</v>
      </c>
    </row>
    <row r="2781" spans="3:4">
      <c r="C2781" s="121" t="s">
        <v>4101</v>
      </c>
      <c r="D2781" s="71" t="s">
        <v>4536</v>
      </c>
    </row>
    <row r="2782" spans="3:4">
      <c r="C2782" s="121" t="s">
        <v>4101</v>
      </c>
      <c r="D2782" s="71" t="s">
        <v>4538</v>
      </c>
    </row>
    <row r="2783" spans="3:4">
      <c r="C2783" s="121" t="s">
        <v>4101</v>
      </c>
      <c r="D2783" s="71" t="s">
        <v>4539</v>
      </c>
    </row>
    <row r="2784" spans="3:4">
      <c r="C2784" s="121" t="s">
        <v>4101</v>
      </c>
      <c r="D2784" s="71" t="s">
        <v>4540</v>
      </c>
    </row>
    <row r="2785" spans="3:4">
      <c r="C2785" s="121" t="s">
        <v>4101</v>
      </c>
      <c r="D2785" s="71" t="s">
        <v>4541</v>
      </c>
    </row>
    <row r="2786" spans="3:4">
      <c r="C2786" s="121" t="s">
        <v>4101</v>
      </c>
      <c r="D2786" s="71" t="s">
        <v>4542</v>
      </c>
    </row>
    <row r="2787" spans="3:4">
      <c r="C2787" s="121" t="s">
        <v>4101</v>
      </c>
      <c r="D2787" s="71" t="s">
        <v>4543</v>
      </c>
    </row>
    <row r="2788" spans="3:4">
      <c r="C2788" s="121" t="s">
        <v>4101</v>
      </c>
      <c r="D2788" s="71" t="s">
        <v>4544</v>
      </c>
    </row>
    <row r="2789" spans="3:4">
      <c r="C2789" s="121" t="s">
        <v>4101</v>
      </c>
      <c r="D2789" s="71" t="s">
        <v>4545</v>
      </c>
    </row>
    <row r="2790" spans="3:4">
      <c r="C2790" s="121" t="s">
        <v>4101</v>
      </c>
      <c r="D2790" s="71" t="s">
        <v>4546</v>
      </c>
    </row>
    <row r="2791" spans="3:4">
      <c r="C2791" s="121" t="s">
        <v>4101</v>
      </c>
      <c r="D2791" s="71" t="s">
        <v>4547</v>
      </c>
    </row>
    <row r="2792" spans="3:4">
      <c r="C2792" s="121" t="s">
        <v>4101</v>
      </c>
      <c r="D2792" s="71" t="s">
        <v>4548</v>
      </c>
    </row>
    <row r="2793" spans="3:4">
      <c r="C2793" s="121" t="s">
        <v>4101</v>
      </c>
      <c r="D2793" s="71" t="s">
        <v>4549</v>
      </c>
    </row>
    <row r="2794" spans="3:4">
      <c r="C2794" s="121" t="s">
        <v>4101</v>
      </c>
      <c r="D2794" s="71" t="s">
        <v>4550</v>
      </c>
    </row>
    <row r="2795" spans="3:4">
      <c r="C2795" s="121" t="s">
        <v>4101</v>
      </c>
      <c r="D2795" s="71" t="s">
        <v>4551</v>
      </c>
    </row>
    <row r="2796" spans="3:4">
      <c r="C2796" s="121" t="s">
        <v>4101</v>
      </c>
      <c r="D2796" s="71" t="s">
        <v>4552</v>
      </c>
    </row>
    <row r="2797" spans="3:4">
      <c r="C2797" s="121" t="s">
        <v>4101</v>
      </c>
      <c r="D2797" s="71" t="s">
        <v>4553</v>
      </c>
    </row>
    <row r="2798" spans="3:4">
      <c r="C2798" s="121" t="s">
        <v>4101</v>
      </c>
      <c r="D2798" s="71" t="s">
        <v>4554</v>
      </c>
    </row>
    <row r="2799" spans="3:4">
      <c r="C2799" s="121" t="s">
        <v>4101</v>
      </c>
      <c r="D2799" s="71" t="s">
        <v>4555</v>
      </c>
    </row>
    <row r="2800" spans="3:4">
      <c r="C2800" s="121" t="s">
        <v>4101</v>
      </c>
      <c r="D2800" s="71" t="s">
        <v>4556</v>
      </c>
    </row>
    <row r="2801" spans="3:4">
      <c r="C2801" s="121" t="s">
        <v>4101</v>
      </c>
      <c r="D2801" s="71" t="s">
        <v>4557</v>
      </c>
    </row>
    <row r="2802" spans="3:4">
      <c r="C2802" s="121" t="s">
        <v>4101</v>
      </c>
      <c r="D2802" s="71" t="s">
        <v>4558</v>
      </c>
    </row>
    <row r="2803" spans="3:4">
      <c r="C2803" s="121" t="s">
        <v>4101</v>
      </c>
      <c r="D2803" s="71" t="s">
        <v>4559</v>
      </c>
    </row>
    <row r="2804" spans="3:4">
      <c r="C2804" s="121" t="s">
        <v>4101</v>
      </c>
      <c r="D2804" s="71" t="s">
        <v>4560</v>
      </c>
    </row>
    <row r="2806" spans="3:4">
      <c r="C2806" s="121" t="s">
        <v>4487</v>
      </c>
      <c r="D2806" s="71" t="s">
        <v>4147</v>
      </c>
    </row>
    <row r="2807" spans="3:4">
      <c r="C2807" s="121" t="s">
        <v>4487</v>
      </c>
      <c r="D2807" s="71" t="s">
        <v>4488</v>
      </c>
    </row>
    <row r="2808" spans="3:4">
      <c r="C2808" s="121" t="s">
        <v>4487</v>
      </c>
      <c r="D2808" s="71" t="s">
        <v>4367</v>
      </c>
    </row>
    <row r="2809" spans="3:4">
      <c r="C2809" s="121" t="s">
        <v>4487</v>
      </c>
      <c r="D2809" s="71" t="s">
        <v>4578</v>
      </c>
    </row>
    <row r="2810" spans="3:4">
      <c r="C2810" s="121" t="s">
        <v>4487</v>
      </c>
      <c r="D2810" s="71" t="s">
        <v>4489</v>
      </c>
    </row>
    <row r="2811" spans="3:4">
      <c r="C2811" s="121" t="s">
        <v>4487</v>
      </c>
      <c r="D2811" s="71" t="s">
        <v>4537</v>
      </c>
    </row>
    <row r="2812" spans="3:4">
      <c r="C2812" s="121" t="s">
        <v>4487</v>
      </c>
      <c r="D2812" s="71" t="s">
        <v>4490</v>
      </c>
    </row>
  </sheetData>
  <sheetProtection selectLockedCells="1" selectUnlockedCells="1"/>
  <autoFilter ref="A4:I1271" xr:uid="{00000000-0009-0000-0000-000000000000}"/>
  <sortState xmlns:xlrd2="http://schemas.microsoft.com/office/spreadsheetml/2017/richdata2" ref="L2498:M2648">
    <sortCondition ref="L2498"/>
  </sortState>
  <mergeCells count="2">
    <mergeCell ref="A1:G1"/>
    <mergeCell ref="G542:G544"/>
  </mergeCells>
  <conditionalFormatting sqref="C2524:G2675">
    <cfRule type="expression" dxfId="7889" priority="1" stopIfTrue="1">
      <formula>$Q2524</formula>
    </cfRule>
  </conditionalFormatting>
  <dataValidations disablePrompts="1" count="1">
    <dataValidation type="list" allowBlank="1" showInputMessage="1" showErrorMessage="1" sqref="D2339:D2341 D2343:D2346" xr:uid="{00000000-0002-0000-0000-000000000000}">
      <formula1>INDIRECT($C2339)</formula1>
    </dataValidation>
  </dataValidations>
  <hyperlinks>
    <hyperlink ref="D2524" location="'Kaca Polos 2 mm'!A1" display="Kaca Polos 2 mm" xr:uid="{00000000-0004-0000-0000-000000000000}"/>
    <hyperlink ref="D2525" location="'Kaca Polos 3 mm'!A1" display="Kaca Polos 3 mm" xr:uid="{00000000-0004-0000-0000-000001000000}"/>
    <hyperlink ref="D2526" location="'Kaca Polos 3 mm '!A1" display="Kaca Polos 3 mm " xr:uid="{00000000-0004-0000-0000-000002000000}"/>
    <hyperlink ref="D2527" location="'Kaca Polos 4 mm'!A1" display="Kaca Polos 4 mm" xr:uid="{00000000-0004-0000-0000-000003000000}"/>
    <hyperlink ref="D2528" location="'Kaca Polos 5 mm'!A1" display="Kaca Polos 5 mm" xr:uid="{00000000-0004-0000-0000-000004000000}"/>
    <hyperlink ref="D2529" location="'Kaca Polos 5 mm '!A1" display="Kaca Polos 5 mm " xr:uid="{00000000-0004-0000-0000-000005000000}"/>
    <hyperlink ref="D2530" location="'Kaca Polos 6 mm'!A1" display="Kaca Polos 6 mm" xr:uid="{00000000-0004-0000-0000-000006000000}"/>
    <hyperlink ref="D2531" location="'Kaca Polos 8 mm'!A1" display="Kaca Polos 8 mm" xr:uid="{00000000-0004-0000-0000-000007000000}"/>
    <hyperlink ref="D2532" location="'Kaca Polos 8 mm '!A1" display="Kaca Polos 8 mm " xr:uid="{00000000-0004-0000-0000-000008000000}"/>
    <hyperlink ref="D2533" location="'Kaca Polos 8 mm  '!A1" display="Kaca Polos 8 mm  " xr:uid="{00000000-0004-0000-0000-000009000000}"/>
    <hyperlink ref="D2534" location="'Kaca Polos 10 mm'!A1" display="Kaca Polos 10 mm" xr:uid="{00000000-0004-0000-0000-00000A000000}"/>
    <hyperlink ref="D2535" location="'Kaca Polos 10 mm '!A1" display="Kaca Polos 10 mm " xr:uid="{00000000-0004-0000-0000-00000B000000}"/>
    <hyperlink ref="D2536" location="'Kaca Polos 10 mm  '!A1" display="Kaca Polos 10 mm  " xr:uid="{00000000-0004-0000-0000-00000C000000}"/>
    <hyperlink ref="D2537" location="'Kaca Polos 15 mm '!A1" display="Kaca Polos 15 mm " xr:uid="{00000000-0004-0000-0000-00000D000000}"/>
    <hyperlink ref="D2538" location="'Diamond Clear 5 mm'!A1" display="Diamond Clear 5 mm" xr:uid="{00000000-0004-0000-0000-00000E000000}"/>
    <hyperlink ref="D2539" location="'Diamond Clear 5 mm '!A1" display="Diamond Clear 5 mm " xr:uid="{00000000-0004-0000-0000-00000F000000}"/>
    <hyperlink ref="D2540" location="'Diamond Clear 5 mm  '!A1" display="Diamond Clear 5 mm  " xr:uid="{00000000-0004-0000-0000-000010000000}"/>
    <hyperlink ref="D2541" location="'Super Clear 5 mm'!A1" display="Super Clear 5 mm" xr:uid="{00000000-0004-0000-0000-000011000000}"/>
    <hyperlink ref="D2542" location="'Super Clear 5 mm '!A1" display="Super Clear 5 mm " xr:uid="{00000000-0004-0000-0000-000012000000}"/>
    <hyperlink ref="D2543" location="'Super Clear 5 mm  '!A1" display="Super Clear 5 mm  " xr:uid="{00000000-0004-0000-0000-000013000000}"/>
    <hyperlink ref="D2544" location="'Extra Clear 5 mm'!A1" display="Extra Clear 5 mm" xr:uid="{00000000-0004-0000-0000-000014000000}"/>
    <hyperlink ref="D2545" location="'Extra Clear 5 mm '!A1" display="Extra Clear 5 mm " xr:uid="{00000000-0004-0000-0000-000015000000}"/>
    <hyperlink ref="D2546" location="'Extra Clear 5 mm  '!A1" display="Extra Clear 5 mm  " xr:uid="{00000000-0004-0000-0000-000016000000}"/>
    <hyperlink ref="D2547" location="'Extra Clear 5 mm   '!A1" display="Extra Clear 5 mm   " xr:uid="{00000000-0004-0000-0000-000017000000}"/>
    <hyperlink ref="D2548" location="'Extra Clear 5 mm    '!A1" display="Extra Clear 5 mm    " xr:uid="{00000000-0004-0000-0000-000018000000}"/>
    <hyperlink ref="D2549" location="'Extra Clear 6 mm'!A1" display="Extra Clear 6 mm" xr:uid="{00000000-0004-0000-0000-000019000000}"/>
    <hyperlink ref="D2550" location="'Extra Clear 6 mm '!A1" display="Extra Clear 6 mm " xr:uid="{00000000-0004-0000-0000-00001A000000}"/>
    <hyperlink ref="D2551" location="'Extra Clear 8 mm'!A1" display="Extra Clear 8 mm" xr:uid="{00000000-0004-0000-0000-00001B000000}"/>
    <hyperlink ref="D2552" location="'Extra Clear 8 mm '!A1" display="Extra Clear 8 mm " xr:uid="{00000000-0004-0000-0000-00001C000000}"/>
    <hyperlink ref="D2553" location="'Cermin Polos Clear 5mm'!A1" display="Cermin Polos Clear 5mm" xr:uid="{00000000-0004-0000-0000-00001D000000}"/>
    <hyperlink ref="D2554" location="'Cermin Polos Clear 5mm  '!A1" display="Cermin Polos Clear 5mm  " xr:uid="{00000000-0004-0000-0000-00001E000000}"/>
    <hyperlink ref="D2555" location="'Cermin Polos Clear 5mm   '!A1" display="Cermin Polos Clear 5mm   " xr:uid="{00000000-0004-0000-0000-00001F000000}"/>
    <hyperlink ref="D2556" location="'Grey Tinted Mirror 5 mm'!A1" display="Grey Tinted Mirror 5 mm" xr:uid="{00000000-0004-0000-0000-000020000000}"/>
    <hyperlink ref="D2557" location="'Stopsol Dark Grey 5 mm'!A1" display="Stopsol Dark Grey 5 mm" xr:uid="{00000000-0004-0000-0000-000021000000}"/>
    <hyperlink ref="D2558" location="'Stopsol Dark Grey 5 mm '!A1" display="Stopsol Dark Grey 5 mm " xr:uid="{00000000-0004-0000-0000-000022000000}"/>
    <hyperlink ref="D2559" location="'Stopsol Super Silver Dark Grey'!A1" display="Stopsol Super Silver Dark Grey 5 mm" xr:uid="{00000000-0004-0000-0000-000023000000}"/>
    <hyperlink ref="D2560" location="'Riben Dark Grey 5 mm'!A1" display="Riben Dark Grey 5 mm" xr:uid="{00000000-0004-0000-0000-000024000000}"/>
    <hyperlink ref="D2562" location="'Cermin Bronze 5 mm'!A1" display="Cermin Bronze 5 mm" xr:uid="{00000000-0004-0000-0000-000025000000}"/>
    <hyperlink ref="D2563" location="'Kaca Bronze 5 mm'!A1" display="Kaca Bronze 5 mm" xr:uid="{00000000-0004-0000-0000-000026000000}"/>
    <hyperlink ref="D2564" location="'Kaca Bronze 5 mm '!A1" display="Kaca Bronze 5 mm " xr:uid="{00000000-0004-0000-0000-000027000000}"/>
    <hyperlink ref="D2565" location="'Kaca Bronze 5 mm  '!A1" display="Kaca Bronze 5 mm  " xr:uid="{00000000-0004-0000-0000-000028000000}"/>
    <hyperlink ref="D2566" location="'Kaca Bronze 5 mm   '!A1" display="Kaca Bronze 5 mm   " xr:uid="{00000000-0004-0000-0000-000029000000}"/>
    <hyperlink ref="D2568" location="'Kaca Bronze 8 mm'!A1" display="Kaca Bronze 8 mm" xr:uid="{00000000-0004-0000-0000-00002A000000}"/>
    <hyperlink ref="D2570" location="'Acid Bronze 5 mm'!A1" display="Acid Bronze 5 mm" xr:uid="{00000000-0004-0000-0000-00002B000000}"/>
    <hyperlink ref="D2575" location="'Acid Clear 5 mm'!A1" display="Acid Clear 5 mm" xr:uid="{00000000-0004-0000-0000-00002C000000}"/>
    <hyperlink ref="D2576" location="'Acid Clear 5 mm '!A1" display="Acid Clear 5 mm " xr:uid="{00000000-0004-0000-0000-00002D000000}"/>
    <hyperlink ref="D2577" location="'Acid Clear 5 mm  '!A1" display="Acid Clear G2 5 mm" xr:uid="{00000000-0004-0000-0000-00002E000000}"/>
    <hyperlink ref="D2578" location="'Acid Clear G2 5 mm'!A1" display="Acid Clear G2 5 mm " xr:uid="{00000000-0004-0000-0000-00002F000000}"/>
    <hyperlink ref="D2579" location="'Acid Grey G2 5 mm'!A1" display="Acid Grey G2 5 mm" xr:uid="{00000000-0004-0000-0000-000030000000}"/>
    <hyperlink ref="D2580" location="'Acid Mirror Clear 5 mm'!A1" display="Acid Mirror Clear 5 mm" xr:uid="{00000000-0004-0000-0000-000031000000}"/>
    <hyperlink ref="D2581" location="'Acid Mirror Bronze 5 mm'!A1" display="Acid Mirror Bronze 5 mm" xr:uid="{00000000-0004-0000-0000-000032000000}"/>
    <hyperlink ref="D2582" location="'Acid Mirror Bronze 5 mm '!A1" display="Acid Mirror Bronze 5 mm " xr:uid="{00000000-0004-0000-0000-000033000000}"/>
    <hyperlink ref="D2583" location="'Acid Mirror Grey 5 mm'!A1" display="Acid Mirror Grey 5 mm" xr:uid="{00000000-0004-0000-0000-000034000000}"/>
    <hyperlink ref="D2584" location="'Lacobel Pure White 5 mm'!A1" display="Lacobel Pure White 5 mm" xr:uid="{00000000-0004-0000-0000-000035000000}"/>
    <hyperlink ref="D2585" location="'Lacobel Pure White 5 mm '!A1" display="Lacobel Pure White 5 mm " xr:uid="{00000000-0004-0000-0000-000036000000}"/>
    <hyperlink ref="D2586" location="'Lacobel Pure White 5 mm  '!A1" display="Lacobel Pure White 5 mm  " xr:uid="{00000000-0004-0000-0000-000037000000}"/>
    <hyperlink ref="D2587" location="'Lacobel Pure White 6 mm'!A1" display="Lacobel Pure White 6 mm" xr:uid="{00000000-0004-0000-0000-000038000000}"/>
    <hyperlink ref="D2588" location="'Lacobel Soft White 5 mm'!A1" display="Lacobel Soft White 5 mm" xr:uid="{00000000-0004-0000-0000-000039000000}"/>
    <hyperlink ref="D2589" location="'Euro Grey 5 mm'!A1" display="Euro Grey 5 mm" xr:uid="{00000000-0004-0000-0000-00003A000000}"/>
    <hyperlink ref="D2590" location="'Euro Grey 5 mm '!A1" display="Euro Grey 5 mm " xr:uid="{00000000-0004-0000-0000-00003B000000}"/>
    <hyperlink ref="D2591" location="'Euro Grey 5 mm  '!A1" display="Euro Grey 5 mm  " xr:uid="{00000000-0004-0000-0000-00003C000000}"/>
    <hyperlink ref="D2592" location="'Euro Grey 5 mm   '!A1" display="Euro Grey 5 mm   " xr:uid="{00000000-0004-0000-0000-00003D000000}"/>
    <hyperlink ref="D2593" location="'Euro Grey 8 mm'!A1" display="Euro Grey 8 mm" xr:uid="{00000000-0004-0000-0000-00003E000000}"/>
    <hyperlink ref="D2594" location="'Euro Grey 8 mm '!A1" display="Euro Grey 8 mm " xr:uid="{00000000-0004-0000-0000-00003F000000}"/>
    <hyperlink ref="D2595" location="'Kaca One Way 5 mm'!A1" display="Kaca One Way 5 mm" xr:uid="{00000000-0004-0000-0000-000040000000}"/>
    <hyperlink ref="D2596" location="'Kaca Polos Sandblast Full 5 mm'!A1" display="Kaca Polos Sandblast Full 5 mm" xr:uid="{00000000-0004-0000-0000-000041000000}"/>
    <hyperlink ref="D2597" location="'Kaca Polos Sandblast Full 5 mm '!A1" display="Kaca Polos Sandblast Full 5 mm " xr:uid="{00000000-0004-0000-0000-000042000000}"/>
    <hyperlink ref="D2598" location="'Kaca Polos Sandblast Full 8 mm'!A1" display="Kaca Polos Sandblast Full 8 mm" xr:uid="{00000000-0004-0000-0000-000043000000}"/>
    <hyperlink ref="D2599" location="'Kaca Gallera 5 mm'!A1" display="Kaca Gallera 5 mm" xr:uid="{00000000-0004-0000-0000-000044000000}"/>
    <hyperlink ref="D2600" location="'Kaca Fillia 5 mm'!A1" display="Kaca Fillia 5 mm" xr:uid="{00000000-0004-0000-0000-000045000000}"/>
    <hyperlink ref="D2601" location="'Kaca Linea 5 mm'!A1" display="Kaca Linea 5 mm" xr:uid="{00000000-0004-0000-0000-000046000000}"/>
    <hyperlink ref="D2602" location="'Kaca Valsa 5 mm'!A1" display="Kaca Valsa 5 mm" xr:uid="{00000000-0004-0000-0000-000047000000}"/>
    <hyperlink ref="D2603" location="'Kaca Moru 5 mm'!A1" display="Kaca Moru 5 mm" xr:uid="{00000000-0004-0000-0000-000048000000}"/>
    <hyperlink ref="D2604" location="'Kaca Moru 5 mm '!A1" display="Kaca Moru 5 mm " xr:uid="{00000000-0004-0000-0000-000049000000}"/>
    <hyperlink ref="D2605" location="'Kaca Moru 5 mm  '!A1" display="Kaca Moru 5 mm  " xr:uid="{00000000-0004-0000-0000-00004A000000}"/>
    <hyperlink ref="D2606" location="'Kaca Floria 5 mm'!A1" display="Kaca Floria 5 mm" xr:uid="{00000000-0004-0000-0000-00004B000000}"/>
    <hyperlink ref="D2607" location="'Kaca Rainfall 5 mm'!A1" display="Kaca Rainfall 5 mm" xr:uid="{00000000-0004-0000-0000-00004C000000}"/>
    <hyperlink ref="D2608" location="'Kaca Rainfall 5 mm '!A1" display="Kaca Rainfall 5 mm " xr:uid="{00000000-0004-0000-0000-00004D000000}"/>
    <hyperlink ref="D2609" location="'Kaca Pinstripe 5 mm'!A1" display="Kaca Pinstripe 5 mm" xr:uid="{00000000-0004-0000-0000-00004E000000}"/>
    <hyperlink ref="D2610" location="'Kaca Pinstripe 5 mm '!A1" display="Kaca Pinstripe 5 mm " xr:uid="{00000000-0004-0000-0000-00004F000000}"/>
    <hyperlink ref="D2611" location="'Kaca Aqualite 5 mm'!A1" display="Kaca Aqualite 5 mm" xr:uid="{00000000-0004-0000-0000-000050000000}"/>
    <hyperlink ref="D2612" location="'Kaca Aqualite 5 mm '!A1" display="Kaca Aqualite 5 mm " xr:uid="{00000000-0004-0000-0000-000051000000}"/>
    <hyperlink ref="D2613" location="'Kaca Dania Milenium 5 mm'!A1" display="Kaca Dania Milenium 5 mm" xr:uid="{00000000-0004-0000-0000-000052000000}"/>
    <hyperlink ref="D2614" location="'Bolaro Silver Glass 5 mm'!A1" display="Bolaro Silver Glass 5 mm" xr:uid="{00000000-0004-0000-0000-000053000000}"/>
    <hyperlink ref="D2615" location="'Painting Ring Silver 5 mm'!A1" display="Cermin Painting Ring Silver 5 mm" xr:uid="{00000000-0004-0000-0000-000054000000}"/>
    <hyperlink ref="D2616" location="'Painting Ring Silver 5 mm '!A1" display="Cermin Painting Ring Silver 5 mm " xr:uid="{00000000-0004-0000-0000-000055000000}"/>
    <hyperlink ref="D2617" location="'Painting Ring Silver 5 mm  '!A1" display="Cermin Painting Ring Silver 5 mm  " xr:uid="{00000000-0004-0000-0000-000056000000}"/>
    <hyperlink ref="D2618" location="'Painting Ring Bronze 5 mm'!A1" display="Cermin Painting Ring Bronze 5 mm" xr:uid="{00000000-0004-0000-0000-000057000000}"/>
    <hyperlink ref="D2619" location="'Fancy Bronze Esmeralda 5 mm'!A1" display="Fancy Bronze Mirror Esmeralda 5 mm" xr:uid="{00000000-0004-0000-0000-000058000000}"/>
    <hyperlink ref="D2620" location="'Fancy Bronze Esmeralda 5 mm '!A1" display="Fancy Bronze Mirror Esmeralda 5 mm " xr:uid="{00000000-0004-0000-0000-000059000000}"/>
    <hyperlink ref="D2621" location="'Fancy Bronze Esmeralda 5 mm  '!A1" display="Fancy Bronze Mirror Esmeralda 5 mm  " xr:uid="{00000000-0004-0000-0000-00005A000000}"/>
    <hyperlink ref="D2622" location="'Fancy Silver Esmeralda 5 mm'!A1" display="Fancy Silver Mirror Esmeralda 5 mm" xr:uid="{00000000-0004-0000-0000-00005B000000}"/>
    <hyperlink ref="D2623" location="'Fancy Grey Esmeralda 5 mm'!A1" display="Fancy Grey Mirror Esmeralda 5 mm" xr:uid="{00000000-0004-0000-0000-00005C000000}"/>
    <hyperlink ref="D2624" location="'Fancy Carrol 5 mm'!A1" display="Fancy Carrol 5 mm" xr:uid="{00000000-0004-0000-0000-00005D000000}"/>
    <hyperlink ref="D2625" location="'Kaca Niagara 5 mm'!A1" display="Kaca Niagara 5 mm" xr:uid="{00000000-0004-0000-0000-00005E000000}"/>
    <hyperlink ref="D2626" location="'Antique Mirror Bronze 5 mm '!A1" display="Antique Mirror Bronze 5 mm" xr:uid="{00000000-0004-0000-0000-00005F000000}"/>
    <hyperlink ref="D2627" location="'Antique Mirror Grey 5 mm'!A1" display="Antique Mirror Grey 5 mm" xr:uid="{00000000-0004-0000-0000-000060000000}"/>
    <hyperlink ref="D2628" location="'Metalic Gold 5 mm'!A1" display="Metalic Gold 5 mm" xr:uid="{00000000-0004-0000-0000-000061000000}"/>
    <hyperlink ref="D2629" location="'Mirromax Titanium 5 mm'!A1" display="Mirromax Titanium 5 mm" xr:uid="{00000000-0004-0000-0000-000062000000}"/>
    <hyperlink ref="D2630" location="'Mirromax Red 5 mm'!A1" display="Mirromax Red 5 mm" xr:uid="{00000000-0004-0000-0000-000063000000}"/>
    <hyperlink ref="D2631" location="'Mirromax Gold 5 mm'!A1" display="Mirromax Gold 5 mm" xr:uid="{00000000-0004-0000-0000-000064000000}"/>
    <hyperlink ref="D2632" location="'Mirromax Blue 5 mm'!A1" display="Mirromax Blue 5 mm" xr:uid="{00000000-0004-0000-0000-000065000000}"/>
    <hyperlink ref="D2633" location="'Mirromax Bronze 5 mm'!A1" display="Mirromax Bronze 5 mm" xr:uid="{00000000-0004-0000-0000-000066000000}"/>
    <hyperlink ref="D2634" location="'Mirromax Arte Brunn 5 mm'!A1" display="Mirromax Arte Brunn 5 mm" xr:uid="{00000000-0004-0000-0000-000067000000}"/>
    <hyperlink ref="D2635" location="'Mirromax Purple 5 mm'!A1" display="Mirromax Purple 5 mm" xr:uid="{00000000-0004-0000-0000-000068000000}"/>
    <hyperlink ref="D2636" location="'TG Ivory 5 mm'!A1" display="TG Ivory 5 mm" xr:uid="{00000000-0004-0000-0000-000069000000}"/>
    <hyperlink ref="D2637" location="'TG SKY Blue 5 mm'!A1" display="TG SKY Blue 5 mm" xr:uid="{00000000-0004-0000-0000-00006A000000}"/>
    <hyperlink ref="D2638" location="'TG Chocolate 5 mm'!A1" display="TG Chocolate 5 mm" xr:uid="{00000000-0004-0000-0000-00006B000000}"/>
    <hyperlink ref="D2639" location="'TG Yellowish Green 5 mm'!A1" display="TG Yellowish Green 5 mm" xr:uid="{00000000-0004-0000-0000-00006C000000}"/>
    <hyperlink ref="D2640" location="'TG Metalic Silver 5 mm'!A1" display="TG Metalic Silver 5 mm" xr:uid="{00000000-0004-0000-0000-00006D000000}"/>
    <hyperlink ref="D2641" location="'TG Metalic SKY Blue 5 mm'!A1" display="TG Metalic SKY Blue 5 mm" xr:uid="{00000000-0004-0000-0000-00006E000000}"/>
    <hyperlink ref="D2642" location="'TG Maroon 5 mm'!A1" display="TG Maroon 5 mm" xr:uid="{00000000-0004-0000-0000-00006F000000}"/>
    <hyperlink ref="D2643" location="'TG Brown 5 mm'!A1" display="TG Brown 5 mm" xr:uid="{00000000-0004-0000-0000-000070000000}"/>
    <hyperlink ref="D2644" location="'TG SKY Green 5 mm'!A1" display="TG SKY Green 5 mm" xr:uid="{00000000-0004-0000-0000-000071000000}"/>
    <hyperlink ref="D2645" location="'TG Ungu 5 mm'!A1" display="TG Ungu 5 mm" xr:uid="{00000000-0004-0000-0000-000072000000}"/>
    <hyperlink ref="D2646" location="'TG Yellow 5 mm'!A1" display="TG Yellow 5 mm" xr:uid="{00000000-0004-0000-0000-000073000000}"/>
    <hyperlink ref="D2647" location="'TG Dark Grey 5 mm'!A1" display="TG Dark Grey 5 mm" xr:uid="{00000000-0004-0000-0000-000074000000}"/>
    <hyperlink ref="D2649" location="'TG Light Grey 5 mm'!A1" display="TG Light Grey 5 mm" xr:uid="{00000000-0004-0000-0000-000075000000}"/>
    <hyperlink ref="D2650" location="'TG Blue 5 mm'!A1" display="TG Blue 5 mm" xr:uid="{00000000-0004-0000-0000-000076000000}"/>
    <hyperlink ref="D2651" location="'TG Metalic Gold 5 mm'!A1" display="TG Metalic Gold 5 mm" xr:uid="{00000000-0004-0000-0000-000077000000}"/>
    <hyperlink ref="D2652" location="'TG Natural Brown 5 mm'!A1" display="TG Natural Brown 5 mm" xr:uid="{00000000-0004-0000-0000-000078000000}"/>
    <hyperlink ref="D2653" location="'TG Brown Muda 5 mm'!A1" display="TG Brown Muda 5 mm" xr:uid="{00000000-0004-0000-0000-000079000000}"/>
    <hyperlink ref="D2655" location="'Glasstone Mono White 5 mm'!A1" display="Glasstone Mono White 5 mm" xr:uid="{00000000-0004-0000-0000-00007A000000}"/>
    <hyperlink ref="D2656" location="'Glasstone Mono Super White 5 mm'!A1" display="Glasstone Mono Super White 5 mm" xr:uid="{00000000-0004-0000-0000-00007B000000}"/>
    <hyperlink ref="D2657" location="'Glasstone Mono Black 5 mm'!A1" display="Glasstone Mono Black 5 mm" xr:uid="{00000000-0004-0000-0000-00007C000000}"/>
    <hyperlink ref="D2658" location="'Glasstone White 5 mm'!A1" display="Glasstone White 5 mm" xr:uid="{00000000-0004-0000-0000-00007D000000}"/>
    <hyperlink ref="D2659" location="'Glasstone Super White 5 mm'!A1" display="Glasstone Super White 5 mm" xr:uid="{00000000-0004-0000-0000-00007E000000}"/>
    <hyperlink ref="D2660" location="'Glasstone Black 5 mm'!A1" display="Glasstone Black 5 mm" xr:uid="{00000000-0004-0000-0000-00007F000000}"/>
    <hyperlink ref="D2662" location="'Glasstone Red 5 mm '!A1" display="Glasstone Red 5 mm " xr:uid="{00000000-0004-0000-0000-000080000000}"/>
    <hyperlink ref="D2663" location="'Glasstone Yellow 5 mm'!A1" display="Glasstone Yellow 5 mm" xr:uid="{00000000-0004-0000-0000-000081000000}"/>
    <hyperlink ref="D2664" location="'Glasstone Orange 5 mm'!A1" display="Glasstone Orange 5 mm" xr:uid="{00000000-0004-0000-0000-000082000000}"/>
    <hyperlink ref="D2665" location="'Glasstone Blue 5 mm'!A1" display="Glasstone Blue 5 mm" xr:uid="{00000000-0004-0000-0000-000083000000}"/>
    <hyperlink ref="D2666" location="'Glasstone Light Grey 5 mm'!A1" display="Glasstone Light Grey 5 mm" xr:uid="{00000000-0004-0000-0000-000084000000}"/>
    <hyperlink ref="D2667" location="'Glasstone Matte White 5 mm'!A1" display="Glasstone Matte White 5 mm" xr:uid="{00000000-0004-0000-0000-000085000000}"/>
    <hyperlink ref="D2668" location="'Glasstone Matte Super White 5 m'!A1" display="Glasstone Matte Super White 5 mm" xr:uid="{00000000-0004-0000-0000-000086000000}"/>
    <hyperlink ref="D2669" location="'Glasstone Matte Black 5 mm'!A1" display="Glasstone Matte Black 5 mm" xr:uid="{00000000-0004-0000-0000-000087000000}"/>
    <hyperlink ref="D2670" location="'Glasstone Matte Bronze 5 mm'!A1" display="Glasstone Matte Bronze 5 mm" xr:uid="{00000000-0004-0000-0000-000088000000}"/>
    <hyperlink ref="D2671" location="'Glasstone Matte Bronze 5 mm  '!A1" display="Glasstone Matte Bronze 5 mm  " xr:uid="{00000000-0004-0000-0000-000089000000}"/>
    <hyperlink ref="D2672" location="'Glasstone Matte Grey 5 mm'!A1" display="Glasstone Matte Grey 5 mm" xr:uid="{00000000-0004-0000-0000-00008A000000}"/>
    <hyperlink ref="D2673" location="'Guardian Ultra Mirror 5 mm   '!A1" display="Guardian Ultra Mirror 5 mm   " xr:uid="{00000000-0004-0000-0000-00008B000000}"/>
    <hyperlink ref="D2674" location="'G Ultra Mirror Euro Bronze 5mm'!A1" display="Guardian Ultra Mirror Euro Bronze 5 mm" xr:uid="{00000000-0004-0000-0000-00008C000000}"/>
    <hyperlink ref="D2661" location="'Glasstone Red 5 mm'!A1" display="Glasstone Red 5 mm" xr:uid="{00000000-0004-0000-0000-00008D000000}"/>
    <hyperlink ref="D2654" location="'Glasstone Pure White 5 mm'!A1" display="Glasstone Pure White 5 mm" xr:uid="{00000000-0004-0000-0000-00008E000000}"/>
    <hyperlink ref="D2561" location="'Riben Dark Grey 8 mm'!A1" display="Riben Dark Grey 8 mm" xr:uid="{00000000-0004-0000-0000-00008F000000}"/>
    <hyperlink ref="D2572" location="'Acid Bronze G2 5 mm'!A1" display="Acid Bronze G2 5 mm" xr:uid="{00000000-0004-0000-0000-000090000000}"/>
    <hyperlink ref="D2573" location="'Acid Bronze G2 5 mm '!A1" display="Acid Bronze G2 5 mm " xr:uid="{00000000-0004-0000-0000-000091000000}"/>
    <hyperlink ref="D2574" location="'Acid Bronze G2 5 mm  '!A1" display="Acid Bronze G2 5 mm  " xr:uid="{00000000-0004-0000-0000-000092000000}"/>
    <hyperlink ref="D2571" location="'Acid Bronze 5 mm  '!A1" display="Acid Bronze 5 mm " xr:uid="{00000000-0004-0000-0000-000093000000}"/>
    <hyperlink ref="D2675" location="'G Ultra Mirror Euro Bronze 5mm '!A1" display="Guardian Ultra Mirror Euro Bronze 5 mm " xr:uid="{00000000-0004-0000-0000-000094000000}"/>
    <hyperlink ref="D2567" location="'Kaca Bronze 5 mm    '!A1" display="Kaca Bronze 5 mm   " xr:uid="{00000000-0004-0000-0000-000095000000}"/>
    <hyperlink ref="D2648" location="'TG Tiffany Blue 5 mm'!A1" display="TG Tiffany Blue 5 mm" xr:uid="{00000000-0004-0000-0000-000096000000}"/>
  </hyperlinks>
  <pageMargins left="0.75" right="0.75" top="1" bottom="1" header="0.51111111111111107" footer="0.51111111111111107"/>
  <pageSetup paperSize="9" orientation="portrait" horizontalDpi="120" verticalDpi="72" r:id="rId1"/>
  <headerFooter scaleWithDoc="0"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indexed="51"/>
  </sheetPr>
  <dimension ref="A1:AM2480"/>
  <sheetViews>
    <sheetView zoomScale="85" zoomScaleNormal="85" workbookViewId="0">
      <pane xSplit="2" ySplit="15" topLeftCell="C33" activePane="bottomRight" state="frozen"/>
      <selection activeCell="D2212" sqref="D2212"/>
      <selection pane="topRight" activeCell="D2212" sqref="D2212"/>
      <selection pane="bottomLeft" activeCell="D2212" sqref="D2212"/>
      <selection pane="bottomRight" activeCell="L5" sqref="L5"/>
    </sheetView>
  </sheetViews>
  <sheetFormatPr baseColWidth="10" defaultColWidth="8.83203125" defaultRowHeight="16" outlineLevelRow="1"/>
  <cols>
    <col min="1" max="1" width="2.83203125" style="1" customWidth="1"/>
    <col min="2" max="2" width="23.83203125" customWidth="1"/>
    <col min="3" max="3" width="1.1640625" customWidth="1"/>
    <col min="4" max="4" width="40.6640625" customWidth="1"/>
    <col min="5" max="5" width="4.6640625" style="1" customWidth="1"/>
    <col min="6" max="7" width="4.6640625" customWidth="1"/>
    <col min="10" max="10" width="16" customWidth="1"/>
  </cols>
  <sheetData>
    <row r="1" spans="2:11">
      <c r="C1" s="165"/>
      <c r="D1" s="216" t="s">
        <v>4125</v>
      </c>
    </row>
    <row r="2" spans="2:11">
      <c r="B2" t="s">
        <v>2327</v>
      </c>
      <c r="C2" s="165" t="s">
        <v>1503</v>
      </c>
      <c r="D2" s="368">
        <v>46163</v>
      </c>
      <c r="E2" s="1" t="s">
        <v>1500</v>
      </c>
      <c r="F2" s="1" t="s">
        <v>1501</v>
      </c>
      <c r="G2" t="s">
        <v>1745</v>
      </c>
    </row>
    <row r="3" spans="2:11" ht="31.5" customHeight="1">
      <c r="B3" t="s">
        <v>1502</v>
      </c>
      <c r="C3" s="165" t="s">
        <v>1503</v>
      </c>
      <c r="D3" t="s">
        <v>4630</v>
      </c>
    </row>
    <row r="4" spans="2:11">
      <c r="B4" s="36" t="s">
        <v>1504</v>
      </c>
      <c r="C4" s="165" t="s">
        <v>1503</v>
      </c>
      <c r="D4" s="36" t="s">
        <v>2398</v>
      </c>
      <c r="I4" s="30"/>
      <c r="J4" s="18"/>
    </row>
    <row r="5" spans="2:11">
      <c r="B5" s="36" t="s">
        <v>2881</v>
      </c>
      <c r="C5" s="165" t="s">
        <v>1503</v>
      </c>
      <c r="D5" s="36" t="s">
        <v>2913</v>
      </c>
      <c r="E5" t="s">
        <v>2913</v>
      </c>
      <c r="I5" s="30"/>
      <c r="J5" s="18"/>
    </row>
    <row r="6" spans="2:11">
      <c r="B6" s="250" t="s">
        <v>2544</v>
      </c>
      <c r="C6" s="165"/>
      <c r="D6" s="1"/>
      <c r="I6" s="30"/>
      <c r="J6" s="18"/>
    </row>
    <row r="7" spans="2:11">
      <c r="B7" s="419" t="s">
        <v>1509</v>
      </c>
      <c r="C7" s="165" t="s">
        <v>1503</v>
      </c>
      <c r="D7" s="422"/>
      <c r="E7" s="218"/>
      <c r="I7" s="30"/>
      <c r="J7" s="18"/>
    </row>
    <row r="8" spans="2:11">
      <c r="B8" s="419" t="s">
        <v>1511</v>
      </c>
      <c r="C8" s="165" t="s">
        <v>1503</v>
      </c>
      <c r="D8" s="422" t="s">
        <v>1506</v>
      </c>
      <c r="I8" s="30"/>
      <c r="J8" s="18"/>
      <c r="K8" t="s">
        <v>1658</v>
      </c>
    </row>
    <row r="9" spans="2:11">
      <c r="B9" s="419" t="s">
        <v>2545</v>
      </c>
      <c r="C9" s="165" t="s">
        <v>1503</v>
      </c>
      <c r="D9" s="422"/>
      <c r="I9" s="30"/>
      <c r="J9" s="18"/>
    </row>
    <row r="10" spans="2:11">
      <c r="B10" s="420" t="s">
        <v>2546</v>
      </c>
      <c r="C10" s="165" t="s">
        <v>1503</v>
      </c>
      <c r="D10" s="422" t="s">
        <v>1506</v>
      </c>
      <c r="I10" s="30"/>
      <c r="J10" s="18"/>
    </row>
    <row r="11" spans="2:11">
      <c r="B11" s="255" t="s">
        <v>1505</v>
      </c>
      <c r="D11" s="36"/>
      <c r="I11" s="427"/>
      <c r="J11" s="427"/>
    </row>
    <row r="12" spans="2:11" outlineLevel="1">
      <c r="B12" s="36" t="s">
        <v>1507</v>
      </c>
      <c r="C12" s="165" t="s">
        <v>1503</v>
      </c>
      <c r="D12" s="57" t="s">
        <v>4631</v>
      </c>
    </row>
    <row r="13" spans="2:11" outlineLevel="1">
      <c r="B13" s="36" t="s">
        <v>1508</v>
      </c>
      <c r="C13" s="165" t="s">
        <v>1503</v>
      </c>
      <c r="D13" s="36" t="s">
        <v>4632</v>
      </c>
      <c r="I13" s="9"/>
      <c r="J13" s="65"/>
    </row>
    <row r="14" spans="2:11" outlineLevel="1">
      <c r="B14" s="36" t="s">
        <v>1510</v>
      </c>
      <c r="C14" s="165" t="s">
        <v>1503</v>
      </c>
      <c r="D14" s="36" t="s">
        <v>4633</v>
      </c>
      <c r="I14" s="9"/>
      <c r="J14" s="65"/>
    </row>
    <row r="15" spans="2:11" outlineLevel="1">
      <c r="B15" s="36" t="s">
        <v>1512</v>
      </c>
      <c r="C15" s="165" t="s">
        <v>1503</v>
      </c>
      <c r="D15" s="36" t="s">
        <v>4634</v>
      </c>
      <c r="E15"/>
      <c r="I15" s="8" t="str">
        <f>CONCATENATE((Spek!$D$15),"-",(Spek!$D$14))</f>
        <v>PT Malindo Feedmill Tbk-Dry Pantry</v>
      </c>
    </row>
    <row r="16" spans="2:11">
      <c r="B16" s="256" t="s">
        <v>1513</v>
      </c>
      <c r="D16" s="257"/>
      <c r="I16" s="9"/>
      <c r="J16" s="65"/>
    </row>
    <row r="17" spans="2:6" outlineLevel="1">
      <c r="B17" s="36" t="s">
        <v>1514</v>
      </c>
      <c r="C17" s="165" t="s">
        <v>1503</v>
      </c>
      <c r="D17" s="473" t="s">
        <v>1515</v>
      </c>
      <c r="F17" s="130" t="s">
        <v>4072</v>
      </c>
    </row>
    <row r="18" spans="2:6" outlineLevel="1">
      <c r="B18" s="36" t="s">
        <v>1516</v>
      </c>
      <c r="C18" s="165" t="s">
        <v>1503</v>
      </c>
      <c r="D18" s="36" t="s">
        <v>2814</v>
      </c>
      <c r="E18" s="258"/>
      <c r="F18" s="130" t="s">
        <v>1517</v>
      </c>
    </row>
    <row r="19" spans="2:6" outlineLevel="1">
      <c r="B19" s="36" t="s">
        <v>1518</v>
      </c>
      <c r="C19" s="165" t="s">
        <v>1503</v>
      </c>
      <c r="D19" s="36" t="s">
        <v>2815</v>
      </c>
      <c r="E19" s="258"/>
      <c r="F19" s="130" t="s">
        <v>1519</v>
      </c>
    </row>
    <row r="20" spans="2:6" outlineLevel="1">
      <c r="B20" s="36" t="s">
        <v>1520</v>
      </c>
      <c r="C20" s="165" t="s">
        <v>1503</v>
      </c>
      <c r="D20" s="36" t="s">
        <v>2816</v>
      </c>
      <c r="E20" s="258"/>
      <c r="F20" s="130" t="s">
        <v>1521</v>
      </c>
    </row>
    <row r="21" spans="2:6" outlineLevel="1">
      <c r="B21" s="36" t="s">
        <v>1522</v>
      </c>
      <c r="C21" s="165" t="s">
        <v>1503</v>
      </c>
      <c r="D21" s="376" t="s">
        <v>1515</v>
      </c>
      <c r="E21" s="258"/>
      <c r="F21" s="130" t="s">
        <v>4073</v>
      </c>
    </row>
    <row r="22" spans="2:6" outlineLevel="1">
      <c r="B22" s="36" t="s">
        <v>1523</v>
      </c>
      <c r="C22" s="165" t="s">
        <v>1503</v>
      </c>
      <c r="D22" s="36" t="s">
        <v>129</v>
      </c>
      <c r="E22" s="258"/>
      <c r="F22" s="130" t="s">
        <v>1524</v>
      </c>
    </row>
    <row r="23" spans="2:6" outlineLevel="1">
      <c r="B23" s="36" t="s">
        <v>3486</v>
      </c>
      <c r="C23" s="165" t="s">
        <v>1503</v>
      </c>
      <c r="D23" s="36" t="s">
        <v>3505</v>
      </c>
      <c r="E23" s="258"/>
      <c r="F23" s="130" t="s">
        <v>3484</v>
      </c>
    </row>
    <row r="24" spans="2:6" outlineLevel="1">
      <c r="B24" s="36" t="s">
        <v>3487</v>
      </c>
      <c r="C24" s="165" t="s">
        <v>1503</v>
      </c>
      <c r="D24" s="36" t="s">
        <v>4397</v>
      </c>
      <c r="E24" s="258"/>
      <c r="F24" s="130" t="s">
        <v>3485</v>
      </c>
    </row>
    <row r="25" spans="2:6" outlineLevel="1">
      <c r="B25" s="36"/>
      <c r="C25" s="165"/>
      <c r="D25" s="36"/>
      <c r="E25" s="258"/>
      <c r="F25" s="130"/>
    </row>
    <row r="26" spans="2:6" outlineLevel="1">
      <c r="B26" s="36"/>
      <c r="C26" s="165"/>
      <c r="D26" s="36"/>
      <c r="E26" s="258"/>
      <c r="F26" s="130"/>
    </row>
    <row r="27" spans="2:6">
      <c r="B27" s="256" t="s">
        <v>2547</v>
      </c>
      <c r="C27" s="165"/>
      <c r="E27" s="258"/>
      <c r="F27" s="130"/>
    </row>
    <row r="28" spans="2:6" outlineLevel="1">
      <c r="B28" s="36" t="s">
        <v>2548</v>
      </c>
      <c r="C28" s="422" t="s">
        <v>1503</v>
      </c>
      <c r="D28" s="433">
        <v>18</v>
      </c>
      <c r="E28" s="258"/>
      <c r="F28" s="130"/>
    </row>
    <row r="29" spans="2:6" outlineLevel="1">
      <c r="B29" s="36" t="s">
        <v>2549</v>
      </c>
      <c r="C29" s="422" t="s">
        <v>1503</v>
      </c>
      <c r="D29" s="472">
        <v>12</v>
      </c>
      <c r="E29" s="258"/>
      <c r="F29" s="130"/>
    </row>
    <row r="30" spans="2:6" outlineLevel="1">
      <c r="B30" s="36" t="s">
        <v>2550</v>
      </c>
      <c r="C30" s="422" t="s">
        <v>1503</v>
      </c>
      <c r="D30" s="472">
        <v>6</v>
      </c>
      <c r="E30" s="258"/>
      <c r="F30" s="130"/>
    </row>
    <row r="31" spans="2:6" outlineLevel="1">
      <c r="B31" s="36" t="s">
        <v>1611</v>
      </c>
      <c r="C31" s="422" t="s">
        <v>1503</v>
      </c>
      <c r="D31" s="433">
        <v>18</v>
      </c>
      <c r="E31" s="258"/>
      <c r="F31" s="130"/>
    </row>
    <row r="32" spans="2:6" outlineLevel="1">
      <c r="B32" s="36" t="s">
        <v>2551</v>
      </c>
      <c r="C32" s="423" t="s">
        <v>1503</v>
      </c>
      <c r="D32" s="433">
        <v>27</v>
      </c>
      <c r="E32" s="258"/>
      <c r="F32" s="130"/>
    </row>
    <row r="33" spans="1:7" outlineLevel="1">
      <c r="B33" s="36"/>
      <c r="C33" s="165"/>
      <c r="D33" s="34"/>
      <c r="E33" s="258"/>
      <c r="F33" s="130"/>
    </row>
    <row r="34" spans="1:7">
      <c r="B34" s="250" t="s">
        <v>2552</v>
      </c>
      <c r="D34" s="34"/>
      <c r="E34" s="258"/>
      <c r="F34" s="130"/>
    </row>
    <row r="35" spans="1:7" outlineLevel="1">
      <c r="A35" s="172">
        <v>11</v>
      </c>
      <c r="B35" s="435" t="s">
        <v>2553</v>
      </c>
      <c r="C35" s="165" t="s">
        <v>1503</v>
      </c>
      <c r="D35" s="426" t="str">
        <f>IFERROR(INDEX((tf),MATCH(A35,ctf,0)),"")</f>
        <v>HB_41130</v>
      </c>
      <c r="E35" s="258"/>
      <c r="F35" s="539" t="str">
        <f>IF(A35=1,edging1,IF(A35=11,edgingkab1,"cek tipe edging"))</f>
        <v>Edg_Décor_1723_B</v>
      </c>
    </row>
    <row r="36" spans="1:7" outlineLevel="1">
      <c r="A36" s="172">
        <v>0</v>
      </c>
      <c r="B36" s="435" t="s">
        <v>2554</v>
      </c>
      <c r="C36" s="165" t="s">
        <v>1503</v>
      </c>
      <c r="D36" s="426" t="str">
        <f>IFERROR(INDEX((tf),MATCH(A36,ctf,0)),"")</f>
        <v>Polos</v>
      </c>
      <c r="E36" s="258"/>
      <c r="F36" s="130"/>
    </row>
    <row r="37" spans="1:7" outlineLevel="1">
      <c r="A37" s="172">
        <v>0</v>
      </c>
      <c r="B37" s="435" t="s">
        <v>2822</v>
      </c>
      <c r="C37" s="165" t="s">
        <v>1503</v>
      </c>
      <c r="D37" s="426" t="str">
        <f>IFERROR(INDEX((tf),MATCH(A37,ctf,0)),"")</f>
        <v>Polos</v>
      </c>
      <c r="E37" s="258"/>
      <c r="F37" s="130"/>
    </row>
    <row r="38" spans="1:7" outlineLevel="1">
      <c r="A38" s="55"/>
      <c r="C38" s="165" t="s">
        <v>1503</v>
      </c>
      <c r="D38" s="451"/>
      <c r="E38" s="258"/>
      <c r="F38" s="130"/>
    </row>
    <row r="39" spans="1:7" hidden="1" outlineLevel="1">
      <c r="A39" s="55"/>
      <c r="B39" s="36" t="s">
        <v>3051</v>
      </c>
      <c r="C39" s="165" t="s">
        <v>1503</v>
      </c>
      <c r="D39" s="376" t="s">
        <v>1891</v>
      </c>
      <c r="E39" s="258"/>
      <c r="F39" s="130"/>
    </row>
    <row r="40" spans="1:7" outlineLevel="1">
      <c r="A40" s="55"/>
      <c r="B40" s="36" t="s">
        <v>3050</v>
      </c>
      <c r="C40" s="165" t="s">
        <v>1503</v>
      </c>
      <c r="D40" s="376" t="str">
        <f>IF($D$42="AL01","AL01",IF($D$42="MWW_003",lapisan_luar_paper,IF($D$42="MWW_004",lapisan_luar_paper,IF($D$42="MM_002",lapisan_luar_paper,lapisan_luar_hb))))</f>
        <v>[Aica]</v>
      </c>
      <c r="E40" s="508">
        <f>IF($B$42="paper",(INDEX((tbl_paper),MATCH($D40,paper,0))),(INDEX((tbl_hpl),MATCH($D40,HPL,0))))</f>
        <v>0.5</v>
      </c>
      <c r="F40" s="130"/>
    </row>
    <row r="41" spans="1:7">
      <c r="C41" s="165"/>
      <c r="D41" s="34"/>
      <c r="E41" s="258"/>
      <c r="F41" s="130"/>
    </row>
    <row r="42" spans="1:7" outlineLevel="1">
      <c r="A42" s="1">
        <v>11</v>
      </c>
      <c r="B42" s="473" t="s">
        <v>52</v>
      </c>
      <c r="C42" s="165" t="s">
        <v>1503</v>
      </c>
      <c r="D42" s="36" t="s">
        <v>1390</v>
      </c>
      <c r="E42" s="462">
        <f>IF(B42="paper",(INDEX((tbl_paper),MATCH($D42,paper,0))),(INDEX((tbl_hpl),MATCH($D42,HPL,0))))</f>
        <v>0.5</v>
      </c>
      <c r="F42" s="130" t="s">
        <v>1525</v>
      </c>
      <c r="G42" s="401"/>
    </row>
    <row r="43" spans="1:7" outlineLevel="1">
      <c r="B43" s="36" t="s">
        <v>1420</v>
      </c>
      <c r="C43" s="165" t="s">
        <v>1503</v>
      </c>
      <c r="D43" s="473" t="s">
        <v>1422</v>
      </c>
      <c r="F43" s="130" t="s">
        <v>1526</v>
      </c>
    </row>
    <row r="44" spans="1:7" outlineLevel="1">
      <c r="A44" s="1">
        <v>22</v>
      </c>
      <c r="B44" s="36" t="s">
        <v>52</v>
      </c>
      <c r="C44" s="165" t="s">
        <v>1503</v>
      </c>
      <c r="D44" s="36" t="s">
        <v>1527</v>
      </c>
      <c r="E44" s="462">
        <f>IF(B44="paper",(INDEX((tbl_paper),MATCH($D44,paper,0))),(INDEX((tbl_hpl),MATCH($D44,HPL,0))))</f>
        <v>0.5</v>
      </c>
      <c r="F44" s="130" t="s">
        <v>1528</v>
      </c>
    </row>
    <row r="45" spans="1:7" outlineLevel="1">
      <c r="B45" s="36" t="s">
        <v>1420</v>
      </c>
      <c r="C45" s="165" t="s">
        <v>1503</v>
      </c>
      <c r="D45" s="473" t="s">
        <v>1423</v>
      </c>
      <c r="E45" s="258"/>
      <c r="F45" s="130" t="s">
        <v>1529</v>
      </c>
    </row>
    <row r="46" spans="1:7" outlineLevel="1">
      <c r="A46" s="1">
        <v>33</v>
      </c>
      <c r="B46" s="36" t="s">
        <v>52</v>
      </c>
      <c r="C46" s="165" t="s">
        <v>1503</v>
      </c>
      <c r="D46" s="36" t="s">
        <v>1527</v>
      </c>
      <c r="E46" s="462">
        <f>IF(B46="paper",(INDEX((tbl_paper),MATCH($D46,paper,0))),(INDEX((tbl_hpl),MATCH($D46,HPL,0))))</f>
        <v>0.5</v>
      </c>
      <c r="F46" s="130" t="s">
        <v>2493</v>
      </c>
    </row>
    <row r="47" spans="1:7" outlineLevel="1">
      <c r="B47" s="36" t="s">
        <v>1420</v>
      </c>
      <c r="C47" s="165" t="s">
        <v>1503</v>
      </c>
      <c r="D47" s="36"/>
      <c r="E47" s="258"/>
      <c r="F47" s="130" t="s">
        <v>2494</v>
      </c>
    </row>
    <row r="48" spans="1:7" outlineLevel="1">
      <c r="A48" s="1">
        <v>1</v>
      </c>
      <c r="B48" s="36" t="s">
        <v>52</v>
      </c>
      <c r="C48" s="165" t="s">
        <v>1503</v>
      </c>
      <c r="D48" s="36" t="s">
        <v>2695</v>
      </c>
      <c r="E48" s="462">
        <f>IF(B48="paper",(INDEX((tbl_paper),MATCH($D48,paper,0))),(INDEX((tbl_hpl),MATCH($D48,HPL,0))))</f>
        <v>1</v>
      </c>
      <c r="F48" s="259" t="s">
        <v>1530</v>
      </c>
    </row>
    <row r="49" spans="1:6" outlineLevel="1">
      <c r="B49" s="36" t="s">
        <v>1420</v>
      </c>
      <c r="C49" s="165" t="s">
        <v>1503</v>
      </c>
      <c r="D49" s="473" t="s">
        <v>2627</v>
      </c>
      <c r="F49" s="259" t="s">
        <v>1531</v>
      </c>
    </row>
    <row r="50" spans="1:6" outlineLevel="1">
      <c r="A50" s="1">
        <v>2</v>
      </c>
      <c r="B50" s="36" t="s">
        <v>52</v>
      </c>
      <c r="C50" s="165" t="s">
        <v>1503</v>
      </c>
      <c r="D50" s="36" t="str">
        <f>CONCATENATE("(",lapisan1," ","rangka……","+",kabinet2,")")</f>
        <v>(WY_5216_D(V) rangka……+Aica)</v>
      </c>
      <c r="E50" s="387">
        <f>+E48</f>
        <v>1</v>
      </c>
      <c r="F50" s="130" t="s">
        <v>1532</v>
      </c>
    </row>
    <row r="51" spans="1:6" outlineLevel="1">
      <c r="B51" s="36" t="s">
        <v>1420</v>
      </c>
      <c r="C51" s="165" t="s">
        <v>1503</v>
      </c>
      <c r="D51" s="473" t="s">
        <v>4638</v>
      </c>
      <c r="F51" s="259" t="s">
        <v>2232</v>
      </c>
    </row>
    <row r="52" spans="1:6" outlineLevel="1">
      <c r="A52" s="1">
        <v>3</v>
      </c>
      <c r="B52" s="36" t="s">
        <v>52</v>
      </c>
      <c r="C52" s="165" t="s">
        <v>1503</v>
      </c>
      <c r="D52" s="36" t="s">
        <v>4647</v>
      </c>
      <c r="E52" s="462">
        <f>IF(B52="paper",(INDEX((tbl_paper),MATCH($D52,paper,0))),(INDEX((tbl_hpl),MATCH($D52,HPL,0))))</f>
        <v>1</v>
      </c>
      <c r="F52" s="130" t="s">
        <v>1533</v>
      </c>
    </row>
    <row r="53" spans="1:6" outlineLevel="1">
      <c r="B53" s="36" t="s">
        <v>1420</v>
      </c>
      <c r="C53" s="165" t="s">
        <v>1503</v>
      </c>
      <c r="D53" s="473" t="s">
        <v>4176</v>
      </c>
      <c r="E53" s="258"/>
      <c r="F53" s="130" t="s">
        <v>1534</v>
      </c>
    </row>
    <row r="54" spans="1:6" outlineLevel="1">
      <c r="A54" s="1">
        <v>4</v>
      </c>
      <c r="B54" s="36" t="s">
        <v>52</v>
      </c>
      <c r="C54" s="165" t="s">
        <v>1503</v>
      </c>
      <c r="D54" s="36" t="str">
        <f>CONCATENATE("(",lapisan3," ","rangka……","+",kabinet2,")")</f>
        <v>(L-FA_0206_AP rangka……+Aica)</v>
      </c>
      <c r="E54" s="387">
        <f>+E52</f>
        <v>1</v>
      </c>
      <c r="F54" s="130" t="s">
        <v>1535</v>
      </c>
    </row>
    <row r="55" spans="1:6" outlineLevel="1">
      <c r="B55" s="36" t="s">
        <v>1420</v>
      </c>
      <c r="C55" s="165" t="s">
        <v>1503</v>
      </c>
      <c r="D55" s="473" t="s">
        <v>4659</v>
      </c>
      <c r="E55" s="258"/>
      <c r="F55" s="130" t="s">
        <v>1536</v>
      </c>
    </row>
    <row r="56" spans="1:6" outlineLevel="1">
      <c r="A56" s="1">
        <v>5</v>
      </c>
      <c r="B56" s="36" t="s">
        <v>52</v>
      </c>
      <c r="C56" s="165" t="s">
        <v>1503</v>
      </c>
      <c r="D56" s="36" t="s">
        <v>4660</v>
      </c>
      <c r="E56" s="462">
        <f>IF(B56="paper",(INDEX((tbl_paper),MATCH($D56,paper,0))),(INDEX((tbl_hpl),MATCH($D56,HPL,0))))</f>
        <v>1</v>
      </c>
      <c r="F56" s="130" t="s">
        <v>1537</v>
      </c>
    </row>
    <row r="57" spans="1:6" outlineLevel="1">
      <c r="B57" s="36" t="s">
        <v>1420</v>
      </c>
      <c r="C57" s="165" t="s">
        <v>1503</v>
      </c>
      <c r="D57" s="473" t="s">
        <v>4661</v>
      </c>
      <c r="E57" s="258"/>
      <c r="F57" s="130" t="s">
        <v>1538</v>
      </c>
    </row>
    <row r="58" spans="1:6" outlineLevel="1">
      <c r="A58" s="1">
        <v>6</v>
      </c>
      <c r="B58" s="36" t="s">
        <v>52</v>
      </c>
      <c r="C58" s="165" t="s">
        <v>1503</v>
      </c>
      <c r="D58" s="36"/>
      <c r="E58" s="462" t="e">
        <f>IF(B58="paper",(INDEX((tbl_paper),MATCH($D58,paper,0))),(INDEX((tbl_hpl),MATCH($D58,HPL,0))))</f>
        <v>#N/A</v>
      </c>
      <c r="F58" s="130" t="s">
        <v>1539</v>
      </c>
    </row>
    <row r="59" spans="1:6" outlineLevel="1">
      <c r="B59" s="36" t="s">
        <v>1420</v>
      </c>
      <c r="C59" s="165" t="s">
        <v>1503</v>
      </c>
      <c r="D59" s="473" t="s">
        <v>1465</v>
      </c>
      <c r="E59" s="258"/>
      <c r="F59" s="130" t="s">
        <v>1540</v>
      </c>
    </row>
    <row r="60" spans="1:6" outlineLevel="1">
      <c r="A60" s="1">
        <v>7</v>
      </c>
      <c r="B60" s="36" t="s">
        <v>52</v>
      </c>
      <c r="C60" s="165" t="s">
        <v>1503</v>
      </c>
      <c r="D60" s="36" t="s">
        <v>2901</v>
      </c>
      <c r="E60" s="462">
        <f>IF(B60="paper",(INDEX((tbl_paper),MATCH($D60,paper,0))),(INDEX((tbl_hpl),MATCH($D60,HPL,0))))</f>
        <v>0.5</v>
      </c>
      <c r="F60" s="130" t="s">
        <v>1541</v>
      </c>
    </row>
    <row r="61" spans="1:6" outlineLevel="1">
      <c r="B61" s="36" t="s">
        <v>1420</v>
      </c>
      <c r="C61" s="165" t="s">
        <v>1503</v>
      </c>
      <c r="D61" s="36" t="s">
        <v>1891</v>
      </c>
      <c r="E61" s="258"/>
      <c r="F61" s="130" t="s">
        <v>1542</v>
      </c>
    </row>
    <row r="62" spans="1:6" outlineLevel="1">
      <c r="B62" s="36"/>
      <c r="C62" s="165"/>
      <c r="D62" s="36"/>
      <c r="E62" s="258"/>
      <c r="F62" s="130"/>
    </row>
    <row r="63" spans="1:6" outlineLevel="1">
      <c r="B63" s="36"/>
      <c r="C63" s="165"/>
      <c r="D63" s="36"/>
      <c r="E63" s="258"/>
      <c r="F63" s="130"/>
    </row>
    <row r="64" spans="1:6">
      <c r="B64" s="256" t="s">
        <v>1543</v>
      </c>
      <c r="D64" s="257"/>
    </row>
    <row r="65" spans="2:7" outlineLevel="1">
      <c r="B65" s="36" t="s">
        <v>1478</v>
      </c>
      <c r="C65" s="165" t="s">
        <v>1503</v>
      </c>
      <c r="D65" s="36" t="s">
        <v>1115</v>
      </c>
      <c r="E65" s="258"/>
      <c r="F65" s="216" t="s">
        <v>1544</v>
      </c>
      <c r="G65" s="260"/>
    </row>
    <row r="66" spans="2:7" outlineLevel="1">
      <c r="B66" s="36" t="s">
        <v>1479</v>
      </c>
      <c r="C66" s="165" t="s">
        <v>1503</v>
      </c>
      <c r="D66" s="36" t="s">
        <v>1126</v>
      </c>
      <c r="E66" s="258"/>
      <c r="F66" s="216" t="s">
        <v>1545</v>
      </c>
    </row>
    <row r="67" spans="2:7" outlineLevel="1">
      <c r="B67" s="36" t="s">
        <v>1480</v>
      </c>
      <c r="C67" s="165" t="s">
        <v>1503</v>
      </c>
      <c r="D67" s="36" t="s">
        <v>1137</v>
      </c>
      <c r="E67" s="258"/>
      <c r="F67" t="s">
        <v>1546</v>
      </c>
    </row>
    <row r="68" spans="2:7" outlineLevel="1">
      <c r="B68" s="36" t="s">
        <v>4621</v>
      </c>
      <c r="C68" s="165" t="s">
        <v>1503</v>
      </c>
      <c r="D68" s="36" t="s">
        <v>2714</v>
      </c>
      <c r="E68" s="258"/>
      <c r="F68" t="s">
        <v>673</v>
      </c>
    </row>
    <row r="69" spans="2:7" outlineLevel="1">
      <c r="B69" s="36" t="s">
        <v>1477</v>
      </c>
      <c r="C69" s="165" t="s">
        <v>1503</v>
      </c>
      <c r="D69" s="36" t="s">
        <v>1028</v>
      </c>
      <c r="F69" t="s">
        <v>1547</v>
      </c>
    </row>
    <row r="70" spans="2:7" outlineLevel="1">
      <c r="B70" s="36" t="s">
        <v>1476</v>
      </c>
      <c r="C70" s="165" t="s">
        <v>1503</v>
      </c>
      <c r="D70" s="36" t="s">
        <v>986</v>
      </c>
      <c r="F70" t="s">
        <v>1548</v>
      </c>
    </row>
    <row r="71" spans="2:7" outlineLevel="1">
      <c r="B71" s="36" t="s">
        <v>2848</v>
      </c>
      <c r="C71" s="165" t="s">
        <v>1503</v>
      </c>
      <c r="D71" s="36" t="s">
        <v>1008</v>
      </c>
      <c r="F71" t="s">
        <v>1549</v>
      </c>
    </row>
    <row r="72" spans="2:7" outlineLevel="1">
      <c r="B72" s="36" t="s">
        <v>1491</v>
      </c>
      <c r="C72" s="165" t="s">
        <v>1503</v>
      </c>
      <c r="D72" s="36" t="s">
        <v>1149</v>
      </c>
      <c r="F72" t="s">
        <v>1550</v>
      </c>
    </row>
    <row r="73" spans="2:7" outlineLevel="1">
      <c r="B73" s="36" t="s">
        <v>1495</v>
      </c>
      <c r="C73" s="165"/>
      <c r="D73" s="36" t="s">
        <v>1039</v>
      </c>
      <c r="F73" t="s">
        <v>2985</v>
      </c>
    </row>
    <row r="74" spans="2:7" outlineLevel="1">
      <c r="B74" s="36" t="s">
        <v>1496</v>
      </c>
      <c r="C74" s="165"/>
      <c r="D74" s="36" t="s">
        <v>1048</v>
      </c>
      <c r="F74" t="s">
        <v>2986</v>
      </c>
    </row>
    <row r="75" spans="2:7" outlineLevel="1">
      <c r="B75" s="36"/>
      <c r="C75" s="165"/>
      <c r="D75" s="36"/>
    </row>
    <row r="76" spans="2:7" outlineLevel="1">
      <c r="B76" s="36" t="s">
        <v>2954</v>
      </c>
      <c r="C76" s="165" t="s">
        <v>1503</v>
      </c>
      <c r="D76" s="36" t="s">
        <v>825</v>
      </c>
      <c r="F76" t="s">
        <v>1551</v>
      </c>
    </row>
    <row r="77" spans="2:7" outlineLevel="1">
      <c r="B77" s="36" t="s">
        <v>2954</v>
      </c>
      <c r="C77" s="165" t="s">
        <v>1503</v>
      </c>
      <c r="D77" s="36" t="str">
        <f>CONCATENATE(Hand1," ","coak standart")</f>
        <v>MH-02 Brown Doff ( Alm. 86706 ) P3 coak standart</v>
      </c>
      <c r="F77" t="s">
        <v>1552</v>
      </c>
    </row>
    <row r="78" spans="2:7" outlineLevel="1">
      <c r="B78" s="36" t="s">
        <v>2954</v>
      </c>
      <c r="C78" s="165" t="s">
        <v>1503</v>
      </c>
      <c r="D78" s="36" t="str">
        <f>CONCATENATE(Hand1," ","coak khusus")</f>
        <v>MH-02 Brown Doff ( Alm. 86706 ) P3 coak khusus</v>
      </c>
      <c r="F78" t="s">
        <v>1554</v>
      </c>
    </row>
    <row r="79" spans="2:7" outlineLevel="1">
      <c r="B79" s="36" t="s">
        <v>2960</v>
      </c>
      <c r="C79" s="165" t="s">
        <v>1503</v>
      </c>
      <c r="D79" s="36" t="s">
        <v>882</v>
      </c>
      <c r="F79" t="s">
        <v>1555</v>
      </c>
    </row>
    <row r="80" spans="2:7" outlineLevel="1">
      <c r="B80" s="36" t="s">
        <v>2959</v>
      </c>
      <c r="C80" s="165" t="s">
        <v>1503</v>
      </c>
      <c r="D80" s="36" t="s">
        <v>4157</v>
      </c>
      <c r="F80" t="s">
        <v>1556</v>
      </c>
    </row>
    <row r="81" spans="1:6" outlineLevel="1">
      <c r="B81" s="36" t="s">
        <v>2956</v>
      </c>
      <c r="C81" s="165" t="s">
        <v>1503</v>
      </c>
      <c r="D81" s="36" t="s">
        <v>856</v>
      </c>
      <c r="F81" t="s">
        <v>2948</v>
      </c>
    </row>
    <row r="82" spans="1:6" outlineLevel="1">
      <c r="B82" s="36" t="s">
        <v>2956</v>
      </c>
      <c r="C82" s="165" t="s">
        <v>1503</v>
      </c>
      <c r="D82" s="36" t="str">
        <f>CONCATENATE(hand6," ","coak standart")</f>
        <v>MH-04 Black ( Alm. 86705 ) P3 coak standart</v>
      </c>
      <c r="F82" t="s">
        <v>2949</v>
      </c>
    </row>
    <row r="83" spans="1:6" outlineLevel="1">
      <c r="B83" s="36" t="s">
        <v>2956</v>
      </c>
      <c r="C83" s="165" t="s">
        <v>1503</v>
      </c>
      <c r="D83" s="36" t="str">
        <f>CONCATENATE(hand6," ","coak khusus")</f>
        <v>MH-04 Black ( Alm. 86705 ) P3 coak khusus</v>
      </c>
      <c r="F83" t="s">
        <v>2950</v>
      </c>
    </row>
    <row r="84" spans="1:6" outlineLevel="1">
      <c r="B84" s="36" t="s">
        <v>2961</v>
      </c>
      <c r="C84" s="165" t="s">
        <v>1503</v>
      </c>
      <c r="D84" s="36" t="s">
        <v>1202</v>
      </c>
      <c r="F84" t="s">
        <v>2951</v>
      </c>
    </row>
    <row r="85" spans="1:6" outlineLevel="1">
      <c r="B85" s="36" t="s">
        <v>2961</v>
      </c>
      <c r="C85" s="165" t="s">
        <v>1503</v>
      </c>
      <c r="D85" s="36" t="s">
        <v>1225</v>
      </c>
      <c r="F85" t="s">
        <v>2952</v>
      </c>
    </row>
    <row r="86" spans="1:6" outlineLevel="1">
      <c r="B86" s="257"/>
      <c r="C86" s="165"/>
      <c r="D86" s="257"/>
    </row>
    <row r="87" spans="1:6">
      <c r="B87" s="256" t="s">
        <v>1557</v>
      </c>
      <c r="C87" s="165"/>
      <c r="D87" s="257"/>
    </row>
    <row r="88" spans="1:6" s="219" customFormat="1" outlineLevel="1">
      <c r="A88" s="166" t="s">
        <v>2364</v>
      </c>
      <c r="B88" s="376" t="s">
        <v>1488</v>
      </c>
      <c r="C88" s="377" t="s">
        <v>1503</v>
      </c>
      <c r="D88" s="376" t="s">
        <v>975</v>
      </c>
      <c r="E88" s="166"/>
      <c r="F88" s="219" t="s">
        <v>1558</v>
      </c>
    </row>
    <row r="89" spans="1:6" s="219" customFormat="1" outlineLevel="1">
      <c r="A89" s="166"/>
      <c r="B89" s="376" t="s">
        <v>1481</v>
      </c>
      <c r="C89" s="377" t="s">
        <v>1503</v>
      </c>
      <c r="D89" s="376" t="s">
        <v>963</v>
      </c>
      <c r="E89" s="166"/>
      <c r="F89" s="219" t="s">
        <v>1559</v>
      </c>
    </row>
    <row r="90" spans="1:6" s="219" customFormat="1" outlineLevel="1">
      <c r="A90" s="166" t="s">
        <v>2364</v>
      </c>
      <c r="B90" s="376" t="s">
        <v>1487</v>
      </c>
      <c r="C90" s="377"/>
      <c r="D90" s="376" t="s">
        <v>1255</v>
      </c>
      <c r="E90" s="166"/>
      <c r="F90" s="219" t="s">
        <v>1560</v>
      </c>
    </row>
    <row r="91" spans="1:6" s="219" customFormat="1" outlineLevel="1">
      <c r="A91" s="166"/>
      <c r="B91" s="376" t="s">
        <v>1482</v>
      </c>
      <c r="C91" s="377"/>
      <c r="D91" s="376" t="s">
        <v>909</v>
      </c>
      <c r="E91" s="166"/>
      <c r="F91" s="219" t="s">
        <v>1561</v>
      </c>
    </row>
    <row r="92" spans="1:6" outlineLevel="1">
      <c r="B92" s="376" t="s">
        <v>1483</v>
      </c>
      <c r="C92" s="165"/>
      <c r="D92" s="376" t="s">
        <v>928</v>
      </c>
      <c r="F92" s="219" t="s">
        <v>1562</v>
      </c>
    </row>
    <row r="93" spans="1:6" s="219" customFormat="1" outlineLevel="1">
      <c r="A93" s="166" t="s">
        <v>2364</v>
      </c>
      <c r="B93" s="376" t="s">
        <v>1492</v>
      </c>
      <c r="C93" s="377"/>
      <c r="D93" s="376" t="s">
        <v>999</v>
      </c>
      <c r="E93" s="166"/>
      <c r="F93" s="219" t="s">
        <v>1563</v>
      </c>
    </row>
    <row r="94" spans="1:6" outlineLevel="1">
      <c r="A94" s="166" t="s">
        <v>2364</v>
      </c>
      <c r="B94" s="376" t="s">
        <v>1493</v>
      </c>
      <c r="C94" s="377"/>
      <c r="D94" s="376" t="s">
        <v>1058</v>
      </c>
      <c r="F94" s="219" t="s">
        <v>1564</v>
      </c>
    </row>
    <row r="95" spans="1:6" outlineLevel="1">
      <c r="B95" s="376" t="s">
        <v>1485</v>
      </c>
      <c r="C95" s="165"/>
      <c r="D95" s="36" t="s">
        <v>933</v>
      </c>
      <c r="F95" t="s">
        <v>1565</v>
      </c>
    </row>
    <row r="96" spans="1:6" outlineLevel="1">
      <c r="B96" s="376" t="s">
        <v>1485</v>
      </c>
      <c r="C96" s="165"/>
      <c r="D96" s="36" t="s">
        <v>941</v>
      </c>
      <c r="F96" t="s">
        <v>1566</v>
      </c>
    </row>
    <row r="97" spans="2:7" outlineLevel="1">
      <c r="B97" s="36" t="s">
        <v>1489</v>
      </c>
      <c r="C97" s="165"/>
      <c r="D97" s="36" t="s">
        <v>1173</v>
      </c>
      <c r="F97" t="s">
        <v>1567</v>
      </c>
    </row>
    <row r="98" spans="2:7" outlineLevel="1">
      <c r="B98" s="36" t="s">
        <v>1490</v>
      </c>
      <c r="C98" s="165"/>
      <c r="D98" s="36" t="s">
        <v>1160</v>
      </c>
      <c r="F98" t="s">
        <v>3098</v>
      </c>
    </row>
    <row r="99" spans="2:7" outlineLevel="1">
      <c r="B99" s="36" t="s">
        <v>3459</v>
      </c>
      <c r="C99" s="165"/>
      <c r="D99" s="36" t="s">
        <v>1233</v>
      </c>
      <c r="F99" t="s">
        <v>3450</v>
      </c>
    </row>
    <row r="100" spans="2:7" outlineLevel="1">
      <c r="B100" s="36" t="s">
        <v>1494</v>
      </c>
      <c r="C100" s="165"/>
      <c r="D100" s="36" t="s">
        <v>1063</v>
      </c>
      <c r="F100" t="s">
        <v>3451</v>
      </c>
    </row>
    <row r="101" spans="2:7" outlineLevel="1">
      <c r="B101" s="36" t="s">
        <v>1490</v>
      </c>
      <c r="C101" s="165"/>
      <c r="D101" s="36" t="s">
        <v>1160</v>
      </c>
      <c r="F101" t="s">
        <v>3452</v>
      </c>
    </row>
    <row r="102" spans="2:7" outlineLevel="1">
      <c r="B102" s="36" t="s">
        <v>1490</v>
      </c>
      <c r="C102" s="165"/>
      <c r="D102" s="36" t="s">
        <v>1158</v>
      </c>
      <c r="F102" t="s">
        <v>3453</v>
      </c>
    </row>
    <row r="103" spans="2:7" outlineLevel="1">
      <c r="B103" s="36"/>
      <c r="C103" s="165"/>
      <c r="D103" s="36"/>
    </row>
    <row r="104" spans="2:7">
      <c r="B104" s="256" t="s">
        <v>1568</v>
      </c>
      <c r="D104" s="257"/>
    </row>
    <row r="105" spans="2:7" outlineLevel="1">
      <c r="B105" s="36" t="s">
        <v>3095</v>
      </c>
      <c r="C105" s="165" t="s">
        <v>1503</v>
      </c>
      <c r="D105" s="36" t="s">
        <v>515</v>
      </c>
      <c r="F105" t="s">
        <v>1569</v>
      </c>
      <c r="G105" s="130" t="s">
        <v>3039</v>
      </c>
    </row>
    <row r="106" spans="2:7" outlineLevel="1">
      <c r="B106" s="36" t="s">
        <v>3095</v>
      </c>
      <c r="C106" s="165" t="s">
        <v>1503</v>
      </c>
      <c r="D106" s="36" t="s">
        <v>528</v>
      </c>
      <c r="F106" t="s">
        <v>1570</v>
      </c>
      <c r="G106" s="130" t="s">
        <v>3040</v>
      </c>
    </row>
    <row r="107" spans="2:7" outlineLevel="1">
      <c r="B107" s="36" t="s">
        <v>3095</v>
      </c>
      <c r="C107" s="165" t="s">
        <v>1503</v>
      </c>
      <c r="D107" s="36" t="s">
        <v>523</v>
      </c>
      <c r="F107" t="s">
        <v>1571</v>
      </c>
      <c r="G107" s="130" t="s">
        <v>3041</v>
      </c>
    </row>
    <row r="108" spans="2:7" outlineLevel="1">
      <c r="B108" s="36" t="s">
        <v>3095</v>
      </c>
      <c r="C108" s="165" t="s">
        <v>1503</v>
      </c>
      <c r="D108" s="36" t="s">
        <v>525</v>
      </c>
      <c r="F108" t="s">
        <v>1572</v>
      </c>
      <c r="G108" s="130" t="s">
        <v>3042</v>
      </c>
    </row>
    <row r="109" spans="2:7" outlineLevel="1">
      <c r="B109" s="36" t="s">
        <v>3095</v>
      </c>
      <c r="C109" s="165" t="s">
        <v>1503</v>
      </c>
      <c r="D109" s="36" t="s">
        <v>518</v>
      </c>
      <c r="F109" t="s">
        <v>1573</v>
      </c>
      <c r="G109" s="130" t="s">
        <v>3043</v>
      </c>
    </row>
    <row r="110" spans="2:7" outlineLevel="1">
      <c r="B110" s="36" t="s">
        <v>3094</v>
      </c>
      <c r="C110" s="165"/>
      <c r="D110" s="36" t="s">
        <v>538</v>
      </c>
      <c r="F110" t="s">
        <v>1574</v>
      </c>
      <c r="G110" s="130" t="s">
        <v>3044</v>
      </c>
    </row>
    <row r="111" spans="2:7" outlineLevel="1">
      <c r="B111" s="36" t="s">
        <v>3094</v>
      </c>
      <c r="C111" s="165"/>
      <c r="D111" s="36" t="s">
        <v>3049</v>
      </c>
      <c r="F111" t="s">
        <v>2413</v>
      </c>
      <c r="G111" s="130" t="s">
        <v>3045</v>
      </c>
    </row>
    <row r="112" spans="2:7" outlineLevel="1">
      <c r="B112" s="36" t="s">
        <v>3094</v>
      </c>
      <c r="C112" s="165"/>
      <c r="D112" s="36" t="s">
        <v>2971</v>
      </c>
      <c r="F112" t="s">
        <v>2414</v>
      </c>
      <c r="G112" s="130" t="s">
        <v>3046</v>
      </c>
    </row>
    <row r="113" spans="2:7" outlineLevel="1">
      <c r="B113" s="36" t="s">
        <v>3094</v>
      </c>
      <c r="C113" s="165"/>
      <c r="D113" s="36" t="s">
        <v>4112</v>
      </c>
      <c r="F113" t="s">
        <v>2415</v>
      </c>
      <c r="G113" s="130" t="s">
        <v>3047</v>
      </c>
    </row>
    <row r="114" spans="2:7" outlineLevel="1">
      <c r="B114" s="36"/>
      <c r="C114" s="165" t="s">
        <v>1503</v>
      </c>
      <c r="D114" s="36" t="str">
        <f>engsel_tengah_fold_formwell</f>
        <v>RDK-52A FOLDING HINGE</v>
      </c>
      <c r="F114" t="s">
        <v>2416</v>
      </c>
      <c r="G114" s="130" t="s">
        <v>3048</v>
      </c>
    </row>
    <row r="115" spans="2:7">
      <c r="B115" s="256" t="s">
        <v>1575</v>
      </c>
      <c r="D115" s="257"/>
    </row>
    <row r="116" spans="2:7" outlineLevel="1">
      <c r="B116" s="36" t="s">
        <v>462</v>
      </c>
      <c r="C116" s="165" t="s">
        <v>1503</v>
      </c>
      <c r="D116" s="36" t="s">
        <v>465</v>
      </c>
      <c r="F116" t="s">
        <v>1576</v>
      </c>
    </row>
    <row r="117" spans="2:7" outlineLevel="1">
      <c r="B117" s="473" t="s">
        <v>462</v>
      </c>
      <c r="C117" s="165" t="s">
        <v>1503</v>
      </c>
      <c r="D117" s="36" t="s">
        <v>467</v>
      </c>
      <c r="F117" t="s">
        <v>1577</v>
      </c>
    </row>
    <row r="118" spans="2:7" outlineLevel="1">
      <c r="B118" s="36" t="s">
        <v>1475</v>
      </c>
      <c r="C118" s="165" t="s">
        <v>1503</v>
      </c>
      <c r="D118" s="36" t="s">
        <v>373</v>
      </c>
      <c r="F118" t="s">
        <v>1578</v>
      </c>
    </row>
    <row r="119" spans="2:7" outlineLevel="1">
      <c r="B119" s="36" t="s">
        <v>1475</v>
      </c>
      <c r="C119" s="165" t="s">
        <v>1503</v>
      </c>
      <c r="D119" s="36" t="s">
        <v>375</v>
      </c>
      <c r="F119" t="s">
        <v>1579</v>
      </c>
    </row>
    <row r="120" spans="2:7" outlineLevel="1">
      <c r="B120" s="36" t="s">
        <v>1475</v>
      </c>
      <c r="C120" s="165" t="s">
        <v>1503</v>
      </c>
      <c r="D120" s="36" t="s">
        <v>353</v>
      </c>
      <c r="F120" t="s">
        <v>2405</v>
      </c>
    </row>
    <row r="121" spans="2:7" outlineLevel="1">
      <c r="B121" s="473" t="s">
        <v>438</v>
      </c>
      <c r="C121" s="165" t="s">
        <v>1503</v>
      </c>
      <c r="D121" s="36" t="s">
        <v>446</v>
      </c>
      <c r="F121" t="s">
        <v>2406</v>
      </c>
    </row>
    <row r="122" spans="2:7" outlineLevel="1">
      <c r="B122" s="473" t="s">
        <v>438</v>
      </c>
      <c r="C122" s="165" t="s">
        <v>1503</v>
      </c>
      <c r="D122" s="36" t="s">
        <v>433</v>
      </c>
      <c r="F122" t="s">
        <v>2407</v>
      </c>
    </row>
    <row r="123" spans="2:7" outlineLevel="1">
      <c r="B123" s="36" t="s">
        <v>1475</v>
      </c>
      <c r="C123" s="165" t="s">
        <v>1503</v>
      </c>
      <c r="D123" s="36" t="s">
        <v>344</v>
      </c>
      <c r="F123" t="s">
        <v>2408</v>
      </c>
      <c r="G123" s="504" t="s">
        <v>3544</v>
      </c>
    </row>
    <row r="124" spans="2:7" outlineLevel="1">
      <c r="B124" s="36" t="s">
        <v>3899</v>
      </c>
      <c r="C124" s="165" t="s">
        <v>1503</v>
      </c>
      <c r="D124" s="36" t="s">
        <v>3898</v>
      </c>
      <c r="F124" t="s">
        <v>2409</v>
      </c>
    </row>
    <row r="125" spans="2:7" outlineLevel="1">
      <c r="B125" s="36" t="s">
        <v>3899</v>
      </c>
      <c r="C125" s="165" t="s">
        <v>1503</v>
      </c>
      <c r="D125" s="36" t="s">
        <v>3900</v>
      </c>
      <c r="F125" t="s">
        <v>2410</v>
      </c>
    </row>
    <row r="126" spans="2:7" outlineLevel="1">
      <c r="B126" s="36" t="s">
        <v>3899</v>
      </c>
      <c r="C126" s="165" t="s">
        <v>1503</v>
      </c>
      <c r="D126" s="36" t="s">
        <v>4610</v>
      </c>
      <c r="F126" t="s">
        <v>4068</v>
      </c>
    </row>
    <row r="127" spans="2:7" outlineLevel="1">
      <c r="B127" s="36" t="s">
        <v>1474</v>
      </c>
      <c r="C127" s="165" t="s">
        <v>1503</v>
      </c>
      <c r="D127" s="36" t="s">
        <v>487</v>
      </c>
      <c r="F127" t="s">
        <v>4069</v>
      </c>
    </row>
    <row r="128" spans="2:7" outlineLevel="1">
      <c r="B128" s="36" t="s">
        <v>4296</v>
      </c>
      <c r="C128" s="165" t="s">
        <v>1503</v>
      </c>
      <c r="D128" s="36" t="s">
        <v>4297</v>
      </c>
      <c r="F128" t="s">
        <v>4070</v>
      </c>
    </row>
    <row r="129" spans="2:11" outlineLevel="1">
      <c r="B129" s="36" t="s">
        <v>4296</v>
      </c>
      <c r="C129" s="165" t="s">
        <v>1503</v>
      </c>
      <c r="D129" s="36" t="s">
        <v>4300</v>
      </c>
      <c r="F129" t="s">
        <v>4071</v>
      </c>
    </row>
    <row r="130" spans="2:11" outlineLevel="1">
      <c r="B130" s="36"/>
      <c r="C130" s="165" t="s">
        <v>1503</v>
      </c>
      <c r="D130" s="36"/>
    </row>
    <row r="131" spans="2:11">
      <c r="B131" s="261" t="s">
        <v>1580</v>
      </c>
      <c r="C131" s="262"/>
      <c r="D131" s="36"/>
    </row>
    <row r="132" spans="2:11" outlineLevel="1">
      <c r="B132" s="36"/>
      <c r="C132" s="165" t="s">
        <v>1503</v>
      </c>
      <c r="D132" s="36" t="str">
        <f>PD_blum_55</f>
        <v>POCKET DOOR 55 CM</v>
      </c>
      <c r="F132" t="s">
        <v>1581</v>
      </c>
      <c r="K132" t="s">
        <v>1741</v>
      </c>
    </row>
    <row r="133" spans="2:11" outlineLevel="1">
      <c r="B133" s="36" t="s">
        <v>539</v>
      </c>
      <c r="C133" s="165" t="s">
        <v>1503</v>
      </c>
      <c r="D133" s="36" t="s">
        <v>1553</v>
      </c>
      <c r="F133" t="s">
        <v>1582</v>
      </c>
    </row>
    <row r="134" spans="2:11" outlineLevel="1">
      <c r="B134" s="36" t="s">
        <v>539</v>
      </c>
      <c r="C134" s="165" t="s">
        <v>1503</v>
      </c>
      <c r="D134" s="36" t="s">
        <v>1553</v>
      </c>
      <c r="F134" t="s">
        <v>1583</v>
      </c>
    </row>
    <row r="135" spans="2:11" outlineLevel="1">
      <c r="B135" s="36" t="s">
        <v>539</v>
      </c>
      <c r="C135" s="165" t="s">
        <v>1503</v>
      </c>
      <c r="D135" s="36" t="s">
        <v>1553</v>
      </c>
      <c r="F135" t="s">
        <v>1584</v>
      </c>
    </row>
    <row r="136" spans="2:11">
      <c r="B136" s="256" t="s">
        <v>1585</v>
      </c>
      <c r="D136" s="257"/>
    </row>
    <row r="137" spans="2:11" outlineLevel="1">
      <c r="B137" s="36" t="s">
        <v>4487</v>
      </c>
      <c r="C137" s="165" t="s">
        <v>1503</v>
      </c>
      <c r="D137" s="36" t="s">
        <v>4147</v>
      </c>
      <c r="F137" t="s">
        <v>1586</v>
      </c>
      <c r="G137" t="s">
        <v>3803</v>
      </c>
    </row>
    <row r="138" spans="2:11" outlineLevel="1">
      <c r="B138" s="36" t="s">
        <v>4101</v>
      </c>
      <c r="C138" s="165" t="s">
        <v>1503</v>
      </c>
      <c r="D138" s="36" t="s">
        <v>4360</v>
      </c>
      <c r="F138" t="s">
        <v>1587</v>
      </c>
      <c r="G138" t="s">
        <v>3802</v>
      </c>
    </row>
    <row r="139" spans="2:11" outlineLevel="1">
      <c r="B139" s="36" t="s">
        <v>4101</v>
      </c>
      <c r="C139" s="165" t="s">
        <v>1503</v>
      </c>
      <c r="D139" s="464" t="s">
        <v>1868</v>
      </c>
      <c r="F139" t="s">
        <v>3481</v>
      </c>
    </row>
    <row r="140" spans="2:11" outlineLevel="1">
      <c r="B140" s="36" t="s">
        <v>4487</v>
      </c>
      <c r="C140" s="165" t="s">
        <v>1503</v>
      </c>
      <c r="D140" s="36" t="s">
        <v>4367</v>
      </c>
      <c r="F140" t="s">
        <v>1588</v>
      </c>
      <c r="G140" t="s">
        <v>3804</v>
      </c>
    </row>
    <row r="141" spans="2:11" outlineLevel="1">
      <c r="B141" s="36" t="s">
        <v>4101</v>
      </c>
      <c r="C141" s="165" t="s">
        <v>1503</v>
      </c>
      <c r="D141" s="36" t="s">
        <v>4381</v>
      </c>
      <c r="F141" t="s">
        <v>1589</v>
      </c>
      <c r="G141" s="628" t="s">
        <v>3522</v>
      </c>
    </row>
    <row r="142" spans="2:11" outlineLevel="1">
      <c r="B142" s="36" t="s">
        <v>4384</v>
      </c>
      <c r="C142" s="422" t="s">
        <v>1503</v>
      </c>
      <c r="D142" s="36" t="s">
        <v>3516</v>
      </c>
      <c r="F142" t="s">
        <v>1590</v>
      </c>
      <c r="G142" s="628" t="s">
        <v>3522</v>
      </c>
    </row>
    <row r="143" spans="2:11" outlineLevel="1">
      <c r="B143" s="36" t="s">
        <v>4384</v>
      </c>
      <c r="C143" s="422" t="s">
        <v>1503</v>
      </c>
      <c r="D143" s="464" t="s">
        <v>1868</v>
      </c>
      <c r="F143" t="s">
        <v>3523</v>
      </c>
      <c r="G143" s="628" t="s">
        <v>3482</v>
      </c>
    </row>
    <row r="144" spans="2:11" outlineLevel="1">
      <c r="B144" s="36" t="s">
        <v>4101</v>
      </c>
      <c r="C144" s="422" t="s">
        <v>1503</v>
      </c>
      <c r="D144" s="36" t="s">
        <v>4562</v>
      </c>
      <c r="F144" t="s">
        <v>3483</v>
      </c>
    </row>
    <row r="145" spans="2:6" outlineLevel="1">
      <c r="B145" s="36" t="s">
        <v>4101</v>
      </c>
      <c r="C145" s="422" t="s">
        <v>1503</v>
      </c>
      <c r="D145" s="36" t="s">
        <v>4186</v>
      </c>
      <c r="F145" t="s">
        <v>3483</v>
      </c>
    </row>
    <row r="146" spans="2:6" outlineLevel="1">
      <c r="B146" s="36" t="s">
        <v>4101</v>
      </c>
      <c r="C146" s="422" t="s">
        <v>1503</v>
      </c>
      <c r="D146" s="36"/>
      <c r="F146" t="s">
        <v>3483</v>
      </c>
    </row>
    <row r="147" spans="2:6" outlineLevel="1">
      <c r="B147" s="36" t="s">
        <v>4101</v>
      </c>
      <c r="C147" s="422" t="s">
        <v>1503</v>
      </c>
      <c r="D147" s="36"/>
      <c r="F147" t="s">
        <v>3483</v>
      </c>
    </row>
    <row r="148" spans="2:6" outlineLevel="1">
      <c r="B148" s="36"/>
      <c r="C148" s="422"/>
      <c r="D148" s="36"/>
    </row>
    <row r="149" spans="2:6" outlineLevel="1">
      <c r="C149" s="165"/>
    </row>
    <row r="150" spans="2:6">
      <c r="B150" s="506" t="s">
        <v>1591</v>
      </c>
    </row>
    <row r="151" spans="2:6" outlineLevel="1">
      <c r="B151" s="36" t="s">
        <v>1363</v>
      </c>
      <c r="C151" s="165" t="s">
        <v>1503</v>
      </c>
      <c r="D151" s="36"/>
      <c r="F151" s="216" t="s">
        <v>1592</v>
      </c>
    </row>
    <row r="152" spans="2:6" outlineLevel="1">
      <c r="B152" s="36" t="s">
        <v>1322</v>
      </c>
      <c r="C152" s="165" t="s">
        <v>1503</v>
      </c>
      <c r="D152" s="36" t="s">
        <v>1323</v>
      </c>
      <c r="F152" s="216" t="s">
        <v>1593</v>
      </c>
    </row>
    <row r="153" spans="2:6" outlineLevel="1">
      <c r="B153" s="36" t="s">
        <v>1300</v>
      </c>
      <c r="C153" s="165" t="s">
        <v>1503</v>
      </c>
      <c r="D153" s="36"/>
      <c r="F153" s="216" t="s">
        <v>1594</v>
      </c>
    </row>
    <row r="154" spans="2:6" outlineLevel="1">
      <c r="B154" s="36" t="s">
        <v>1341</v>
      </c>
      <c r="C154" s="165" t="s">
        <v>1503</v>
      </c>
      <c r="D154" s="36" t="s">
        <v>1344</v>
      </c>
      <c r="F154" s="216" t="s">
        <v>1595</v>
      </c>
    </row>
    <row r="155" spans="2:6" outlineLevel="1">
      <c r="B155" s="36" t="s">
        <v>1310</v>
      </c>
      <c r="C155" s="165" t="s">
        <v>1503</v>
      </c>
      <c r="D155" s="36" t="s">
        <v>1312</v>
      </c>
      <c r="F155" s="216" t="s">
        <v>1596</v>
      </c>
    </row>
    <row r="156" spans="2:6" outlineLevel="1">
      <c r="B156" s="36" t="s">
        <v>1300</v>
      </c>
      <c r="C156" s="165" t="s">
        <v>1503</v>
      </c>
      <c r="D156" s="36" t="s">
        <v>1301</v>
      </c>
      <c r="F156" s="216" t="s">
        <v>1597</v>
      </c>
    </row>
    <row r="157" spans="2:6" outlineLevel="1">
      <c r="B157" s="36" t="s">
        <v>1283</v>
      </c>
      <c r="C157" s="165" t="s">
        <v>1503</v>
      </c>
      <c r="D157" s="36" t="s">
        <v>1285</v>
      </c>
      <c r="F157" s="216" t="s">
        <v>1598</v>
      </c>
    </row>
    <row r="158" spans="2:6" outlineLevel="1">
      <c r="B158" s="36" t="s">
        <v>1363</v>
      </c>
      <c r="C158" s="165" t="s">
        <v>1503</v>
      </c>
      <c r="D158" s="36" t="s">
        <v>1365</v>
      </c>
      <c r="F158" s="216" t="s">
        <v>1599</v>
      </c>
    </row>
    <row r="159" spans="2:6" outlineLevel="1">
      <c r="B159" s="36" t="s">
        <v>1363</v>
      </c>
      <c r="C159" s="165" t="s">
        <v>1503</v>
      </c>
      <c r="D159" s="36" t="s">
        <v>1365</v>
      </c>
      <c r="F159" s="216" t="s">
        <v>1600</v>
      </c>
    </row>
    <row r="160" spans="2:6" ht="34" outlineLevel="1">
      <c r="B160" s="36" t="s">
        <v>1374</v>
      </c>
      <c r="C160" s="165" t="s">
        <v>1503</v>
      </c>
      <c r="D160" s="425" t="s">
        <v>2628</v>
      </c>
      <c r="F160" s="216" t="s">
        <v>1601</v>
      </c>
    </row>
    <row r="161" spans="2:6" ht="17" outlineLevel="1">
      <c r="B161" s="36" t="s">
        <v>1374</v>
      </c>
      <c r="C161" s="165" t="s">
        <v>1503</v>
      </c>
      <c r="D161" s="425" t="s">
        <v>1375</v>
      </c>
      <c r="F161" s="216" t="s">
        <v>1602</v>
      </c>
    </row>
    <row r="162" spans="2:6" outlineLevel="1">
      <c r="B162" s="36" t="s">
        <v>1374</v>
      </c>
      <c r="C162" s="165" t="s">
        <v>1503</v>
      </c>
      <c r="D162" s="36" t="s">
        <v>1375</v>
      </c>
      <c r="F162" s="216" t="s">
        <v>1603</v>
      </c>
    </row>
    <row r="163" spans="2:6">
      <c r="C163" s="165"/>
      <c r="D163" s="424"/>
      <c r="F163" s="216"/>
    </row>
    <row r="164" spans="2:6">
      <c r="B164" s="250" t="s">
        <v>2555</v>
      </c>
    </row>
    <row r="165" spans="2:6" outlineLevel="1">
      <c r="B165" s="36" t="s">
        <v>2048</v>
      </c>
      <c r="C165" s="165" t="s">
        <v>1503</v>
      </c>
      <c r="D165" s="140">
        <v>1</v>
      </c>
      <c r="F165" s="216" t="s">
        <v>2556</v>
      </c>
    </row>
    <row r="166" spans="2:6" outlineLevel="1">
      <c r="B166" s="36" t="s">
        <v>2972</v>
      </c>
      <c r="C166" s="165"/>
      <c r="D166" s="770">
        <f>IF(A36=9,20,19)</f>
        <v>19</v>
      </c>
      <c r="F166" s="216" t="s">
        <v>2737</v>
      </c>
    </row>
    <row r="167" spans="2:6" ht="34" outlineLevel="1">
      <c r="B167" s="425" t="s">
        <v>2557</v>
      </c>
      <c r="C167" s="165" t="s">
        <v>1503</v>
      </c>
      <c r="D167" s="140">
        <v>30</v>
      </c>
      <c r="F167" s="216" t="s">
        <v>2558</v>
      </c>
    </row>
    <row r="168" spans="2:6" outlineLevel="1">
      <c r="B168" s="36" t="s">
        <v>2559</v>
      </c>
      <c r="C168" s="165" t="s">
        <v>1503</v>
      </c>
      <c r="D168" s="140">
        <v>50</v>
      </c>
      <c r="F168" s="216" t="s">
        <v>2113</v>
      </c>
    </row>
    <row r="169" spans="2:6" outlineLevel="1">
      <c r="B169" s="36" t="s">
        <v>2560</v>
      </c>
      <c r="C169" s="165" t="s">
        <v>1503</v>
      </c>
      <c r="D169" s="140">
        <v>80</v>
      </c>
      <c r="F169" s="216" t="s">
        <v>2537</v>
      </c>
    </row>
    <row r="170" spans="2:6" ht="34" outlineLevel="1">
      <c r="B170" s="425" t="s">
        <v>2818</v>
      </c>
      <c r="C170" s="165"/>
      <c r="D170" s="140">
        <v>0</v>
      </c>
      <c r="F170" s="216" t="s">
        <v>2819</v>
      </c>
    </row>
    <row r="171" spans="2:6" outlineLevel="1">
      <c r="B171" s="36" t="s">
        <v>2561</v>
      </c>
      <c r="C171" s="165" t="s">
        <v>1503</v>
      </c>
      <c r="D171" s="140">
        <v>0</v>
      </c>
      <c r="F171" s="216" t="s">
        <v>2562</v>
      </c>
    </row>
    <row r="172" spans="2:6" outlineLevel="1">
      <c r="B172" s="36" t="s">
        <v>2651</v>
      </c>
      <c r="C172" s="165"/>
      <c r="D172" s="140">
        <v>0</v>
      </c>
      <c r="F172" s="216" t="s">
        <v>2652</v>
      </c>
    </row>
    <row r="173" spans="2:6" outlineLevel="1">
      <c r="B173" s="36" t="s">
        <v>2649</v>
      </c>
      <c r="C173" s="165"/>
      <c r="D173" s="140">
        <v>0</v>
      </c>
      <c r="F173" s="216" t="s">
        <v>2650</v>
      </c>
    </row>
    <row r="174" spans="2:6" outlineLevel="1">
      <c r="B174" s="36"/>
      <c r="C174" s="165" t="s">
        <v>1503</v>
      </c>
      <c r="D174" s="36"/>
    </row>
    <row r="175" spans="2:6">
      <c r="C175" s="165"/>
      <c r="D175" s="424"/>
      <c r="F175" s="216"/>
    </row>
    <row r="176" spans="2:6">
      <c r="B176" s="250" t="s">
        <v>1604</v>
      </c>
    </row>
    <row r="177" spans="2:7" outlineLevel="1">
      <c r="B177" t="s">
        <v>1471</v>
      </c>
      <c r="C177" s="165" t="s">
        <v>1503</v>
      </c>
      <c r="D177" s="376" t="s">
        <v>4662</v>
      </c>
      <c r="E177" s="1">
        <v>1</v>
      </c>
      <c r="G177" t="s">
        <v>3237</v>
      </c>
    </row>
    <row r="178" spans="2:7" outlineLevel="1">
      <c r="C178" s="165" t="s">
        <v>1503</v>
      </c>
      <c r="D178" s="376" t="s">
        <v>4663</v>
      </c>
      <c r="E178" s="1">
        <v>1</v>
      </c>
      <c r="G178" t="s">
        <v>3237</v>
      </c>
    </row>
    <row r="179" spans="2:7" outlineLevel="1">
      <c r="C179" s="165" t="s">
        <v>1503</v>
      </c>
      <c r="D179" s="376" t="s">
        <v>4664</v>
      </c>
      <c r="E179" s="1">
        <v>1</v>
      </c>
      <c r="G179" t="s">
        <v>3237</v>
      </c>
    </row>
    <row r="180" spans="2:7" outlineLevel="1">
      <c r="C180" s="165" t="s">
        <v>1503</v>
      </c>
      <c r="D180" s="376" t="s">
        <v>4665</v>
      </c>
      <c r="E180" s="1">
        <v>1</v>
      </c>
      <c r="G180" t="s">
        <v>3237</v>
      </c>
    </row>
    <row r="181" spans="2:7" outlineLevel="1">
      <c r="C181" s="165" t="s">
        <v>1503</v>
      </c>
      <c r="D181" s="376" t="s">
        <v>4666</v>
      </c>
      <c r="E181" s="1">
        <v>1</v>
      </c>
      <c r="G181" t="s">
        <v>3237</v>
      </c>
    </row>
    <row r="182" spans="2:7" outlineLevel="1">
      <c r="C182" s="165" t="s">
        <v>1503</v>
      </c>
      <c r="D182" s="376" t="s">
        <v>4667</v>
      </c>
      <c r="E182" s="1">
        <v>1</v>
      </c>
      <c r="G182" t="s">
        <v>3237</v>
      </c>
    </row>
    <row r="183" spans="2:7" outlineLevel="1">
      <c r="C183" s="165" t="s">
        <v>1503</v>
      </c>
      <c r="D183" s="376" t="s">
        <v>4668</v>
      </c>
      <c r="E183" s="1">
        <v>1</v>
      </c>
      <c r="G183" t="s">
        <v>3237</v>
      </c>
    </row>
    <row r="184" spans="2:7" outlineLevel="1">
      <c r="C184" s="165" t="s">
        <v>1503</v>
      </c>
      <c r="D184" s="376" t="s">
        <v>4669</v>
      </c>
      <c r="E184" s="1">
        <v>1</v>
      </c>
      <c r="G184" t="s">
        <v>3237</v>
      </c>
    </row>
    <row r="185" spans="2:7" outlineLevel="1">
      <c r="C185" s="165" t="s">
        <v>1503</v>
      </c>
      <c r="D185" s="376"/>
      <c r="E185" s="1">
        <v>1</v>
      </c>
      <c r="G185" t="s">
        <v>3237</v>
      </c>
    </row>
    <row r="186" spans="2:7" outlineLevel="1">
      <c r="C186" s="165" t="s">
        <v>1503</v>
      </c>
      <c r="D186" s="376" t="s">
        <v>4670</v>
      </c>
      <c r="E186" s="1">
        <v>1</v>
      </c>
      <c r="G186" t="s">
        <v>3237</v>
      </c>
    </row>
    <row r="187" spans="2:7" outlineLevel="1">
      <c r="C187" s="165" t="s">
        <v>1503</v>
      </c>
      <c r="D187" s="376" t="s">
        <v>4671</v>
      </c>
      <c r="E187" s="1">
        <v>1</v>
      </c>
      <c r="G187" t="s">
        <v>3237</v>
      </c>
    </row>
    <row r="188" spans="2:7" outlineLevel="1">
      <c r="C188" s="165" t="s">
        <v>1503</v>
      </c>
      <c r="D188" s="376" t="s">
        <v>4672</v>
      </c>
      <c r="E188" s="1">
        <v>1</v>
      </c>
      <c r="G188" t="s">
        <v>3237</v>
      </c>
    </row>
    <row r="189" spans="2:7" outlineLevel="1">
      <c r="C189" s="165" t="s">
        <v>1503</v>
      </c>
      <c r="D189" s="376" t="s">
        <v>4673</v>
      </c>
      <c r="E189" s="1">
        <v>1</v>
      </c>
      <c r="G189" t="s">
        <v>3237</v>
      </c>
    </row>
    <row r="190" spans="2:7" outlineLevel="1">
      <c r="C190" s="165" t="s">
        <v>1503</v>
      </c>
      <c r="D190" s="376" t="s">
        <v>4674</v>
      </c>
      <c r="E190" s="1">
        <v>1</v>
      </c>
      <c r="G190" t="s">
        <v>3237</v>
      </c>
    </row>
    <row r="191" spans="2:7" outlineLevel="1">
      <c r="C191" s="165" t="s">
        <v>1503</v>
      </c>
      <c r="D191" s="376" t="s">
        <v>4675</v>
      </c>
      <c r="E191" s="1">
        <v>1</v>
      </c>
      <c r="G191" t="s">
        <v>3237</v>
      </c>
    </row>
    <row r="192" spans="2:7" outlineLevel="1">
      <c r="C192" s="165" t="s">
        <v>1503</v>
      </c>
      <c r="D192" s="376" t="s">
        <v>4676</v>
      </c>
      <c r="E192" s="1">
        <v>1</v>
      </c>
      <c r="G192" t="s">
        <v>3237</v>
      </c>
    </row>
    <row r="193" spans="3:7" outlineLevel="1">
      <c r="C193" s="165" t="s">
        <v>1503</v>
      </c>
      <c r="D193" s="376" t="s">
        <v>4677</v>
      </c>
      <c r="E193" s="1">
        <v>1</v>
      </c>
      <c r="G193" t="s">
        <v>3237</v>
      </c>
    </row>
    <row r="194" spans="3:7" outlineLevel="1">
      <c r="C194" s="165" t="s">
        <v>1503</v>
      </c>
      <c r="D194" s="376" t="s">
        <v>4678</v>
      </c>
      <c r="E194" s="1">
        <v>1</v>
      </c>
      <c r="G194" t="s">
        <v>3237</v>
      </c>
    </row>
    <row r="195" spans="3:7" outlineLevel="1">
      <c r="C195" s="165" t="s">
        <v>1503</v>
      </c>
      <c r="D195" s="376" t="s">
        <v>4679</v>
      </c>
      <c r="E195" s="1">
        <v>1</v>
      </c>
      <c r="G195" t="s">
        <v>3237</v>
      </c>
    </row>
    <row r="196" spans="3:7" outlineLevel="1">
      <c r="C196" s="165"/>
      <c r="D196" s="376" t="s">
        <v>4680</v>
      </c>
      <c r="E196" s="1">
        <v>1</v>
      </c>
      <c r="G196" t="s">
        <v>3237</v>
      </c>
    </row>
    <row r="197" spans="3:7" outlineLevel="1">
      <c r="C197" s="165"/>
      <c r="D197" s="376" t="s">
        <v>4681</v>
      </c>
      <c r="E197" s="1">
        <v>1</v>
      </c>
      <c r="G197" t="s">
        <v>3237</v>
      </c>
    </row>
    <row r="198" spans="3:7" outlineLevel="1">
      <c r="C198" s="165"/>
      <c r="D198" s="376" t="s">
        <v>4682</v>
      </c>
      <c r="E198" s="1">
        <v>1</v>
      </c>
      <c r="G198" t="s">
        <v>3237</v>
      </c>
    </row>
    <row r="199" spans="3:7" outlineLevel="1">
      <c r="C199" s="165"/>
      <c r="D199" s="376" t="s">
        <v>4683</v>
      </c>
      <c r="E199" s="1">
        <v>1</v>
      </c>
      <c r="G199" t="s">
        <v>3237</v>
      </c>
    </row>
    <row r="200" spans="3:7" outlineLevel="1">
      <c r="C200" s="165"/>
      <c r="D200" s="376" t="s">
        <v>4684</v>
      </c>
      <c r="E200" s="1">
        <v>1</v>
      </c>
      <c r="G200" t="s">
        <v>3237</v>
      </c>
    </row>
    <row r="201" spans="3:7" outlineLevel="1">
      <c r="C201" s="165"/>
      <c r="D201" s="376" t="s">
        <v>4685</v>
      </c>
      <c r="E201" s="1">
        <v>1</v>
      </c>
      <c r="G201" t="s">
        <v>3237</v>
      </c>
    </row>
    <row r="202" spans="3:7" outlineLevel="1">
      <c r="C202" s="165"/>
      <c r="D202" s="376" t="s">
        <v>4686</v>
      </c>
      <c r="E202" s="1">
        <v>1</v>
      </c>
      <c r="G202" t="s">
        <v>3237</v>
      </c>
    </row>
    <row r="203" spans="3:7" outlineLevel="1">
      <c r="C203" s="165"/>
      <c r="D203" s="376" t="s">
        <v>4687</v>
      </c>
      <c r="E203" s="1">
        <v>1</v>
      </c>
      <c r="G203" t="s">
        <v>3237</v>
      </c>
    </row>
    <row r="204" spans="3:7" outlineLevel="1">
      <c r="C204" s="165"/>
      <c r="D204" s="376" t="s">
        <v>4688</v>
      </c>
      <c r="E204" s="1">
        <v>1</v>
      </c>
      <c r="G204" t="s">
        <v>3237</v>
      </c>
    </row>
    <row r="205" spans="3:7" outlineLevel="1">
      <c r="C205" s="165"/>
      <c r="D205" s="376" t="s">
        <v>4683</v>
      </c>
      <c r="E205" s="1">
        <v>1</v>
      </c>
      <c r="G205" t="s">
        <v>3237</v>
      </c>
    </row>
    <row r="206" spans="3:7" outlineLevel="1">
      <c r="C206" s="165"/>
      <c r="D206" s="376" t="s">
        <v>4681</v>
      </c>
      <c r="E206" s="1">
        <v>1</v>
      </c>
      <c r="G206" t="s">
        <v>3237</v>
      </c>
    </row>
    <row r="207" spans="3:7" outlineLevel="1">
      <c r="C207" s="165"/>
      <c r="D207" s="376"/>
      <c r="E207" s="1">
        <v>1</v>
      </c>
      <c r="G207" t="s">
        <v>3237</v>
      </c>
    </row>
    <row r="208" spans="3:7" outlineLevel="1">
      <c r="C208" s="165"/>
      <c r="D208" s="376" t="s">
        <v>4689</v>
      </c>
      <c r="E208" s="1">
        <v>1</v>
      </c>
      <c r="G208" t="s">
        <v>3237</v>
      </c>
    </row>
    <row r="209" spans="3:7" outlineLevel="1">
      <c r="C209" s="165"/>
      <c r="D209" s="376" t="s">
        <v>4689</v>
      </c>
      <c r="E209" s="1">
        <v>1</v>
      </c>
      <c r="G209" t="s">
        <v>3237</v>
      </c>
    </row>
    <row r="210" spans="3:7" outlineLevel="1">
      <c r="C210" s="165"/>
      <c r="D210" s="376" t="s">
        <v>4690</v>
      </c>
      <c r="E210" s="1">
        <v>1</v>
      </c>
      <c r="G210" t="s">
        <v>3237</v>
      </c>
    </row>
    <row r="211" spans="3:7" outlineLevel="1">
      <c r="C211" s="165"/>
      <c r="D211" s="376" t="s">
        <v>4691</v>
      </c>
      <c r="E211" s="1">
        <v>1</v>
      </c>
      <c r="G211" t="s">
        <v>3237</v>
      </c>
    </row>
    <row r="212" spans="3:7" outlineLevel="1">
      <c r="C212" s="165"/>
      <c r="D212" s="376" t="s">
        <v>4692</v>
      </c>
      <c r="E212" s="1">
        <v>1</v>
      </c>
      <c r="G212" t="s">
        <v>3237</v>
      </c>
    </row>
    <row r="213" spans="3:7" outlineLevel="1">
      <c r="C213" s="165"/>
      <c r="D213" s="376" t="s">
        <v>4693</v>
      </c>
      <c r="E213" s="1">
        <v>1</v>
      </c>
      <c r="G213" t="s">
        <v>3237</v>
      </c>
    </row>
    <row r="214" spans="3:7" outlineLevel="1">
      <c r="C214" s="165"/>
      <c r="D214" s="376" t="s">
        <v>4694</v>
      </c>
      <c r="E214" s="1">
        <v>1</v>
      </c>
      <c r="G214" t="s">
        <v>3237</v>
      </c>
    </row>
    <row r="215" spans="3:7" outlineLevel="1">
      <c r="C215" s="165"/>
      <c r="D215" s="376" t="s">
        <v>4695</v>
      </c>
      <c r="E215" s="1">
        <v>1</v>
      </c>
      <c r="G215" t="s">
        <v>3237</v>
      </c>
    </row>
    <row r="216" spans="3:7" outlineLevel="1">
      <c r="C216" s="165"/>
      <c r="D216" s="376" t="s">
        <v>4672</v>
      </c>
      <c r="E216" s="1">
        <v>1</v>
      </c>
      <c r="G216" t="s">
        <v>3237</v>
      </c>
    </row>
    <row r="217" spans="3:7" outlineLevel="1">
      <c r="C217" s="165"/>
      <c r="D217" s="376" t="s">
        <v>4673</v>
      </c>
      <c r="E217" s="1">
        <v>1</v>
      </c>
      <c r="G217" t="s">
        <v>3237</v>
      </c>
    </row>
    <row r="218" spans="3:7" outlineLevel="1">
      <c r="C218" s="165"/>
      <c r="D218" s="376" t="s">
        <v>4696</v>
      </c>
      <c r="E218" s="1">
        <v>1</v>
      </c>
      <c r="G218" t="s">
        <v>3237</v>
      </c>
    </row>
    <row r="219" spans="3:7" outlineLevel="1">
      <c r="C219" s="165"/>
      <c r="D219" s="376" t="s">
        <v>4697</v>
      </c>
      <c r="E219" s="1">
        <v>1</v>
      </c>
      <c r="G219" t="s">
        <v>3237</v>
      </c>
    </row>
    <row r="220" spans="3:7" outlineLevel="1">
      <c r="C220" s="165"/>
      <c r="D220" s="376"/>
      <c r="E220" s="1">
        <v>1</v>
      </c>
      <c r="G220" t="s">
        <v>3237</v>
      </c>
    </row>
    <row r="221" spans="3:7" outlineLevel="1">
      <c r="C221" s="165"/>
      <c r="D221" s="376"/>
      <c r="E221" s="1">
        <v>2</v>
      </c>
      <c r="G221" t="s">
        <v>3237</v>
      </c>
    </row>
    <row r="222" spans="3:7" outlineLevel="1">
      <c r="C222" s="165"/>
      <c r="D222" s="376"/>
      <c r="E222" s="1">
        <v>1</v>
      </c>
      <c r="G222" t="s">
        <v>3237</v>
      </c>
    </row>
    <row r="223" spans="3:7" outlineLevel="1">
      <c r="C223" s="165"/>
      <c r="D223" s="376"/>
      <c r="E223" s="1">
        <v>1</v>
      </c>
      <c r="G223" t="s">
        <v>3237</v>
      </c>
    </row>
    <row r="224" spans="3:7" outlineLevel="1">
      <c r="C224" s="165"/>
      <c r="D224" s="376"/>
      <c r="E224" s="1">
        <v>1</v>
      </c>
      <c r="G224" t="s">
        <v>3237</v>
      </c>
    </row>
    <row r="225" spans="3:7" outlineLevel="1">
      <c r="C225" s="165"/>
      <c r="D225" s="376"/>
      <c r="E225" s="1">
        <v>1</v>
      </c>
      <c r="G225" t="s">
        <v>3237</v>
      </c>
    </row>
    <row r="226" spans="3:7" outlineLevel="1">
      <c r="C226" s="165"/>
      <c r="D226" s="376"/>
      <c r="E226" s="1">
        <v>1</v>
      </c>
      <c r="G226" t="s">
        <v>3237</v>
      </c>
    </row>
    <row r="227" spans="3:7" outlineLevel="1">
      <c r="C227" s="165"/>
      <c r="D227" s="376"/>
      <c r="E227" s="1">
        <v>1</v>
      </c>
      <c r="G227" t="s">
        <v>3237</v>
      </c>
    </row>
    <row r="228" spans="3:7" outlineLevel="1">
      <c r="C228" s="165"/>
      <c r="D228" s="376"/>
      <c r="E228" s="1">
        <v>1</v>
      </c>
      <c r="G228" t="s">
        <v>3237</v>
      </c>
    </row>
    <row r="229" spans="3:7" outlineLevel="1">
      <c r="C229" s="165"/>
      <c r="D229" s="376"/>
      <c r="E229" s="1">
        <v>1</v>
      </c>
      <c r="G229" t="s">
        <v>3237</v>
      </c>
    </row>
    <row r="230" spans="3:7" outlineLevel="1">
      <c r="C230" s="165"/>
      <c r="D230" s="376"/>
      <c r="E230" s="1">
        <v>1</v>
      </c>
      <c r="G230" t="s">
        <v>3237</v>
      </c>
    </row>
    <row r="231" spans="3:7" outlineLevel="1">
      <c r="C231" s="165"/>
      <c r="D231" s="376"/>
      <c r="E231" s="1">
        <v>1</v>
      </c>
      <c r="G231" t="s">
        <v>3237</v>
      </c>
    </row>
    <row r="232" spans="3:7" outlineLevel="1">
      <c r="C232" s="165"/>
      <c r="D232" s="376"/>
      <c r="E232" s="1">
        <v>1</v>
      </c>
      <c r="G232" t="s">
        <v>3237</v>
      </c>
    </row>
    <row r="233" spans="3:7">
      <c r="C233" s="165"/>
      <c r="D233" s="219"/>
    </row>
    <row r="234" spans="3:7" outlineLevel="1">
      <c r="D234" s="265" t="s">
        <v>2803</v>
      </c>
      <c r="E234" s="1" t="s">
        <v>2600</v>
      </c>
      <c r="G234" t="s">
        <v>3243</v>
      </c>
    </row>
    <row r="235" spans="3:7" outlineLevel="1">
      <c r="D235" s="265" t="s">
        <v>2292</v>
      </c>
      <c r="E235" s="1" t="s">
        <v>2600</v>
      </c>
      <c r="G235" t="s">
        <v>3243</v>
      </c>
    </row>
    <row r="236" spans="3:7" outlineLevel="1">
      <c r="D236" s="265" t="s">
        <v>4182</v>
      </c>
      <c r="E236" s="1" t="s">
        <v>2600</v>
      </c>
      <c r="G236" t="s">
        <v>3243</v>
      </c>
    </row>
    <row r="237" spans="3:7" outlineLevel="1">
      <c r="D237" s="265" t="s">
        <v>4083</v>
      </c>
      <c r="E237" s="1" t="s">
        <v>2600</v>
      </c>
      <c r="G237" t="s">
        <v>3243</v>
      </c>
    </row>
    <row r="238" spans="3:7" outlineLevel="1">
      <c r="D238" s="265" t="s">
        <v>3840</v>
      </c>
      <c r="E238" s="1" t="s">
        <v>2600</v>
      </c>
      <c r="G238" t="s">
        <v>3243</v>
      </c>
    </row>
    <row r="239" spans="3:7" outlineLevel="1">
      <c r="D239" s="265" t="s">
        <v>1622</v>
      </c>
      <c r="E239" s="1" t="s">
        <v>2600</v>
      </c>
      <c r="G239" t="s">
        <v>3243</v>
      </c>
    </row>
    <row r="240" spans="3:7" outlineLevel="1">
      <c r="D240" s="265" t="s">
        <v>4361</v>
      </c>
      <c r="E240" s="1" t="s">
        <v>2600</v>
      </c>
      <c r="G240" t="s">
        <v>3243</v>
      </c>
    </row>
    <row r="241" spans="4:7" outlineLevel="1">
      <c r="D241" s="265" t="s">
        <v>2648</v>
      </c>
      <c r="E241" s="1" t="s">
        <v>2600</v>
      </c>
      <c r="G241" t="s">
        <v>3243</v>
      </c>
    </row>
    <row r="242" spans="4:7" outlineLevel="1">
      <c r="D242" s="265" t="s">
        <v>2900</v>
      </c>
      <c r="E242" s="1" t="s">
        <v>2600</v>
      </c>
      <c r="G242" t="s">
        <v>3243</v>
      </c>
    </row>
    <row r="243" spans="4:7" outlineLevel="1">
      <c r="D243" s="265" t="s">
        <v>3858</v>
      </c>
      <c r="E243" s="1" t="s">
        <v>2600</v>
      </c>
      <c r="G243" t="s">
        <v>3243</v>
      </c>
    </row>
    <row r="244" spans="4:7" outlineLevel="1">
      <c r="D244" s="265" t="s">
        <v>1625</v>
      </c>
      <c r="E244" s="1" t="s">
        <v>2600</v>
      </c>
      <c r="G244" t="s">
        <v>3243</v>
      </c>
    </row>
    <row r="245" spans="4:7" outlineLevel="1">
      <c r="D245" s="265" t="s">
        <v>4167</v>
      </c>
      <c r="E245" s="1" t="s">
        <v>2600</v>
      </c>
      <c r="G245" t="s">
        <v>3243</v>
      </c>
    </row>
    <row r="246" spans="4:7" outlineLevel="1">
      <c r="D246" s="265" t="s">
        <v>2360</v>
      </c>
      <c r="E246" s="1" t="s">
        <v>2600</v>
      </c>
      <c r="G246" t="s">
        <v>3243</v>
      </c>
    </row>
    <row r="247" spans="4:7" outlineLevel="1">
      <c r="D247" s="265" t="s">
        <v>4107</v>
      </c>
      <c r="E247" s="1" t="s">
        <v>2600</v>
      </c>
      <c r="G247" t="s">
        <v>3243</v>
      </c>
    </row>
    <row r="248" spans="4:7" outlineLevel="1">
      <c r="D248" s="265" t="s">
        <v>4109</v>
      </c>
      <c r="E248" s="1" t="s">
        <v>2600</v>
      </c>
      <c r="G248" t="s">
        <v>3243</v>
      </c>
    </row>
    <row r="249" spans="4:7" outlineLevel="1">
      <c r="D249" s="265" t="s">
        <v>4108</v>
      </c>
      <c r="E249" s="1" t="s">
        <v>2600</v>
      </c>
      <c r="G249" t="s">
        <v>3243</v>
      </c>
    </row>
    <row r="250" spans="4:7" outlineLevel="1">
      <c r="D250" s="265" t="s">
        <v>4198</v>
      </c>
      <c r="E250" s="1" t="s">
        <v>2600</v>
      </c>
      <c r="G250" t="s">
        <v>3243</v>
      </c>
    </row>
    <row r="251" spans="4:7" outlineLevel="1">
      <c r="D251" s="265" t="s">
        <v>2601</v>
      </c>
      <c r="E251" s="1" t="s">
        <v>2600</v>
      </c>
      <c r="G251" t="s">
        <v>3243</v>
      </c>
    </row>
    <row r="252" spans="4:7" outlineLevel="1">
      <c r="D252" s="265" t="s">
        <v>2576</v>
      </c>
      <c r="E252" s="1" t="s">
        <v>2600</v>
      </c>
      <c r="G252" t="s">
        <v>3243</v>
      </c>
    </row>
    <row r="253" spans="4:7" outlineLevel="1">
      <c r="D253" s="265" t="s">
        <v>2723</v>
      </c>
      <c r="E253" s="1" t="s">
        <v>2600</v>
      </c>
      <c r="G253" t="s">
        <v>3243</v>
      </c>
    </row>
    <row r="254" spans="4:7" outlineLevel="1">
      <c r="D254" s="265" t="s">
        <v>2565</v>
      </c>
      <c r="E254" s="1" t="s">
        <v>2600</v>
      </c>
      <c r="G254" t="s">
        <v>3243</v>
      </c>
    </row>
    <row r="255" spans="4:7" outlineLevel="1">
      <c r="D255" s="265" t="s">
        <v>3145</v>
      </c>
      <c r="E255" s="1" t="s">
        <v>2600</v>
      </c>
      <c r="G255" t="s">
        <v>3243</v>
      </c>
    </row>
    <row r="256" spans="4:7" outlineLevel="1">
      <c r="D256" s="265" t="s">
        <v>2570</v>
      </c>
      <c r="E256" s="1" t="s">
        <v>2600</v>
      </c>
      <c r="G256" t="s">
        <v>3243</v>
      </c>
    </row>
    <row r="257" spans="4:7" outlineLevel="1">
      <c r="D257" s="265" t="s">
        <v>2731</v>
      </c>
      <c r="E257" s="1" t="s">
        <v>2600</v>
      </c>
      <c r="G257" t="s">
        <v>3243</v>
      </c>
    </row>
    <row r="258" spans="4:7" outlineLevel="1">
      <c r="D258" s="265" t="s">
        <v>2771</v>
      </c>
      <c r="E258" s="1" t="s">
        <v>2600</v>
      </c>
      <c r="G258" t="s">
        <v>3243</v>
      </c>
    </row>
    <row r="259" spans="4:7" outlineLevel="1">
      <c r="D259" s="265" t="s">
        <v>2622</v>
      </c>
      <c r="E259" s="1" t="s">
        <v>2600</v>
      </c>
      <c r="G259" t="s">
        <v>3243</v>
      </c>
    </row>
    <row r="260" spans="4:7" outlineLevel="1">
      <c r="D260" s="265" t="s">
        <v>2617</v>
      </c>
      <c r="E260" s="1" t="s">
        <v>2600</v>
      </c>
      <c r="G260" t="s">
        <v>3243</v>
      </c>
    </row>
    <row r="261" spans="4:7" outlineLevel="1">
      <c r="D261" s="265" t="s">
        <v>2617</v>
      </c>
      <c r="E261" s="1" t="s">
        <v>2600</v>
      </c>
      <c r="G261" t="s">
        <v>3243</v>
      </c>
    </row>
    <row r="262" spans="4:7" outlineLevel="1">
      <c r="D262" s="265" t="s">
        <v>2417</v>
      </c>
      <c r="E262" s="1" t="s">
        <v>2600</v>
      </c>
      <c r="G262" t="s">
        <v>3243</v>
      </c>
    </row>
    <row r="263" spans="4:7" outlineLevel="1">
      <c r="D263" s="265" t="s">
        <v>4370</v>
      </c>
      <c r="E263" s="1" t="s">
        <v>2600</v>
      </c>
      <c r="G263" t="s">
        <v>3243</v>
      </c>
    </row>
    <row r="264" spans="4:7" outlineLevel="1">
      <c r="D264" s="265" t="s">
        <v>2820</v>
      </c>
      <c r="E264" s="1" t="s">
        <v>2600</v>
      </c>
      <c r="G264" t="s">
        <v>3243</v>
      </c>
    </row>
    <row r="265" spans="4:7" outlineLevel="1">
      <c r="D265" s="265" t="s">
        <v>4324</v>
      </c>
      <c r="E265" s="1" t="s">
        <v>2600</v>
      </c>
      <c r="G265" t="s">
        <v>3243</v>
      </c>
    </row>
    <row r="266" spans="4:7" outlineLevel="1">
      <c r="D266" s="265" t="s">
        <v>4311</v>
      </c>
      <c r="E266" s="1" t="s">
        <v>2600</v>
      </c>
      <c r="G266" t="s">
        <v>3243</v>
      </c>
    </row>
    <row r="267" spans="4:7" outlineLevel="1">
      <c r="D267" s="265" t="s">
        <v>2821</v>
      </c>
      <c r="E267" s="1" t="s">
        <v>2600</v>
      </c>
      <c r="G267" t="s">
        <v>3243</v>
      </c>
    </row>
    <row r="268" spans="4:7" outlineLevel="1">
      <c r="D268" s="265" t="s">
        <v>3107</v>
      </c>
      <c r="E268" s="1" t="s">
        <v>2600</v>
      </c>
      <c r="G268" t="s">
        <v>3243</v>
      </c>
    </row>
    <row r="269" spans="4:7" outlineLevel="1">
      <c r="D269" s="265" t="s">
        <v>2577</v>
      </c>
      <c r="E269" s="1" t="s">
        <v>2600</v>
      </c>
      <c r="G269" t="s">
        <v>3243</v>
      </c>
    </row>
    <row r="270" spans="4:7" outlineLevel="1">
      <c r="D270" s="265" t="s">
        <v>2724</v>
      </c>
      <c r="E270" s="1" t="s">
        <v>2600</v>
      </c>
      <c r="G270" t="s">
        <v>3243</v>
      </c>
    </row>
    <row r="271" spans="4:7" outlineLevel="1">
      <c r="D271" s="265" t="s">
        <v>2510</v>
      </c>
      <c r="E271" s="1" t="s">
        <v>2600</v>
      </c>
      <c r="G271" t="s">
        <v>3243</v>
      </c>
    </row>
    <row r="272" spans="4:7" outlineLevel="1">
      <c r="D272" s="265" t="s">
        <v>4371</v>
      </c>
      <c r="E272" s="1" t="s">
        <v>2600</v>
      </c>
      <c r="G272" t="s">
        <v>3243</v>
      </c>
    </row>
    <row r="273" spans="4:7" outlineLevel="1">
      <c r="D273" s="265" t="s">
        <v>3106</v>
      </c>
      <c r="E273" s="1" t="s">
        <v>2600</v>
      </c>
      <c r="G273" t="s">
        <v>3243</v>
      </c>
    </row>
    <row r="274" spans="4:7" outlineLevel="1">
      <c r="D274" s="265" t="s">
        <v>2511</v>
      </c>
      <c r="E274" s="1" t="s">
        <v>2600</v>
      </c>
      <c r="G274" t="s">
        <v>3243</v>
      </c>
    </row>
    <row r="275" spans="4:7" outlineLevel="1">
      <c r="D275" s="265" t="s">
        <v>2907</v>
      </c>
      <c r="E275" s="1" t="s">
        <v>2600</v>
      </c>
      <c r="G275" t="s">
        <v>3243</v>
      </c>
    </row>
    <row r="276" spans="4:7" outlineLevel="1">
      <c r="D276" s="265" t="s">
        <v>2908</v>
      </c>
      <c r="E276" s="1" t="s">
        <v>2600</v>
      </c>
      <c r="G276" t="s">
        <v>3243</v>
      </c>
    </row>
    <row r="277" spans="4:7" outlineLevel="1">
      <c r="D277" s="265" t="s">
        <v>2667</v>
      </c>
      <c r="E277" s="1" t="s">
        <v>2600</v>
      </c>
      <c r="G277" t="s">
        <v>3243</v>
      </c>
    </row>
    <row r="278" spans="4:7" outlineLevel="1">
      <c r="D278" s="265" t="s">
        <v>1628</v>
      </c>
      <c r="E278" s="1" t="s">
        <v>2600</v>
      </c>
      <c r="G278" t="s">
        <v>1787</v>
      </c>
    </row>
    <row r="279" spans="4:7" outlineLevel="1">
      <c r="D279" s="265" t="s">
        <v>4118</v>
      </c>
      <c r="E279" s="1" t="s">
        <v>2600</v>
      </c>
      <c r="G279" t="s">
        <v>1787</v>
      </c>
    </row>
    <row r="280" spans="4:7" outlineLevel="1">
      <c r="D280" s="265" t="s">
        <v>4098</v>
      </c>
      <c r="E280" s="1" t="s">
        <v>2600</v>
      </c>
      <c r="G280" t="s">
        <v>1787</v>
      </c>
    </row>
    <row r="281" spans="4:7" outlineLevel="1">
      <c r="D281" s="265" t="s">
        <v>2778</v>
      </c>
      <c r="E281" s="1" t="s">
        <v>2600</v>
      </c>
      <c r="G281" t="s">
        <v>1787</v>
      </c>
    </row>
    <row r="282" spans="4:7" outlineLevel="1">
      <c r="D282" s="265" t="s">
        <v>3609</v>
      </c>
      <c r="E282" s="1" t="s">
        <v>2600</v>
      </c>
      <c r="G282" t="s">
        <v>3243</v>
      </c>
    </row>
    <row r="283" spans="4:7" outlineLevel="1">
      <c r="D283" s="265" t="s">
        <v>2284</v>
      </c>
      <c r="E283" s="1" t="s">
        <v>2600</v>
      </c>
      <c r="G283" t="s">
        <v>3243</v>
      </c>
    </row>
    <row r="284" spans="4:7" outlineLevel="1">
      <c r="D284" s="265" t="s">
        <v>1621</v>
      </c>
      <c r="E284" s="1" t="s">
        <v>2600</v>
      </c>
      <c r="G284" t="s">
        <v>3243</v>
      </c>
    </row>
    <row r="285" spans="4:7" outlineLevel="1">
      <c r="D285" s="265" t="s">
        <v>3830</v>
      </c>
      <c r="E285" s="1" t="s">
        <v>2600</v>
      </c>
      <c r="G285" t="s">
        <v>3243</v>
      </c>
    </row>
    <row r="286" spans="4:7" outlineLevel="1">
      <c r="D286" s="265" t="s">
        <v>2333</v>
      </c>
      <c r="E286" s="1" t="s">
        <v>2600</v>
      </c>
      <c r="G286" t="s">
        <v>3243</v>
      </c>
    </row>
    <row r="287" spans="4:7" outlineLevel="1">
      <c r="D287" s="265" t="s">
        <v>4344</v>
      </c>
      <c r="E287" s="1" t="s">
        <v>2600</v>
      </c>
      <c r="G287" t="s">
        <v>3243</v>
      </c>
    </row>
    <row r="288" spans="4:7" outlineLevel="1">
      <c r="D288" s="265" t="s">
        <v>4345</v>
      </c>
      <c r="E288" s="1" t="s">
        <v>2600</v>
      </c>
      <c r="G288" t="s">
        <v>3243</v>
      </c>
    </row>
    <row r="289" spans="4:7" outlineLevel="1">
      <c r="D289" s="265" t="s">
        <v>4038</v>
      </c>
      <c r="E289" s="1" t="s">
        <v>2600</v>
      </c>
      <c r="G289" t="s">
        <v>3243</v>
      </c>
    </row>
    <row r="290" spans="4:7" outlineLevel="1">
      <c r="D290" s="265" t="s">
        <v>4163</v>
      </c>
      <c r="E290" s="1" t="s">
        <v>2600</v>
      </c>
      <c r="G290" t="s">
        <v>3243</v>
      </c>
    </row>
    <row r="291" spans="4:7" outlineLevel="1">
      <c r="D291" s="265" t="s">
        <v>2583</v>
      </c>
      <c r="E291" s="1" t="s">
        <v>2600</v>
      </c>
      <c r="G291" t="s">
        <v>3243</v>
      </c>
    </row>
    <row r="292" spans="4:7" outlineLevel="1">
      <c r="D292" s="265" t="s">
        <v>2618</v>
      </c>
      <c r="E292" s="1" t="s">
        <v>2600</v>
      </c>
      <c r="G292" t="s">
        <v>3243</v>
      </c>
    </row>
    <row r="293" spans="4:7" outlineLevel="1">
      <c r="D293" s="265" t="s">
        <v>2418</v>
      </c>
      <c r="E293" s="1" t="s">
        <v>2600</v>
      </c>
      <c r="G293" t="s">
        <v>3243</v>
      </c>
    </row>
    <row r="294" spans="4:7" outlineLevel="1">
      <c r="D294" s="265" t="s">
        <v>3813</v>
      </c>
      <c r="E294" s="1" t="s">
        <v>2600</v>
      </c>
      <c r="G294" t="s">
        <v>3243</v>
      </c>
    </row>
    <row r="295" spans="4:7" outlineLevel="1">
      <c r="D295" s="265" t="s">
        <v>2810</v>
      </c>
      <c r="E295" s="1" t="s">
        <v>2600</v>
      </c>
      <c r="G295" t="s">
        <v>3243</v>
      </c>
    </row>
    <row r="296" spans="4:7" outlineLevel="1">
      <c r="D296" s="265" t="s">
        <v>2613</v>
      </c>
      <c r="E296" s="1" t="s">
        <v>2600</v>
      </c>
      <c r="G296" t="s">
        <v>3243</v>
      </c>
    </row>
    <row r="297" spans="4:7" outlineLevel="1">
      <c r="D297" s="265" t="s">
        <v>1620</v>
      </c>
      <c r="E297" s="1" t="s">
        <v>2600</v>
      </c>
      <c r="G297" t="s">
        <v>3243</v>
      </c>
    </row>
    <row r="298" spans="4:7" outlineLevel="1">
      <c r="D298" s="265" t="s">
        <v>1620</v>
      </c>
      <c r="E298" s="1" t="s">
        <v>2600</v>
      </c>
      <c r="G298" t="s">
        <v>3243</v>
      </c>
    </row>
    <row r="299" spans="4:7" outlineLevel="1">
      <c r="D299" s="265" t="s">
        <v>2726</v>
      </c>
      <c r="E299" s="1" t="s">
        <v>2600</v>
      </c>
      <c r="G299" t="s">
        <v>3243</v>
      </c>
    </row>
    <row r="300" spans="4:7" outlineLevel="1">
      <c r="D300" s="265" t="s">
        <v>2938</v>
      </c>
      <c r="E300" s="1" t="s">
        <v>2600</v>
      </c>
      <c r="G300" t="s">
        <v>3243</v>
      </c>
    </row>
    <row r="301" spans="4:7" outlineLevel="1">
      <c r="D301" s="265" t="s">
        <v>2569</v>
      </c>
      <c r="E301" s="1" t="s">
        <v>2600</v>
      </c>
      <c r="G301" t="s">
        <v>3243</v>
      </c>
    </row>
    <row r="302" spans="4:7" outlineLevel="1">
      <c r="D302" s="265" t="s">
        <v>2825</v>
      </c>
      <c r="E302" s="1" t="s">
        <v>2600</v>
      </c>
      <c r="G302" t="s">
        <v>3243</v>
      </c>
    </row>
    <row r="303" spans="4:7" outlineLevel="1">
      <c r="D303" s="265" t="s">
        <v>3914</v>
      </c>
      <c r="E303" s="1" t="s">
        <v>2600</v>
      </c>
      <c r="G303" t="s">
        <v>3243</v>
      </c>
    </row>
    <row r="304" spans="4:7" outlineLevel="1">
      <c r="D304" s="265" t="s">
        <v>3607</v>
      </c>
      <c r="E304" s="1" t="s">
        <v>2600</v>
      </c>
      <c r="G304" t="s">
        <v>3243</v>
      </c>
    </row>
    <row r="305" spans="4:7" outlineLevel="1">
      <c r="D305" s="265" t="s">
        <v>3606</v>
      </c>
      <c r="E305" s="1" t="s">
        <v>2600</v>
      </c>
      <c r="G305" t="s">
        <v>3243</v>
      </c>
    </row>
    <row r="306" spans="4:7" outlineLevel="1">
      <c r="D306" s="265" t="s">
        <v>2804</v>
      </c>
      <c r="E306" s="1" t="s">
        <v>2600</v>
      </c>
      <c r="G306" t="s">
        <v>3243</v>
      </c>
    </row>
    <row r="307" spans="4:7" outlineLevel="1">
      <c r="D307" s="265" t="s">
        <v>2521</v>
      </c>
      <c r="E307" s="1" t="s">
        <v>2600</v>
      </c>
      <c r="G307" t="s">
        <v>3243</v>
      </c>
    </row>
    <row r="308" spans="4:7" outlineLevel="1">
      <c r="D308" s="265" t="s">
        <v>2573</v>
      </c>
      <c r="E308" s="1" t="s">
        <v>2600</v>
      </c>
      <c r="G308" t="s">
        <v>3243</v>
      </c>
    </row>
    <row r="309" spans="4:7" outlineLevel="1">
      <c r="D309" s="265" t="s">
        <v>2296</v>
      </c>
      <c r="E309" s="1" t="s">
        <v>2600</v>
      </c>
      <c r="G309" t="s">
        <v>3243</v>
      </c>
    </row>
    <row r="310" spans="4:7" outlineLevel="1">
      <c r="D310" s="265" t="s">
        <v>4580</v>
      </c>
      <c r="E310" s="1" t="s">
        <v>2600</v>
      </c>
      <c r="G310" t="s">
        <v>3243</v>
      </c>
    </row>
    <row r="311" spans="4:7" outlineLevel="1">
      <c r="D311" s="265" t="s">
        <v>3848</v>
      </c>
      <c r="E311" s="1" t="s">
        <v>2600</v>
      </c>
      <c r="G311" t="s">
        <v>3243</v>
      </c>
    </row>
    <row r="312" spans="4:7" outlineLevel="1">
      <c r="D312" s="265" t="s">
        <v>2989</v>
      </c>
      <c r="E312" s="1" t="s">
        <v>2600</v>
      </c>
      <c r="G312" t="s">
        <v>3243</v>
      </c>
    </row>
    <row r="313" spans="4:7" outlineLevel="1">
      <c r="D313" s="265" t="s">
        <v>2599</v>
      </c>
      <c r="E313" s="1" t="s">
        <v>2600</v>
      </c>
      <c r="G313" t="s">
        <v>3243</v>
      </c>
    </row>
    <row r="314" spans="4:7" outlineLevel="1">
      <c r="D314" s="265" t="s">
        <v>4183</v>
      </c>
      <c r="E314" s="1" t="s">
        <v>2600</v>
      </c>
      <c r="G314" t="s">
        <v>3243</v>
      </c>
    </row>
    <row r="315" spans="4:7" outlineLevel="1">
      <c r="D315" s="265" t="s">
        <v>1627</v>
      </c>
      <c r="E315" s="1" t="s">
        <v>2600</v>
      </c>
      <c r="G315" t="s">
        <v>3243</v>
      </c>
    </row>
    <row r="316" spans="4:7" outlineLevel="1">
      <c r="D316" s="265" t="s">
        <v>4119</v>
      </c>
      <c r="E316" s="1" t="s">
        <v>2600</v>
      </c>
      <c r="G316" t="s">
        <v>3243</v>
      </c>
    </row>
    <row r="317" spans="4:7" outlineLevel="1">
      <c r="D317" s="265" t="s">
        <v>2940</v>
      </c>
      <c r="E317" s="1" t="s">
        <v>2600</v>
      </c>
      <c r="G317" t="s">
        <v>1787</v>
      </c>
    </row>
    <row r="318" spans="4:7" outlineLevel="1">
      <c r="D318" s="265" t="s">
        <v>3893</v>
      </c>
      <c r="E318" s="1" t="s">
        <v>2600</v>
      </c>
      <c r="G318" t="s">
        <v>3243</v>
      </c>
    </row>
    <row r="319" spans="4:7" outlineLevel="1">
      <c r="D319" s="265" t="s">
        <v>2634</v>
      </c>
      <c r="E319" s="1" t="s">
        <v>2600</v>
      </c>
      <c r="G319" t="s">
        <v>3243</v>
      </c>
    </row>
    <row r="320" spans="4:7" outlineLevel="1">
      <c r="D320" s="265" t="s">
        <v>2911</v>
      </c>
      <c r="E320" s="1" t="s">
        <v>2600</v>
      </c>
      <c r="G320" t="s">
        <v>3243</v>
      </c>
    </row>
    <row r="321" spans="4:7" outlineLevel="1">
      <c r="D321" s="265" t="s">
        <v>4316</v>
      </c>
      <c r="E321" s="1" t="s">
        <v>2600</v>
      </c>
      <c r="G321" t="s">
        <v>3243</v>
      </c>
    </row>
    <row r="322" spans="4:7" outlineLevel="1">
      <c r="D322" s="265" t="s">
        <v>1629</v>
      </c>
      <c r="E322" s="1" t="s">
        <v>2600</v>
      </c>
      <c r="G322" t="s">
        <v>3243</v>
      </c>
    </row>
    <row r="323" spans="4:7" outlineLevel="1">
      <c r="D323" s="265" t="s">
        <v>3608</v>
      </c>
      <c r="E323" s="1" t="s">
        <v>2600</v>
      </c>
      <c r="G323" t="s">
        <v>3243</v>
      </c>
    </row>
    <row r="324" spans="4:7" outlineLevel="1">
      <c r="D324" s="265" t="s">
        <v>1626</v>
      </c>
      <c r="E324" s="1" t="s">
        <v>2600</v>
      </c>
      <c r="G324" t="s">
        <v>3243</v>
      </c>
    </row>
    <row r="325" spans="4:7" outlineLevel="1">
      <c r="D325" s="265" t="s">
        <v>3021</v>
      </c>
      <c r="E325" s="1" t="s">
        <v>2600</v>
      </c>
      <c r="G325" t="s">
        <v>3243</v>
      </c>
    </row>
    <row r="326" spans="4:7" outlineLevel="1">
      <c r="D326" s="265" t="s">
        <v>3022</v>
      </c>
      <c r="E326" s="1" t="s">
        <v>2600</v>
      </c>
      <c r="G326" t="s">
        <v>3243</v>
      </c>
    </row>
    <row r="327" spans="4:7" outlineLevel="1">
      <c r="D327" s="265" t="s">
        <v>3115</v>
      </c>
      <c r="E327" s="1" t="s">
        <v>2600</v>
      </c>
      <c r="G327" t="s">
        <v>3243</v>
      </c>
    </row>
    <row r="328" spans="4:7" outlineLevel="1">
      <c r="D328" s="265" t="s">
        <v>4144</v>
      </c>
      <c r="E328" s="1" t="s">
        <v>2600</v>
      </c>
      <c r="G328" t="s">
        <v>3243</v>
      </c>
    </row>
    <row r="329" spans="4:7" outlineLevel="1">
      <c r="D329" s="265" t="s">
        <v>4368</v>
      </c>
      <c r="E329" s="1" t="s">
        <v>2600</v>
      </c>
      <c r="G329" t="s">
        <v>3243</v>
      </c>
    </row>
    <row r="330" spans="4:7" outlineLevel="1">
      <c r="D330" s="265" t="s">
        <v>2578</v>
      </c>
      <c r="E330" s="1" t="s">
        <v>2600</v>
      </c>
      <c r="G330" t="s">
        <v>3243</v>
      </c>
    </row>
    <row r="331" spans="4:7" outlineLevel="1">
      <c r="D331" s="265" t="s">
        <v>2483</v>
      </c>
      <c r="E331" s="1" t="s">
        <v>2600</v>
      </c>
      <c r="G331" t="s">
        <v>1787</v>
      </c>
    </row>
    <row r="332" spans="4:7" outlineLevel="1">
      <c r="D332" s="265" t="s">
        <v>4048</v>
      </c>
      <c r="E332" s="1" t="s">
        <v>2600</v>
      </c>
      <c r="G332" t="s">
        <v>1787</v>
      </c>
    </row>
    <row r="333" spans="4:7" outlineLevel="1">
      <c r="D333" s="265" t="s">
        <v>3023</v>
      </c>
      <c r="E333" s="1" t="s">
        <v>2600</v>
      </c>
      <c r="G333" t="s">
        <v>1787</v>
      </c>
    </row>
    <row r="334" spans="4:7" outlineLevel="1">
      <c r="D334" s="265" t="s">
        <v>4333</v>
      </c>
      <c r="E334" s="1" t="s">
        <v>2600</v>
      </c>
      <c r="G334" t="s">
        <v>1787</v>
      </c>
    </row>
    <row r="335" spans="4:7" outlineLevel="1">
      <c r="D335" s="265" t="s">
        <v>3217</v>
      </c>
      <c r="E335" s="1" t="s">
        <v>2600</v>
      </c>
      <c r="G335" t="s">
        <v>1787</v>
      </c>
    </row>
    <row r="336" spans="4:7" outlineLevel="1">
      <c r="D336" s="265" t="s">
        <v>3112</v>
      </c>
      <c r="E336" s="1" t="s">
        <v>2600</v>
      </c>
      <c r="G336" t="s">
        <v>1787</v>
      </c>
    </row>
    <row r="337" spans="4:7" outlineLevel="1">
      <c r="D337" s="265" t="s">
        <v>3603</v>
      </c>
      <c r="E337" s="1" t="s">
        <v>2600</v>
      </c>
      <c r="G337" t="s">
        <v>1787</v>
      </c>
    </row>
    <row r="338" spans="4:7" outlineLevel="1">
      <c r="D338" s="265" t="s">
        <v>4325</v>
      </c>
      <c r="E338" s="1" t="s">
        <v>2600</v>
      </c>
      <c r="G338" t="s">
        <v>1787</v>
      </c>
    </row>
    <row r="339" spans="4:7" outlineLevel="1">
      <c r="D339" s="265" t="s">
        <v>4099</v>
      </c>
      <c r="E339" s="1" t="s">
        <v>2600</v>
      </c>
      <c r="G339" t="s">
        <v>1787</v>
      </c>
    </row>
    <row r="340" spans="4:7" outlineLevel="1">
      <c r="D340" s="265" t="s">
        <v>2741</v>
      </c>
      <c r="E340" s="1" t="s">
        <v>2600</v>
      </c>
      <c r="G340" t="s">
        <v>1787</v>
      </c>
    </row>
    <row r="341" spans="4:7" outlineLevel="1">
      <c r="D341" s="265" t="s">
        <v>1624</v>
      </c>
      <c r="E341" s="1" t="s">
        <v>2600</v>
      </c>
      <c r="G341" t="s">
        <v>1787</v>
      </c>
    </row>
    <row r="342" spans="4:7" outlineLevel="1">
      <c r="D342" s="265" t="s">
        <v>2863</v>
      </c>
      <c r="E342" s="1" t="s">
        <v>2600</v>
      </c>
      <c r="G342" t="s">
        <v>1787</v>
      </c>
    </row>
    <row r="343" spans="4:7" outlineLevel="1">
      <c r="D343" s="265" t="s">
        <v>2864</v>
      </c>
      <c r="E343" s="1" t="s">
        <v>2600</v>
      </c>
      <c r="G343" t="s">
        <v>1787</v>
      </c>
    </row>
    <row r="344" spans="4:7" outlineLevel="1">
      <c r="D344" s="265" t="s">
        <v>2865</v>
      </c>
      <c r="E344" s="1" t="s">
        <v>2600</v>
      </c>
      <c r="G344" t="s">
        <v>1787</v>
      </c>
    </row>
    <row r="345" spans="4:7" outlineLevel="1">
      <c r="D345" s="265" t="s">
        <v>2866</v>
      </c>
      <c r="E345" s="1" t="s">
        <v>2600</v>
      </c>
      <c r="G345" t="s">
        <v>1787</v>
      </c>
    </row>
    <row r="346" spans="4:7" outlineLevel="1">
      <c r="D346" s="265" t="s">
        <v>4134</v>
      </c>
      <c r="E346" s="1" t="s">
        <v>2600</v>
      </c>
      <c r="G346" t="s">
        <v>1787</v>
      </c>
    </row>
    <row r="347" spans="4:7" outlineLevel="1">
      <c r="D347" s="265" t="s">
        <v>2889</v>
      </c>
      <c r="E347" s="1" t="s">
        <v>2600</v>
      </c>
      <c r="G347" t="s">
        <v>1787</v>
      </c>
    </row>
    <row r="348" spans="4:7" outlineLevel="1">
      <c r="D348" s="265" t="s">
        <v>2890</v>
      </c>
      <c r="E348" s="1" t="s">
        <v>2600</v>
      </c>
      <c r="G348" t="s">
        <v>1787</v>
      </c>
    </row>
    <row r="349" spans="4:7" outlineLevel="1">
      <c r="D349" s="265" t="s">
        <v>3142</v>
      </c>
      <c r="E349" s="1" t="s">
        <v>2600</v>
      </c>
      <c r="G349" t="s">
        <v>1787</v>
      </c>
    </row>
    <row r="350" spans="4:7" outlineLevel="1">
      <c r="D350" s="265" t="s">
        <v>3057</v>
      </c>
      <c r="E350" s="1" t="s">
        <v>2600</v>
      </c>
      <c r="G350" t="s">
        <v>1787</v>
      </c>
    </row>
    <row r="351" spans="4:7" outlineLevel="1">
      <c r="D351" s="265" t="s">
        <v>4149</v>
      </c>
      <c r="E351" s="1" t="s">
        <v>2600</v>
      </c>
      <c r="G351" t="s">
        <v>1787</v>
      </c>
    </row>
    <row r="352" spans="4:7" outlineLevel="1">
      <c r="D352" s="265" t="s">
        <v>2728</v>
      </c>
      <c r="E352" s="1" t="s">
        <v>2600</v>
      </c>
      <c r="G352" t="s">
        <v>1787</v>
      </c>
    </row>
    <row r="353" spans="4:7" outlineLevel="1">
      <c r="D353" s="265" t="s">
        <v>2727</v>
      </c>
      <c r="E353" s="1" t="s">
        <v>2600</v>
      </c>
      <c r="G353" t="s">
        <v>1787</v>
      </c>
    </row>
    <row r="354" spans="4:7" outlineLevel="1">
      <c r="D354" s="265" t="s">
        <v>2389</v>
      </c>
      <c r="E354" s="1" t="s">
        <v>2600</v>
      </c>
      <c r="G354" t="s">
        <v>1787</v>
      </c>
    </row>
    <row r="355" spans="4:7" outlineLevel="1">
      <c r="D355" s="265" t="s">
        <v>2388</v>
      </c>
      <c r="E355" s="1" t="s">
        <v>2600</v>
      </c>
      <c r="G355" t="s">
        <v>1787</v>
      </c>
    </row>
    <row r="356" spans="4:7" outlineLevel="1">
      <c r="D356" s="265" t="s">
        <v>4141</v>
      </c>
      <c r="E356" s="1" t="s">
        <v>2600</v>
      </c>
      <c r="G356" t="s">
        <v>1787</v>
      </c>
    </row>
    <row r="357" spans="4:7" outlineLevel="1">
      <c r="D357" s="265" t="s">
        <v>3908</v>
      </c>
      <c r="E357" s="1" t="s">
        <v>2600</v>
      </c>
      <c r="G357" t="s">
        <v>1787</v>
      </c>
    </row>
    <row r="358" spans="4:7" outlineLevel="1">
      <c r="D358" s="265" t="s">
        <v>3909</v>
      </c>
      <c r="E358" s="1" t="s">
        <v>2600</v>
      </c>
      <c r="G358" t="s">
        <v>1787</v>
      </c>
    </row>
    <row r="359" spans="4:7" outlineLevel="1">
      <c r="D359" s="265" t="s">
        <v>2739</v>
      </c>
      <c r="E359" s="1" t="s">
        <v>2600</v>
      </c>
      <c r="G359" t="s">
        <v>1787</v>
      </c>
    </row>
    <row r="360" spans="4:7" outlineLevel="1">
      <c r="D360" s="265" t="s">
        <v>2867</v>
      </c>
      <c r="E360" s="1" t="s">
        <v>2600</v>
      </c>
      <c r="G360" t="s">
        <v>1787</v>
      </c>
    </row>
    <row r="361" spans="4:7" outlineLevel="1">
      <c r="D361" s="265" t="s">
        <v>2860</v>
      </c>
      <c r="E361" s="1" t="s">
        <v>2600</v>
      </c>
      <c r="G361" t="s">
        <v>1787</v>
      </c>
    </row>
    <row r="362" spans="4:7" outlineLevel="1">
      <c r="D362" s="265" t="s">
        <v>2861</v>
      </c>
      <c r="E362" s="1" t="s">
        <v>2600</v>
      </c>
      <c r="G362" t="s">
        <v>1787</v>
      </c>
    </row>
    <row r="363" spans="4:7" outlineLevel="1">
      <c r="D363" s="265" t="s">
        <v>2862</v>
      </c>
      <c r="E363" s="1" t="s">
        <v>2600</v>
      </c>
      <c r="G363" t="s">
        <v>1787</v>
      </c>
    </row>
    <row r="364" spans="4:7" outlineLevel="1">
      <c r="D364" s="265" t="s">
        <v>3535</v>
      </c>
      <c r="E364" s="1" t="s">
        <v>2600</v>
      </c>
      <c r="G364" t="s">
        <v>1787</v>
      </c>
    </row>
    <row r="365" spans="4:7" outlineLevel="1">
      <c r="D365" s="265" t="s">
        <v>3064</v>
      </c>
      <c r="E365" s="1" t="s">
        <v>2600</v>
      </c>
      <c r="G365" t="s">
        <v>1787</v>
      </c>
    </row>
    <row r="366" spans="4:7" outlineLevel="1">
      <c r="D366" s="265" t="s">
        <v>3590</v>
      </c>
      <c r="E366" s="1" t="s">
        <v>2600</v>
      </c>
      <c r="G366" t="s">
        <v>1787</v>
      </c>
    </row>
    <row r="367" spans="4:7" outlineLevel="1">
      <c r="D367" s="265" t="s">
        <v>3605</v>
      </c>
      <c r="E367" s="1" t="s">
        <v>2600</v>
      </c>
      <c r="G367" t="s">
        <v>1787</v>
      </c>
    </row>
    <row r="368" spans="4:7" outlineLevel="1">
      <c r="D368" s="265" t="s">
        <v>2892</v>
      </c>
      <c r="E368" s="1" t="s">
        <v>2600</v>
      </c>
      <c r="G368" t="s">
        <v>3243</v>
      </c>
    </row>
    <row r="369" spans="4:7" outlineLevel="1">
      <c r="D369" s="265" t="s">
        <v>1619</v>
      </c>
      <c r="E369" s="1" t="s">
        <v>2600</v>
      </c>
      <c r="G369" t="s">
        <v>3243</v>
      </c>
    </row>
    <row r="370" spans="4:7" outlineLevel="1">
      <c r="D370" s="265" t="s">
        <v>4047</v>
      </c>
      <c r="E370" s="1" t="s">
        <v>2600</v>
      </c>
      <c r="G370" t="s">
        <v>3243</v>
      </c>
    </row>
    <row r="371" spans="4:7" outlineLevel="1">
      <c r="D371" s="265" t="s">
        <v>2826</v>
      </c>
      <c r="E371" s="1" t="s">
        <v>2600</v>
      </c>
      <c r="G371" t="s">
        <v>3243</v>
      </c>
    </row>
    <row r="372" spans="4:7" outlineLevel="1">
      <c r="D372" s="265" t="s">
        <v>2615</v>
      </c>
      <c r="E372" s="1" t="s">
        <v>2600</v>
      </c>
      <c r="G372" t="s">
        <v>3243</v>
      </c>
    </row>
    <row r="373" spans="4:7" outlineLevel="1">
      <c r="D373" s="265" t="s">
        <v>3133</v>
      </c>
      <c r="E373" s="1" t="s">
        <v>2600</v>
      </c>
      <c r="G373" t="s">
        <v>3243</v>
      </c>
    </row>
    <row r="374" spans="4:7" outlineLevel="1">
      <c r="D374" s="265" t="s">
        <v>3056</v>
      </c>
      <c r="E374" s="1" t="s">
        <v>2600</v>
      </c>
      <c r="G374" t="s">
        <v>1787</v>
      </c>
    </row>
    <row r="375" spans="4:7" outlineLevel="1">
      <c r="D375" s="265" t="s">
        <v>2849</v>
      </c>
      <c r="E375" s="1" t="s">
        <v>2600</v>
      </c>
      <c r="G375" t="s">
        <v>3243</v>
      </c>
    </row>
    <row r="376" spans="4:7" outlineLevel="1">
      <c r="D376" s="265" t="s">
        <v>2585</v>
      </c>
      <c r="E376" s="1" t="s">
        <v>2600</v>
      </c>
      <c r="G376" t="s">
        <v>3243</v>
      </c>
    </row>
    <row r="377" spans="4:7" outlineLevel="1">
      <c r="D377" s="265" t="s">
        <v>3226</v>
      </c>
      <c r="E377" s="1" t="s">
        <v>2600</v>
      </c>
      <c r="G377" t="s">
        <v>3243</v>
      </c>
    </row>
    <row r="378" spans="4:7" outlineLevel="1">
      <c r="D378" s="265" t="s">
        <v>2276</v>
      </c>
      <c r="E378" s="1" t="s">
        <v>2600</v>
      </c>
      <c r="G378" t="s">
        <v>3243</v>
      </c>
    </row>
    <row r="379" spans="4:7" outlineLevel="1">
      <c r="D379" s="265" t="s">
        <v>4143</v>
      </c>
      <c r="E379" s="1" t="s">
        <v>2600</v>
      </c>
      <c r="G379" t="s">
        <v>3243</v>
      </c>
    </row>
    <row r="380" spans="4:7" outlineLevel="1">
      <c r="D380" s="265" t="s">
        <v>2596</v>
      </c>
      <c r="E380" s="1" t="s">
        <v>2600</v>
      </c>
      <c r="G380" t="s">
        <v>3243</v>
      </c>
    </row>
    <row r="381" spans="4:7" outlineLevel="1">
      <c r="D381" s="265" t="s">
        <v>2706</v>
      </c>
      <c r="E381" s="1" t="s">
        <v>2600</v>
      </c>
      <c r="G381" t="s">
        <v>3243</v>
      </c>
    </row>
    <row r="382" spans="4:7" outlineLevel="1">
      <c r="D382" s="265" t="s">
        <v>2597</v>
      </c>
      <c r="E382" s="1" t="s">
        <v>2600</v>
      </c>
      <c r="G382" t="s">
        <v>3243</v>
      </c>
    </row>
    <row r="383" spans="4:7" outlineLevel="1">
      <c r="D383" s="265" t="s">
        <v>4145</v>
      </c>
      <c r="E383" s="1" t="s">
        <v>2600</v>
      </c>
      <c r="G383" t="s">
        <v>3243</v>
      </c>
    </row>
    <row r="384" spans="4:7" outlineLevel="1">
      <c r="D384" s="265" t="s">
        <v>4146</v>
      </c>
      <c r="E384" s="1" t="s">
        <v>2600</v>
      </c>
      <c r="G384" t="s">
        <v>3243</v>
      </c>
    </row>
    <row r="385" spans="4:7" outlineLevel="1">
      <c r="D385" s="265" t="s">
        <v>3063</v>
      </c>
      <c r="E385" s="1" t="s">
        <v>2600</v>
      </c>
      <c r="G385" t="s">
        <v>3243</v>
      </c>
    </row>
    <row r="386" spans="4:7" outlineLevel="1">
      <c r="D386" s="265" t="s">
        <v>2536</v>
      </c>
      <c r="E386" s="1" t="s">
        <v>2600</v>
      </c>
      <c r="G386" t="s">
        <v>3243</v>
      </c>
    </row>
    <row r="387" spans="4:7" outlineLevel="1">
      <c r="D387" s="265" t="s">
        <v>4323</v>
      </c>
      <c r="E387" s="1" t="s">
        <v>2600</v>
      </c>
      <c r="G387" t="s">
        <v>3243</v>
      </c>
    </row>
    <row r="388" spans="4:7" outlineLevel="1">
      <c r="D388" s="265" t="s">
        <v>4199</v>
      </c>
      <c r="E388" s="1" t="s">
        <v>2600</v>
      </c>
      <c r="G388" t="s">
        <v>3243</v>
      </c>
    </row>
    <row r="389" spans="4:7" outlineLevel="1">
      <c r="D389" s="815" t="s">
        <v>4568</v>
      </c>
      <c r="E389" s="1" t="s">
        <v>2600</v>
      </c>
      <c r="G389" t="s">
        <v>3243</v>
      </c>
    </row>
    <row r="390" spans="4:7" outlineLevel="1">
      <c r="D390" s="815" t="s">
        <v>4569</v>
      </c>
      <c r="E390" s="1" t="s">
        <v>2600</v>
      </c>
      <c r="G390" t="s">
        <v>3243</v>
      </c>
    </row>
    <row r="391" spans="4:7" outlineLevel="1">
      <c r="D391" s="815" t="s">
        <v>4570</v>
      </c>
      <c r="E391" s="1" t="s">
        <v>2600</v>
      </c>
      <c r="G391" t="s">
        <v>3243</v>
      </c>
    </row>
    <row r="392" spans="4:7" outlineLevel="1">
      <c r="D392" s="265" t="s">
        <v>3132</v>
      </c>
      <c r="E392" s="1" t="s">
        <v>2600</v>
      </c>
      <c r="G392" t="s">
        <v>3243</v>
      </c>
    </row>
    <row r="393" spans="4:7" outlineLevel="1">
      <c r="D393" s="265" t="s">
        <v>4084</v>
      </c>
      <c r="E393" s="1" t="s">
        <v>2600</v>
      </c>
      <c r="G393" t="s">
        <v>3243</v>
      </c>
    </row>
    <row r="394" spans="4:7" outlineLevel="1">
      <c r="D394" s="265" t="s">
        <v>3131</v>
      </c>
      <c r="E394" s="1" t="s">
        <v>2600</v>
      </c>
      <c r="G394" t="s">
        <v>3243</v>
      </c>
    </row>
    <row r="395" spans="4:7" outlineLevel="1">
      <c r="D395" s="265" t="s">
        <v>3539</v>
      </c>
      <c r="E395" s="1" t="s">
        <v>2600</v>
      </c>
      <c r="G395" t="s">
        <v>3243</v>
      </c>
    </row>
    <row r="396" spans="4:7" outlineLevel="1">
      <c r="D396" s="265" t="s">
        <v>2482</v>
      </c>
      <c r="E396" s="1" t="s">
        <v>2600</v>
      </c>
      <c r="G396" t="s">
        <v>1787</v>
      </c>
    </row>
    <row r="397" spans="4:7" outlineLevel="1">
      <c r="D397" s="265" t="s">
        <v>3024</v>
      </c>
      <c r="E397" s="1" t="s">
        <v>2600</v>
      </c>
      <c r="G397" t="s">
        <v>1787</v>
      </c>
    </row>
    <row r="398" spans="4:7" outlineLevel="1">
      <c r="D398" s="265" t="s">
        <v>4625</v>
      </c>
      <c r="E398" s="1" t="s">
        <v>2600</v>
      </c>
      <c r="G398" t="s">
        <v>1787</v>
      </c>
    </row>
    <row r="399" spans="4:7" outlineLevel="1">
      <c r="D399" s="265" t="s">
        <v>3604</v>
      </c>
      <c r="E399" s="1" t="s">
        <v>2600</v>
      </c>
      <c r="G399" t="s">
        <v>1787</v>
      </c>
    </row>
    <row r="400" spans="4:7" outlineLevel="1">
      <c r="D400" s="265" t="s">
        <v>4100</v>
      </c>
      <c r="E400" s="1" t="s">
        <v>2600</v>
      </c>
      <c r="G400" t="s">
        <v>1787</v>
      </c>
    </row>
    <row r="401" spans="4:7" outlineLevel="1">
      <c r="D401" s="265" t="s">
        <v>2742</v>
      </c>
      <c r="E401" s="1" t="s">
        <v>2600</v>
      </c>
      <c r="G401" t="s">
        <v>1787</v>
      </c>
    </row>
    <row r="402" spans="4:7" outlineLevel="1">
      <c r="D402" s="265" t="s">
        <v>1623</v>
      </c>
      <c r="E402" s="1" t="s">
        <v>2600</v>
      </c>
      <c r="G402" t="s">
        <v>1787</v>
      </c>
    </row>
    <row r="403" spans="4:7" outlineLevel="1">
      <c r="D403" s="265" t="s">
        <v>2834</v>
      </c>
      <c r="E403" s="1" t="s">
        <v>2600</v>
      </c>
      <c r="G403" t="s">
        <v>1787</v>
      </c>
    </row>
    <row r="404" spans="4:7" outlineLevel="1">
      <c r="D404" s="265" t="s">
        <v>2835</v>
      </c>
      <c r="E404" s="1" t="s">
        <v>2600</v>
      </c>
      <c r="G404" t="s">
        <v>1787</v>
      </c>
    </row>
    <row r="405" spans="4:7" outlineLevel="1">
      <c r="D405" s="265" t="s">
        <v>2836</v>
      </c>
      <c r="E405" s="1" t="s">
        <v>2600</v>
      </c>
      <c r="G405" t="s">
        <v>1787</v>
      </c>
    </row>
    <row r="406" spans="4:7" outlineLevel="1">
      <c r="D406" s="265" t="s">
        <v>2729</v>
      </c>
      <c r="E406" s="1" t="s">
        <v>2600</v>
      </c>
      <c r="G406" t="s">
        <v>1787</v>
      </c>
    </row>
    <row r="407" spans="4:7" outlineLevel="1">
      <c r="D407" s="265" t="s">
        <v>2390</v>
      </c>
      <c r="E407" s="1" t="s">
        <v>2600</v>
      </c>
      <c r="G407" t="s">
        <v>1787</v>
      </c>
    </row>
    <row r="408" spans="4:7" outlineLevel="1">
      <c r="D408" s="265" t="s">
        <v>4137</v>
      </c>
      <c r="E408" s="1" t="s">
        <v>2600</v>
      </c>
      <c r="G408" t="s">
        <v>1787</v>
      </c>
    </row>
    <row r="409" spans="4:7" outlineLevel="1">
      <c r="D409" s="265" t="s">
        <v>2419</v>
      </c>
      <c r="E409" s="1" t="s">
        <v>2600</v>
      </c>
      <c r="G409" t="s">
        <v>1787</v>
      </c>
    </row>
    <row r="410" spans="4:7" outlineLevel="1">
      <c r="D410" s="265" t="s">
        <v>2868</v>
      </c>
      <c r="E410" s="1" t="s">
        <v>2600</v>
      </c>
      <c r="G410" t="s">
        <v>1787</v>
      </c>
    </row>
    <row r="411" spans="4:7" outlineLevel="1">
      <c r="D411" s="265" t="s">
        <v>2869</v>
      </c>
      <c r="E411" s="1" t="s">
        <v>2600</v>
      </c>
      <c r="G411" t="s">
        <v>1787</v>
      </c>
    </row>
    <row r="412" spans="4:7" outlineLevel="1">
      <c r="D412" s="265" t="s">
        <v>3113</v>
      </c>
      <c r="E412" s="1" t="s">
        <v>2600</v>
      </c>
      <c r="G412" t="s">
        <v>1787</v>
      </c>
    </row>
    <row r="413" spans="4:7" outlineLevel="1">
      <c r="D413" s="265" t="s">
        <v>1618</v>
      </c>
      <c r="E413" s="1" t="s">
        <v>2600</v>
      </c>
      <c r="G413" t="s">
        <v>3243</v>
      </c>
    </row>
    <row r="414" spans="4:7" outlineLevel="1">
      <c r="D414" s="265" t="s">
        <v>4162</v>
      </c>
      <c r="E414" s="1" t="s">
        <v>2600</v>
      </c>
      <c r="G414" t="s">
        <v>3243</v>
      </c>
    </row>
    <row r="415" spans="4:7" outlineLevel="1">
      <c r="D415" s="265" t="s">
        <v>2751</v>
      </c>
      <c r="E415" s="1" t="s">
        <v>2600</v>
      </c>
      <c r="G415" t="s">
        <v>3243</v>
      </c>
    </row>
    <row r="416" spans="4:7" outlineLevel="1">
      <c r="D416" s="265" t="s">
        <v>2730</v>
      </c>
      <c r="E416" s="1" t="s">
        <v>2600</v>
      </c>
      <c r="G416" t="s">
        <v>3243</v>
      </c>
    </row>
    <row r="417" spans="4:7" outlineLevel="1">
      <c r="D417" s="265" t="s">
        <v>2824</v>
      </c>
      <c r="E417" s="1" t="s">
        <v>2600</v>
      </c>
      <c r="G417" t="s">
        <v>3243</v>
      </c>
    </row>
    <row r="418" spans="4:7" ht="15.75" customHeight="1" outlineLevel="1">
      <c r="D418" s="265"/>
    </row>
    <row r="419" spans="4:7" ht="15.75" customHeight="1" outlineLevel="1">
      <c r="D419" s="265" t="s">
        <v>3473</v>
      </c>
      <c r="E419" s="1" t="s">
        <v>3003</v>
      </c>
      <c r="G419" t="s">
        <v>1787</v>
      </c>
    </row>
    <row r="420" spans="4:7" ht="15.75" customHeight="1" outlineLevel="1">
      <c r="D420" s="265" t="s">
        <v>3474</v>
      </c>
      <c r="E420" s="1" t="s">
        <v>3003</v>
      </c>
      <c r="G420" t="s">
        <v>1787</v>
      </c>
    </row>
    <row r="421" spans="4:7" ht="15.75" customHeight="1" outlineLevel="1">
      <c r="D421" s="265" t="s">
        <v>3475</v>
      </c>
      <c r="E421" s="1" t="s">
        <v>3003</v>
      </c>
      <c r="G421" t="s">
        <v>1787</v>
      </c>
    </row>
    <row r="422" spans="4:7" ht="15.75" customHeight="1" outlineLevel="1">
      <c r="D422" s="265" t="s">
        <v>3478</v>
      </c>
      <c r="E422" s="1" t="s">
        <v>3003</v>
      </c>
      <c r="G422" t="s">
        <v>1787</v>
      </c>
    </row>
    <row r="423" spans="4:7" ht="15.75" customHeight="1" outlineLevel="1">
      <c r="D423" s="265" t="s">
        <v>2372</v>
      </c>
      <c r="E423" s="1" t="s">
        <v>3003</v>
      </c>
      <c r="G423" t="s">
        <v>1787</v>
      </c>
    </row>
    <row r="424" spans="4:7" ht="15.75" customHeight="1" outlineLevel="1">
      <c r="D424" s="265" t="s">
        <v>1630</v>
      </c>
      <c r="E424" s="1" t="s">
        <v>3003</v>
      </c>
      <c r="G424" t="s">
        <v>1787</v>
      </c>
    </row>
    <row r="425" spans="4:7" ht="15.75" customHeight="1" outlineLevel="1">
      <c r="D425" s="265" t="s">
        <v>4184</v>
      </c>
      <c r="E425" s="1" t="s">
        <v>3003</v>
      </c>
      <c r="G425" t="s">
        <v>1787</v>
      </c>
    </row>
    <row r="426" spans="4:7" ht="15.75" customHeight="1" outlineLevel="1">
      <c r="D426" s="265" t="s">
        <v>2497</v>
      </c>
      <c r="E426" s="1" t="s">
        <v>3003</v>
      </c>
      <c r="G426" t="s">
        <v>1787</v>
      </c>
    </row>
    <row r="427" spans="4:7" outlineLevel="1">
      <c r="D427" s="263" t="s">
        <v>1605</v>
      </c>
      <c r="E427" s="1" t="s">
        <v>2974</v>
      </c>
    </row>
    <row r="428" spans="4:7" outlineLevel="1">
      <c r="D428" s="263" t="s">
        <v>2794</v>
      </c>
      <c r="E428" s="1" t="s">
        <v>2974</v>
      </c>
    </row>
    <row r="429" spans="4:7" outlineLevel="1">
      <c r="D429" s="263" t="s">
        <v>1788</v>
      </c>
      <c r="E429" s="1" t="s">
        <v>2974</v>
      </c>
    </row>
    <row r="430" spans="4:7" outlineLevel="1">
      <c r="D430" s="263" t="s">
        <v>1789</v>
      </c>
      <c r="E430" s="1" t="s">
        <v>2974</v>
      </c>
    </row>
    <row r="431" spans="4:7" outlineLevel="1">
      <c r="D431" s="263" t="s">
        <v>2801</v>
      </c>
      <c r="E431" s="1" t="s">
        <v>2974</v>
      </c>
    </row>
    <row r="432" spans="4:7" outlineLevel="1">
      <c r="D432" s="263" t="s">
        <v>3601</v>
      </c>
      <c r="E432" s="1" t="s">
        <v>2974</v>
      </c>
    </row>
    <row r="433" spans="4:5" outlineLevel="1">
      <c r="D433" s="36" t="s">
        <v>1845</v>
      </c>
      <c r="E433" s="1" t="s">
        <v>2974</v>
      </c>
    </row>
    <row r="434" spans="4:5" outlineLevel="1">
      <c r="D434" s="36" t="s">
        <v>1801</v>
      </c>
      <c r="E434" s="1" t="s">
        <v>2984</v>
      </c>
    </row>
    <row r="435" spans="4:5" outlineLevel="1">
      <c r="D435" s="36" t="s">
        <v>1802</v>
      </c>
      <c r="E435" s="1" t="s">
        <v>2984</v>
      </c>
    </row>
    <row r="436" spans="4:5" outlineLevel="1">
      <c r="D436" s="36" t="s">
        <v>3863</v>
      </c>
      <c r="E436" s="1" t="s">
        <v>2984</v>
      </c>
    </row>
    <row r="437" spans="4:5" outlineLevel="1">
      <c r="D437" s="36" t="s">
        <v>1804</v>
      </c>
      <c r="E437" s="1" t="s">
        <v>1787</v>
      </c>
    </row>
    <row r="438" spans="4:5" outlineLevel="1">
      <c r="D438" s="36" t="s">
        <v>2802</v>
      </c>
      <c r="E438" s="1" t="s">
        <v>1787</v>
      </c>
    </row>
    <row r="439" spans="4:5" outlineLevel="1">
      <c r="D439" s="36" t="s">
        <v>2934</v>
      </c>
      <c r="E439" s="1" t="s">
        <v>1787</v>
      </c>
    </row>
    <row r="440" spans="4:5" outlineLevel="1">
      <c r="D440" s="36" t="s">
        <v>1805</v>
      </c>
      <c r="E440" s="1" t="s">
        <v>2984</v>
      </c>
    </row>
    <row r="441" spans="4:5" outlineLevel="1">
      <c r="D441" s="36" t="s">
        <v>1806</v>
      </c>
      <c r="E441" s="1" t="s">
        <v>2984</v>
      </c>
    </row>
    <row r="442" spans="4:5" outlineLevel="1">
      <c r="D442" s="36" t="s">
        <v>3862</v>
      </c>
      <c r="E442" s="1" t="s">
        <v>2984</v>
      </c>
    </row>
    <row r="443" spans="4:5" outlineLevel="1">
      <c r="D443" s="227" t="s">
        <v>1831</v>
      </c>
      <c r="E443" s="1" t="s">
        <v>2974</v>
      </c>
    </row>
    <row r="444" spans="4:5" outlineLevel="1">
      <c r="D444" s="227" t="s">
        <v>2516</v>
      </c>
      <c r="E444" s="1" t="s">
        <v>2974</v>
      </c>
    </row>
    <row r="445" spans="4:5" outlineLevel="1">
      <c r="D445" s="263"/>
    </row>
    <row r="446" spans="4:5" outlineLevel="1">
      <c r="D446" s="263" t="s">
        <v>1823</v>
      </c>
      <c r="E446" s="1" t="s">
        <v>2974</v>
      </c>
    </row>
    <row r="447" spans="4:5" outlineLevel="1">
      <c r="D447" s="263" t="s">
        <v>3072</v>
      </c>
      <c r="E447" s="1" t="s">
        <v>2974</v>
      </c>
    </row>
    <row r="448" spans="4:5" outlineLevel="1">
      <c r="D448" s="263" t="s">
        <v>1606</v>
      </c>
      <c r="E448" s="1" t="s">
        <v>2974</v>
      </c>
    </row>
    <row r="449" spans="4:5" outlineLevel="1">
      <c r="D449" s="263" t="s">
        <v>3074</v>
      </c>
      <c r="E449" s="1" t="s">
        <v>2974</v>
      </c>
    </row>
    <row r="450" spans="4:5" outlineLevel="1">
      <c r="D450" s="263" t="s">
        <v>3595</v>
      </c>
      <c r="E450" s="1" t="s">
        <v>2974</v>
      </c>
    </row>
    <row r="451" spans="4:5" outlineLevel="1">
      <c r="D451" s="227" t="s">
        <v>1607</v>
      </c>
      <c r="E451" s="1" t="s">
        <v>2974</v>
      </c>
    </row>
    <row r="452" spans="4:5" outlineLevel="1">
      <c r="D452" s="227" t="s">
        <v>3825</v>
      </c>
      <c r="E452" s="1" t="s">
        <v>2974</v>
      </c>
    </row>
    <row r="453" spans="4:5" outlineLevel="1">
      <c r="D453" s="227" t="s">
        <v>2808</v>
      </c>
      <c r="E453" s="1" t="s">
        <v>2974</v>
      </c>
    </row>
    <row r="454" spans="4:5" outlineLevel="1">
      <c r="D454" s="227" t="s">
        <v>3826</v>
      </c>
      <c r="E454" s="1" t="s">
        <v>2974</v>
      </c>
    </row>
    <row r="455" spans="4:5" outlineLevel="1">
      <c r="D455" s="227" t="s">
        <v>3075</v>
      </c>
      <c r="E455" s="1" t="s">
        <v>2974</v>
      </c>
    </row>
    <row r="456" spans="4:5" outlineLevel="1">
      <c r="D456" s="227" t="s">
        <v>3827</v>
      </c>
      <c r="E456" s="1" t="s">
        <v>2974</v>
      </c>
    </row>
    <row r="457" spans="4:5" outlineLevel="1">
      <c r="D457" s="227" t="s">
        <v>2809</v>
      </c>
      <c r="E457" s="1" t="s">
        <v>2974</v>
      </c>
    </row>
    <row r="458" spans="4:5" outlineLevel="1">
      <c r="D458" s="227" t="s">
        <v>3828</v>
      </c>
      <c r="E458" s="1" t="s">
        <v>2974</v>
      </c>
    </row>
    <row r="459" spans="4:5" outlineLevel="1">
      <c r="D459" s="263"/>
    </row>
    <row r="460" spans="4:5" outlineLevel="1">
      <c r="D460" s="263"/>
    </row>
    <row r="461" spans="4:5" outlineLevel="1">
      <c r="D461" s="263"/>
    </row>
    <row r="462" spans="4:5" outlineLevel="1">
      <c r="D462" s="263"/>
    </row>
    <row r="463" spans="4:5" outlineLevel="1">
      <c r="D463" s="219"/>
    </row>
    <row r="464" spans="4:5" outlineLevel="1">
      <c r="D464" s="227" t="s">
        <v>1608</v>
      </c>
      <c r="E464" s="1" t="s">
        <v>2974</v>
      </c>
    </row>
    <row r="465" spans="4:5" outlineLevel="1">
      <c r="D465" s="227" t="s">
        <v>3077</v>
      </c>
      <c r="E465" s="1" t="s">
        <v>2974</v>
      </c>
    </row>
    <row r="466" spans="4:5" outlineLevel="1">
      <c r="D466" s="227" t="s">
        <v>2761</v>
      </c>
      <c r="E466" s="1" t="s">
        <v>2974</v>
      </c>
    </row>
    <row r="467" spans="4:5" outlineLevel="1">
      <c r="D467" s="264" t="s">
        <v>1834</v>
      </c>
      <c r="E467" s="1" t="s">
        <v>1787</v>
      </c>
    </row>
    <row r="468" spans="4:5" outlineLevel="1">
      <c r="D468" s="264" t="s">
        <v>2581</v>
      </c>
      <c r="E468" s="1" t="s">
        <v>1787</v>
      </c>
    </row>
    <row r="469" spans="4:5" outlineLevel="1">
      <c r="D469" s="264" t="s">
        <v>1609</v>
      </c>
      <c r="E469" s="1" t="s">
        <v>2974</v>
      </c>
    </row>
    <row r="470" spans="4:5" outlineLevel="1">
      <c r="D470" s="264" t="s">
        <v>2939</v>
      </c>
      <c r="E470" s="1" t="s">
        <v>2974</v>
      </c>
    </row>
    <row r="471" spans="4:5" outlineLevel="1">
      <c r="D471" s="264" t="s">
        <v>2475</v>
      </c>
      <c r="E471" s="1" t="s">
        <v>2974</v>
      </c>
    </row>
    <row r="472" spans="4:5" outlineLevel="1">
      <c r="D472" s="264" t="s">
        <v>2762</v>
      </c>
      <c r="E472" s="1" t="s">
        <v>2974</v>
      </c>
    </row>
    <row r="473" spans="4:5" outlineLevel="1">
      <c r="D473" s="264" t="s">
        <v>1610</v>
      </c>
      <c r="E473" s="1" t="s">
        <v>1787</v>
      </c>
    </row>
    <row r="474" spans="4:5" outlineLevel="1">
      <c r="D474" s="264" t="s">
        <v>1611</v>
      </c>
      <c r="E474" s="1" t="s">
        <v>2974</v>
      </c>
    </row>
    <row r="475" spans="4:5" outlineLevel="1">
      <c r="D475" s="264" t="s">
        <v>1612</v>
      </c>
      <c r="E475" s="1" t="s">
        <v>1787</v>
      </c>
    </row>
    <row r="476" spans="4:5" outlineLevel="1">
      <c r="D476" s="264" t="s">
        <v>1613</v>
      </c>
      <c r="E476" s="1" t="s">
        <v>2974</v>
      </c>
    </row>
    <row r="477" spans="4:5" outlineLevel="1">
      <c r="D477" s="264" t="s">
        <v>2598</v>
      </c>
      <c r="E477" s="1" t="s">
        <v>2974</v>
      </c>
    </row>
    <row r="478" spans="4:5" outlineLevel="1">
      <c r="D478" s="264" t="s">
        <v>3088</v>
      </c>
      <c r="E478" s="1" t="s">
        <v>2974</v>
      </c>
    </row>
    <row r="479" spans="4:5" outlineLevel="1">
      <c r="D479" s="264" t="s">
        <v>1614</v>
      </c>
      <c r="E479" s="1" t="s">
        <v>2984</v>
      </c>
    </row>
    <row r="480" spans="4:5" outlineLevel="1">
      <c r="D480" s="376" t="s">
        <v>2313</v>
      </c>
      <c r="E480" s="1" t="s">
        <v>2984</v>
      </c>
    </row>
    <row r="481" spans="4:5" outlineLevel="1">
      <c r="D481" s="263" t="s">
        <v>1615</v>
      </c>
      <c r="E481" s="1" t="s">
        <v>2974</v>
      </c>
    </row>
    <row r="482" spans="4:5" outlineLevel="1">
      <c r="D482" s="263" t="s">
        <v>1616</v>
      </c>
      <c r="E482" s="1" t="s">
        <v>2974</v>
      </c>
    </row>
    <row r="483" spans="4:5" outlineLevel="1">
      <c r="D483" s="227" t="s">
        <v>2484</v>
      </c>
      <c r="E483" s="1" t="s">
        <v>2984</v>
      </c>
    </row>
    <row r="484" spans="4:5" outlineLevel="1">
      <c r="D484" s="227" t="s">
        <v>3058</v>
      </c>
      <c r="E484" s="1" t="s">
        <v>2984</v>
      </c>
    </row>
    <row r="485" spans="4:5" outlineLevel="1">
      <c r="D485" s="227" t="s">
        <v>3059</v>
      </c>
      <c r="E485" s="1" t="s">
        <v>2984</v>
      </c>
    </row>
    <row r="486" spans="4:5" outlineLevel="1">
      <c r="D486" s="36" t="s">
        <v>1617</v>
      </c>
      <c r="E486" s="1" t="s">
        <v>2984</v>
      </c>
    </row>
    <row r="487" spans="4:5" outlineLevel="1">
      <c r="D487" s="36" t="s">
        <v>2289</v>
      </c>
      <c r="E487" s="1" t="s">
        <v>2984</v>
      </c>
    </row>
    <row r="488" spans="4:5" outlineLevel="1">
      <c r="D488" s="36" t="s">
        <v>2725</v>
      </c>
      <c r="E488" s="1" t="s">
        <v>2984</v>
      </c>
    </row>
    <row r="489" spans="4:5" outlineLevel="1">
      <c r="D489" s="36" t="s">
        <v>3060</v>
      </c>
      <c r="E489" s="1" t="s">
        <v>2984</v>
      </c>
    </row>
    <row r="490" spans="4:5" outlineLevel="1">
      <c r="D490" s="36" t="s">
        <v>2471</v>
      </c>
      <c r="E490" s="1" t="s">
        <v>2984</v>
      </c>
    </row>
    <row r="491" spans="4:5" outlineLevel="1">
      <c r="D491" s="36" t="s">
        <v>2467</v>
      </c>
      <c r="E491" s="1" t="s">
        <v>2984</v>
      </c>
    </row>
    <row r="492" spans="4:5" outlineLevel="1">
      <c r="D492" s="36" t="s">
        <v>2767</v>
      </c>
      <c r="E492" s="1" t="s">
        <v>2984</v>
      </c>
    </row>
    <row r="493" spans="4:5" outlineLevel="1">
      <c r="D493" s="36" t="s">
        <v>2395</v>
      </c>
      <c r="E493" s="1" t="s">
        <v>2984</v>
      </c>
    </row>
    <row r="494" spans="4:5" outlineLevel="1">
      <c r="D494" s="36" t="s">
        <v>2535</v>
      </c>
      <c r="E494" s="1" t="s">
        <v>2984</v>
      </c>
    </row>
    <row r="495" spans="4:5" outlineLevel="1"/>
    <row r="496" spans="4:5" outlineLevel="1">
      <c r="D496" s="263" t="str">
        <f>mled02</f>
        <v>M-LED-02 Brown Doff ( Alm. 75111 ) P3</v>
      </c>
      <c r="E496" s="1" t="s">
        <v>3003</v>
      </c>
    </row>
    <row r="497" spans="4:5" ht="15.75" customHeight="1"/>
    <row r="498" spans="4:5" ht="15.75" customHeight="1">
      <c r="D498" t="str">
        <f>_rel1</f>
        <v>LEGRA S1 ORION GREY (OG</v>
      </c>
      <c r="E498" s="1" t="s">
        <v>4609</v>
      </c>
    </row>
    <row r="499" spans="4:5" ht="15.75" customHeight="1">
      <c r="D499" t="str">
        <f>_rel2</f>
        <v>LEGRABOX S4 OG (ORION GREY)</v>
      </c>
      <c r="E499" s="1" t="s">
        <v>4609</v>
      </c>
    </row>
    <row r="500" spans="4:5" ht="15.75" customHeight="1">
      <c r="D500" t="str">
        <f>_rel3</f>
        <v>REL TANDEM BLUM SINGLE EXT INTG P.500</v>
      </c>
      <c r="E500" s="1" t="s">
        <v>4609</v>
      </c>
    </row>
    <row r="501" spans="4:5" ht="15.75" customHeight="1">
      <c r="D501" t="str">
        <f>_rel4</f>
        <v>REL TANDEM BLUM FULL EXT INTG P.500</v>
      </c>
      <c r="E501" s="1" t="s">
        <v>4609</v>
      </c>
    </row>
    <row r="502" spans="4:5" ht="15.75" customHeight="1">
      <c r="D502" t="str">
        <f>_rel5</f>
        <v>REL TANDEM BLUM FULL EXT INTG P.400</v>
      </c>
      <c r="E502" s="1" t="s">
        <v>4609</v>
      </c>
    </row>
    <row r="503" spans="4:5" ht="15.75" customHeight="1">
      <c r="D503" t="str">
        <f>_rel6</f>
        <v>LACI B1S1 INTE BLUMO</v>
      </c>
      <c r="E503" s="1" t="s">
        <v>4609</v>
      </c>
    </row>
    <row r="504" spans="4:5" ht="15.75" customHeight="1">
      <c r="D504" t="str">
        <f>_rel7</f>
        <v>B1S2 GREY INTEG.BM</v>
      </c>
      <c r="E504" s="1" t="s">
        <v>4609</v>
      </c>
    </row>
    <row r="505" spans="4:5" ht="15.75" customHeight="1">
      <c r="D505" t="str">
        <f>_rel8</f>
        <v>REL TANDEM BLUM SINGLE EXT INTG P.450</v>
      </c>
      <c r="E505" s="1" t="s">
        <v>4609</v>
      </c>
    </row>
    <row r="506" spans="4:5" ht="15.75" customHeight="1">
      <c r="D506" t="str">
        <f>_rel9</f>
        <v>MERIVOBOX MVX S1 SW 500 40 BM</v>
      </c>
      <c r="E506" s="1" t="s">
        <v>4609</v>
      </c>
    </row>
    <row r="507" spans="4:5" ht="15.75" customHeight="1">
      <c r="D507" t="str">
        <f>_rel10</f>
        <v>MERIVOBOX MVX S4 SW 500 70 BM</v>
      </c>
      <c r="E507" s="1" t="s">
        <v>4609</v>
      </c>
    </row>
    <row r="508" spans="4:5" ht="15.75" customHeight="1">
      <c r="D508" t="str">
        <f>_rel11</f>
        <v>LACI MERIVOBOX S2 + KACA ORION GREY</v>
      </c>
      <c r="E508" s="1" t="s">
        <v>4609</v>
      </c>
    </row>
    <row r="509" spans="4:5" ht="15.75" customHeight="1">
      <c r="D509" t="str">
        <f>_rel12</f>
        <v>QUADRO V6 SFP FL 500 EB 20 TIP ON HETTICH L/R</v>
      </c>
      <c r="E509" s="1" t="s">
        <v>4609</v>
      </c>
    </row>
    <row r="510" spans="4:5" ht="15.75" customHeight="1">
      <c r="D510" t="str">
        <f>_rel13</f>
        <v>Avantech You 101 P.500mm</v>
      </c>
      <c r="E510" s="1" t="s">
        <v>4609</v>
      </c>
    </row>
    <row r="511" spans="4:5" ht="15.75" customHeight="1">
      <c r="D511" t="str">
        <f>_rel14</f>
        <v>Avantech You 251 P.500mm</v>
      </c>
      <c r="E511" s="1" t="s">
        <v>4609</v>
      </c>
    </row>
    <row r="512" spans="4:5" ht="15.75" customHeight="1"/>
    <row r="513" spans="4:5" ht="15.75" customHeight="1">
      <c r="D513" t="str">
        <f>engsel1</f>
        <v>ENGSEL CLIP TOP  107 DEG INTEGRATED 75 B 1550 + 173 L 6100</v>
      </c>
      <c r="E513" s="1" t="s">
        <v>4609</v>
      </c>
    </row>
    <row r="514" spans="4:5" ht="15.75" customHeight="1">
      <c r="D514" t="str">
        <f>engsel2</f>
        <v>ENGSEL SALICE PUSH.TIP ON FOR DOOR</v>
      </c>
      <c r="E514" s="1" t="s">
        <v>4609</v>
      </c>
    </row>
    <row r="515" spans="4:5" ht="15.75" customHeight="1">
      <c r="D515" t="str">
        <f>engsel3</f>
        <v xml:space="preserve">ENGSEL 155 DRAJAT  71 B 7550   </v>
      </c>
      <c r="E515" s="1" t="s">
        <v>4609</v>
      </c>
    </row>
    <row r="516" spans="4:5" ht="15.75" customHeight="1">
      <c r="D516" t="str">
        <f>engsel4</f>
        <v>ENGSEL BIFOLD</v>
      </c>
      <c r="E516" s="1" t="s">
        <v>4609</v>
      </c>
    </row>
    <row r="517" spans="4:5" ht="15.75" customHeight="1">
      <c r="D517" t="str">
        <f>engsel5</f>
        <v>ENGSEL 79M9550 BLIND CORNER</v>
      </c>
      <c r="E517" s="1" t="s">
        <v>4609</v>
      </c>
    </row>
    <row r="518" spans="4:5" ht="15.75" customHeight="1">
      <c r="D518" t="str">
        <f>engsel6</f>
        <v>ENGSEL  S 8657i B12 TH52</v>
      </c>
      <c r="E518" s="1" t="s">
        <v>4609</v>
      </c>
    </row>
    <row r="519" spans="4:5" ht="15.75" customHeight="1">
      <c r="D519" t="str">
        <f>engsel7</f>
        <v>ENGSEL 9936 W45 C6</v>
      </c>
      <c r="E519" s="1" t="s">
        <v>4609</v>
      </c>
    </row>
    <row r="520" spans="4:5" ht="15.75" customHeight="1">
      <c r="D520" t="str">
        <f>engsel8</f>
        <v>Engsel Sensys Full Bengkok C 16-110 DERAJAT 907 1207</v>
      </c>
      <c r="E520" s="1" t="s">
        <v>4609</v>
      </c>
    </row>
    <row r="521" spans="4:5" ht="15.75" customHeight="1">
      <c r="D521" t="str">
        <f>engsel9</f>
        <v>ENGSEL MEPLA FLAP DOOR</v>
      </c>
      <c r="E521" s="1" t="s">
        <v>4609</v>
      </c>
    </row>
    <row r="522" spans="4:5" ht="15.75" customHeight="1">
      <c r="D522" t="str">
        <f>engsel10</f>
        <v>RDK-52A FOLDING HINGE</v>
      </c>
      <c r="E522" s="1" t="s">
        <v>4609</v>
      </c>
    </row>
    <row r="523" spans="4:5" ht="15.75" customHeight="1"/>
    <row r="524" spans="4:5" ht="15.75" customHeight="1"/>
    <row r="525" spans="4:5" ht="15.75" customHeight="1"/>
    <row r="526" spans="4:5" ht="15.75" customHeight="1"/>
    <row r="527" spans="4:5" ht="15.75" customHeight="1"/>
    <row r="528" spans="4:5"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spans="2:4" ht="15.75" customHeight="1"/>
    <row r="562" spans="2:4" ht="15.75" customHeight="1"/>
    <row r="563" spans="2:4" ht="15.75" customHeight="1"/>
    <row r="564" spans="2:4" ht="15.75" customHeight="1"/>
    <row r="565" spans="2:4" ht="15.75" customHeight="1"/>
    <row r="566" spans="2:4" ht="15.75" customHeight="1"/>
    <row r="567" spans="2:4" ht="15.75" customHeight="1"/>
    <row r="568" spans="2:4" ht="15.75" customHeight="1"/>
    <row r="569" spans="2:4" ht="15.75" customHeight="1"/>
    <row r="570" spans="2:4" ht="15.75" customHeight="1"/>
    <row r="571" spans="2:4" ht="15.75" customHeight="1"/>
    <row r="576" spans="2:4">
      <c r="B576" s="432" t="s">
        <v>2913</v>
      </c>
      <c r="D576" s="487" t="s">
        <v>2181</v>
      </c>
    </row>
    <row r="577" spans="2:4">
      <c r="B577" s="560" t="s">
        <v>2914</v>
      </c>
      <c r="D577" s="561" t="s">
        <v>2912</v>
      </c>
    </row>
    <row r="578" spans="2:4">
      <c r="B578" s="560" t="s">
        <v>4260</v>
      </c>
      <c r="D578" s="561" t="s">
        <v>4261</v>
      </c>
    </row>
    <row r="579" spans="2:4">
      <c r="B579" s="560" t="s">
        <v>4262</v>
      </c>
      <c r="D579" s="561" t="s">
        <v>4263</v>
      </c>
    </row>
    <row r="580" spans="2:4">
      <c r="B580" s="560" t="s">
        <v>4264</v>
      </c>
      <c r="D580" s="561" t="s">
        <v>4265</v>
      </c>
    </row>
    <row r="581" spans="2:4">
      <c r="B581" s="560"/>
      <c r="D581" s="561"/>
    </row>
    <row r="582" spans="2:4">
      <c r="B582" s="560"/>
      <c r="D582" s="561"/>
    </row>
    <row r="583" spans="2:4">
      <c r="B583" s="560"/>
      <c r="D583" s="561"/>
    </row>
    <row r="584" spans="2:4">
      <c r="B584" s="560"/>
      <c r="D584" s="561"/>
    </row>
    <row r="585" spans="2:4">
      <c r="B585" s="560"/>
      <c r="D585" s="561"/>
    </row>
    <row r="586" spans="2:4">
      <c r="B586" s="560"/>
      <c r="D586" s="561"/>
    </row>
    <row r="587" spans="2:4">
      <c r="B587" s="560"/>
      <c r="D587" s="561"/>
    </row>
    <row r="588" spans="2:4">
      <c r="B588" s="397"/>
      <c r="D588" s="397"/>
    </row>
    <row r="590" spans="2:4">
      <c r="B590" t="s">
        <v>2915</v>
      </c>
    </row>
    <row r="591" spans="2:4">
      <c r="B591" t="s">
        <v>2916</v>
      </c>
    </row>
    <row r="592" spans="2:4">
      <c r="B592" t="s">
        <v>2917</v>
      </c>
    </row>
    <row r="593" spans="2:2">
      <c r="B593" t="s">
        <v>2918</v>
      </c>
    </row>
    <row r="594" spans="2:2">
      <c r="B594" t="s">
        <v>3469</v>
      </c>
    </row>
    <row r="627" spans="1:39" s="148" customFormat="1">
      <c r="A627" s="1"/>
      <c r="B627"/>
      <c r="C627" s="266" t="s">
        <v>1631</v>
      </c>
      <c r="D627" s="266"/>
      <c r="E627" s="266"/>
      <c r="F627" s="266"/>
      <c r="G627" s="266"/>
      <c r="H627" s="267"/>
      <c r="N627" s="151"/>
      <c r="S627" s="269"/>
      <c r="U627" s="269"/>
      <c r="AK627" s="152"/>
      <c r="AL627" s="152"/>
      <c r="AM627" s="152"/>
    </row>
    <row r="628" spans="1:39" s="148" customFormat="1">
      <c r="A628" s="1"/>
      <c r="B628"/>
      <c r="N628" s="151"/>
      <c r="S628" s="269"/>
      <c r="U628" s="269"/>
      <c r="AK628" s="152"/>
      <c r="AL628" s="152"/>
      <c r="AM628" s="152"/>
    </row>
    <row r="629" spans="1:39" s="148" customFormat="1">
      <c r="A629" s="1"/>
      <c r="B629"/>
      <c r="C629" s="149">
        <v>1</v>
      </c>
      <c r="D629" s="148" t="s">
        <v>1632</v>
      </c>
      <c r="G629" s="149"/>
      <c r="H629" s="859"/>
      <c r="I629" s="859"/>
      <c r="N629" s="151"/>
      <c r="S629" s="269"/>
      <c r="U629" s="269"/>
      <c r="AK629" s="152"/>
      <c r="AL629" s="152"/>
      <c r="AM629" s="152"/>
    </row>
    <row r="630" spans="1:39" s="148" customFormat="1">
      <c r="A630" s="1"/>
      <c r="B630"/>
      <c r="D630" s="860" t="s">
        <v>1633</v>
      </c>
      <c r="E630" s="860"/>
      <c r="F630" s="860"/>
      <c r="G630" s="860"/>
      <c r="H630" s="860"/>
      <c r="I630" s="860"/>
      <c r="J630" s="860"/>
      <c r="K630" s="860"/>
      <c r="L630" s="860"/>
      <c r="M630" s="860"/>
      <c r="N630" s="860"/>
      <c r="S630" s="269"/>
      <c r="U630" s="269"/>
      <c r="AK630" s="152"/>
      <c r="AL630" s="152"/>
      <c r="AM630" s="152"/>
    </row>
    <row r="631" spans="1:39" s="148" customFormat="1">
      <c r="A631" s="1"/>
      <c r="B631"/>
      <c r="D631" s="149"/>
      <c r="E631" s="149"/>
      <c r="F631" s="149"/>
      <c r="H631" s="149"/>
      <c r="I631" s="149"/>
      <c r="N631" s="151"/>
      <c r="S631" s="269"/>
      <c r="U631" s="269"/>
      <c r="AK631" s="152"/>
      <c r="AL631" s="152"/>
      <c r="AM631" s="152"/>
    </row>
    <row r="632" spans="1:39" s="148" customFormat="1">
      <c r="A632" s="1"/>
      <c r="B632"/>
      <c r="C632" s="149">
        <v>2</v>
      </c>
      <c r="D632" s="860" t="s">
        <v>1634</v>
      </c>
      <c r="E632" s="860"/>
      <c r="F632" s="860"/>
      <c r="G632" s="860"/>
      <c r="N632" s="151"/>
      <c r="S632" s="269"/>
      <c r="U632" s="269"/>
      <c r="AK632" s="152"/>
      <c r="AL632" s="152"/>
      <c r="AM632" s="152"/>
    </row>
    <row r="633" spans="1:39" s="148" customFormat="1">
      <c r="A633" s="1"/>
      <c r="B633"/>
      <c r="D633" s="860" t="s">
        <v>1635</v>
      </c>
      <c r="E633" s="860"/>
      <c r="F633" s="860"/>
      <c r="G633" s="860"/>
      <c r="H633" s="860"/>
      <c r="I633" s="860"/>
      <c r="J633" s="860"/>
      <c r="K633" s="860"/>
      <c r="L633" s="860"/>
      <c r="M633" s="860"/>
      <c r="N633" s="860"/>
      <c r="O633" s="860"/>
      <c r="P633" s="860"/>
      <c r="Q633" s="860"/>
      <c r="R633" s="860"/>
      <c r="S633" s="860"/>
      <c r="U633" s="269"/>
      <c r="AK633" s="152"/>
      <c r="AL633" s="152"/>
      <c r="AM633" s="152"/>
    </row>
    <row r="634" spans="1:39" s="148" customFormat="1">
      <c r="A634" s="1"/>
      <c r="B634"/>
      <c r="N634" s="151"/>
      <c r="S634" s="269"/>
      <c r="U634" s="269"/>
      <c r="AK634" s="152"/>
      <c r="AL634" s="152"/>
      <c r="AM634" s="152"/>
    </row>
    <row r="635" spans="1:39" s="148" customFormat="1">
      <c r="A635" s="1"/>
      <c r="B635"/>
      <c r="C635" s="149">
        <v>3</v>
      </c>
      <c r="D635" s="860" t="s">
        <v>1636</v>
      </c>
      <c r="E635" s="860"/>
      <c r="F635" s="860"/>
      <c r="G635" s="860"/>
      <c r="H635" s="860"/>
      <c r="I635" s="860"/>
      <c r="J635" s="860"/>
      <c r="K635" s="860"/>
      <c r="L635" s="860"/>
      <c r="M635" s="860"/>
      <c r="N635" s="860"/>
      <c r="O635" s="860"/>
      <c r="S635" s="269"/>
      <c r="U635" s="269"/>
      <c r="AK635" s="152"/>
      <c r="AL635" s="152"/>
      <c r="AM635" s="152"/>
    </row>
    <row r="636" spans="1:39" s="148" customFormat="1">
      <c r="A636" s="1"/>
      <c r="B636"/>
      <c r="D636" s="860" t="s">
        <v>1637</v>
      </c>
      <c r="E636" s="860"/>
      <c r="F636" s="860"/>
      <c r="G636" s="860"/>
      <c r="H636" s="860"/>
      <c r="I636" s="860"/>
      <c r="J636" s="860"/>
      <c r="K636" s="860"/>
      <c r="L636" s="860"/>
      <c r="M636" s="860"/>
      <c r="N636" s="860"/>
      <c r="O636" s="860"/>
      <c r="S636" s="269"/>
      <c r="U636" s="269"/>
      <c r="AK636" s="152"/>
      <c r="AL636" s="152"/>
      <c r="AM636" s="152"/>
    </row>
    <row r="637" spans="1:39" s="148" customFormat="1">
      <c r="A637" s="1"/>
      <c r="B637"/>
      <c r="N637" s="151"/>
      <c r="S637" s="269"/>
      <c r="U637" s="269"/>
      <c r="AK637" s="152"/>
      <c r="AL637" s="152"/>
      <c r="AM637" s="152"/>
    </row>
    <row r="638" spans="1:39" s="148" customFormat="1">
      <c r="A638" s="1"/>
      <c r="B638"/>
      <c r="C638" s="266" t="s">
        <v>1638</v>
      </c>
      <c r="D638" s="266"/>
      <c r="E638" s="266"/>
      <c r="F638" s="266"/>
      <c r="G638" s="266"/>
      <c r="H638" s="267"/>
      <c r="N638" s="151"/>
      <c r="S638" s="269"/>
      <c r="U638" s="269"/>
      <c r="AK638" s="152"/>
      <c r="AL638" s="152"/>
      <c r="AM638" s="152"/>
    </row>
    <row r="639" spans="1:39" s="148" customFormat="1">
      <c r="A639" s="1"/>
      <c r="B639"/>
      <c r="N639" s="151"/>
      <c r="S639" s="269"/>
      <c r="U639" s="269"/>
      <c r="AK639" s="152"/>
      <c r="AL639" s="152"/>
      <c r="AM639" s="152"/>
    </row>
    <row r="640" spans="1:39" s="148" customFormat="1">
      <c r="A640" s="1"/>
      <c r="B640"/>
      <c r="C640" s="149">
        <v>1</v>
      </c>
      <c r="D640" s="148" t="s">
        <v>1639</v>
      </c>
      <c r="G640" s="149"/>
      <c r="H640" s="859"/>
      <c r="I640" s="859"/>
      <c r="N640" s="151"/>
      <c r="S640" s="269"/>
      <c r="U640" s="269"/>
      <c r="AK640" s="152"/>
      <c r="AL640" s="152"/>
      <c r="AM640" s="152"/>
    </row>
    <row r="641" spans="1:39" s="148" customFormat="1">
      <c r="A641" s="1"/>
      <c r="B641"/>
      <c r="D641" s="860" t="s">
        <v>1640</v>
      </c>
      <c r="E641" s="860"/>
      <c r="F641" s="860"/>
      <c r="G641" s="860"/>
      <c r="H641" s="860"/>
      <c r="I641" s="860"/>
      <c r="J641" s="860"/>
      <c r="K641" s="860"/>
      <c r="L641" s="860"/>
      <c r="M641" s="860"/>
      <c r="N641" s="860"/>
      <c r="S641" s="269"/>
      <c r="U641" s="269"/>
      <c r="AK641" s="152"/>
      <c r="AL641" s="152"/>
      <c r="AM641" s="152"/>
    </row>
    <row r="642" spans="1:39" s="148" customFormat="1">
      <c r="A642" s="1"/>
      <c r="B642"/>
      <c r="D642" s="149"/>
      <c r="G642" s="149"/>
      <c r="H642" s="149"/>
      <c r="N642" s="151"/>
      <c r="S642" s="269"/>
      <c r="U642" s="269"/>
      <c r="AK642" s="152"/>
      <c r="AL642" s="152"/>
      <c r="AM642" s="152"/>
    </row>
    <row r="643" spans="1:39" s="148" customFormat="1">
      <c r="A643" s="1"/>
      <c r="B643"/>
      <c r="D643" s="152"/>
      <c r="E643" s="152"/>
      <c r="F643" s="152"/>
      <c r="G643" s="152"/>
      <c r="H643" s="152"/>
      <c r="I643" s="152"/>
      <c r="J643" s="152"/>
      <c r="K643" s="152"/>
      <c r="L643" s="152"/>
      <c r="M643" s="152"/>
      <c r="N643" s="268"/>
      <c r="O643" s="152"/>
      <c r="S643" s="269"/>
      <c r="U643" s="269"/>
      <c r="AK643" s="152"/>
      <c r="AL643" s="152"/>
      <c r="AM643" s="152"/>
    </row>
    <row r="644" spans="1:39" s="148" customFormat="1">
      <c r="A644" s="1"/>
      <c r="B644"/>
      <c r="C644" s="149">
        <v>5</v>
      </c>
      <c r="D644" s="148" t="s">
        <v>1641</v>
      </c>
      <c r="G644" s="149"/>
      <c r="H644" s="859"/>
      <c r="I644" s="859"/>
      <c r="N644" s="151"/>
      <c r="O644" s="152"/>
      <c r="S644" s="269"/>
      <c r="U644" s="269"/>
      <c r="AK644" s="152"/>
      <c r="AL644" s="152"/>
      <c r="AM644" s="152"/>
    </row>
    <row r="645" spans="1:39" s="148" customFormat="1">
      <c r="A645" s="1"/>
      <c r="B645"/>
      <c r="D645" s="860" t="s">
        <v>1642</v>
      </c>
      <c r="E645" s="860"/>
      <c r="F645" s="860"/>
      <c r="G645" s="860"/>
      <c r="H645" s="860"/>
      <c r="I645" s="860"/>
      <c r="J645" s="860"/>
      <c r="K645" s="860"/>
      <c r="L645" s="860"/>
      <c r="M645" s="860"/>
      <c r="N645" s="860"/>
      <c r="O645" s="152"/>
      <c r="S645" s="269"/>
      <c r="U645" s="269"/>
      <c r="AK645" s="152"/>
      <c r="AL645" s="152"/>
      <c r="AM645" s="152"/>
    </row>
    <row r="646" spans="1:39" s="148" customFormat="1">
      <c r="A646" s="1"/>
      <c r="B646"/>
      <c r="D646" s="860" t="s">
        <v>1643</v>
      </c>
      <c r="E646" s="860"/>
      <c r="F646" s="860"/>
      <c r="G646" s="860"/>
      <c r="H646" s="860"/>
      <c r="I646" s="860"/>
      <c r="J646" s="860"/>
      <c r="K646" s="860"/>
      <c r="L646" s="860"/>
      <c r="M646" s="860"/>
      <c r="N646" s="860"/>
      <c r="O646" s="152"/>
      <c r="S646" s="269"/>
      <c r="U646" s="269"/>
      <c r="AK646" s="152"/>
      <c r="AL646" s="152"/>
      <c r="AM646" s="152"/>
    </row>
    <row r="647" spans="1:39" s="148" customFormat="1">
      <c r="A647" s="1"/>
      <c r="B647"/>
      <c r="D647" s="152"/>
      <c r="E647" s="152"/>
      <c r="F647" s="152"/>
      <c r="G647" s="152"/>
      <c r="H647" s="152"/>
      <c r="I647" s="152"/>
      <c r="J647" s="152"/>
      <c r="K647" s="152"/>
      <c r="L647" s="152"/>
      <c r="M647" s="152"/>
      <c r="N647" s="268"/>
      <c r="O647" s="152"/>
      <c r="S647" s="269"/>
      <c r="U647" s="269"/>
      <c r="AK647" s="152"/>
      <c r="AL647" s="152"/>
      <c r="AM647" s="152"/>
    </row>
    <row r="648" spans="1:39" s="148" customFormat="1">
      <c r="A648" s="1"/>
      <c r="B648"/>
      <c r="C648" s="858" t="s">
        <v>1644</v>
      </c>
      <c r="D648" s="858"/>
      <c r="E648" s="858"/>
      <c r="F648" s="858"/>
      <c r="G648" s="858"/>
      <c r="H648" s="858"/>
      <c r="I648" s="858"/>
      <c r="J648" s="858"/>
      <c r="N648" s="151"/>
      <c r="S648" s="269"/>
      <c r="U648" s="269"/>
      <c r="AK648" s="152"/>
      <c r="AL648" s="152"/>
      <c r="AM648" s="152"/>
    </row>
    <row r="649" spans="1:39" s="148" customFormat="1">
      <c r="A649" s="1"/>
      <c r="B649"/>
      <c r="F649" s="149" t="s">
        <v>1645</v>
      </c>
      <c r="G649" s="149" t="s">
        <v>1646</v>
      </c>
      <c r="H649" s="149" t="s">
        <v>1647</v>
      </c>
      <c r="N649" s="151"/>
      <c r="S649" s="269"/>
      <c r="U649" s="269"/>
      <c r="AK649" s="152"/>
      <c r="AL649" s="152"/>
      <c r="AM649" s="152"/>
    </row>
    <row r="650" spans="1:39" s="148" customFormat="1">
      <c r="A650" s="1"/>
      <c r="B650">
        <v>1210</v>
      </c>
      <c r="C650" s="148">
        <v>1</v>
      </c>
      <c r="D650" s="152" t="s">
        <v>1648</v>
      </c>
      <c r="E650" s="152"/>
      <c r="F650" s="148">
        <f t="shared" ref="F650:F659" si="0">B650-608</f>
        <v>602</v>
      </c>
      <c r="G650" s="148">
        <f t="shared" ref="G650:G659" si="1">B650-608</f>
        <v>602</v>
      </c>
      <c r="H650" s="148">
        <f t="shared" ref="H650:H659" si="2">ROUNDDOWN((SQRT(SUMSQ(F650,G650))),0)</f>
        <v>851</v>
      </c>
      <c r="I650" s="152">
        <f>H650/2</f>
        <v>425.5</v>
      </c>
      <c r="J650" s="152"/>
      <c r="K650" s="152"/>
      <c r="N650" s="151"/>
      <c r="S650" s="269"/>
      <c r="U650" s="269"/>
      <c r="AK650" s="152"/>
      <c r="AL650" s="152"/>
      <c r="AM650" s="152"/>
    </row>
    <row r="651" spans="1:39" s="148" customFormat="1">
      <c r="A651" s="1"/>
      <c r="B651">
        <v>1516</v>
      </c>
      <c r="C651" s="148">
        <v>2</v>
      </c>
      <c r="D651" s="152" t="s">
        <v>1649</v>
      </c>
      <c r="E651" s="152"/>
      <c r="F651" s="148">
        <f t="shared" si="0"/>
        <v>908</v>
      </c>
      <c r="G651" s="148">
        <f t="shared" si="1"/>
        <v>908</v>
      </c>
      <c r="H651" s="148">
        <f t="shared" si="2"/>
        <v>1284</v>
      </c>
      <c r="I651" s="152">
        <f>H651/3</f>
        <v>428</v>
      </c>
      <c r="J651" s="152"/>
      <c r="K651" s="152"/>
      <c r="N651" s="151"/>
      <c r="S651" s="269"/>
      <c r="U651" s="269"/>
      <c r="AK651" s="152"/>
      <c r="AL651" s="152"/>
      <c r="AM651" s="152"/>
    </row>
    <row r="652" spans="1:39" s="148" customFormat="1">
      <c r="A652" s="1"/>
      <c r="B652">
        <v>1542</v>
      </c>
      <c r="C652" s="148">
        <v>3</v>
      </c>
      <c r="D652" s="152" t="s">
        <v>1650</v>
      </c>
      <c r="E652" s="152"/>
      <c r="F652" s="148">
        <f t="shared" si="0"/>
        <v>934</v>
      </c>
      <c r="G652" s="148">
        <f t="shared" si="1"/>
        <v>934</v>
      </c>
      <c r="H652" s="148">
        <f t="shared" si="2"/>
        <v>1320</v>
      </c>
      <c r="I652" s="152">
        <f>H652/3</f>
        <v>440</v>
      </c>
      <c r="J652" s="152"/>
      <c r="K652" s="152"/>
      <c r="N652" s="151"/>
      <c r="S652" s="269"/>
      <c r="U652" s="269"/>
      <c r="AK652" s="152"/>
      <c r="AL652" s="152"/>
      <c r="AM652" s="152"/>
    </row>
    <row r="653" spans="1:39" s="148" customFormat="1">
      <c r="A653" s="1"/>
      <c r="B653">
        <v>1852</v>
      </c>
      <c r="C653" s="148">
        <v>4</v>
      </c>
      <c r="D653" s="152" t="s">
        <v>1651</v>
      </c>
      <c r="E653" s="152"/>
      <c r="F653" s="148">
        <f t="shared" si="0"/>
        <v>1244</v>
      </c>
      <c r="G653" s="148">
        <f t="shared" si="1"/>
        <v>1244</v>
      </c>
      <c r="H653" s="148">
        <f t="shared" si="2"/>
        <v>1759</v>
      </c>
      <c r="I653" s="152">
        <f>H653/4</f>
        <v>439.75</v>
      </c>
      <c r="J653" s="152"/>
      <c r="K653" s="152"/>
      <c r="N653" s="151"/>
      <c r="S653" s="269"/>
      <c r="U653" s="269"/>
      <c r="AK653" s="152"/>
      <c r="AL653" s="152"/>
      <c r="AM653" s="152"/>
    </row>
    <row r="654" spans="1:39" s="148" customFormat="1">
      <c r="A654" s="1"/>
      <c r="B654">
        <v>1006</v>
      </c>
      <c r="C654" s="148">
        <v>5</v>
      </c>
      <c r="D654" s="152" t="s">
        <v>1652</v>
      </c>
      <c r="E654" s="152"/>
      <c r="F654" s="148">
        <f t="shared" si="0"/>
        <v>398</v>
      </c>
      <c r="G654" s="148">
        <f t="shared" si="1"/>
        <v>398</v>
      </c>
      <c r="H654" s="148">
        <f t="shared" si="2"/>
        <v>562</v>
      </c>
      <c r="I654" s="152"/>
      <c r="J654" s="152"/>
      <c r="K654" s="152"/>
      <c r="N654" s="151"/>
      <c r="S654" s="269"/>
      <c r="U654" s="269"/>
      <c r="AK654" s="152"/>
      <c r="AL654" s="152"/>
      <c r="AM654" s="152"/>
    </row>
    <row r="655" spans="1:39" s="148" customFormat="1">
      <c r="A655" s="1"/>
      <c r="B655">
        <v>1032</v>
      </c>
      <c r="C655" s="148">
        <v>6</v>
      </c>
      <c r="D655" s="152" t="s">
        <v>1653</v>
      </c>
      <c r="E655" s="152"/>
      <c r="F655" s="148">
        <f t="shared" si="0"/>
        <v>424</v>
      </c>
      <c r="G655" s="148">
        <f t="shared" si="1"/>
        <v>424</v>
      </c>
      <c r="H655" s="148">
        <f t="shared" si="2"/>
        <v>599</v>
      </c>
      <c r="I655" s="152"/>
      <c r="J655" s="152"/>
      <c r="K655" s="152"/>
      <c r="N655" s="151"/>
      <c r="S655" s="269"/>
      <c r="U655" s="269"/>
      <c r="AK655" s="152"/>
      <c r="AL655" s="152"/>
      <c r="AM655" s="152"/>
    </row>
    <row r="656" spans="1:39" s="148" customFormat="1">
      <c r="A656" s="1"/>
      <c r="B656">
        <v>1182</v>
      </c>
      <c r="C656" s="148">
        <v>7</v>
      </c>
      <c r="D656" s="152" t="s">
        <v>1654</v>
      </c>
      <c r="E656" s="152"/>
      <c r="F656" s="148">
        <f t="shared" si="0"/>
        <v>574</v>
      </c>
      <c r="G656" s="148">
        <f t="shared" si="1"/>
        <v>574</v>
      </c>
      <c r="H656" s="148">
        <f t="shared" si="2"/>
        <v>811</v>
      </c>
      <c r="I656" s="152"/>
      <c r="J656" s="152"/>
      <c r="K656" s="152"/>
      <c r="N656" s="151"/>
      <c r="S656" s="269"/>
      <c r="U656" s="269"/>
      <c r="AK656" s="152"/>
      <c r="AL656" s="152"/>
      <c r="AM656" s="152"/>
    </row>
    <row r="657" spans="1:39" s="148" customFormat="1">
      <c r="A657" s="1"/>
      <c r="B657">
        <v>1332</v>
      </c>
      <c r="C657" s="148">
        <v>8</v>
      </c>
      <c r="D657" s="152" t="s">
        <v>1655</v>
      </c>
      <c r="E657" s="152"/>
      <c r="F657" s="148">
        <f t="shared" si="0"/>
        <v>724</v>
      </c>
      <c r="G657" s="148">
        <f t="shared" si="1"/>
        <v>724</v>
      </c>
      <c r="H657" s="148">
        <f t="shared" si="2"/>
        <v>1023</v>
      </c>
      <c r="I657" s="152">
        <f>H657/3</f>
        <v>341</v>
      </c>
      <c r="J657" s="152"/>
      <c r="K657" s="152"/>
      <c r="N657" s="151"/>
      <c r="S657" s="269"/>
      <c r="U657" s="269"/>
      <c r="AK657" s="152"/>
      <c r="AL657" s="152"/>
      <c r="AM657" s="152"/>
    </row>
    <row r="658" spans="1:39" s="148" customFormat="1">
      <c r="A658" s="1"/>
      <c r="B658">
        <v>982</v>
      </c>
      <c r="C658" s="148">
        <v>9</v>
      </c>
      <c r="D658" s="152" t="s">
        <v>1656</v>
      </c>
      <c r="E658" s="152"/>
      <c r="F658" s="148">
        <f t="shared" si="0"/>
        <v>374</v>
      </c>
      <c r="G658" s="148">
        <f t="shared" si="1"/>
        <v>374</v>
      </c>
      <c r="H658" s="148">
        <f t="shared" si="2"/>
        <v>528</v>
      </c>
      <c r="I658" s="152"/>
      <c r="J658" s="152"/>
      <c r="K658" s="152"/>
      <c r="N658" s="151"/>
      <c r="S658" s="269"/>
      <c r="U658" s="269"/>
      <c r="AK658" s="152"/>
      <c r="AL658" s="152"/>
      <c r="AM658" s="152"/>
    </row>
    <row r="659" spans="1:39" s="148" customFormat="1">
      <c r="A659" s="1"/>
      <c r="B659">
        <v>1082</v>
      </c>
      <c r="C659" s="148">
        <v>10</v>
      </c>
      <c r="D659" s="152" t="s">
        <v>1657</v>
      </c>
      <c r="E659" s="152"/>
      <c r="F659" s="148">
        <f t="shared" si="0"/>
        <v>474</v>
      </c>
      <c r="G659" s="148">
        <f t="shared" si="1"/>
        <v>474</v>
      </c>
      <c r="H659" s="148">
        <f t="shared" si="2"/>
        <v>670</v>
      </c>
      <c r="I659" s="152"/>
      <c r="J659" s="152"/>
      <c r="K659" s="152"/>
      <c r="N659" s="151"/>
      <c r="S659" s="269"/>
      <c r="U659" s="269"/>
      <c r="AK659" s="152"/>
      <c r="AL659" s="152"/>
      <c r="AM659" s="152"/>
    </row>
    <row r="660" spans="1:39" s="148" customFormat="1">
      <c r="A660" s="1"/>
      <c r="B660"/>
      <c r="C660" s="148">
        <v>11</v>
      </c>
      <c r="D660" s="860"/>
      <c r="E660" s="860"/>
      <c r="F660" s="860"/>
      <c r="G660" s="860"/>
      <c r="H660" s="860"/>
      <c r="I660" s="860"/>
      <c r="J660" s="860"/>
      <c r="N660" s="151"/>
      <c r="S660" s="269"/>
      <c r="U660" s="269"/>
      <c r="AK660" s="152"/>
      <c r="AL660" s="152"/>
      <c r="AM660" s="152"/>
    </row>
    <row r="661" spans="1:39" s="148" customFormat="1">
      <c r="A661" s="1"/>
      <c r="B661"/>
      <c r="D661" s="152"/>
      <c r="E661" s="152"/>
      <c r="F661" s="152"/>
      <c r="G661" s="152"/>
      <c r="H661" s="152"/>
      <c r="I661" s="152"/>
      <c r="J661" s="152"/>
      <c r="N661" s="151"/>
      <c r="S661" s="269"/>
      <c r="U661" s="269"/>
      <c r="AK661" s="152"/>
      <c r="AL661" s="152"/>
      <c r="AM661" s="152"/>
    </row>
    <row r="662" spans="1:39" s="148" customFormat="1">
      <c r="A662" s="1"/>
      <c r="B662"/>
      <c r="N662" s="151"/>
      <c r="S662" s="269"/>
      <c r="U662" s="269"/>
      <c r="AK662" s="152"/>
      <c r="AL662" s="152"/>
      <c r="AM662" s="152"/>
    </row>
    <row r="663" spans="1:39" s="148" customFormat="1">
      <c r="A663" s="1"/>
      <c r="B663"/>
      <c r="C663" s="148" t="s">
        <v>1658</v>
      </c>
      <c r="N663" s="151"/>
      <c r="S663" s="269"/>
      <c r="U663" s="269"/>
      <c r="AK663" s="152"/>
      <c r="AL663" s="152"/>
      <c r="AM663" s="152"/>
    </row>
    <row r="664" spans="1:39" s="148" customFormat="1">
      <c r="A664" s="1"/>
      <c r="B664"/>
      <c r="C664" s="270" t="s">
        <v>1659</v>
      </c>
      <c r="D664" s="270"/>
      <c r="E664" s="270"/>
      <c r="F664" s="270"/>
      <c r="G664" s="270"/>
      <c r="H664" s="267"/>
      <c r="N664" s="151"/>
      <c r="S664" s="269"/>
      <c r="U664" s="269"/>
      <c r="AK664" s="152"/>
      <c r="AL664" s="152"/>
      <c r="AM664" s="152"/>
    </row>
    <row r="665" spans="1:39" s="148" customFormat="1">
      <c r="A665" s="1"/>
      <c r="B665"/>
      <c r="N665" s="151"/>
      <c r="S665" s="269"/>
      <c r="U665" s="269"/>
      <c r="AK665" s="152"/>
      <c r="AL665" s="152"/>
      <c r="AM665" s="152"/>
    </row>
    <row r="666" spans="1:39" s="148" customFormat="1">
      <c r="A666" s="1"/>
      <c r="B666"/>
      <c r="C666" s="149">
        <v>1</v>
      </c>
      <c r="D666" s="148" t="s">
        <v>1632</v>
      </c>
      <c r="G666" s="149"/>
      <c r="H666" s="859"/>
      <c r="I666" s="859"/>
      <c r="N666" s="151"/>
      <c r="S666" s="269"/>
      <c r="U666" s="269"/>
      <c r="AK666" s="152"/>
      <c r="AL666" s="152"/>
      <c r="AM666" s="152"/>
    </row>
    <row r="667" spans="1:39" s="148" customFormat="1">
      <c r="A667" s="1"/>
      <c r="B667"/>
      <c r="D667" s="860" t="s">
        <v>1660</v>
      </c>
      <c r="E667" s="860"/>
      <c r="F667" s="860"/>
      <c r="G667" s="860"/>
      <c r="H667" s="860"/>
      <c r="I667" s="860"/>
      <c r="J667" s="860"/>
      <c r="K667" s="860"/>
      <c r="L667" s="860"/>
      <c r="M667" s="860"/>
      <c r="N667" s="860"/>
      <c r="S667" s="269"/>
      <c r="U667" s="269"/>
      <c r="AK667" s="152"/>
      <c r="AL667" s="152"/>
      <c r="AM667" s="152"/>
    </row>
    <row r="668" spans="1:39" s="148" customFormat="1">
      <c r="A668" s="1"/>
      <c r="B668"/>
      <c r="D668" s="149"/>
      <c r="E668" s="149"/>
      <c r="F668" s="149"/>
      <c r="H668" s="149"/>
      <c r="I668" s="149"/>
      <c r="N668" s="151"/>
      <c r="S668" s="269"/>
      <c r="U668" s="269"/>
      <c r="AK668" s="152"/>
      <c r="AL668" s="152"/>
      <c r="AM668" s="152"/>
    </row>
    <row r="669" spans="1:39" s="148" customFormat="1">
      <c r="A669" s="1"/>
      <c r="B669"/>
      <c r="C669" s="149">
        <v>2</v>
      </c>
      <c r="D669" s="860" t="s">
        <v>1661</v>
      </c>
      <c r="E669" s="860"/>
      <c r="F669" s="860"/>
      <c r="G669" s="860"/>
      <c r="H669" s="860"/>
      <c r="I669" s="860"/>
      <c r="J669" s="860"/>
      <c r="K669" s="860"/>
      <c r="L669" s="860"/>
      <c r="M669" s="152"/>
      <c r="N669" s="151"/>
      <c r="S669" s="269"/>
      <c r="U669" s="269"/>
      <c r="AK669" s="152"/>
      <c r="AL669" s="152"/>
      <c r="AM669" s="152"/>
    </row>
    <row r="670" spans="1:39" s="148" customFormat="1">
      <c r="A670" s="1"/>
      <c r="B670"/>
      <c r="D670" s="860" t="s">
        <v>1662</v>
      </c>
      <c r="E670" s="860"/>
      <c r="F670" s="860"/>
      <c r="G670" s="860"/>
      <c r="H670" s="860"/>
      <c r="I670" s="860"/>
      <c r="J670" s="860"/>
      <c r="K670" s="860"/>
      <c r="L670" s="860"/>
      <c r="M670" s="860"/>
      <c r="N670" s="860"/>
      <c r="O670" s="860"/>
      <c r="P670" s="860"/>
      <c r="Q670" s="860"/>
      <c r="R670" s="860"/>
      <c r="S670" s="860"/>
      <c r="U670" s="269"/>
      <c r="AK670" s="152"/>
      <c r="AL670" s="152"/>
      <c r="AM670" s="152"/>
    </row>
    <row r="671" spans="1:39" s="148" customFormat="1">
      <c r="A671" s="1"/>
      <c r="B671"/>
      <c r="N671" s="151"/>
      <c r="S671" s="269"/>
      <c r="U671" s="269"/>
      <c r="AK671" s="152"/>
      <c r="AL671" s="152"/>
      <c r="AM671" s="152"/>
    </row>
    <row r="672" spans="1:39" s="148" customFormat="1">
      <c r="A672" s="1"/>
      <c r="B672"/>
      <c r="C672" s="149">
        <v>3</v>
      </c>
      <c r="D672" s="860" t="s">
        <v>1663</v>
      </c>
      <c r="E672" s="860"/>
      <c r="F672" s="860"/>
      <c r="G672" s="860"/>
      <c r="H672" s="860"/>
      <c r="I672" s="860"/>
      <c r="J672" s="860"/>
      <c r="K672" s="860"/>
      <c r="L672" s="860"/>
      <c r="M672" s="860"/>
      <c r="N672" s="860"/>
      <c r="O672" s="860"/>
      <c r="S672" s="269"/>
      <c r="U672" s="269"/>
      <c r="AK672" s="152"/>
      <c r="AL672" s="152"/>
      <c r="AM672" s="152"/>
    </row>
    <row r="673" spans="1:39" s="148" customFormat="1">
      <c r="A673" s="1"/>
      <c r="B673"/>
      <c r="D673" s="860" t="s">
        <v>1664</v>
      </c>
      <c r="E673" s="860"/>
      <c r="F673" s="860"/>
      <c r="G673" s="860"/>
      <c r="H673" s="860"/>
      <c r="I673" s="860"/>
      <c r="J673" s="860"/>
      <c r="K673" s="860"/>
      <c r="L673" s="860"/>
      <c r="M673" s="860"/>
      <c r="N673" s="860"/>
      <c r="O673" s="860"/>
      <c r="P673" s="860"/>
      <c r="S673" s="269"/>
      <c r="U673" s="269"/>
      <c r="AK673" s="152"/>
      <c r="AL673" s="152"/>
      <c r="AM673" s="152"/>
    </row>
    <row r="674" spans="1:39" s="148" customFormat="1">
      <c r="A674" s="1"/>
      <c r="B674"/>
      <c r="N674" s="151"/>
      <c r="S674" s="269"/>
      <c r="U674" s="269"/>
      <c r="AK674" s="152"/>
      <c r="AL674" s="152"/>
      <c r="AM674" s="152"/>
    </row>
    <row r="675" spans="1:39" s="148" customFormat="1">
      <c r="A675" s="1"/>
      <c r="B675"/>
      <c r="D675" s="148" t="s">
        <v>1665</v>
      </c>
      <c r="N675" s="151"/>
      <c r="S675" s="269"/>
      <c r="U675" s="269"/>
      <c r="AK675" s="152"/>
      <c r="AL675" s="152"/>
      <c r="AM675" s="152"/>
    </row>
    <row r="676" spans="1:39" s="148" customFormat="1">
      <c r="A676" s="1"/>
      <c r="B676"/>
      <c r="D676" s="148" t="s">
        <v>1666</v>
      </c>
      <c r="N676" s="151"/>
      <c r="S676" s="269"/>
      <c r="U676" s="269"/>
      <c r="AK676" s="152"/>
      <c r="AL676" s="152"/>
      <c r="AM676" s="152"/>
    </row>
    <row r="677" spans="1:39" s="148" customFormat="1">
      <c r="A677" s="1"/>
      <c r="B677"/>
      <c r="D677" s="860"/>
      <c r="E677" s="860"/>
      <c r="F677" s="860"/>
      <c r="G677" s="860"/>
      <c r="H677" s="860"/>
      <c r="I677" s="860"/>
      <c r="J677" s="860"/>
      <c r="K677" s="860"/>
      <c r="L677" s="860"/>
      <c r="M677" s="860"/>
      <c r="N677" s="860"/>
      <c r="O677" s="860"/>
      <c r="S677" s="269"/>
      <c r="U677" s="269"/>
      <c r="AK677" s="152"/>
      <c r="AL677" s="152"/>
      <c r="AM677" s="152"/>
    </row>
    <row r="678" spans="1:39" s="148" customFormat="1">
      <c r="A678" s="1"/>
      <c r="B678"/>
      <c r="D678" s="152"/>
      <c r="E678" s="152"/>
      <c r="F678" s="152"/>
      <c r="G678" s="152"/>
      <c r="H678" s="152"/>
      <c r="I678" s="152"/>
      <c r="J678" s="152"/>
      <c r="K678" s="152"/>
      <c r="L678" s="152"/>
      <c r="M678" s="152"/>
      <c r="N678" s="268"/>
      <c r="O678" s="152"/>
      <c r="S678" s="269"/>
      <c r="U678" s="269"/>
      <c r="AK678" s="152"/>
      <c r="AL678" s="152"/>
      <c r="AM678" s="152"/>
    </row>
    <row r="679" spans="1:39" s="148" customFormat="1">
      <c r="A679" s="1"/>
      <c r="B679"/>
      <c r="C679" s="148">
        <v>1</v>
      </c>
      <c r="D679" s="148" t="s">
        <v>1667</v>
      </c>
      <c r="K679" s="271" t="s">
        <v>1668</v>
      </c>
      <c r="L679" s="271"/>
      <c r="M679" s="271"/>
      <c r="N679" s="272"/>
      <c r="P679" s="271"/>
      <c r="S679" s="269"/>
      <c r="U679" s="269"/>
      <c r="AK679" s="152"/>
      <c r="AL679" s="152"/>
      <c r="AM679" s="152"/>
    </row>
    <row r="680" spans="1:39" s="148" customFormat="1">
      <c r="A680" s="1"/>
      <c r="B680"/>
      <c r="C680" s="148">
        <v>2</v>
      </c>
      <c r="D680" s="148" t="s">
        <v>1669</v>
      </c>
      <c r="F680" s="148" t="s">
        <v>1645</v>
      </c>
      <c r="G680" s="148" t="s">
        <v>1646</v>
      </c>
      <c r="H680" s="148" t="s">
        <v>1647</v>
      </c>
      <c r="K680" s="271" t="s">
        <v>1670</v>
      </c>
      <c r="L680" s="271"/>
      <c r="M680" s="271"/>
      <c r="N680" s="272"/>
      <c r="P680" s="271"/>
      <c r="S680" s="269"/>
      <c r="U680" s="269"/>
      <c r="AK680" s="152"/>
      <c r="AL680" s="152"/>
      <c r="AM680" s="152"/>
    </row>
    <row r="681" spans="1:39" s="148" customFormat="1">
      <c r="A681" s="1"/>
      <c r="B681"/>
      <c r="C681" s="148">
        <v>3</v>
      </c>
      <c r="D681" s="148" t="s">
        <v>1671</v>
      </c>
      <c r="F681" s="148">
        <f>1210-608</f>
        <v>602</v>
      </c>
      <c r="G681" s="148">
        <f>1210-608</f>
        <v>602</v>
      </c>
      <c r="H681" s="148">
        <f>ROUNDDOWN((SQRT(SUMSQ(F681,G681))),0)</f>
        <v>851</v>
      </c>
      <c r="K681" s="271" t="s">
        <v>1672</v>
      </c>
      <c r="L681" s="271"/>
      <c r="M681" s="271"/>
      <c r="N681" s="272"/>
      <c r="P681" s="271"/>
      <c r="S681" s="269"/>
      <c r="U681" s="269"/>
      <c r="AK681" s="152"/>
      <c r="AL681" s="152"/>
      <c r="AM681" s="152"/>
    </row>
    <row r="682" spans="1:39" s="148" customFormat="1">
      <c r="A682" s="1"/>
      <c r="B682"/>
      <c r="C682" s="148">
        <v>4</v>
      </c>
      <c r="D682" s="148" t="s">
        <v>1673</v>
      </c>
      <c r="N682" s="151"/>
      <c r="S682" s="269"/>
      <c r="U682" s="269"/>
      <c r="AK682" s="152"/>
      <c r="AL682" s="152"/>
      <c r="AM682" s="152"/>
    </row>
    <row r="683" spans="1:39" s="148" customFormat="1">
      <c r="A683" s="1"/>
      <c r="B683"/>
      <c r="C683" s="148">
        <v>5</v>
      </c>
      <c r="D683" s="148" t="s">
        <v>1674</v>
      </c>
      <c r="N683" s="151"/>
      <c r="S683" s="269"/>
      <c r="U683" s="269"/>
      <c r="AK683" s="152"/>
      <c r="AL683" s="152"/>
      <c r="AM683" s="152"/>
    </row>
    <row r="684" spans="1:39" s="148" customFormat="1">
      <c r="A684" s="1"/>
      <c r="B684"/>
      <c r="C684" s="148">
        <v>6</v>
      </c>
      <c r="D684" s="148" t="s">
        <v>1675</v>
      </c>
      <c r="N684" s="151"/>
      <c r="S684" s="269"/>
      <c r="U684" s="269"/>
      <c r="AK684" s="152"/>
      <c r="AL684" s="152"/>
      <c r="AM684" s="152"/>
    </row>
    <row r="685" spans="1:39" s="148" customFormat="1">
      <c r="A685" s="1"/>
      <c r="B685"/>
      <c r="N685" s="151"/>
      <c r="S685" s="269"/>
      <c r="U685" s="269"/>
      <c r="AK685" s="152"/>
      <c r="AL685" s="152"/>
      <c r="AM685" s="152"/>
    </row>
    <row r="686" spans="1:39" s="148" customFormat="1">
      <c r="A686" s="1"/>
      <c r="B686"/>
      <c r="D686" s="148" t="s">
        <v>1676</v>
      </c>
      <c r="N686" s="151"/>
      <c r="S686" s="269"/>
      <c r="U686" s="269"/>
      <c r="AK686" s="152"/>
      <c r="AL686" s="152"/>
      <c r="AM686" s="152"/>
    </row>
    <row r="687" spans="1:39" s="148" customFormat="1">
      <c r="A687" s="1"/>
      <c r="B687"/>
      <c r="D687" s="148" t="s">
        <v>1677</v>
      </c>
      <c r="N687" s="151"/>
      <c r="S687" s="269"/>
      <c r="U687" s="269"/>
      <c r="AK687" s="152"/>
      <c r="AL687" s="152"/>
      <c r="AM687" s="152"/>
    </row>
    <row r="688" spans="1:39" s="148" customFormat="1">
      <c r="A688" s="1"/>
      <c r="B688"/>
      <c r="D688" s="148" t="s">
        <v>1678</v>
      </c>
      <c r="N688" s="151"/>
      <c r="S688" s="269"/>
      <c r="U688" s="269"/>
      <c r="AK688" s="152"/>
      <c r="AL688" s="152"/>
      <c r="AM688" s="152"/>
    </row>
    <row r="689" spans="1:39" s="148" customFormat="1">
      <c r="A689" s="1"/>
      <c r="B689"/>
      <c r="D689" s="148" t="s">
        <v>1679</v>
      </c>
      <c r="N689" s="151"/>
      <c r="S689" s="269"/>
      <c r="U689" s="269"/>
      <c r="AK689" s="152"/>
      <c r="AL689" s="152"/>
      <c r="AM689" s="152"/>
    </row>
    <row r="690" spans="1:39" s="148" customFormat="1">
      <c r="A690" s="1"/>
      <c r="B690"/>
      <c r="N690" s="151"/>
      <c r="S690" s="269"/>
      <c r="U690" s="269"/>
      <c r="AK690" s="152"/>
      <c r="AL690" s="152"/>
      <c r="AM690" s="152"/>
    </row>
    <row r="691" spans="1:39" s="148" customFormat="1">
      <c r="A691" s="1"/>
      <c r="B691"/>
      <c r="D691" s="148" t="s">
        <v>1680</v>
      </c>
      <c r="N691" s="151"/>
      <c r="S691" s="269"/>
      <c r="U691" s="269"/>
      <c r="AK691" s="152"/>
      <c r="AL691" s="152"/>
      <c r="AM691" s="152"/>
    </row>
    <row r="692" spans="1:39" s="148" customFormat="1">
      <c r="A692" s="1"/>
      <c r="B692"/>
      <c r="D692" s="148" t="s">
        <v>1681</v>
      </c>
      <c r="N692" s="151"/>
      <c r="S692" s="269"/>
      <c r="U692" s="269"/>
      <c r="AK692" s="152"/>
      <c r="AL692" s="152"/>
      <c r="AM692" s="152"/>
    </row>
    <row r="693" spans="1:39" s="148" customFormat="1">
      <c r="A693" s="1"/>
      <c r="B693"/>
      <c r="D693" s="148" t="s">
        <v>1682</v>
      </c>
      <c r="N693" s="151"/>
      <c r="S693" s="269"/>
      <c r="U693" s="269"/>
      <c r="AK693" s="152"/>
      <c r="AL693" s="152"/>
      <c r="AM693" s="152"/>
    </row>
    <row r="694" spans="1:39" s="148" customFormat="1">
      <c r="A694" s="1"/>
      <c r="B694"/>
      <c r="N694" s="151"/>
      <c r="S694" s="269"/>
      <c r="U694" s="269"/>
      <c r="AK694" s="152"/>
      <c r="AL694" s="152"/>
      <c r="AM694" s="152"/>
    </row>
    <row r="695" spans="1:39" s="148" customFormat="1">
      <c r="A695" s="1"/>
      <c r="B695"/>
      <c r="N695" s="151"/>
      <c r="S695" s="269"/>
      <c r="U695" s="269"/>
      <c r="AK695" s="152"/>
      <c r="AL695" s="152"/>
      <c r="AM695" s="152"/>
    </row>
    <row r="696" spans="1:39" s="148" customFormat="1">
      <c r="A696" s="1"/>
      <c r="B696"/>
      <c r="D696" s="148" t="s">
        <v>1683</v>
      </c>
      <c r="N696" s="151"/>
      <c r="S696" s="269"/>
      <c r="U696" s="269"/>
      <c r="AK696" s="152"/>
      <c r="AL696" s="152"/>
      <c r="AM696" s="152"/>
    </row>
    <row r="697" spans="1:39" s="148" customFormat="1">
      <c r="A697" s="1"/>
      <c r="B697"/>
      <c r="D697" s="148" t="s">
        <v>1684</v>
      </c>
      <c r="N697" s="151"/>
      <c r="S697" s="269"/>
      <c r="U697" s="269"/>
      <c r="AK697" s="152"/>
      <c r="AL697" s="152"/>
      <c r="AM697" s="152"/>
    </row>
    <row r="698" spans="1:39" s="148" customFormat="1">
      <c r="A698" s="1"/>
      <c r="B698"/>
      <c r="D698" s="148" t="s">
        <v>1685</v>
      </c>
      <c r="N698" s="151"/>
      <c r="S698" s="269"/>
      <c r="U698" s="269"/>
      <c r="AK698" s="152"/>
      <c r="AL698" s="152"/>
      <c r="AM698" s="152"/>
    </row>
    <row r="699" spans="1:39" s="148" customFormat="1">
      <c r="A699" s="1"/>
      <c r="B699"/>
      <c r="D699" s="148" t="s">
        <v>1686</v>
      </c>
      <c r="N699" s="151"/>
      <c r="S699" s="269"/>
      <c r="U699" s="269"/>
      <c r="AK699" s="152"/>
      <c r="AL699" s="152"/>
      <c r="AM699" s="152"/>
    </row>
    <row r="700" spans="1:39" s="148" customFormat="1">
      <c r="A700" s="1"/>
      <c r="B700"/>
      <c r="D700" s="148" t="s">
        <v>1687</v>
      </c>
      <c r="N700" s="151"/>
      <c r="S700" s="269"/>
      <c r="U700" s="269"/>
      <c r="AK700" s="152"/>
      <c r="AL700" s="152"/>
      <c r="AM700" s="152"/>
    </row>
    <row r="701" spans="1:39" s="148" customFormat="1">
      <c r="A701" s="1"/>
      <c r="B701"/>
      <c r="D701" s="148" t="s">
        <v>1688</v>
      </c>
      <c r="N701" s="151"/>
      <c r="S701" s="269"/>
      <c r="U701" s="269"/>
      <c r="AK701" s="152"/>
      <c r="AL701" s="152"/>
      <c r="AM701" s="152"/>
    </row>
    <row r="702" spans="1:39" s="148" customFormat="1">
      <c r="A702" s="1"/>
      <c r="B702"/>
      <c r="D702" s="148" t="s">
        <v>1689</v>
      </c>
      <c r="N702" s="151"/>
      <c r="S702" s="269"/>
      <c r="U702" s="269"/>
      <c r="AK702" s="152"/>
      <c r="AL702" s="152"/>
      <c r="AM702" s="152"/>
    </row>
    <row r="703" spans="1:39" s="148" customFormat="1">
      <c r="A703" s="1"/>
      <c r="B703"/>
      <c r="D703" s="148" t="s">
        <v>1690</v>
      </c>
      <c r="N703" s="151"/>
      <c r="S703" s="269"/>
      <c r="U703" s="269"/>
      <c r="AK703" s="152"/>
      <c r="AL703" s="152"/>
      <c r="AM703" s="152"/>
    </row>
    <row r="704" spans="1:39" s="148" customFormat="1">
      <c r="A704" s="1"/>
      <c r="B704"/>
      <c r="D704" s="148" t="s">
        <v>1691</v>
      </c>
      <c r="N704" s="151"/>
      <c r="S704" s="269"/>
      <c r="U704" s="269"/>
      <c r="AK704" s="152"/>
      <c r="AL704" s="152"/>
      <c r="AM704" s="152"/>
    </row>
    <row r="705" spans="1:39" s="148" customFormat="1">
      <c r="A705" s="1"/>
      <c r="B705"/>
      <c r="N705" s="151"/>
      <c r="S705" s="269"/>
      <c r="U705" s="269"/>
      <c r="AK705" s="152"/>
      <c r="AL705" s="152"/>
      <c r="AM705" s="152"/>
    </row>
    <row r="706" spans="1:39" s="148" customFormat="1">
      <c r="A706" s="1"/>
      <c r="B706"/>
      <c r="C706" s="148" t="s">
        <v>1692</v>
      </c>
      <c r="N706" s="151"/>
      <c r="S706" s="269"/>
      <c r="U706" s="269"/>
      <c r="AK706" s="152"/>
      <c r="AL706" s="152"/>
      <c r="AM706" s="152"/>
    </row>
    <row r="707" spans="1:39" s="148" customFormat="1">
      <c r="A707" s="1"/>
      <c r="B707"/>
      <c r="C707" s="148" t="s">
        <v>1693</v>
      </c>
      <c r="N707" s="151"/>
      <c r="S707" s="269"/>
      <c r="U707" s="269"/>
      <c r="AK707" s="152"/>
      <c r="AL707" s="152"/>
      <c r="AM707" s="152"/>
    </row>
    <row r="708" spans="1:39" s="148" customFormat="1">
      <c r="A708" s="1"/>
      <c r="B708"/>
      <c r="N708" s="151"/>
      <c r="S708" s="269"/>
      <c r="U708" s="269"/>
      <c r="AK708" s="152"/>
      <c r="AL708" s="152"/>
      <c r="AM708" s="152"/>
    </row>
    <row r="709" spans="1:39" s="148" customFormat="1">
      <c r="A709" s="1"/>
      <c r="B709"/>
      <c r="C709" s="148" t="s">
        <v>1694</v>
      </c>
      <c r="D709" s="148" t="s">
        <v>1695</v>
      </c>
      <c r="J709" s="148" t="s">
        <v>1696</v>
      </c>
      <c r="N709" s="151"/>
      <c r="S709" s="269"/>
      <c r="U709" s="269"/>
      <c r="AK709" s="152"/>
      <c r="AL709" s="152"/>
      <c r="AM709" s="152"/>
    </row>
    <row r="710" spans="1:39" s="148" customFormat="1">
      <c r="A710" s="1"/>
      <c r="B710"/>
      <c r="C710" s="148" t="s">
        <v>1697</v>
      </c>
      <c r="D710" s="148" t="s">
        <v>1698</v>
      </c>
      <c r="J710" s="148" t="s">
        <v>1699</v>
      </c>
      <c r="N710" s="151"/>
      <c r="S710" s="269"/>
      <c r="U710" s="269"/>
      <c r="AK710" s="152"/>
      <c r="AL710" s="152"/>
      <c r="AM710" s="152"/>
    </row>
    <row r="711" spans="1:39" s="148" customFormat="1">
      <c r="A711" s="1"/>
      <c r="B711"/>
      <c r="C711" s="148" t="s">
        <v>1700</v>
      </c>
      <c r="D711" s="148" t="s">
        <v>1701</v>
      </c>
      <c r="J711" s="148" t="s">
        <v>1702</v>
      </c>
      <c r="N711" s="151"/>
      <c r="S711" s="269"/>
      <c r="U711" s="269"/>
      <c r="AK711" s="152"/>
      <c r="AL711" s="152"/>
      <c r="AM711" s="152"/>
    </row>
    <row r="712" spans="1:39" s="148" customFormat="1">
      <c r="A712" s="1"/>
      <c r="B712"/>
      <c r="C712" s="148" t="s">
        <v>1703</v>
      </c>
      <c r="D712" s="148" t="s">
        <v>1704</v>
      </c>
      <c r="J712" s="148" t="s">
        <v>1705</v>
      </c>
      <c r="N712" s="151"/>
      <c r="S712" s="269"/>
      <c r="U712" s="269"/>
      <c r="AK712" s="152"/>
      <c r="AL712" s="152"/>
      <c r="AM712" s="152"/>
    </row>
    <row r="713" spans="1:39" s="148" customFormat="1">
      <c r="A713" s="1"/>
      <c r="B713"/>
      <c r="C713" s="148" t="s">
        <v>1706</v>
      </c>
      <c r="D713" s="148" t="s">
        <v>1707</v>
      </c>
      <c r="J713" s="148" t="s">
        <v>1708</v>
      </c>
      <c r="K713" s="148" t="s">
        <v>1709</v>
      </c>
      <c r="N713" s="151"/>
      <c r="S713" s="269"/>
      <c r="U713" s="269"/>
      <c r="AK713" s="152"/>
      <c r="AL713" s="152"/>
      <c r="AM713" s="152"/>
    </row>
    <row r="714" spans="1:39" s="148" customFormat="1">
      <c r="A714" s="1"/>
      <c r="B714"/>
      <c r="C714" s="148" t="s">
        <v>1710</v>
      </c>
      <c r="D714" s="148" t="s">
        <v>1711</v>
      </c>
      <c r="N714" s="151"/>
      <c r="S714" s="269"/>
      <c r="U714" s="269"/>
      <c r="AK714" s="152"/>
      <c r="AL714" s="152"/>
      <c r="AM714" s="152"/>
    </row>
    <row r="715" spans="1:39" s="148" customFormat="1">
      <c r="A715" s="1"/>
      <c r="B715"/>
      <c r="C715" s="148" t="s">
        <v>1712</v>
      </c>
      <c r="D715" s="148" t="s">
        <v>1713</v>
      </c>
      <c r="N715" s="151"/>
      <c r="S715" s="269"/>
      <c r="U715" s="269"/>
      <c r="AK715" s="152"/>
      <c r="AL715" s="152"/>
      <c r="AM715" s="152"/>
    </row>
    <row r="716" spans="1:39" s="148" customFormat="1">
      <c r="A716" s="1"/>
      <c r="B716"/>
      <c r="C716" s="148" t="s">
        <v>1714</v>
      </c>
      <c r="D716" s="148" t="s">
        <v>1715</v>
      </c>
      <c r="N716" s="151"/>
      <c r="S716" s="269"/>
      <c r="U716" s="269"/>
      <c r="AK716" s="152"/>
      <c r="AL716" s="152"/>
      <c r="AM716" s="152"/>
    </row>
    <row r="717" spans="1:39" s="148" customFormat="1">
      <c r="A717" s="1"/>
      <c r="B717"/>
      <c r="C717" s="148" t="s">
        <v>1716</v>
      </c>
      <c r="D717" s="148" t="s">
        <v>1717</v>
      </c>
      <c r="N717" s="151"/>
      <c r="S717" s="269"/>
      <c r="U717" s="269"/>
      <c r="AK717" s="152"/>
      <c r="AL717" s="152"/>
      <c r="AM717" s="152"/>
    </row>
    <row r="718" spans="1:39" s="148" customFormat="1">
      <c r="A718" s="1"/>
      <c r="B718"/>
      <c r="C718" s="148" t="s">
        <v>1718</v>
      </c>
      <c r="D718" s="148" t="s">
        <v>1719</v>
      </c>
      <c r="N718" s="151"/>
      <c r="S718" s="269"/>
      <c r="U718" s="269"/>
      <c r="AK718" s="152"/>
      <c r="AL718" s="152"/>
      <c r="AM718" s="152"/>
    </row>
    <row r="719" spans="1:39" s="148" customFormat="1">
      <c r="A719" s="1"/>
      <c r="B719"/>
      <c r="C719" s="148" t="s">
        <v>1720</v>
      </c>
      <c r="D719" s="148" t="s">
        <v>1721</v>
      </c>
      <c r="N719" s="151"/>
      <c r="S719" s="269"/>
      <c r="U719" s="269"/>
      <c r="AK719" s="152"/>
      <c r="AL719" s="152"/>
      <c r="AM719" s="152"/>
    </row>
    <row r="720" spans="1:39" s="148" customFormat="1">
      <c r="A720" s="1"/>
      <c r="B720"/>
      <c r="N720" s="151"/>
      <c r="S720" s="269"/>
      <c r="U720" s="269"/>
      <c r="AK720" s="152"/>
      <c r="AL720" s="152"/>
      <c r="AM720" s="152"/>
    </row>
    <row r="721" spans="1:39" s="148" customFormat="1">
      <c r="A721" s="1"/>
      <c r="B721"/>
      <c r="N721" s="151"/>
      <c r="S721" s="269"/>
      <c r="U721" s="269"/>
      <c r="AK721" s="152"/>
      <c r="AL721" s="152"/>
      <c r="AM721" s="152"/>
    </row>
    <row r="722" spans="1:39" s="148" customFormat="1">
      <c r="A722" s="1"/>
      <c r="B722"/>
      <c r="N722" s="151"/>
      <c r="S722" s="269"/>
      <c r="U722" s="269"/>
      <c r="AK722" s="152"/>
      <c r="AL722" s="152"/>
      <c r="AM722" s="152"/>
    </row>
    <row r="723" spans="1:39" s="148" customFormat="1">
      <c r="A723" s="1"/>
      <c r="B723"/>
      <c r="N723" s="151"/>
      <c r="S723" s="269"/>
      <c r="U723" s="269"/>
      <c r="AK723" s="152"/>
      <c r="AL723" s="152"/>
      <c r="AM723" s="152"/>
    </row>
    <row r="724" spans="1:39" s="148" customFormat="1">
      <c r="A724" s="1"/>
      <c r="B724"/>
      <c r="N724" s="151"/>
      <c r="S724" s="269"/>
      <c r="U724" s="269"/>
      <c r="AK724" s="152"/>
      <c r="AL724" s="152"/>
      <c r="AM724" s="152"/>
    </row>
    <row r="725" spans="1:39" s="148" customFormat="1">
      <c r="A725" s="1"/>
      <c r="B725"/>
      <c r="C725" s="148" t="s">
        <v>1722</v>
      </c>
      <c r="N725" s="151"/>
      <c r="S725" s="269"/>
      <c r="U725" s="269"/>
      <c r="AK725" s="152"/>
      <c r="AL725" s="152"/>
      <c r="AM725" s="152"/>
    </row>
    <row r="726" spans="1:39" s="148" customFormat="1">
      <c r="A726" s="1"/>
      <c r="B726"/>
      <c r="C726" s="148" t="s">
        <v>1723</v>
      </c>
      <c r="N726" s="151"/>
      <c r="S726" s="269"/>
      <c r="U726" s="269"/>
      <c r="AK726" s="152"/>
      <c r="AL726" s="152"/>
      <c r="AM726" s="152"/>
    </row>
    <row r="727" spans="1:39" s="148" customFormat="1">
      <c r="A727" s="1"/>
      <c r="B727"/>
      <c r="C727" s="273" t="s">
        <v>454</v>
      </c>
      <c r="N727" s="151"/>
      <c r="S727" s="269"/>
      <c r="U727" s="269"/>
      <c r="AK727" s="152"/>
      <c r="AL727" s="152"/>
      <c r="AM727" s="152"/>
    </row>
    <row r="728" spans="1:39" s="148" customFormat="1">
      <c r="A728" s="1"/>
      <c r="B728"/>
      <c r="C728" s="148" t="s">
        <v>1724</v>
      </c>
      <c r="N728" s="151"/>
      <c r="S728" s="269"/>
      <c r="U728" s="269"/>
      <c r="AK728" s="152"/>
      <c r="AL728" s="152"/>
      <c r="AM728" s="152"/>
    </row>
    <row r="729" spans="1:39" s="148" customFormat="1">
      <c r="A729" s="1"/>
      <c r="B729"/>
      <c r="N729" s="151"/>
      <c r="S729" s="269"/>
      <c r="U729" s="269"/>
      <c r="AK729" s="152"/>
      <c r="AL729" s="152"/>
      <c r="AM729" s="152"/>
    </row>
    <row r="730" spans="1:39" s="148" customFormat="1">
      <c r="A730" s="1"/>
      <c r="B730"/>
      <c r="C730" s="148" t="s">
        <v>1725</v>
      </c>
      <c r="N730" s="151"/>
      <c r="S730" s="269"/>
      <c r="U730" s="269"/>
      <c r="AK730" s="152"/>
      <c r="AL730" s="152"/>
      <c r="AM730" s="152"/>
    </row>
    <row r="731" spans="1:39" s="148" customFormat="1">
      <c r="A731" s="1"/>
      <c r="B731"/>
      <c r="N731" s="151"/>
      <c r="S731" s="269"/>
      <c r="U731" s="269"/>
      <c r="AK731" s="152"/>
      <c r="AL731" s="152"/>
      <c r="AM731" s="152"/>
    </row>
    <row r="732" spans="1:39" s="148" customFormat="1">
      <c r="A732" s="1"/>
      <c r="B732"/>
      <c r="C732" s="148" t="s">
        <v>1726</v>
      </c>
      <c r="N732" s="151"/>
      <c r="S732" s="269"/>
      <c r="U732" s="269"/>
      <c r="AK732" s="152"/>
      <c r="AL732" s="152"/>
      <c r="AM732" s="152"/>
    </row>
    <row r="733" spans="1:39" s="148" customFormat="1">
      <c r="A733" s="1"/>
      <c r="B733"/>
      <c r="N733" s="151"/>
      <c r="S733" s="269"/>
      <c r="U733" s="269"/>
      <c r="AK733" s="152"/>
      <c r="AL733" s="152"/>
      <c r="AM733" s="152"/>
    </row>
    <row r="734" spans="1:39" s="148" customFormat="1">
      <c r="A734" s="1"/>
      <c r="B734"/>
      <c r="C734" s="148" t="s">
        <v>1727</v>
      </c>
      <c r="N734" s="151"/>
      <c r="S734" s="269"/>
      <c r="U734" s="269"/>
      <c r="AK734" s="152"/>
      <c r="AL734" s="152"/>
      <c r="AM734" s="152"/>
    </row>
    <row r="735" spans="1:39" s="148" customFormat="1">
      <c r="A735" s="1"/>
      <c r="B735"/>
      <c r="N735" s="151"/>
      <c r="S735" s="269"/>
      <c r="U735" s="269"/>
      <c r="AK735" s="152"/>
      <c r="AL735" s="152"/>
      <c r="AM735" s="152"/>
    </row>
    <row r="736" spans="1:39" s="148" customFormat="1">
      <c r="A736" s="1"/>
      <c r="B736"/>
      <c r="C736" s="148" t="s">
        <v>1728</v>
      </c>
      <c r="N736" s="151"/>
      <c r="S736" s="269"/>
      <c r="U736" s="269"/>
      <c r="AK736" s="152"/>
      <c r="AL736" s="152"/>
      <c r="AM736" s="152"/>
    </row>
    <row r="737" spans="1:39" s="148" customFormat="1">
      <c r="A737" s="1"/>
      <c r="B737"/>
      <c r="N737" s="151"/>
      <c r="S737" s="269"/>
      <c r="U737" s="269"/>
      <c r="AK737" s="152"/>
      <c r="AL737" s="152"/>
      <c r="AM737" s="152"/>
    </row>
    <row r="738" spans="1:39" s="148" customFormat="1">
      <c r="A738" s="1"/>
      <c r="B738"/>
      <c r="C738" s="148" t="s">
        <v>1729</v>
      </c>
      <c r="N738" s="151"/>
      <c r="S738" s="269"/>
      <c r="U738" s="269"/>
      <c r="AK738" s="152"/>
      <c r="AL738" s="152"/>
      <c r="AM738" s="152"/>
    </row>
    <row r="739" spans="1:39" s="148" customFormat="1">
      <c r="A739" s="1"/>
      <c r="B739"/>
      <c r="N739" s="151"/>
      <c r="S739" s="269"/>
      <c r="U739" s="269"/>
      <c r="AK739" s="152"/>
      <c r="AL739" s="152"/>
      <c r="AM739" s="152"/>
    </row>
    <row r="740" spans="1:39" s="148" customFormat="1">
      <c r="A740" s="1"/>
      <c r="B740"/>
      <c r="C740" s="148" t="s">
        <v>1730</v>
      </c>
      <c r="N740" s="151"/>
      <c r="S740" s="269"/>
      <c r="U740" s="269"/>
      <c r="AK740" s="152"/>
      <c r="AL740" s="152"/>
      <c r="AM740" s="152"/>
    </row>
    <row r="741" spans="1:39" s="148" customFormat="1">
      <c r="A741" s="1"/>
      <c r="B741"/>
      <c r="N741" s="151"/>
      <c r="S741" s="269"/>
      <c r="U741" s="269"/>
      <c r="AK741" s="152"/>
      <c r="AL741" s="152"/>
      <c r="AM741" s="152"/>
    </row>
    <row r="742" spans="1:39" s="148" customFormat="1">
      <c r="A742" s="1"/>
      <c r="B742"/>
      <c r="C742" s="148" t="s">
        <v>1731</v>
      </c>
      <c r="N742" s="151"/>
      <c r="S742" s="269"/>
      <c r="U742" s="269"/>
      <c r="AK742" s="152"/>
      <c r="AL742" s="152"/>
      <c r="AM742" s="152"/>
    </row>
    <row r="743" spans="1:39" s="148" customFormat="1">
      <c r="A743" s="1"/>
      <c r="B743"/>
      <c r="N743" s="151"/>
      <c r="S743" s="269"/>
      <c r="U743" s="269"/>
      <c r="AK743" s="152"/>
      <c r="AL743" s="152"/>
      <c r="AM743" s="152"/>
    </row>
    <row r="744" spans="1:39" s="148" customFormat="1">
      <c r="A744" s="1"/>
      <c r="B744"/>
      <c r="C744" s="148" t="s">
        <v>1732</v>
      </c>
      <c r="N744" s="151"/>
      <c r="S744" s="269"/>
      <c r="U744" s="269"/>
      <c r="AK744" s="152"/>
      <c r="AL744" s="152"/>
      <c r="AM744" s="152"/>
    </row>
    <row r="745" spans="1:39" s="148" customFormat="1">
      <c r="A745" s="1"/>
      <c r="B745"/>
      <c r="N745" s="151"/>
      <c r="S745" s="269"/>
      <c r="U745" s="269"/>
      <c r="AK745" s="152"/>
      <c r="AL745" s="152"/>
      <c r="AM745" s="152"/>
    </row>
    <row r="746" spans="1:39" s="148" customFormat="1">
      <c r="A746" s="1"/>
      <c r="B746"/>
      <c r="C746" s="148" t="s">
        <v>1733</v>
      </c>
      <c r="N746" s="151"/>
      <c r="S746" s="269"/>
      <c r="U746" s="269"/>
      <c r="AK746" s="152"/>
      <c r="AL746" s="152"/>
      <c r="AM746" s="152"/>
    </row>
    <row r="747" spans="1:39" s="148" customFormat="1">
      <c r="A747" s="1"/>
      <c r="B747"/>
      <c r="N747" s="151"/>
      <c r="S747" s="269"/>
      <c r="U747" s="269"/>
      <c r="AK747" s="152"/>
      <c r="AL747" s="152"/>
      <c r="AM747" s="152"/>
    </row>
    <row r="748" spans="1:39" s="148" customFormat="1">
      <c r="A748" s="1"/>
      <c r="B748"/>
      <c r="C748" s="148" t="s">
        <v>1734</v>
      </c>
      <c r="N748" s="151"/>
      <c r="S748" s="269"/>
      <c r="U748" s="269"/>
      <c r="AK748" s="152"/>
      <c r="AL748" s="152"/>
      <c r="AM748" s="152"/>
    </row>
    <row r="749" spans="1:39" s="148" customFormat="1">
      <c r="A749" s="1"/>
      <c r="B749"/>
      <c r="N749" s="151"/>
      <c r="S749" s="269"/>
      <c r="U749" s="269"/>
      <c r="AK749" s="152"/>
      <c r="AL749" s="152"/>
      <c r="AM749" s="152"/>
    </row>
    <row r="750" spans="1:39" s="148" customFormat="1">
      <c r="A750" s="1"/>
      <c r="B750"/>
      <c r="N750" s="151"/>
      <c r="S750" s="269"/>
      <c r="U750" s="269"/>
      <c r="AK750" s="152"/>
      <c r="AL750" s="152"/>
      <c r="AM750" s="152"/>
    </row>
    <row r="751" spans="1:39" s="148" customFormat="1">
      <c r="A751" s="1"/>
      <c r="B751"/>
      <c r="N751" s="151"/>
      <c r="S751" s="269"/>
      <c r="U751" s="269"/>
      <c r="AK751" s="152"/>
      <c r="AL751" s="152"/>
      <c r="AM751" s="152"/>
    </row>
    <row r="752" spans="1:39" s="148" customFormat="1">
      <c r="A752" s="1"/>
      <c r="B752"/>
      <c r="C752" s="148" t="s">
        <v>1735</v>
      </c>
      <c r="N752" s="151"/>
      <c r="S752" s="269"/>
      <c r="U752" s="269"/>
      <c r="AK752" s="152"/>
      <c r="AL752" s="152"/>
      <c r="AM752" s="152"/>
    </row>
    <row r="753" spans="1:39" s="148" customFormat="1">
      <c r="A753" s="1"/>
      <c r="B753"/>
      <c r="N753" s="151"/>
      <c r="S753" s="269"/>
      <c r="U753" s="269"/>
      <c r="AK753" s="152"/>
      <c r="AL753" s="152"/>
      <c r="AM753" s="152"/>
    </row>
    <row r="754" spans="1:39" s="148" customFormat="1">
      <c r="A754" s="1"/>
      <c r="B754"/>
      <c r="C754" s="148" t="s">
        <v>1736</v>
      </c>
      <c r="N754" s="151"/>
      <c r="S754" s="269"/>
      <c r="U754" s="269"/>
      <c r="AK754" s="152"/>
      <c r="AL754" s="152"/>
      <c r="AM754" s="152"/>
    </row>
    <row r="755" spans="1:39" s="148" customFormat="1">
      <c r="A755" s="1"/>
      <c r="B755"/>
      <c r="C755" s="148" t="s">
        <v>1737</v>
      </c>
      <c r="N755" s="151"/>
      <c r="S755" s="269"/>
      <c r="U755" s="269"/>
      <c r="AK755" s="152"/>
      <c r="AL755" s="152"/>
      <c r="AM755" s="152"/>
    </row>
    <row r="756" spans="1:39" s="148" customFormat="1">
      <c r="A756" s="1"/>
      <c r="B756"/>
      <c r="C756" s="148" t="s">
        <v>1738</v>
      </c>
      <c r="N756" s="151"/>
      <c r="S756" s="269"/>
      <c r="U756" s="269"/>
      <c r="AK756" s="152"/>
      <c r="AL756" s="152"/>
      <c r="AM756" s="152"/>
    </row>
    <row r="757" spans="1:39" s="148" customFormat="1">
      <c r="A757" s="1"/>
      <c r="B757"/>
      <c r="C757" s="148" t="s">
        <v>1739</v>
      </c>
      <c r="N757" s="151"/>
      <c r="S757" s="269"/>
      <c r="U757" s="269"/>
      <c r="AK757" s="152"/>
      <c r="AL757" s="152"/>
      <c r="AM757" s="152"/>
    </row>
    <row r="758" spans="1:39" s="148" customFormat="1">
      <c r="A758" s="1"/>
      <c r="B758"/>
      <c r="C758" s="148" t="s">
        <v>1740</v>
      </c>
      <c r="N758" s="151"/>
      <c r="S758" s="269"/>
      <c r="U758" s="269"/>
      <c r="AK758" s="152"/>
      <c r="AL758" s="152"/>
      <c r="AM758" s="152"/>
    </row>
    <row r="759" spans="1:39" s="148" customFormat="1">
      <c r="A759" s="1"/>
      <c r="B759"/>
      <c r="N759" s="151"/>
      <c r="S759" s="269"/>
      <c r="U759" s="269"/>
      <c r="AK759" s="152"/>
      <c r="AL759" s="152"/>
      <c r="AM759" s="152"/>
    </row>
    <row r="770" spans="4:6">
      <c r="D770">
        <f>SIN(RADIANS(E770))</f>
        <v>1</v>
      </c>
      <c r="E770" s="1">
        <v>90</v>
      </c>
    </row>
    <row r="771" spans="4:6">
      <c r="D771">
        <f>1/(COS(RADIANS(E771)))*F771</f>
        <v>704.36732841134335</v>
      </c>
      <c r="E771" s="1">
        <v>30</v>
      </c>
      <c r="F771">
        <v>610</v>
      </c>
    </row>
    <row r="772" spans="4:6">
      <c r="D772">
        <f>TAN(RADIANS(E772))</f>
        <v>1.7320508075688767</v>
      </c>
      <c r="E772" s="1">
        <v>60</v>
      </c>
    </row>
    <row r="773" spans="4:6">
      <c r="D773">
        <f>SQRT(E773)</f>
        <v>2</v>
      </c>
      <c r="E773" s="1">
        <v>4</v>
      </c>
    </row>
    <row r="2330" spans="3:9">
      <c r="C2330" s="1"/>
      <c r="I2330" t="s">
        <v>1868</v>
      </c>
    </row>
    <row r="2331" spans="3:9">
      <c r="C2331" s="1"/>
    </row>
    <row r="2332" spans="3:9">
      <c r="C2332" s="1"/>
    </row>
    <row r="2333" spans="3:9">
      <c r="C2333" s="1"/>
    </row>
    <row r="2334" spans="3:9">
      <c r="C2334" s="1"/>
    </row>
    <row r="2335" spans="3:9">
      <c r="C2335" s="1"/>
    </row>
    <row r="2336" spans="3:9">
      <c r="C2336" s="1"/>
    </row>
    <row r="2337" spans="3:3">
      <c r="C2337" s="1"/>
    </row>
    <row r="2338" spans="3:3">
      <c r="C2338" s="1"/>
    </row>
    <row r="2339" spans="3:3">
      <c r="C2339" s="1"/>
    </row>
    <row r="2340" spans="3:3">
      <c r="C2340" s="1"/>
    </row>
    <row r="2341" spans="3:3">
      <c r="C2341" s="1"/>
    </row>
    <row r="2342" spans="3:3">
      <c r="C2342" s="1"/>
    </row>
    <row r="2343" spans="3:3">
      <c r="C2343" s="1"/>
    </row>
    <row r="2344" spans="3:3">
      <c r="C2344" s="1"/>
    </row>
    <row r="2345" spans="3:3">
      <c r="C2345" s="1"/>
    </row>
    <row r="2346" spans="3:3">
      <c r="C2346" s="1"/>
    </row>
    <row r="2347" spans="3:3">
      <c r="C2347" s="1"/>
    </row>
    <row r="2348" spans="3:3">
      <c r="C2348" s="1"/>
    </row>
    <row r="2349" spans="3:3">
      <c r="C2349" s="1"/>
    </row>
    <row r="2350" spans="3:3">
      <c r="C2350" s="1"/>
    </row>
    <row r="2351" spans="3:3">
      <c r="C2351" s="1"/>
    </row>
    <row r="2352" spans="3:3">
      <c r="C2352" s="1"/>
    </row>
    <row r="2353" spans="3:3">
      <c r="C2353" s="1"/>
    </row>
    <row r="2354" spans="3:3">
      <c r="C2354" s="1"/>
    </row>
    <row r="2355" spans="3:3">
      <c r="C2355" s="1"/>
    </row>
    <row r="2356" spans="3:3">
      <c r="C2356" s="1"/>
    </row>
    <row r="2357" spans="3:3">
      <c r="C2357" s="1"/>
    </row>
    <row r="2358" spans="3:3">
      <c r="C2358" s="1"/>
    </row>
    <row r="2359" spans="3:3">
      <c r="C2359" s="1"/>
    </row>
    <row r="2360" spans="3:3">
      <c r="C2360" s="1"/>
    </row>
    <row r="2361" spans="3:3">
      <c r="C2361" s="1"/>
    </row>
    <row r="2362" spans="3:3">
      <c r="C2362" s="1"/>
    </row>
    <row r="2363" spans="3:3">
      <c r="C2363" s="1"/>
    </row>
    <row r="2364" spans="3:3">
      <c r="C2364" s="1"/>
    </row>
    <row r="2365" spans="3:3">
      <c r="C2365" s="1"/>
    </row>
    <row r="2366" spans="3:3">
      <c r="C2366" s="1"/>
    </row>
    <row r="2367" spans="3:3">
      <c r="C2367" s="1"/>
    </row>
    <row r="2368" spans="3:3">
      <c r="C2368" s="1"/>
    </row>
    <row r="2369" spans="3:3">
      <c r="C2369" s="1"/>
    </row>
    <row r="2370" spans="3:3">
      <c r="C2370" s="1"/>
    </row>
    <row r="2371" spans="3:3">
      <c r="C2371" s="1"/>
    </row>
    <row r="2372" spans="3:3">
      <c r="C2372" s="1"/>
    </row>
    <row r="2373" spans="3:3">
      <c r="C2373" s="1"/>
    </row>
    <row r="2374" spans="3:3">
      <c r="C2374" s="1"/>
    </row>
    <row r="2375" spans="3:3">
      <c r="C2375" s="1"/>
    </row>
    <row r="2376" spans="3:3">
      <c r="C2376" s="1"/>
    </row>
    <row r="2377" spans="3:3">
      <c r="C2377" s="1"/>
    </row>
    <row r="2378" spans="3:3">
      <c r="C2378" s="1"/>
    </row>
    <row r="2379" spans="3:3">
      <c r="C2379" s="1"/>
    </row>
    <row r="2380" spans="3:3">
      <c r="C2380" s="1"/>
    </row>
    <row r="2381" spans="3:3">
      <c r="C2381" s="1"/>
    </row>
    <row r="2382" spans="3:3">
      <c r="C2382" s="1"/>
    </row>
    <row r="2383" spans="3:3">
      <c r="C2383" s="1"/>
    </row>
    <row r="2384" spans="3:3">
      <c r="C2384" s="1"/>
    </row>
    <row r="2385" spans="3:3">
      <c r="C2385" s="1"/>
    </row>
    <row r="2386" spans="3:3">
      <c r="C2386" s="1"/>
    </row>
    <row r="2387" spans="3:3">
      <c r="C2387" s="1"/>
    </row>
    <row r="2388" spans="3:3">
      <c r="C2388" s="1"/>
    </row>
    <row r="2389" spans="3:3">
      <c r="C2389" s="1"/>
    </row>
    <row r="2390" spans="3:3">
      <c r="C2390" s="1"/>
    </row>
    <row r="2391" spans="3:3">
      <c r="C2391" s="1"/>
    </row>
    <row r="2392" spans="3:3">
      <c r="C2392" s="1"/>
    </row>
    <row r="2393" spans="3:3">
      <c r="C2393" s="1"/>
    </row>
    <row r="2394" spans="3:3">
      <c r="C2394" s="1"/>
    </row>
    <row r="2395" spans="3:3">
      <c r="C2395" s="1"/>
    </row>
    <row r="2396" spans="3:3">
      <c r="C2396" s="1"/>
    </row>
    <row r="2397" spans="3:3">
      <c r="C2397" s="1"/>
    </row>
    <row r="2398" spans="3:3">
      <c r="C2398" s="1"/>
    </row>
    <row r="2399" spans="3:3">
      <c r="C2399" s="1"/>
    </row>
    <row r="2400" spans="3:3">
      <c r="C2400" s="1"/>
    </row>
    <row r="2401" spans="3:3">
      <c r="C2401" s="1"/>
    </row>
    <row r="2402" spans="3:3">
      <c r="C2402" s="1"/>
    </row>
    <row r="2403" spans="3:3">
      <c r="C2403" s="1"/>
    </row>
    <row r="2404" spans="3:3">
      <c r="C2404" s="1"/>
    </row>
    <row r="2405" spans="3:3">
      <c r="C2405" s="1"/>
    </row>
    <row r="2406" spans="3:3">
      <c r="C2406" s="1"/>
    </row>
    <row r="2407" spans="3:3">
      <c r="C2407" s="1"/>
    </row>
    <row r="2408" spans="3:3">
      <c r="C2408" s="1"/>
    </row>
    <row r="2409" spans="3:3">
      <c r="C2409" s="1"/>
    </row>
    <row r="2410" spans="3:3">
      <c r="C2410" s="1"/>
    </row>
    <row r="2411" spans="3:3">
      <c r="C2411" s="1"/>
    </row>
    <row r="2412" spans="3:3">
      <c r="C2412" s="1"/>
    </row>
    <row r="2413" spans="3:3">
      <c r="C2413" s="1"/>
    </row>
    <row r="2414" spans="3:3">
      <c r="C2414" s="1"/>
    </row>
    <row r="2415" spans="3:3">
      <c r="C2415" s="1"/>
    </row>
    <row r="2416" spans="3:3">
      <c r="C2416" s="1"/>
    </row>
    <row r="2417" spans="3:3">
      <c r="C2417" s="1"/>
    </row>
    <row r="2418" spans="3:3">
      <c r="C2418" s="1"/>
    </row>
    <row r="2419" spans="3:3">
      <c r="C2419" s="1"/>
    </row>
    <row r="2420" spans="3:3">
      <c r="C2420" s="1"/>
    </row>
    <row r="2421" spans="3:3">
      <c r="C2421" s="1"/>
    </row>
    <row r="2422" spans="3:3">
      <c r="C2422" s="1"/>
    </row>
    <row r="2423" spans="3:3">
      <c r="C2423" s="1"/>
    </row>
    <row r="2424" spans="3:3">
      <c r="C2424" s="1"/>
    </row>
    <row r="2425" spans="3:3">
      <c r="C2425" s="1"/>
    </row>
    <row r="2426" spans="3:3">
      <c r="C2426" s="1"/>
    </row>
    <row r="2427" spans="3:3">
      <c r="C2427" s="1"/>
    </row>
    <row r="2428" spans="3:3">
      <c r="C2428" s="1"/>
    </row>
    <row r="2429" spans="3:3">
      <c r="C2429" s="1"/>
    </row>
    <row r="2430" spans="3:3">
      <c r="C2430" s="1"/>
    </row>
    <row r="2431" spans="3:3">
      <c r="C2431" s="1"/>
    </row>
    <row r="2432" spans="3:3">
      <c r="C2432" s="1"/>
    </row>
    <row r="2433" spans="3:3">
      <c r="C2433" s="1"/>
    </row>
    <row r="2434" spans="3:3">
      <c r="C2434" s="1"/>
    </row>
    <row r="2435" spans="3:3">
      <c r="C2435" s="1"/>
    </row>
    <row r="2436" spans="3:3">
      <c r="C2436" s="1"/>
    </row>
    <row r="2437" spans="3:3">
      <c r="C2437" s="1"/>
    </row>
    <row r="2438" spans="3:3">
      <c r="C2438" s="1"/>
    </row>
    <row r="2439" spans="3:3">
      <c r="C2439" s="1"/>
    </row>
    <row r="2440" spans="3:3">
      <c r="C2440" s="1"/>
    </row>
    <row r="2441" spans="3:3">
      <c r="C2441" s="1"/>
    </row>
    <row r="2442" spans="3:3">
      <c r="C2442" s="1"/>
    </row>
    <row r="2443" spans="3:3">
      <c r="C2443" s="1"/>
    </row>
    <row r="2444" spans="3:3">
      <c r="C2444" s="1"/>
    </row>
    <row r="2445" spans="3:3">
      <c r="C2445" s="1"/>
    </row>
    <row r="2446" spans="3:3">
      <c r="C2446" s="1"/>
    </row>
    <row r="2447" spans="3:3">
      <c r="C2447" s="1"/>
    </row>
    <row r="2448" spans="3:3">
      <c r="C2448" s="1"/>
    </row>
    <row r="2449" spans="3:3">
      <c r="C2449" s="1"/>
    </row>
    <row r="2450" spans="3:3">
      <c r="C2450" s="1"/>
    </row>
    <row r="2451" spans="3:3">
      <c r="C2451" s="1"/>
    </row>
    <row r="2452" spans="3:3">
      <c r="C2452" s="1"/>
    </row>
    <row r="2453" spans="3:3">
      <c r="C2453" s="1"/>
    </row>
    <row r="2454" spans="3:3">
      <c r="C2454" s="1"/>
    </row>
    <row r="2455" spans="3:3">
      <c r="C2455" s="1"/>
    </row>
    <row r="2456" spans="3:3">
      <c r="C2456" s="1"/>
    </row>
    <row r="2457" spans="3:3">
      <c r="C2457" s="1"/>
    </row>
    <row r="2458" spans="3:3">
      <c r="C2458" s="1"/>
    </row>
    <row r="2459" spans="3:3">
      <c r="C2459" s="1"/>
    </row>
    <row r="2460" spans="3:3">
      <c r="C2460" s="1"/>
    </row>
    <row r="2461" spans="3:3">
      <c r="C2461" s="1"/>
    </row>
    <row r="2462" spans="3:3">
      <c r="C2462" s="1"/>
    </row>
    <row r="2463" spans="3:3">
      <c r="C2463" s="1"/>
    </row>
    <row r="2464" spans="3:3">
      <c r="C2464" s="1"/>
    </row>
    <row r="2465" spans="3:3">
      <c r="C2465" s="1"/>
    </row>
    <row r="2466" spans="3:3">
      <c r="C2466" s="1"/>
    </row>
    <row r="2467" spans="3:3">
      <c r="C2467" s="1"/>
    </row>
    <row r="2468" spans="3:3">
      <c r="C2468" s="1"/>
    </row>
    <row r="2469" spans="3:3">
      <c r="C2469" s="1"/>
    </row>
    <row r="2470" spans="3:3">
      <c r="C2470" s="1"/>
    </row>
    <row r="2471" spans="3:3">
      <c r="C2471" s="1"/>
    </row>
    <row r="2472" spans="3:3">
      <c r="C2472" s="1"/>
    </row>
    <row r="2473" spans="3:3">
      <c r="C2473" s="1"/>
    </row>
    <row r="2474" spans="3:3">
      <c r="C2474" s="1"/>
    </row>
    <row r="2475" spans="3:3">
      <c r="C2475" s="1"/>
    </row>
    <row r="2476" spans="3:3">
      <c r="C2476" s="1"/>
    </row>
    <row r="2477" spans="3:3">
      <c r="C2477" s="1"/>
    </row>
    <row r="2478" spans="3:3">
      <c r="C2478" s="1"/>
    </row>
    <row r="2479" spans="3:3">
      <c r="C2479" s="1"/>
    </row>
    <row r="2480" spans="3:3">
      <c r="C2480" s="1"/>
    </row>
  </sheetData>
  <sortState xmlns:xlrd2="http://schemas.microsoft.com/office/spreadsheetml/2017/richdata2" ref="D219:G352">
    <sortCondition ref="D219"/>
  </sortState>
  <mergeCells count="20">
    <mergeCell ref="D673:P673"/>
    <mergeCell ref="D677:O677"/>
    <mergeCell ref="D660:J660"/>
    <mergeCell ref="H666:I666"/>
    <mergeCell ref="D667:N667"/>
    <mergeCell ref="D669:L669"/>
    <mergeCell ref="D670:S670"/>
    <mergeCell ref="D672:O672"/>
    <mergeCell ref="C648:J648"/>
    <mergeCell ref="H629:I629"/>
    <mergeCell ref="D630:N630"/>
    <mergeCell ref="D632:G632"/>
    <mergeCell ref="D633:S633"/>
    <mergeCell ref="D635:O635"/>
    <mergeCell ref="D636:O636"/>
    <mergeCell ref="H640:I640"/>
    <mergeCell ref="D641:N641"/>
    <mergeCell ref="H644:I644"/>
    <mergeCell ref="D645:N645"/>
    <mergeCell ref="D646:N646"/>
  </mergeCells>
  <conditionalFormatting sqref="Q627:R759 W627:Z759">
    <cfRule type="notContainsBlanks" dxfId="7888" priority="2" stopIfTrue="1">
      <formula>LEN(TRIM(Q627))&gt;0</formula>
    </cfRule>
  </conditionalFormatting>
  <conditionalFormatting sqref="S627:S759 U627:U759 AA627:AD759">
    <cfRule type="notContainsBlanks" dxfId="7887" priority="6" stopIfTrue="1">
      <formula>LEN(TRIM(S627))&gt;0</formula>
    </cfRule>
  </conditionalFormatting>
  <conditionalFormatting sqref="AE627:AP759">
    <cfRule type="notContainsBlanks" dxfId="7886" priority="4" stopIfTrue="1">
      <formula>LEN(TRIM(AE627))&gt;0</formula>
    </cfRule>
  </conditionalFormatting>
  <conditionalFormatting sqref="AS627:AT759">
    <cfRule type="containsErrors" dxfId="7885" priority="1" stopIfTrue="1">
      <formula>ISERROR(AS627)</formula>
    </cfRule>
  </conditionalFormatting>
  <conditionalFormatting sqref="AU627:AU759">
    <cfRule type="notContainsBlanks" dxfId="7884" priority="3" stopIfTrue="1">
      <formula>LEN(TRIM(AU627))&gt;0</formula>
    </cfRule>
    <cfRule type="containsErrors" dxfId="7883" priority="5" stopIfTrue="1">
      <formula>ISERROR(AU627)</formula>
    </cfRule>
  </conditionalFormatting>
  <dataValidations count="18">
    <dataValidation type="list" allowBlank="1" showInputMessage="1" showErrorMessage="1" sqref="D76 D79:D81 D175 D105:D114 D137:D145 D51:D53 D151:D162 D84:D103 D42:D49 D116:D135 D55:D62" xr:uid="{00000000-0002-0000-0100-000000000000}">
      <formula1>INDIRECT($B42)</formula1>
    </dataValidation>
    <dataValidation type="list" allowBlank="1" showInputMessage="1" showErrorMessage="1" sqref="D65" xr:uid="{00000000-0002-0000-0100-000001000000}">
      <formula1>INDIRECT($B$65)</formula1>
    </dataValidation>
    <dataValidation type="list" allowBlank="1" showInputMessage="1" showErrorMessage="1" sqref="D68" xr:uid="{00000000-0002-0000-0100-000002000000}">
      <formula1>INDIRECT($B$68)</formula1>
    </dataValidation>
    <dataValidation type="list" allowBlank="1" showInputMessage="1" showErrorMessage="1" sqref="D66" xr:uid="{00000000-0002-0000-0100-000003000000}">
      <formula1>INDIRECT($B$66)</formula1>
    </dataValidation>
    <dataValidation type="list" allowBlank="1" showInputMessage="1" showErrorMessage="1" sqref="D67" xr:uid="{00000000-0002-0000-0100-000004000000}">
      <formula1>INDIRECT($B$67)</formula1>
    </dataValidation>
    <dataValidation type="list" allowBlank="1" showInputMessage="1" showErrorMessage="1" sqref="D71" xr:uid="{00000000-0002-0000-0100-000005000000}">
      <formula1>INDIRECT($B$71)</formula1>
    </dataValidation>
    <dataValidation type="list" allowBlank="1" showInputMessage="1" showErrorMessage="1" sqref="D69" xr:uid="{00000000-0002-0000-0100-000006000000}">
      <formula1>INDIRECT($B$69)</formula1>
    </dataValidation>
    <dataValidation type="list" allowBlank="1" showInputMessage="1" showErrorMessage="1" sqref="D70" xr:uid="{00000000-0002-0000-0100-000007000000}">
      <formula1>INDIRECT($B$70)</formula1>
    </dataValidation>
    <dataValidation type="list" allowBlank="1" showInputMessage="1" showErrorMessage="1" sqref="B65:B86 B151:B175 B88:B103 B132:B135 B105:B114 B42:B62 B177:B233 B137:B147 B116:B130" xr:uid="{00000000-0002-0000-0100-000008000000}">
      <formula1>menu</formula1>
    </dataValidation>
    <dataValidation type="list" allowBlank="1" showInputMessage="1" showErrorMessage="1" sqref="D72 D75" xr:uid="{00000000-0002-0000-0100-000009000000}">
      <formula1>INDIRECT($B$72)</formula1>
    </dataValidation>
    <dataValidation type="list" allowBlank="1" showInputMessage="1" showErrorMessage="1" sqref="D4 D6" xr:uid="{00000000-0002-0000-0100-00000A000000}">
      <formula1>est</formula1>
    </dataValidation>
    <dataValidation type="list" allowBlank="1" showInputMessage="1" showErrorMessage="1" sqref="D5:E5" xr:uid="{00000000-0002-0000-0100-00000B000000}">
      <formula1>koord</formula1>
    </dataValidation>
    <dataValidation type="list" allowBlank="1" showInputMessage="1" showErrorMessage="1" sqref="D39" xr:uid="{00000000-0002-0000-0100-00000C000000}">
      <formula1>Edg</formula1>
    </dataValidation>
    <dataValidation type="list" allowBlank="1" showInputMessage="1" showErrorMessage="1" sqref="D443:D496 D427:D436" xr:uid="{00000000-0002-0000-0100-00000D000000}">
      <formula1>Prt</formula1>
    </dataValidation>
    <dataValidation type="list" allowBlank="1" showInputMessage="1" showErrorMessage="1" sqref="D73" xr:uid="{00000000-0002-0000-0100-00000E000000}">
      <formula1>INDIRECT($B$73)</formula1>
    </dataValidation>
    <dataValidation type="list" allowBlank="1" showInputMessage="1" showErrorMessage="1" sqref="D40" xr:uid="{00000000-0002-0000-0100-00000F000000}">
      <formula1>INDIRECT(B$42)</formula1>
    </dataValidation>
    <dataValidation type="list" allowBlank="1" showInputMessage="1" showErrorMessage="1" sqref="D74" xr:uid="{00000000-0002-0000-0100-000010000000}">
      <formula1>INDIRECT($B$74)</formula1>
    </dataValidation>
    <dataValidation type="list" allowBlank="1" showInputMessage="1" showErrorMessage="1" sqref="D7:D10" xr:uid="{00000000-0002-0000-0100-000011000000}">
      <formula1>cekbox</formula1>
    </dataValidation>
  </dataValidations>
  <pageMargins left="0.75" right="0.75" top="1" bottom="1" header="0.51111111111111107" footer="0.51111111111111107"/>
  <pageSetup paperSize="9" orientation="portrait" horizontalDpi="4294967293" verticalDpi="4294967293" r:id="rId1"/>
  <headerFooter scaleWithDoc="0"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FFFF00"/>
  </sheetPr>
  <dimension ref="A3:AK1222"/>
  <sheetViews>
    <sheetView zoomScale="90" zoomScaleNormal="90" workbookViewId="0">
      <pane xSplit="4" ySplit="7" topLeftCell="E402" activePane="bottomRight" state="frozen"/>
      <selection activeCell="CE12" sqref="CE12:CE953"/>
      <selection pane="topRight" activeCell="CE12" sqref="CE12:CE953"/>
      <selection pane="bottomLeft" activeCell="CE12" sqref="CE12:CE953"/>
      <selection pane="bottomRight" activeCell="C404" sqref="C404"/>
    </sheetView>
  </sheetViews>
  <sheetFormatPr baseColWidth="10" defaultColWidth="8.83203125" defaultRowHeight="16" outlineLevelRow="1" outlineLevelCol="1"/>
  <cols>
    <col min="1" max="1" width="5.6640625" style="215" customWidth="1"/>
    <col min="2" max="2" width="8.6640625" style="34" customWidth="1"/>
    <col min="3" max="3" width="25.6640625" customWidth="1"/>
    <col min="4" max="4" width="6.6640625" style="1" customWidth="1"/>
    <col min="5" max="5" width="4.6640625" style="62" customWidth="1"/>
    <col min="6" max="6" width="4.6640625" style="216" customWidth="1" outlineLevel="1"/>
    <col min="7" max="7" width="2.6640625" style="216" customWidth="1" outlineLevel="1"/>
    <col min="8" max="8" width="4.5" style="216" customWidth="1" outlineLevel="1"/>
    <col min="9" max="9" width="4.6640625" style="372" customWidth="1" outlineLevel="1"/>
    <col min="10" max="10" width="5.6640625" style="217" customWidth="1" outlineLevel="1"/>
    <col min="11" max="12" width="5.6640625" style="1" customWidth="1"/>
    <col min="13" max="13" width="5.6640625" style="1" customWidth="1" outlineLevel="1"/>
    <col min="14" max="14" width="5.6640625" customWidth="1" outlineLevel="1"/>
    <col min="15" max="16" width="9" customWidth="1" outlineLevel="1"/>
    <col min="17" max="19" width="5" style="34" customWidth="1" outlineLevel="1"/>
    <col min="20" max="22" width="6" style="34" customWidth="1"/>
    <col min="23" max="28" width="4.6640625" style="1" customWidth="1" outlineLevel="1"/>
    <col min="30" max="32" width="9" customWidth="1" outlineLevel="1"/>
    <col min="33" max="33" width="6.6640625" style="1" customWidth="1" outlineLevel="1"/>
    <col min="36" max="37" width="3.6640625" customWidth="1"/>
  </cols>
  <sheetData>
    <row r="3" spans="1:37">
      <c r="C3" s="218"/>
      <c r="F3" s="217"/>
      <c r="G3" s="217"/>
      <c r="H3" s="217"/>
      <c r="K3" s="861"/>
      <c r="L3" s="861"/>
      <c r="M3" s="861"/>
    </row>
    <row r="4" spans="1:37">
      <c r="C4" s="1"/>
    </row>
    <row r="5" spans="1:37">
      <c r="C5" s="219"/>
    </row>
    <row r="6" spans="1:37" s="165" customFormat="1" ht="45" customHeight="1">
      <c r="A6" s="220" t="s">
        <v>1506</v>
      </c>
      <c r="B6" s="379" t="s">
        <v>1742</v>
      </c>
      <c r="C6" s="222" t="s">
        <v>1743</v>
      </c>
      <c r="D6" s="221" t="s">
        <v>1744</v>
      </c>
      <c r="E6" s="223" t="s">
        <v>1745</v>
      </c>
      <c r="F6" s="224" t="s">
        <v>1746</v>
      </c>
      <c r="G6" s="224" t="s">
        <v>4378</v>
      </c>
      <c r="H6" s="225" t="s">
        <v>1747</v>
      </c>
      <c r="I6" s="373" t="s">
        <v>1748</v>
      </c>
      <c r="J6" s="224" t="s">
        <v>1749</v>
      </c>
      <c r="K6" s="1" t="s">
        <v>334</v>
      </c>
      <c r="L6" s="1" t="s">
        <v>338</v>
      </c>
      <c r="M6" s="1"/>
      <c r="N6" s="229"/>
      <c r="O6" s="185" t="s">
        <v>1750</v>
      </c>
      <c r="P6" s="185" t="s">
        <v>1751</v>
      </c>
      <c r="Q6" s="230" t="s">
        <v>1752</v>
      </c>
      <c r="R6" s="230" t="s">
        <v>1753</v>
      </c>
      <c r="S6" s="230" t="s">
        <v>1754</v>
      </c>
      <c r="T6" s="233" t="s">
        <v>1755</v>
      </c>
      <c r="U6" s="233" t="s">
        <v>2420</v>
      </c>
      <c r="V6" s="233" t="s">
        <v>793</v>
      </c>
      <c r="W6" s="55" t="s">
        <v>1756</v>
      </c>
      <c r="X6" s="55" t="s">
        <v>1757</v>
      </c>
      <c r="Y6" s="55" t="s">
        <v>1758</v>
      </c>
      <c r="Z6" s="55" t="s">
        <v>1759</v>
      </c>
      <c r="AA6" s="55" t="s">
        <v>1760</v>
      </c>
      <c r="AB6" s="55" t="s">
        <v>1761</v>
      </c>
      <c r="AD6" s="165" t="s">
        <v>1762</v>
      </c>
      <c r="AE6" s="165" t="s">
        <v>1763</v>
      </c>
      <c r="AF6" s="165" t="s">
        <v>1764</v>
      </c>
      <c r="AG6" s="386" t="s">
        <v>1765</v>
      </c>
      <c r="AH6" s="165" t="s">
        <v>1766</v>
      </c>
      <c r="AI6" s="165" t="s">
        <v>1756</v>
      </c>
      <c r="AJ6" s="198" t="s">
        <v>3013</v>
      </c>
      <c r="AK6" s="198" t="s">
        <v>3014</v>
      </c>
    </row>
    <row r="7" spans="1:37">
      <c r="B7" s="34" t="s">
        <v>1767</v>
      </c>
      <c r="C7" s="165" t="s">
        <v>1768</v>
      </c>
      <c r="F7" s="501"/>
      <c r="G7" s="501"/>
      <c r="N7" s="231"/>
      <c r="O7" s="232"/>
      <c r="P7" s="232"/>
    </row>
    <row r="8" spans="1:37" outlineLevel="1">
      <c r="A8" s="476" t="s">
        <v>2962</v>
      </c>
      <c r="B8" s="230" t="s">
        <v>1768</v>
      </c>
      <c r="C8" s="226" t="s">
        <v>1769</v>
      </c>
      <c r="D8" s="129">
        <f>ROW()+93</f>
        <v>101</v>
      </c>
      <c r="E8" s="62" t="s">
        <v>1745</v>
      </c>
      <c r="G8" s="216">
        <v>1</v>
      </c>
      <c r="H8" s="216">
        <v>1</v>
      </c>
      <c r="I8" s="372" t="str">
        <f t="shared" ref="I8:I106" si="0">bahan1</f>
        <v>Ply</v>
      </c>
      <c r="J8" s="217">
        <v>18</v>
      </c>
      <c r="W8" s="166">
        <f>Spek!$A$36</f>
        <v>0</v>
      </c>
      <c r="X8" s="1">
        <v>11</v>
      </c>
      <c r="Y8" s="1">
        <v>11</v>
      </c>
      <c r="Z8" s="541">
        <f>IF(Spek!$A$36=0,9,11)</f>
        <v>9</v>
      </c>
      <c r="AA8" s="541">
        <f>IF(Spek!$A$36=0,9,11)</f>
        <v>9</v>
      </c>
      <c r="AB8" s="541">
        <f>IF(Spek!$A$36=0,9,11)</f>
        <v>9</v>
      </c>
      <c r="AC8" t="s">
        <v>1506</v>
      </c>
    </row>
    <row r="9" spans="1:37" outlineLevel="1">
      <c r="A9" s="476" t="s">
        <v>2962</v>
      </c>
      <c r="B9" s="230" t="s">
        <v>1768</v>
      </c>
      <c r="C9" s="226" t="s">
        <v>2943</v>
      </c>
      <c r="D9" s="129">
        <f>ROW()+93</f>
        <v>102</v>
      </c>
      <c r="E9" s="62" t="s">
        <v>1745</v>
      </c>
      <c r="G9" s="216">
        <v>1</v>
      </c>
      <c r="H9" s="216">
        <v>1</v>
      </c>
      <c r="I9" s="372" t="str">
        <f t="shared" si="0"/>
        <v>Ply</v>
      </c>
      <c r="J9" s="217">
        <v>18</v>
      </c>
      <c r="W9" s="1">
        <v>11</v>
      </c>
      <c r="X9" s="1">
        <v>11</v>
      </c>
      <c r="Y9" s="1">
        <v>11</v>
      </c>
      <c r="Z9" s="1">
        <v>11</v>
      </c>
      <c r="AA9" s="1">
        <v>11</v>
      </c>
      <c r="AB9" s="1">
        <v>11</v>
      </c>
    </row>
    <row r="10" spans="1:37" outlineLevel="1">
      <c r="A10" s="476" t="s">
        <v>2962</v>
      </c>
      <c r="B10" s="230" t="s">
        <v>1768</v>
      </c>
      <c r="C10" s="226" t="s">
        <v>3520</v>
      </c>
      <c r="D10" s="129">
        <f>ROW()+93</f>
        <v>103</v>
      </c>
      <c r="E10" s="62" t="s">
        <v>1745</v>
      </c>
      <c r="G10" s="216">
        <v>1</v>
      </c>
      <c r="H10" s="216">
        <v>1</v>
      </c>
      <c r="I10" s="372" t="str">
        <f t="shared" si="0"/>
        <v>Ply</v>
      </c>
      <c r="J10" s="217">
        <v>18</v>
      </c>
      <c r="W10" s="1">
        <v>3</v>
      </c>
      <c r="X10" s="1">
        <v>11</v>
      </c>
      <c r="Y10" s="1">
        <v>3</v>
      </c>
      <c r="Z10" s="1">
        <v>3</v>
      </c>
      <c r="AA10" s="1">
        <v>3</v>
      </c>
      <c r="AB10" s="1">
        <v>3</v>
      </c>
    </row>
    <row r="11" spans="1:37" outlineLevel="1">
      <c r="A11" s="476" t="s">
        <v>2962</v>
      </c>
      <c r="B11" s="230" t="s">
        <v>1768</v>
      </c>
      <c r="C11" s="226" t="s">
        <v>1770</v>
      </c>
      <c r="D11" s="129">
        <f t="shared" ref="D11:D106" si="1">ROW()+93</f>
        <v>104</v>
      </c>
      <c r="E11" s="62" t="s">
        <v>1745</v>
      </c>
      <c r="G11" s="216">
        <v>1</v>
      </c>
      <c r="H11" s="216">
        <v>1</v>
      </c>
      <c r="I11" s="372" t="str">
        <f t="shared" si="0"/>
        <v>Ply</v>
      </c>
      <c r="J11" s="217">
        <v>18</v>
      </c>
      <c r="W11" s="1">
        <v>1</v>
      </c>
      <c r="X11" s="1">
        <v>11</v>
      </c>
      <c r="Y11" s="1">
        <v>1</v>
      </c>
      <c r="Z11" s="1">
        <v>1</v>
      </c>
      <c r="AA11" s="1">
        <v>1</v>
      </c>
      <c r="AB11" s="1">
        <v>1</v>
      </c>
    </row>
    <row r="12" spans="1:37" outlineLevel="1">
      <c r="A12" s="476" t="s">
        <v>2962</v>
      </c>
      <c r="B12" s="230" t="s">
        <v>1768</v>
      </c>
      <c r="C12" s="226" t="s">
        <v>1771</v>
      </c>
      <c r="D12" s="129">
        <f t="shared" si="1"/>
        <v>105</v>
      </c>
      <c r="E12" s="62" t="s">
        <v>1745</v>
      </c>
      <c r="G12" s="216">
        <v>1</v>
      </c>
      <c r="H12" s="216">
        <v>1</v>
      </c>
      <c r="I12" s="372" t="str">
        <f t="shared" si="0"/>
        <v>Ply</v>
      </c>
      <c r="J12" s="217">
        <v>18</v>
      </c>
      <c r="W12" s="1">
        <v>2</v>
      </c>
      <c r="X12" s="1">
        <v>11</v>
      </c>
      <c r="Y12" s="1">
        <v>11</v>
      </c>
      <c r="Z12" s="541">
        <f>IF(Spek!$A$36=0,9,11)</f>
        <v>9</v>
      </c>
      <c r="AA12" s="541">
        <f>IF(Spek!$A$36=0,9,11)</f>
        <v>9</v>
      </c>
      <c r="AB12" s="541">
        <f>IF(Spek!$A$36=0,9,11)</f>
        <v>9</v>
      </c>
      <c r="AC12" t="s">
        <v>1506</v>
      </c>
    </row>
    <row r="13" spans="1:37" outlineLevel="1">
      <c r="A13" s="476" t="s">
        <v>2962</v>
      </c>
      <c r="B13" s="230" t="s">
        <v>1768</v>
      </c>
      <c r="C13" s="226" t="s">
        <v>2657</v>
      </c>
      <c r="D13" s="129">
        <f t="shared" si="1"/>
        <v>106</v>
      </c>
      <c r="E13" s="62" t="s">
        <v>1745</v>
      </c>
      <c r="G13" s="216">
        <v>1</v>
      </c>
      <c r="H13" s="216">
        <v>1</v>
      </c>
      <c r="I13" s="372" t="str">
        <f t="shared" si="0"/>
        <v>Ply</v>
      </c>
      <c r="J13" s="217">
        <v>18</v>
      </c>
      <c r="W13" s="1">
        <v>4</v>
      </c>
      <c r="X13" s="1">
        <v>11</v>
      </c>
      <c r="Y13" s="1">
        <v>11</v>
      </c>
      <c r="Z13" s="541">
        <f>IF(Spek!$A$36=0,9,11)</f>
        <v>9</v>
      </c>
      <c r="AA13" s="541">
        <f>IF(Spek!$A$36=0,9,11)</f>
        <v>9</v>
      </c>
      <c r="AB13" s="541">
        <f>IF(Spek!$A$36=0,9,11)</f>
        <v>9</v>
      </c>
      <c r="AC13" t="s">
        <v>1506</v>
      </c>
    </row>
    <row r="14" spans="1:37" outlineLevel="1">
      <c r="A14" s="476" t="s">
        <v>2962</v>
      </c>
      <c r="B14" s="230" t="s">
        <v>1768</v>
      </c>
      <c r="C14" s="226" t="s">
        <v>1772</v>
      </c>
      <c r="D14" s="129">
        <f t="shared" si="1"/>
        <v>107</v>
      </c>
      <c r="E14" s="62" t="s">
        <v>1745</v>
      </c>
      <c r="G14" s="216">
        <v>0</v>
      </c>
      <c r="H14" s="216">
        <v>1</v>
      </c>
      <c r="I14" s="372" t="str">
        <f t="shared" si="0"/>
        <v>Ply</v>
      </c>
      <c r="J14" s="217">
        <v>18</v>
      </c>
      <c r="W14" s="502">
        <f>IF(Spek!$B$42="paper",22,Spek!$A$36)</f>
        <v>0</v>
      </c>
      <c r="X14" s="1">
        <v>1</v>
      </c>
      <c r="Y14" s="1">
        <v>1</v>
      </c>
      <c r="Z14" s="1">
        <v>1</v>
      </c>
      <c r="AA14" s="1">
        <v>1</v>
      </c>
      <c r="AB14" s="1">
        <v>1</v>
      </c>
    </row>
    <row r="15" spans="1:37" outlineLevel="1">
      <c r="A15" s="476" t="s">
        <v>2962</v>
      </c>
      <c r="B15" s="230" t="s">
        <v>1768</v>
      </c>
      <c r="C15" s="226" t="s">
        <v>1773</v>
      </c>
      <c r="D15" s="129">
        <f t="shared" si="1"/>
        <v>108</v>
      </c>
      <c r="E15" s="62" t="s">
        <v>1745</v>
      </c>
      <c r="G15" s="216">
        <v>0</v>
      </c>
      <c r="H15" s="216">
        <v>1</v>
      </c>
      <c r="I15" s="372" t="str">
        <f t="shared" si="0"/>
        <v>Ply</v>
      </c>
      <c r="J15" s="217">
        <v>18</v>
      </c>
      <c r="W15" s="1">
        <v>1</v>
      </c>
      <c r="X15" s="1">
        <v>1</v>
      </c>
      <c r="Y15" s="1">
        <v>1</v>
      </c>
      <c r="Z15" s="1">
        <v>1</v>
      </c>
      <c r="AA15" s="1">
        <v>1</v>
      </c>
      <c r="AB15" s="1">
        <v>1</v>
      </c>
    </row>
    <row r="16" spans="1:37" outlineLevel="1">
      <c r="A16" s="476" t="s">
        <v>2962</v>
      </c>
      <c r="B16" s="230" t="s">
        <v>1768</v>
      </c>
      <c r="C16" s="226" t="s">
        <v>2766</v>
      </c>
      <c r="D16" s="129">
        <f t="shared" si="1"/>
        <v>109</v>
      </c>
      <c r="E16" s="62" t="s">
        <v>1745</v>
      </c>
      <c r="G16" s="216">
        <v>0</v>
      </c>
      <c r="H16" s="216">
        <v>1</v>
      </c>
      <c r="I16" s="372" t="str">
        <f t="shared" si="0"/>
        <v>Ply</v>
      </c>
      <c r="J16" s="217">
        <v>18</v>
      </c>
      <c r="W16" s="1">
        <v>2</v>
      </c>
      <c r="X16" s="1">
        <v>1</v>
      </c>
      <c r="Y16" s="1">
        <v>1</v>
      </c>
      <c r="Z16" s="1">
        <v>1</v>
      </c>
      <c r="AA16" s="1">
        <v>1</v>
      </c>
      <c r="AB16" s="1">
        <v>1</v>
      </c>
    </row>
    <row r="17" spans="1:33" outlineLevel="1">
      <c r="A17" s="476" t="s">
        <v>2962</v>
      </c>
      <c r="B17" s="230" t="s">
        <v>1768</v>
      </c>
      <c r="C17" s="226" t="s">
        <v>2897</v>
      </c>
      <c r="D17" s="129">
        <f t="shared" si="1"/>
        <v>110</v>
      </c>
      <c r="E17" s="62" t="s">
        <v>1745</v>
      </c>
      <c r="G17" s="216">
        <v>0</v>
      </c>
      <c r="H17" s="216">
        <v>1</v>
      </c>
      <c r="I17" s="372" t="str">
        <f t="shared" si="0"/>
        <v>Ply</v>
      </c>
      <c r="J17" s="217">
        <v>18</v>
      </c>
      <c r="W17" s="502">
        <f>IF(Spek!$B$42="paper",22,Spek!$A$36)</f>
        <v>0</v>
      </c>
      <c r="X17" s="1">
        <v>3</v>
      </c>
      <c r="Y17" s="1">
        <v>3</v>
      </c>
      <c r="Z17" s="1">
        <v>3</v>
      </c>
      <c r="AA17" s="1">
        <v>3</v>
      </c>
      <c r="AB17" s="1">
        <v>3</v>
      </c>
    </row>
    <row r="18" spans="1:33" outlineLevel="1">
      <c r="A18" s="476" t="s">
        <v>2962</v>
      </c>
      <c r="B18" s="230" t="s">
        <v>1768</v>
      </c>
      <c r="C18" s="226" t="s">
        <v>3010</v>
      </c>
      <c r="D18" s="129">
        <f t="shared" si="1"/>
        <v>111</v>
      </c>
      <c r="E18" s="62" t="s">
        <v>1745</v>
      </c>
      <c r="G18" s="216">
        <v>0</v>
      </c>
      <c r="H18" s="216">
        <v>1</v>
      </c>
      <c r="I18" s="372" t="str">
        <f t="shared" si="0"/>
        <v>Ply</v>
      </c>
      <c r="J18" s="217">
        <v>18</v>
      </c>
      <c r="W18" s="1">
        <v>3</v>
      </c>
      <c r="X18" s="1">
        <v>3</v>
      </c>
      <c r="Y18" s="1">
        <v>3</v>
      </c>
      <c r="Z18" s="1">
        <v>3</v>
      </c>
      <c r="AA18" s="1">
        <v>3</v>
      </c>
      <c r="AB18" s="1">
        <v>3</v>
      </c>
    </row>
    <row r="19" spans="1:33" outlineLevel="1">
      <c r="A19" s="476" t="s">
        <v>2962</v>
      </c>
      <c r="B19" s="230" t="s">
        <v>1768</v>
      </c>
      <c r="C19" s="226" t="s">
        <v>2795</v>
      </c>
      <c r="D19" s="129">
        <f t="shared" si="1"/>
        <v>112</v>
      </c>
      <c r="E19" s="62" t="s">
        <v>1745</v>
      </c>
      <c r="G19" s="216">
        <v>1</v>
      </c>
      <c r="H19" s="216">
        <v>1</v>
      </c>
      <c r="I19" s="372" t="str">
        <f t="shared" si="0"/>
        <v>Ply</v>
      </c>
      <c r="J19" s="217">
        <v>13.5</v>
      </c>
      <c r="W19" s="1">
        <v>22</v>
      </c>
      <c r="X19" s="1">
        <v>11</v>
      </c>
      <c r="Y19" s="1">
        <v>11</v>
      </c>
      <c r="Z19" s="1">
        <v>11</v>
      </c>
      <c r="AA19" s="1">
        <v>11</v>
      </c>
      <c r="AB19" s="1">
        <v>11</v>
      </c>
    </row>
    <row r="20" spans="1:33" outlineLevel="1">
      <c r="A20" s="476" t="s">
        <v>2962</v>
      </c>
      <c r="B20" s="230" t="s">
        <v>1768</v>
      </c>
      <c r="C20" s="226" t="s">
        <v>2335</v>
      </c>
      <c r="D20" s="129">
        <f t="shared" si="1"/>
        <v>113</v>
      </c>
      <c r="E20" s="62" t="s">
        <v>1745</v>
      </c>
      <c r="G20" s="216">
        <v>1</v>
      </c>
      <c r="H20" s="216">
        <v>1</v>
      </c>
      <c r="I20" s="372" t="str">
        <f t="shared" si="0"/>
        <v>Ply</v>
      </c>
      <c r="J20" s="217">
        <v>13.5</v>
      </c>
      <c r="W20" s="1">
        <v>22</v>
      </c>
      <c r="X20" s="1">
        <v>11</v>
      </c>
      <c r="Y20" s="1">
        <v>1</v>
      </c>
      <c r="Z20" s="1">
        <v>1</v>
      </c>
      <c r="AA20" s="1">
        <v>0</v>
      </c>
      <c r="AB20" s="1">
        <v>0</v>
      </c>
      <c r="AF20" s="504" t="str">
        <f>IF(Spek!$D$17="UPVC",edging7,edging8)</f>
        <v>Trim 22 S2/S4 Brown Doff ( Alm. 75270 ) P3</v>
      </c>
      <c r="AG20" s="1">
        <v>2</v>
      </c>
    </row>
    <row r="21" spans="1:33" outlineLevel="1">
      <c r="A21" s="476" t="s">
        <v>2962</v>
      </c>
      <c r="B21" s="230" t="s">
        <v>1768</v>
      </c>
      <c r="C21" s="226" t="s">
        <v>2466</v>
      </c>
      <c r="D21" s="129">
        <f t="shared" si="1"/>
        <v>114</v>
      </c>
      <c r="E21" s="62" t="s">
        <v>1745</v>
      </c>
      <c r="G21" s="216">
        <v>1</v>
      </c>
      <c r="H21" s="216">
        <v>1</v>
      </c>
      <c r="I21" s="372" t="str">
        <f t="shared" si="0"/>
        <v>Ply</v>
      </c>
      <c r="J21" s="217">
        <v>13.5</v>
      </c>
      <c r="W21" s="1">
        <v>22</v>
      </c>
      <c r="X21" s="1">
        <v>11</v>
      </c>
      <c r="Y21" s="1">
        <v>8</v>
      </c>
      <c r="Z21" s="1">
        <v>8</v>
      </c>
      <c r="AA21" s="1">
        <v>8</v>
      </c>
      <c r="AB21" s="1">
        <v>8</v>
      </c>
    </row>
    <row r="22" spans="1:33" outlineLevel="1">
      <c r="A22" s="476" t="s">
        <v>2962</v>
      </c>
      <c r="B22" s="230" t="s">
        <v>1768</v>
      </c>
      <c r="C22" s="36" t="s">
        <v>1774</v>
      </c>
      <c r="D22" s="129">
        <f t="shared" si="1"/>
        <v>115</v>
      </c>
      <c r="E22" s="62" t="s">
        <v>1745</v>
      </c>
      <c r="G22" s="216">
        <v>1</v>
      </c>
      <c r="H22" s="216">
        <v>2</v>
      </c>
      <c r="I22" s="372" t="str">
        <f t="shared" si="0"/>
        <v>Ply</v>
      </c>
      <c r="J22" s="217">
        <v>24</v>
      </c>
      <c r="K22" s="1" t="str">
        <f>minifix_hettich</f>
        <v>MINIFIX HETTICH</v>
      </c>
      <c r="L22" s="1" t="str">
        <f>dowelØ8</f>
        <v>DOWEL KAYU 4X8</v>
      </c>
      <c r="W22" s="1">
        <v>11</v>
      </c>
      <c r="X22" s="1">
        <v>11</v>
      </c>
      <c r="Y22" s="1">
        <v>22</v>
      </c>
      <c r="Z22" s="1">
        <v>0</v>
      </c>
      <c r="AA22" s="1">
        <v>22</v>
      </c>
      <c r="AB22" s="1">
        <v>22</v>
      </c>
    </row>
    <row r="23" spans="1:33" outlineLevel="1">
      <c r="A23" s="476" t="s">
        <v>2962</v>
      </c>
      <c r="B23" s="230" t="s">
        <v>1768</v>
      </c>
      <c r="C23" s="226" t="s">
        <v>2580</v>
      </c>
      <c r="D23" s="129">
        <f t="shared" si="1"/>
        <v>116</v>
      </c>
      <c r="E23" s="62" t="s">
        <v>1745</v>
      </c>
      <c r="G23" s="216">
        <v>1</v>
      </c>
      <c r="H23" s="216">
        <v>1</v>
      </c>
      <c r="I23" s="372" t="str">
        <f t="shared" si="0"/>
        <v>Ply</v>
      </c>
    </row>
    <row r="24" spans="1:33" outlineLevel="1">
      <c r="A24" s="476" t="s">
        <v>2962</v>
      </c>
      <c r="B24" s="230" t="s">
        <v>1768</v>
      </c>
      <c r="C24" s="226" t="s">
        <v>2817</v>
      </c>
      <c r="D24" s="129">
        <f t="shared" si="1"/>
        <v>117</v>
      </c>
      <c r="E24" s="62" t="s">
        <v>1745</v>
      </c>
      <c r="G24" s="216">
        <v>1</v>
      </c>
      <c r="H24" s="216">
        <v>1</v>
      </c>
      <c r="I24" s="372" t="str">
        <f t="shared" si="0"/>
        <v>Ply</v>
      </c>
      <c r="J24" s="217">
        <v>18</v>
      </c>
      <c r="K24" s="1" t="str">
        <f t="shared" ref="K24:K43" si="2">minifix_hettich</f>
        <v>MINIFIX HETTICH</v>
      </c>
      <c r="L24" s="1" t="str">
        <f t="shared" ref="L24:L43" si="3">dowelØ8</f>
        <v>DOWEL KAYU 4X8</v>
      </c>
      <c r="T24" s="34" t="str">
        <f>legadj100</f>
        <v>KAKI ADJUSTER HAFELLE TG 100 ART # 637.45.326</v>
      </c>
      <c r="W24" s="166">
        <f>Spek!$A$36</f>
        <v>0</v>
      </c>
      <c r="X24" s="1">
        <v>11</v>
      </c>
      <c r="Y24" s="1">
        <v>11</v>
      </c>
      <c r="Z24" s="541">
        <f>IF(Spek!$A$36=0,9,11)</f>
        <v>9</v>
      </c>
      <c r="AA24" s="1">
        <v>0</v>
      </c>
      <c r="AB24" s="1">
        <v>0</v>
      </c>
      <c r="AC24" t="s">
        <v>1506</v>
      </c>
    </row>
    <row r="25" spans="1:33" outlineLevel="1">
      <c r="A25" s="476" t="s">
        <v>2962</v>
      </c>
      <c r="B25" s="230" t="s">
        <v>1768</v>
      </c>
      <c r="C25" s="226" t="s">
        <v>4233</v>
      </c>
      <c r="D25" s="129">
        <f t="shared" si="1"/>
        <v>118</v>
      </c>
      <c r="E25" s="62" t="s">
        <v>1745</v>
      </c>
      <c r="G25" s="216">
        <v>1</v>
      </c>
      <c r="H25" s="216">
        <v>1</v>
      </c>
      <c r="I25" s="372" t="str">
        <f t="shared" si="0"/>
        <v>Ply</v>
      </c>
      <c r="J25" s="217">
        <v>18</v>
      </c>
      <c r="K25" s="1" t="str">
        <f t="shared" si="2"/>
        <v>MINIFIX HETTICH</v>
      </c>
      <c r="L25" s="1" t="str">
        <f t="shared" si="3"/>
        <v>DOWEL KAYU 4X8</v>
      </c>
      <c r="T25" s="34" t="str">
        <f>braket_hc</f>
        <v>Braket Kabinet Atas</v>
      </c>
      <c r="W25" s="166">
        <f>Spek!$A$36</f>
        <v>0</v>
      </c>
      <c r="X25" s="1">
        <v>11</v>
      </c>
      <c r="Y25" s="1">
        <v>11</v>
      </c>
      <c r="Z25" s="541">
        <f>IF(Spek!$A$36=0,9,11)</f>
        <v>9</v>
      </c>
      <c r="AA25" s="1">
        <v>0</v>
      </c>
      <c r="AB25" s="1">
        <v>0</v>
      </c>
      <c r="AC25" t="s">
        <v>1506</v>
      </c>
    </row>
    <row r="26" spans="1:33" outlineLevel="1">
      <c r="A26" s="476" t="s">
        <v>2962</v>
      </c>
      <c r="B26" s="230" t="s">
        <v>1768</v>
      </c>
      <c r="C26" s="226" t="s">
        <v>1775</v>
      </c>
      <c r="D26" s="129">
        <f t="shared" si="1"/>
        <v>119</v>
      </c>
      <c r="E26" s="62" t="s">
        <v>1745</v>
      </c>
      <c r="G26" s="216">
        <v>1</v>
      </c>
      <c r="H26" s="216">
        <v>1</v>
      </c>
      <c r="I26" s="372" t="str">
        <f t="shared" si="0"/>
        <v>Ply</v>
      </c>
      <c r="J26" s="217">
        <v>18</v>
      </c>
      <c r="K26" s="1" t="str">
        <f t="shared" si="2"/>
        <v>MINIFIX HETTICH</v>
      </c>
      <c r="L26" s="1" t="str">
        <f t="shared" si="3"/>
        <v>DOWEL KAYU 4X8</v>
      </c>
      <c r="W26" s="55">
        <v>9</v>
      </c>
      <c r="X26" s="1">
        <v>11</v>
      </c>
      <c r="Y26" s="1">
        <v>11</v>
      </c>
      <c r="Z26" s="541">
        <f>IF(Spek!$A$36=0,9,11)</f>
        <v>9</v>
      </c>
      <c r="AA26" s="1">
        <v>0</v>
      </c>
      <c r="AB26" s="1">
        <v>0</v>
      </c>
      <c r="AC26" t="s">
        <v>1506</v>
      </c>
    </row>
    <row r="27" spans="1:33" outlineLevel="1">
      <c r="A27" s="476" t="s">
        <v>2962</v>
      </c>
      <c r="B27" s="230" t="s">
        <v>1768</v>
      </c>
      <c r="C27" s="226" t="s">
        <v>3521</v>
      </c>
      <c r="D27" s="129">
        <f t="shared" si="1"/>
        <v>120</v>
      </c>
      <c r="E27" s="62" t="s">
        <v>1745</v>
      </c>
      <c r="G27" s="216">
        <v>1</v>
      </c>
      <c r="H27" s="216">
        <v>1</v>
      </c>
      <c r="I27" s="372" t="str">
        <f t="shared" si="0"/>
        <v>Ply</v>
      </c>
      <c r="J27" s="217">
        <v>18</v>
      </c>
      <c r="K27" s="1" t="str">
        <f t="shared" si="2"/>
        <v>MINIFIX HETTICH</v>
      </c>
      <c r="L27" s="1" t="str">
        <f t="shared" si="3"/>
        <v>DOWEL KAYU 4X8</v>
      </c>
      <c r="W27" s="1">
        <v>3</v>
      </c>
      <c r="X27" s="1">
        <v>11</v>
      </c>
      <c r="Y27" s="1">
        <v>3</v>
      </c>
      <c r="Z27" s="1">
        <v>3</v>
      </c>
      <c r="AA27" s="1">
        <v>0</v>
      </c>
      <c r="AB27" s="1">
        <v>0</v>
      </c>
    </row>
    <row r="28" spans="1:33" outlineLevel="1">
      <c r="A28" s="476" t="s">
        <v>2962</v>
      </c>
      <c r="B28" s="230" t="s">
        <v>1768</v>
      </c>
      <c r="C28" s="226" t="s">
        <v>1778</v>
      </c>
      <c r="D28" s="129">
        <f t="shared" si="1"/>
        <v>121</v>
      </c>
      <c r="E28" s="62" t="s">
        <v>1745</v>
      </c>
      <c r="G28" s="216">
        <v>1</v>
      </c>
      <c r="H28" s="216">
        <v>1</v>
      </c>
      <c r="I28" s="372" t="str">
        <f t="shared" si="0"/>
        <v>Ply</v>
      </c>
      <c r="J28" s="217">
        <v>18</v>
      </c>
      <c r="K28" s="1" t="str">
        <f t="shared" si="2"/>
        <v>MINIFIX HETTICH</v>
      </c>
      <c r="L28" s="1" t="str">
        <f t="shared" si="3"/>
        <v>DOWEL KAYU 4X8</v>
      </c>
      <c r="W28" s="1">
        <v>1</v>
      </c>
      <c r="X28" s="1">
        <v>11</v>
      </c>
      <c r="Y28" s="1">
        <v>11</v>
      </c>
      <c r="Z28" s="1">
        <v>11</v>
      </c>
      <c r="AA28" s="1">
        <v>0</v>
      </c>
      <c r="AB28" s="1">
        <v>0</v>
      </c>
    </row>
    <row r="29" spans="1:33" outlineLevel="1">
      <c r="A29" s="476" t="s">
        <v>2962</v>
      </c>
      <c r="B29" s="230" t="s">
        <v>1768</v>
      </c>
      <c r="C29" s="226" t="s">
        <v>1776</v>
      </c>
      <c r="D29" s="129">
        <f t="shared" si="1"/>
        <v>122</v>
      </c>
      <c r="E29" s="62" t="s">
        <v>1745</v>
      </c>
      <c r="G29" s="216">
        <v>1</v>
      </c>
      <c r="H29" s="216">
        <v>1</v>
      </c>
      <c r="I29" s="372" t="str">
        <f t="shared" si="0"/>
        <v>Ply</v>
      </c>
      <c r="J29" s="217">
        <v>18</v>
      </c>
      <c r="K29" s="1" t="str">
        <f t="shared" si="2"/>
        <v>MINIFIX HETTICH</v>
      </c>
      <c r="L29" s="1" t="str">
        <f t="shared" si="3"/>
        <v>DOWEL KAYU 4X8</v>
      </c>
      <c r="W29" s="1">
        <v>11</v>
      </c>
      <c r="X29" s="1">
        <v>11</v>
      </c>
      <c r="Y29" s="1">
        <v>11</v>
      </c>
      <c r="Z29" s="541">
        <f>IF(Spek!$A$36=0,9,11)</f>
        <v>9</v>
      </c>
      <c r="AA29" s="1">
        <v>0</v>
      </c>
      <c r="AB29" s="1">
        <v>0</v>
      </c>
      <c r="AC29" t="s">
        <v>1506</v>
      </c>
    </row>
    <row r="30" spans="1:33" outlineLevel="1">
      <c r="A30" s="476" t="s">
        <v>2962</v>
      </c>
      <c r="B30" s="230" t="s">
        <v>1768</v>
      </c>
      <c r="C30" s="226" t="s">
        <v>2823</v>
      </c>
      <c r="D30" s="129">
        <f t="shared" si="1"/>
        <v>123</v>
      </c>
      <c r="E30" s="62" t="s">
        <v>1745</v>
      </c>
      <c r="G30" s="216">
        <v>1</v>
      </c>
      <c r="H30" s="216">
        <v>1</v>
      </c>
      <c r="I30" s="372" t="str">
        <f t="shared" si="0"/>
        <v>Ply</v>
      </c>
      <c r="J30" s="217">
        <v>18</v>
      </c>
      <c r="K30" s="1" t="str">
        <f t="shared" si="2"/>
        <v>MINIFIX HETTICH</v>
      </c>
      <c r="L30" s="1" t="str">
        <f t="shared" si="3"/>
        <v>DOWEL KAYU 4X8</v>
      </c>
      <c r="W30" s="166">
        <f>Spek!$A$36</f>
        <v>0</v>
      </c>
      <c r="X30" s="1">
        <v>11</v>
      </c>
      <c r="Y30" s="1">
        <v>0</v>
      </c>
      <c r="Z30" s="541">
        <f>IF(Spek!$A$36=0,9,11)</f>
        <v>9</v>
      </c>
      <c r="AA30" s="1">
        <v>0</v>
      </c>
      <c r="AB30" s="541">
        <f>IF(Spek!$A$36=0,9,11)</f>
        <v>9</v>
      </c>
      <c r="AC30" t="s">
        <v>1506</v>
      </c>
    </row>
    <row r="31" spans="1:33" outlineLevel="1">
      <c r="A31" s="476" t="s">
        <v>2962</v>
      </c>
      <c r="B31" s="230" t="s">
        <v>1768</v>
      </c>
      <c r="C31" s="226" t="s">
        <v>1777</v>
      </c>
      <c r="D31" s="129">
        <f t="shared" si="1"/>
        <v>124</v>
      </c>
      <c r="E31" s="62" t="s">
        <v>1745</v>
      </c>
      <c r="G31" s="216">
        <v>1</v>
      </c>
      <c r="H31" s="216">
        <v>1</v>
      </c>
      <c r="I31" s="372" t="str">
        <f t="shared" si="0"/>
        <v>Ply</v>
      </c>
      <c r="J31" s="217">
        <v>18</v>
      </c>
      <c r="K31" s="1" t="str">
        <f t="shared" si="2"/>
        <v>MINIFIX HETTICH</v>
      </c>
      <c r="L31" s="1" t="str">
        <f t="shared" si="3"/>
        <v>DOWEL KAYU 4X8</v>
      </c>
      <c r="W31" s="55">
        <v>9</v>
      </c>
      <c r="X31" s="1">
        <v>11</v>
      </c>
      <c r="Y31" s="1">
        <v>0</v>
      </c>
      <c r="Z31" s="541">
        <f>IF(Spek!$A$36=0,9,11)</f>
        <v>9</v>
      </c>
      <c r="AA31" s="1">
        <v>0</v>
      </c>
      <c r="AB31" s="541">
        <f>IF(Spek!$A$36=0,9,11)</f>
        <v>9</v>
      </c>
      <c r="AC31" t="s">
        <v>1506</v>
      </c>
    </row>
    <row r="32" spans="1:33" outlineLevel="1">
      <c r="A32" s="476" t="s">
        <v>2962</v>
      </c>
      <c r="B32" s="230" t="s">
        <v>1768</v>
      </c>
      <c r="C32" s="226" t="s">
        <v>1778</v>
      </c>
      <c r="D32" s="129">
        <f t="shared" si="1"/>
        <v>125</v>
      </c>
      <c r="E32" s="62" t="s">
        <v>1745</v>
      </c>
      <c r="G32" s="216">
        <v>1</v>
      </c>
      <c r="H32" s="216">
        <v>1</v>
      </c>
      <c r="I32" s="372" t="str">
        <f t="shared" si="0"/>
        <v>Ply</v>
      </c>
      <c r="J32" s="217">
        <v>18</v>
      </c>
      <c r="K32" s="1" t="str">
        <f t="shared" si="2"/>
        <v>MINIFIX HETTICH</v>
      </c>
      <c r="L32" s="1" t="str">
        <f t="shared" si="3"/>
        <v>DOWEL KAYU 4X8</v>
      </c>
      <c r="W32" s="1">
        <v>1</v>
      </c>
      <c r="X32" s="1">
        <v>11</v>
      </c>
      <c r="Y32" s="1">
        <v>11</v>
      </c>
      <c r="Z32" s="1">
        <v>11</v>
      </c>
      <c r="AA32" s="1">
        <v>0</v>
      </c>
      <c r="AB32" s="1">
        <v>0</v>
      </c>
    </row>
    <row r="33" spans="1:29" outlineLevel="1">
      <c r="A33" s="476" t="s">
        <v>2962</v>
      </c>
      <c r="B33" s="230" t="s">
        <v>1768</v>
      </c>
      <c r="C33" s="226" t="s">
        <v>4085</v>
      </c>
      <c r="D33" s="129">
        <f t="shared" si="1"/>
        <v>126</v>
      </c>
      <c r="E33" s="62" t="s">
        <v>1745</v>
      </c>
      <c r="G33" s="216">
        <v>0</v>
      </c>
      <c r="H33" s="216">
        <v>1</v>
      </c>
      <c r="I33" s="372" t="str">
        <f t="shared" si="0"/>
        <v>Ply</v>
      </c>
      <c r="J33" s="217">
        <v>18</v>
      </c>
      <c r="K33" s="1" t="str">
        <f t="shared" si="2"/>
        <v>MINIFIX HETTICH</v>
      </c>
      <c r="L33" s="1" t="str">
        <f t="shared" si="3"/>
        <v>DOWEL KAYU 4X8</v>
      </c>
      <c r="W33" s="1">
        <v>0</v>
      </c>
      <c r="X33" s="1">
        <v>1</v>
      </c>
      <c r="Y33" s="1">
        <v>1</v>
      </c>
      <c r="Z33" s="1">
        <v>1</v>
      </c>
      <c r="AA33" s="1">
        <v>0</v>
      </c>
      <c r="AB33" s="1">
        <v>0</v>
      </c>
    </row>
    <row r="34" spans="1:29" outlineLevel="1">
      <c r="A34" s="476" t="s">
        <v>2962</v>
      </c>
      <c r="B34" s="230" t="s">
        <v>1768</v>
      </c>
      <c r="C34" s="226" t="s">
        <v>1779</v>
      </c>
      <c r="D34" s="129">
        <f t="shared" si="1"/>
        <v>127</v>
      </c>
      <c r="E34" s="62" t="s">
        <v>1745</v>
      </c>
      <c r="G34" s="216">
        <v>0</v>
      </c>
      <c r="H34" s="216">
        <v>1</v>
      </c>
      <c r="I34" s="372" t="str">
        <f t="shared" si="0"/>
        <v>Ply</v>
      </c>
      <c r="J34" s="217">
        <v>18</v>
      </c>
      <c r="K34" s="1" t="str">
        <f t="shared" si="2"/>
        <v>MINIFIX HETTICH</v>
      </c>
      <c r="L34" s="1" t="str">
        <f t="shared" si="3"/>
        <v>DOWEL KAYU 4X8</v>
      </c>
      <c r="W34" s="1">
        <v>22</v>
      </c>
      <c r="X34" s="1">
        <v>1</v>
      </c>
      <c r="Y34" s="1">
        <v>1</v>
      </c>
      <c r="Z34" s="1">
        <v>1</v>
      </c>
      <c r="AA34" s="1">
        <v>0</v>
      </c>
      <c r="AB34" s="1">
        <v>0</v>
      </c>
    </row>
    <row r="35" spans="1:29" outlineLevel="1">
      <c r="A35" s="476" t="s">
        <v>2962</v>
      </c>
      <c r="B35" s="230" t="s">
        <v>1768</v>
      </c>
      <c r="C35" s="226" t="s">
        <v>2812</v>
      </c>
      <c r="D35" s="129">
        <f t="shared" si="1"/>
        <v>128</v>
      </c>
      <c r="E35" s="62" t="s">
        <v>1745</v>
      </c>
      <c r="G35" s="216">
        <v>0</v>
      </c>
      <c r="H35" s="216">
        <v>1</v>
      </c>
      <c r="I35" s="372" t="str">
        <f t="shared" si="0"/>
        <v>Ply</v>
      </c>
      <c r="J35" s="217">
        <v>18</v>
      </c>
      <c r="K35" s="1" t="str">
        <f t="shared" si="2"/>
        <v>MINIFIX HETTICH</v>
      </c>
      <c r="L35" s="1" t="str">
        <f t="shared" si="3"/>
        <v>DOWEL KAYU 4X8</v>
      </c>
      <c r="W35" s="1">
        <v>1</v>
      </c>
      <c r="X35" s="1">
        <v>1</v>
      </c>
      <c r="Y35" s="1">
        <v>1</v>
      </c>
      <c r="Z35" s="1">
        <v>1</v>
      </c>
      <c r="AA35" s="1">
        <v>0</v>
      </c>
      <c r="AB35" s="1">
        <v>0</v>
      </c>
    </row>
    <row r="36" spans="1:29" outlineLevel="1">
      <c r="A36" s="476" t="s">
        <v>2962</v>
      </c>
      <c r="B36" s="230" t="s">
        <v>1768</v>
      </c>
      <c r="C36" s="226" t="s">
        <v>3596</v>
      </c>
      <c r="D36" s="129">
        <f t="shared" si="1"/>
        <v>129</v>
      </c>
      <c r="E36" s="62" t="s">
        <v>1745</v>
      </c>
      <c r="G36" s="216">
        <v>0</v>
      </c>
      <c r="H36" s="216">
        <v>1</v>
      </c>
      <c r="I36" s="372" t="str">
        <f t="shared" si="0"/>
        <v>Ply</v>
      </c>
      <c r="J36" s="217">
        <v>18</v>
      </c>
      <c r="K36" s="1" t="str">
        <f t="shared" si="2"/>
        <v>MINIFIX HETTICH</v>
      </c>
      <c r="L36" s="1" t="str">
        <f t="shared" si="3"/>
        <v>DOWEL KAYU 4X8</v>
      </c>
      <c r="W36" s="1">
        <v>1</v>
      </c>
      <c r="X36" s="1">
        <v>2</v>
      </c>
      <c r="Y36" s="1">
        <v>1</v>
      </c>
      <c r="Z36" s="1">
        <v>1</v>
      </c>
      <c r="AA36" s="1">
        <v>0</v>
      </c>
      <c r="AB36" s="1">
        <v>0</v>
      </c>
    </row>
    <row r="37" spans="1:29" outlineLevel="1">
      <c r="A37" s="476" t="s">
        <v>2962</v>
      </c>
      <c r="B37" s="230" t="s">
        <v>1768</v>
      </c>
      <c r="C37" s="226" t="s">
        <v>2898</v>
      </c>
      <c r="D37" s="129">
        <f t="shared" si="1"/>
        <v>130</v>
      </c>
      <c r="E37" s="62" t="s">
        <v>1745</v>
      </c>
      <c r="G37" s="216">
        <v>0</v>
      </c>
      <c r="H37" s="216">
        <v>1</v>
      </c>
      <c r="I37" s="372" t="str">
        <f t="shared" si="0"/>
        <v>Ply</v>
      </c>
      <c r="J37" s="217">
        <v>18</v>
      </c>
      <c r="K37" s="1" t="str">
        <f t="shared" si="2"/>
        <v>MINIFIX HETTICH</v>
      </c>
      <c r="L37" s="1" t="str">
        <f t="shared" si="3"/>
        <v>DOWEL KAYU 4X8</v>
      </c>
      <c r="W37" s="1">
        <v>22</v>
      </c>
      <c r="X37" s="1">
        <v>3</v>
      </c>
      <c r="Y37" s="1">
        <v>3</v>
      </c>
      <c r="Z37" s="1">
        <v>3</v>
      </c>
      <c r="AA37" s="1">
        <v>0</v>
      </c>
      <c r="AB37" s="1">
        <v>0</v>
      </c>
    </row>
    <row r="38" spans="1:29" outlineLevel="1">
      <c r="A38" s="476" t="s">
        <v>2962</v>
      </c>
      <c r="B38" s="230" t="s">
        <v>1768</v>
      </c>
      <c r="C38" s="226" t="s">
        <v>3587</v>
      </c>
      <c r="D38" s="129">
        <f t="shared" si="1"/>
        <v>131</v>
      </c>
      <c r="E38" s="62" t="s">
        <v>1745</v>
      </c>
      <c r="G38" s="216">
        <v>0</v>
      </c>
      <c r="H38" s="216">
        <v>1</v>
      </c>
      <c r="I38" s="372" t="str">
        <f t="shared" si="0"/>
        <v>Ply</v>
      </c>
      <c r="J38" s="217">
        <v>18</v>
      </c>
      <c r="K38" s="1" t="str">
        <f t="shared" si="2"/>
        <v>MINIFIX HETTICH</v>
      </c>
      <c r="L38" s="1" t="str">
        <f t="shared" si="3"/>
        <v>DOWEL KAYU 4X8</v>
      </c>
      <c r="W38" s="1">
        <v>3</v>
      </c>
      <c r="X38" s="1">
        <v>3</v>
      </c>
      <c r="Y38" s="1">
        <v>3</v>
      </c>
      <c r="Z38" s="1">
        <v>3</v>
      </c>
      <c r="AA38" s="1">
        <v>0</v>
      </c>
      <c r="AB38" s="1">
        <v>0</v>
      </c>
    </row>
    <row r="39" spans="1:29" outlineLevel="1">
      <c r="A39" s="476" t="s">
        <v>2962</v>
      </c>
      <c r="B39" s="230" t="s">
        <v>1768</v>
      </c>
      <c r="C39" s="226" t="s">
        <v>2925</v>
      </c>
      <c r="D39" s="129">
        <f t="shared" si="1"/>
        <v>132</v>
      </c>
      <c r="E39" s="62" t="s">
        <v>1745</v>
      </c>
      <c r="G39" s="216">
        <v>0</v>
      </c>
      <c r="H39" s="216">
        <v>1</v>
      </c>
      <c r="I39" s="372" t="str">
        <f t="shared" si="0"/>
        <v>Ply</v>
      </c>
      <c r="J39" s="217">
        <v>18</v>
      </c>
      <c r="K39" s="1" t="str">
        <f t="shared" si="2"/>
        <v>MINIFIX HETTICH</v>
      </c>
      <c r="L39" s="1" t="str">
        <f t="shared" si="3"/>
        <v>DOWEL KAYU 4X8</v>
      </c>
      <c r="W39" s="1">
        <v>22</v>
      </c>
      <c r="X39" s="1">
        <v>1</v>
      </c>
      <c r="Y39" s="1">
        <v>0</v>
      </c>
      <c r="Z39" s="1">
        <v>1</v>
      </c>
      <c r="AA39" s="1">
        <v>0</v>
      </c>
      <c r="AB39" s="1">
        <v>1</v>
      </c>
    </row>
    <row r="40" spans="1:29" outlineLevel="1">
      <c r="A40" s="476" t="s">
        <v>2962</v>
      </c>
      <c r="B40" s="230" t="s">
        <v>1768</v>
      </c>
      <c r="C40" s="36" t="s">
        <v>1780</v>
      </c>
      <c r="D40" s="129">
        <f t="shared" si="1"/>
        <v>133</v>
      </c>
      <c r="E40" s="62" t="s">
        <v>1745</v>
      </c>
      <c r="G40" s="216">
        <v>1</v>
      </c>
      <c r="H40" s="216">
        <v>1</v>
      </c>
      <c r="I40" s="372" t="str">
        <f t="shared" si="0"/>
        <v>Ply</v>
      </c>
      <c r="J40" s="217">
        <v>18</v>
      </c>
      <c r="K40" s="1" t="str">
        <f t="shared" si="2"/>
        <v>MINIFIX HETTICH</v>
      </c>
      <c r="L40" s="1" t="str">
        <f t="shared" si="3"/>
        <v>DOWEL KAYU 4X8</v>
      </c>
      <c r="W40" s="1">
        <v>11</v>
      </c>
      <c r="X40" s="1">
        <v>11</v>
      </c>
      <c r="Y40" s="1">
        <v>11</v>
      </c>
      <c r="Z40" s="1">
        <v>0</v>
      </c>
      <c r="AA40" s="1">
        <v>11</v>
      </c>
      <c r="AB40" s="1">
        <v>0</v>
      </c>
    </row>
    <row r="41" spans="1:29" outlineLevel="1">
      <c r="A41" s="476" t="s">
        <v>2962</v>
      </c>
      <c r="B41" s="230" t="s">
        <v>1768</v>
      </c>
      <c r="C41" s="226" t="s">
        <v>1781</v>
      </c>
      <c r="D41" s="129">
        <f t="shared" si="1"/>
        <v>134</v>
      </c>
      <c r="E41" s="62" t="s">
        <v>1745</v>
      </c>
      <c r="G41" s="216">
        <v>1</v>
      </c>
      <c r="H41" s="216">
        <v>2</v>
      </c>
      <c r="I41" s="372" t="str">
        <f t="shared" si="0"/>
        <v>Ply</v>
      </c>
      <c r="J41" s="217">
        <v>18</v>
      </c>
      <c r="K41" s="1" t="str">
        <f t="shared" si="2"/>
        <v>MINIFIX HETTICH</v>
      </c>
      <c r="L41" s="1" t="str">
        <f t="shared" si="3"/>
        <v>DOWEL KAYU 4X8</v>
      </c>
      <c r="W41" s="55">
        <v>9</v>
      </c>
      <c r="X41" s="1">
        <v>11</v>
      </c>
      <c r="Y41" s="1">
        <v>11</v>
      </c>
      <c r="Z41" s="541">
        <f>IF(Spek!$A$36=0,9,11)</f>
        <v>9</v>
      </c>
      <c r="AA41" s="1">
        <v>0</v>
      </c>
      <c r="AB41" s="1">
        <v>0</v>
      </c>
      <c r="AC41" t="s">
        <v>1506</v>
      </c>
    </row>
    <row r="42" spans="1:29" outlineLevel="1">
      <c r="A42" s="476" t="s">
        <v>2962</v>
      </c>
      <c r="B42" s="230" t="s">
        <v>1768</v>
      </c>
      <c r="C42" s="226" t="s">
        <v>1782</v>
      </c>
      <c r="D42" s="129">
        <f t="shared" si="1"/>
        <v>135</v>
      </c>
      <c r="E42" s="62" t="s">
        <v>1745</v>
      </c>
      <c r="G42" s="216">
        <v>1</v>
      </c>
      <c r="H42" s="216">
        <v>1</v>
      </c>
      <c r="I42" s="372" t="str">
        <f t="shared" si="0"/>
        <v>Ply</v>
      </c>
      <c r="J42" s="217">
        <v>18</v>
      </c>
      <c r="K42" s="1" t="str">
        <f t="shared" si="2"/>
        <v>MINIFIX HETTICH</v>
      </c>
      <c r="L42" s="1" t="str">
        <f t="shared" si="3"/>
        <v>DOWEL KAYU 4X8</v>
      </c>
      <c r="W42" s="1">
        <v>11</v>
      </c>
      <c r="X42" s="1">
        <v>11</v>
      </c>
      <c r="Y42" s="1">
        <v>11</v>
      </c>
      <c r="Z42" s="541">
        <f>IF(Spek!$A$36=0,9,11)</f>
        <v>9</v>
      </c>
      <c r="AA42" s="1">
        <v>0</v>
      </c>
      <c r="AB42" s="1">
        <v>0</v>
      </c>
      <c r="AC42" t="s">
        <v>1506</v>
      </c>
    </row>
    <row r="43" spans="1:29" outlineLevel="1">
      <c r="A43" s="476" t="s">
        <v>2962</v>
      </c>
      <c r="B43" s="230" t="s">
        <v>1768</v>
      </c>
      <c r="C43" s="226" t="s">
        <v>2324</v>
      </c>
      <c r="D43" s="129">
        <f t="shared" si="1"/>
        <v>136</v>
      </c>
      <c r="E43" s="62" t="s">
        <v>1745</v>
      </c>
      <c r="G43" s="216">
        <v>0</v>
      </c>
      <c r="H43" s="216">
        <v>1</v>
      </c>
      <c r="I43" s="372" t="str">
        <f t="shared" si="0"/>
        <v>Ply</v>
      </c>
      <c r="J43" s="217">
        <v>18</v>
      </c>
      <c r="K43" s="1" t="str">
        <f t="shared" si="2"/>
        <v>MINIFIX HETTICH</v>
      </c>
      <c r="L43" s="1" t="str">
        <f t="shared" si="3"/>
        <v>DOWEL KAYU 4X8</v>
      </c>
      <c r="W43" s="1">
        <v>1</v>
      </c>
      <c r="X43" s="1">
        <v>1</v>
      </c>
      <c r="Y43" s="1">
        <v>1</v>
      </c>
      <c r="Z43" s="1">
        <v>1</v>
      </c>
      <c r="AA43" s="1">
        <v>1</v>
      </c>
      <c r="AB43" s="1">
        <v>0</v>
      </c>
    </row>
    <row r="44" spans="1:29" outlineLevel="1">
      <c r="A44" s="476" t="s">
        <v>2962</v>
      </c>
      <c r="B44" s="230" t="s">
        <v>1768</v>
      </c>
      <c r="C44" s="226" t="s">
        <v>2322</v>
      </c>
      <c r="D44" s="129">
        <f t="shared" si="1"/>
        <v>137</v>
      </c>
      <c r="E44" s="62" t="s">
        <v>1745</v>
      </c>
      <c r="G44" s="216">
        <v>0</v>
      </c>
      <c r="H44" s="216">
        <v>1</v>
      </c>
      <c r="I44" s="372" t="str">
        <f t="shared" si="0"/>
        <v>Ply</v>
      </c>
      <c r="J44" s="217">
        <v>18</v>
      </c>
      <c r="W44" s="1">
        <v>1</v>
      </c>
      <c r="X44" s="1">
        <v>22</v>
      </c>
      <c r="Y44" s="1">
        <v>1</v>
      </c>
      <c r="Z44" s="1">
        <v>1</v>
      </c>
      <c r="AA44" s="1">
        <v>1</v>
      </c>
      <c r="AB44" s="1">
        <v>1</v>
      </c>
    </row>
    <row r="45" spans="1:29" outlineLevel="1">
      <c r="A45" s="476" t="s">
        <v>2962</v>
      </c>
      <c r="B45" s="230" t="s">
        <v>1768</v>
      </c>
      <c r="C45" s="226" t="s">
        <v>2323</v>
      </c>
      <c r="D45" s="129">
        <f t="shared" si="1"/>
        <v>138</v>
      </c>
      <c r="E45" s="62" t="s">
        <v>1745</v>
      </c>
      <c r="G45" s="216">
        <v>0</v>
      </c>
      <c r="H45" s="216">
        <v>1</v>
      </c>
      <c r="I45" s="372" t="str">
        <f t="shared" si="0"/>
        <v>Ply</v>
      </c>
      <c r="J45" s="217">
        <v>18</v>
      </c>
      <c r="K45" s="1" t="str">
        <f>minifix_hettich</f>
        <v>MINIFIX HETTICH</v>
      </c>
      <c r="L45" s="1" t="str">
        <f>dowelØ8</f>
        <v>DOWEL KAYU 4X8</v>
      </c>
      <c r="W45" s="1">
        <v>22</v>
      </c>
      <c r="X45" s="1">
        <v>1</v>
      </c>
      <c r="Y45" s="1">
        <v>1</v>
      </c>
      <c r="Z45" s="1">
        <v>1</v>
      </c>
      <c r="AA45" s="1">
        <v>0</v>
      </c>
      <c r="AB45" s="1">
        <v>0</v>
      </c>
    </row>
    <row r="46" spans="1:29" outlineLevel="1">
      <c r="A46" s="476" t="s">
        <v>2962</v>
      </c>
      <c r="B46" s="230" t="s">
        <v>1768</v>
      </c>
      <c r="C46" s="226" t="s">
        <v>1783</v>
      </c>
      <c r="D46" s="129">
        <f t="shared" si="1"/>
        <v>139</v>
      </c>
      <c r="E46" s="62" t="s">
        <v>1745</v>
      </c>
      <c r="G46" s="216">
        <v>1</v>
      </c>
      <c r="H46" s="216">
        <v>1</v>
      </c>
      <c r="I46" s="372" t="str">
        <f t="shared" si="0"/>
        <v>Ply</v>
      </c>
      <c r="J46" s="242">
        <f>Spek!$D$30</f>
        <v>6</v>
      </c>
      <c r="W46" s="55">
        <v>9</v>
      </c>
      <c r="X46" s="1">
        <v>11</v>
      </c>
      <c r="Y46" s="1">
        <v>0</v>
      </c>
      <c r="Z46" s="1">
        <v>0</v>
      </c>
      <c r="AA46" s="1">
        <v>0</v>
      </c>
      <c r="AB46" s="1">
        <v>0</v>
      </c>
    </row>
    <row r="47" spans="1:29" outlineLevel="1">
      <c r="A47" s="476" t="s">
        <v>2962</v>
      </c>
      <c r="B47" s="230" t="s">
        <v>1768</v>
      </c>
      <c r="C47" s="226" t="s">
        <v>3128</v>
      </c>
      <c r="D47" s="129">
        <f t="shared" si="1"/>
        <v>140</v>
      </c>
      <c r="E47" s="62" t="s">
        <v>1745</v>
      </c>
      <c r="G47" s="216">
        <v>0</v>
      </c>
      <c r="H47" s="216">
        <v>1</v>
      </c>
      <c r="I47" s="372" t="str">
        <f t="shared" si="0"/>
        <v>Ply</v>
      </c>
      <c r="J47" s="242">
        <f>Spek!$D$30</f>
        <v>6</v>
      </c>
      <c r="W47" s="1">
        <v>22</v>
      </c>
      <c r="X47" s="1">
        <v>3</v>
      </c>
      <c r="Y47" s="1">
        <v>0</v>
      </c>
      <c r="Z47" s="1">
        <v>0</v>
      </c>
      <c r="AA47" s="1">
        <v>0</v>
      </c>
      <c r="AB47" s="1">
        <v>0</v>
      </c>
    </row>
    <row r="48" spans="1:29" outlineLevel="1">
      <c r="A48" s="476" t="s">
        <v>2962</v>
      </c>
      <c r="B48" s="230" t="s">
        <v>1768</v>
      </c>
      <c r="C48" s="226" t="s">
        <v>1784</v>
      </c>
      <c r="D48" s="129">
        <f t="shared" si="1"/>
        <v>141</v>
      </c>
      <c r="E48" s="62" t="s">
        <v>1745</v>
      </c>
      <c r="G48" s="216">
        <v>0</v>
      </c>
      <c r="H48" s="216">
        <v>1</v>
      </c>
      <c r="I48" s="372" t="str">
        <f t="shared" si="0"/>
        <v>Ply</v>
      </c>
      <c r="J48" s="242">
        <f>Spek!$D$30</f>
        <v>6</v>
      </c>
      <c r="W48" s="520">
        <f>IF(Spek!$B$42="paper",22,9)</f>
        <v>9</v>
      </c>
      <c r="X48" s="1">
        <v>1</v>
      </c>
      <c r="Y48" s="1">
        <v>0</v>
      </c>
      <c r="Z48" s="1">
        <v>0</v>
      </c>
      <c r="AA48" s="1">
        <v>0</v>
      </c>
      <c r="AB48" s="1">
        <v>0</v>
      </c>
    </row>
    <row r="49" spans="1:33" outlineLevel="1">
      <c r="A49" s="476" t="s">
        <v>2962</v>
      </c>
      <c r="B49" s="230" t="s">
        <v>1768</v>
      </c>
      <c r="C49" s="226" t="s">
        <v>2899</v>
      </c>
      <c r="D49" s="129">
        <f t="shared" si="1"/>
        <v>142</v>
      </c>
      <c r="E49" s="62" t="s">
        <v>1745</v>
      </c>
      <c r="G49" s="216">
        <v>0</v>
      </c>
      <c r="H49" s="216">
        <v>1</v>
      </c>
      <c r="I49" s="372" t="str">
        <f t="shared" si="0"/>
        <v>Ply</v>
      </c>
      <c r="J49" s="242">
        <f>Spek!$D$30</f>
        <v>6</v>
      </c>
      <c r="W49" s="520">
        <f>IF(Spek!$B$42="paper",22,9)</f>
        <v>9</v>
      </c>
      <c r="X49" s="1">
        <v>3</v>
      </c>
      <c r="Y49" s="1">
        <v>0</v>
      </c>
      <c r="Z49" s="1">
        <v>0</v>
      </c>
      <c r="AA49" s="1">
        <v>0</v>
      </c>
      <c r="AB49" s="1">
        <v>0</v>
      </c>
    </row>
    <row r="50" spans="1:33" outlineLevel="1">
      <c r="A50" s="476" t="s">
        <v>2962</v>
      </c>
      <c r="B50" s="230" t="s">
        <v>1768</v>
      </c>
      <c r="C50" s="226" t="s">
        <v>1785</v>
      </c>
      <c r="D50" s="129">
        <f t="shared" si="1"/>
        <v>143</v>
      </c>
      <c r="E50" s="62" t="s">
        <v>1745</v>
      </c>
      <c r="G50" s="216">
        <v>1</v>
      </c>
      <c r="H50" s="216">
        <v>1</v>
      </c>
      <c r="I50" s="372" t="str">
        <f t="shared" si="0"/>
        <v>Ply</v>
      </c>
      <c r="J50" s="217">
        <v>9</v>
      </c>
      <c r="W50" s="166">
        <f>IF(bahan1="mdf",11,9)</f>
        <v>9</v>
      </c>
      <c r="X50" s="1">
        <v>9</v>
      </c>
      <c r="Y50" s="1">
        <v>0</v>
      </c>
      <c r="Z50" s="1">
        <v>0</v>
      </c>
      <c r="AA50" s="1">
        <v>0</v>
      </c>
      <c r="AB50" s="1">
        <v>0</v>
      </c>
    </row>
    <row r="51" spans="1:33" outlineLevel="1">
      <c r="A51" s="476" t="s">
        <v>2962</v>
      </c>
      <c r="B51" s="230" t="s">
        <v>1768</v>
      </c>
      <c r="C51" s="226" t="s">
        <v>2339</v>
      </c>
      <c r="D51" s="129">
        <f t="shared" si="1"/>
        <v>144</v>
      </c>
      <c r="E51" s="62" t="s">
        <v>1745</v>
      </c>
      <c r="G51" s="216">
        <v>1</v>
      </c>
      <c r="H51" s="216">
        <v>1</v>
      </c>
      <c r="I51" s="372" t="str">
        <f t="shared" si="0"/>
        <v>Ply</v>
      </c>
      <c r="J51" s="217">
        <v>4</v>
      </c>
      <c r="W51" s="1">
        <v>22</v>
      </c>
      <c r="X51" s="1">
        <v>22</v>
      </c>
      <c r="Y51" s="1">
        <v>0</v>
      </c>
      <c r="Z51" s="1">
        <v>0</v>
      </c>
      <c r="AA51" s="1">
        <v>0</v>
      </c>
      <c r="AB51" s="1">
        <v>0</v>
      </c>
    </row>
    <row r="52" spans="1:33" outlineLevel="1">
      <c r="A52" s="476" t="s">
        <v>2962</v>
      </c>
      <c r="B52" s="230" t="s">
        <v>1768</v>
      </c>
      <c r="C52" s="226" t="s">
        <v>1786</v>
      </c>
      <c r="D52" s="129">
        <f t="shared" si="1"/>
        <v>145</v>
      </c>
      <c r="E52" s="62" t="s">
        <v>3238</v>
      </c>
      <c r="G52" s="216">
        <v>1</v>
      </c>
      <c r="H52" s="216">
        <v>1</v>
      </c>
      <c r="I52" s="372" t="str">
        <f t="shared" si="0"/>
        <v>Ply</v>
      </c>
      <c r="J52" s="217">
        <v>18</v>
      </c>
      <c r="W52" s="1">
        <v>11</v>
      </c>
      <c r="X52" s="1">
        <v>11</v>
      </c>
      <c r="Y52" s="1">
        <v>11</v>
      </c>
      <c r="Z52" s="1">
        <v>11</v>
      </c>
      <c r="AA52" s="1">
        <v>11</v>
      </c>
      <c r="AB52" s="1">
        <v>11</v>
      </c>
    </row>
    <row r="53" spans="1:33" outlineLevel="1">
      <c r="A53" s="476" t="s">
        <v>2962</v>
      </c>
      <c r="B53" s="230" t="s">
        <v>1768</v>
      </c>
      <c r="C53" s="226" t="s">
        <v>4374</v>
      </c>
      <c r="D53" s="129">
        <f t="shared" si="1"/>
        <v>146</v>
      </c>
      <c r="E53" s="62" t="s">
        <v>3238</v>
      </c>
      <c r="G53" s="216">
        <v>1</v>
      </c>
      <c r="H53" s="216">
        <v>1</v>
      </c>
      <c r="I53" s="372" t="str">
        <f t="shared" si="0"/>
        <v>Ply</v>
      </c>
      <c r="J53" s="217">
        <v>18</v>
      </c>
      <c r="W53" s="1">
        <v>11</v>
      </c>
      <c r="X53" s="1">
        <v>11</v>
      </c>
      <c r="Y53" s="1">
        <v>0</v>
      </c>
      <c r="Z53" s="1">
        <v>11</v>
      </c>
      <c r="AA53" s="1">
        <v>11</v>
      </c>
      <c r="AB53" s="1">
        <v>11</v>
      </c>
      <c r="AF53" t="str">
        <f>edging7</f>
        <v>Trim 21 S2/S4 Brown Doff ( Alm. 75181 ) P3</v>
      </c>
      <c r="AG53" s="1">
        <v>1</v>
      </c>
    </row>
    <row r="54" spans="1:33" outlineLevel="1">
      <c r="A54" s="476" t="s">
        <v>2962</v>
      </c>
      <c r="B54" s="230" t="s">
        <v>1768</v>
      </c>
      <c r="C54" s="226" t="s">
        <v>2794</v>
      </c>
      <c r="D54" s="129">
        <f t="shared" si="1"/>
        <v>147</v>
      </c>
      <c r="E54" s="62" t="s">
        <v>3238</v>
      </c>
      <c r="G54" s="216">
        <v>1</v>
      </c>
      <c r="H54" s="216">
        <v>1</v>
      </c>
      <c r="I54" s="372" t="str">
        <f t="shared" si="0"/>
        <v>Ply</v>
      </c>
      <c r="J54" s="217">
        <v>24</v>
      </c>
      <c r="W54" s="1">
        <v>11</v>
      </c>
      <c r="X54" s="1">
        <v>11</v>
      </c>
      <c r="Y54" s="1">
        <v>22</v>
      </c>
      <c r="Z54" s="1">
        <v>22</v>
      </c>
      <c r="AA54" s="1">
        <v>22</v>
      </c>
      <c r="AB54" s="1">
        <v>22</v>
      </c>
    </row>
    <row r="55" spans="1:33" outlineLevel="1">
      <c r="A55" s="476" t="s">
        <v>2962</v>
      </c>
      <c r="B55" s="230" t="s">
        <v>1768</v>
      </c>
      <c r="C55" s="226" t="s">
        <v>1788</v>
      </c>
      <c r="D55" s="129">
        <f t="shared" si="1"/>
        <v>148</v>
      </c>
      <c r="E55" s="62" t="s">
        <v>3238</v>
      </c>
      <c r="G55" s="216">
        <v>1</v>
      </c>
      <c r="H55" s="216">
        <v>1</v>
      </c>
      <c r="I55" s="372" t="str">
        <f t="shared" si="0"/>
        <v>Ply</v>
      </c>
      <c r="J55" s="217">
        <v>18</v>
      </c>
      <c r="W55" s="1">
        <v>11</v>
      </c>
      <c r="X55" s="1">
        <v>11</v>
      </c>
      <c r="Y55" s="1">
        <v>0</v>
      </c>
      <c r="Z55" s="1">
        <v>0</v>
      </c>
      <c r="AA55" s="1">
        <v>0</v>
      </c>
      <c r="AB55" s="1">
        <v>0</v>
      </c>
    </row>
    <row r="56" spans="1:33" outlineLevel="1">
      <c r="A56" s="476" t="s">
        <v>2962</v>
      </c>
      <c r="B56" s="230" t="s">
        <v>1768</v>
      </c>
      <c r="C56" s="226" t="s">
        <v>1789</v>
      </c>
      <c r="D56" s="129">
        <f t="shared" si="1"/>
        <v>149</v>
      </c>
      <c r="E56" s="62" t="s">
        <v>3238</v>
      </c>
      <c r="G56" s="216">
        <v>0</v>
      </c>
      <c r="H56" s="216">
        <v>1</v>
      </c>
      <c r="I56" s="372" t="str">
        <f t="shared" si="0"/>
        <v>Ply</v>
      </c>
      <c r="J56" s="217">
        <v>18</v>
      </c>
      <c r="W56" s="1">
        <v>1</v>
      </c>
      <c r="X56" s="1">
        <v>1</v>
      </c>
      <c r="Y56" s="1">
        <v>1</v>
      </c>
      <c r="Z56" s="1">
        <v>1</v>
      </c>
      <c r="AA56" s="1">
        <v>1</v>
      </c>
      <c r="AB56" s="1">
        <v>1</v>
      </c>
    </row>
    <row r="57" spans="1:33" outlineLevel="1">
      <c r="A57" s="476" t="s">
        <v>2962</v>
      </c>
      <c r="B57" s="230" t="s">
        <v>1768</v>
      </c>
      <c r="C57" s="226" t="s">
        <v>2801</v>
      </c>
      <c r="D57" s="129">
        <f t="shared" si="1"/>
        <v>150</v>
      </c>
      <c r="E57" s="62" t="s">
        <v>3238</v>
      </c>
      <c r="G57" s="216">
        <v>0</v>
      </c>
      <c r="H57" s="216">
        <v>1</v>
      </c>
      <c r="I57" s="372" t="str">
        <f t="shared" si="0"/>
        <v>Ply</v>
      </c>
      <c r="J57" s="217">
        <v>18</v>
      </c>
      <c r="W57" s="1">
        <v>3</v>
      </c>
      <c r="X57" s="1">
        <v>3</v>
      </c>
      <c r="Y57" s="1">
        <v>3</v>
      </c>
      <c r="Z57" s="1">
        <v>3</v>
      </c>
      <c r="AA57" s="1">
        <v>3</v>
      </c>
      <c r="AB57" s="1">
        <v>3</v>
      </c>
    </row>
    <row r="58" spans="1:33" outlineLevel="1">
      <c r="A58" s="476" t="s">
        <v>2962</v>
      </c>
      <c r="B58" s="230" t="s">
        <v>1768</v>
      </c>
      <c r="C58" s="226" t="s">
        <v>3601</v>
      </c>
      <c r="D58" s="129">
        <f t="shared" si="1"/>
        <v>151</v>
      </c>
      <c r="E58" s="62" t="s">
        <v>3238</v>
      </c>
      <c r="G58" s="216">
        <v>0</v>
      </c>
      <c r="H58" s="216">
        <v>1</v>
      </c>
      <c r="I58" s="372" t="str">
        <f t="shared" si="0"/>
        <v>Ply</v>
      </c>
      <c r="J58" s="217">
        <v>18</v>
      </c>
      <c r="W58" s="1">
        <v>5</v>
      </c>
      <c r="X58" s="1">
        <v>5</v>
      </c>
      <c r="Y58" s="1">
        <v>5</v>
      </c>
      <c r="Z58" s="1">
        <v>5</v>
      </c>
      <c r="AA58" s="1">
        <v>5</v>
      </c>
      <c r="AB58" s="1">
        <v>5</v>
      </c>
    </row>
    <row r="59" spans="1:33" outlineLevel="1">
      <c r="A59" s="476" t="s">
        <v>2962</v>
      </c>
      <c r="B59" s="230" t="s">
        <v>1768</v>
      </c>
      <c r="C59" s="226" t="s">
        <v>1790</v>
      </c>
      <c r="D59" s="129">
        <f t="shared" si="1"/>
        <v>152</v>
      </c>
      <c r="E59" s="62" t="s">
        <v>1745</v>
      </c>
      <c r="G59" s="216">
        <v>1</v>
      </c>
      <c r="H59" s="216">
        <v>1</v>
      </c>
      <c r="I59" s="372" t="str">
        <f t="shared" si="0"/>
        <v>Ply</v>
      </c>
      <c r="J59" s="217">
        <v>18</v>
      </c>
      <c r="K59" s="1" t="str">
        <f t="shared" ref="K59:K79" si="4">minifix_hettich</f>
        <v>MINIFIX HETTICH</v>
      </c>
      <c r="L59" s="1" t="str">
        <f t="shared" ref="L59:L79" si="5">dowelØ8</f>
        <v>DOWEL KAYU 4X8</v>
      </c>
      <c r="W59" s="1">
        <v>11</v>
      </c>
      <c r="X59" s="1">
        <v>11</v>
      </c>
      <c r="Y59" s="1">
        <v>11</v>
      </c>
      <c r="Z59" s="1">
        <v>0</v>
      </c>
      <c r="AA59" s="1">
        <v>0</v>
      </c>
      <c r="AB59" s="1">
        <v>0</v>
      </c>
    </row>
    <row r="60" spans="1:33" outlineLevel="1">
      <c r="A60" s="476" t="s">
        <v>2962</v>
      </c>
      <c r="B60" s="230" t="s">
        <v>1768</v>
      </c>
      <c r="C60" s="226" t="s">
        <v>3030</v>
      </c>
      <c r="D60" s="129">
        <f t="shared" si="1"/>
        <v>153</v>
      </c>
      <c r="E60" s="62" t="s">
        <v>1745</v>
      </c>
      <c r="G60" s="216">
        <v>1</v>
      </c>
      <c r="H60" s="216">
        <v>1</v>
      </c>
      <c r="I60" s="372" t="str">
        <f t="shared" si="0"/>
        <v>Ply</v>
      </c>
      <c r="J60" s="217">
        <v>18</v>
      </c>
      <c r="K60" s="1" t="str">
        <f t="shared" si="4"/>
        <v>MINIFIX HETTICH</v>
      </c>
      <c r="L60" s="1" t="str">
        <f t="shared" si="5"/>
        <v>DOWEL KAYU 4X8</v>
      </c>
      <c r="W60" s="1">
        <v>11</v>
      </c>
      <c r="X60" s="1">
        <v>11</v>
      </c>
      <c r="Y60" s="1">
        <v>11</v>
      </c>
      <c r="Z60" s="541">
        <f>IF(Spek!$A$36=0,9,11)</f>
        <v>9</v>
      </c>
      <c r="AA60" s="1">
        <v>0</v>
      </c>
      <c r="AB60" s="1">
        <v>0</v>
      </c>
      <c r="AC60" t="s">
        <v>1506</v>
      </c>
    </row>
    <row r="61" spans="1:33" outlineLevel="1">
      <c r="A61" s="476" t="s">
        <v>2962</v>
      </c>
      <c r="B61" s="230" t="s">
        <v>1768</v>
      </c>
      <c r="C61" s="226" t="s">
        <v>2291</v>
      </c>
      <c r="D61" s="129">
        <f t="shared" si="1"/>
        <v>154</v>
      </c>
      <c r="E61" s="62" t="s">
        <v>1745</v>
      </c>
      <c r="G61" s="216">
        <v>0</v>
      </c>
      <c r="H61" s="216">
        <v>1</v>
      </c>
      <c r="I61" s="372" t="str">
        <f t="shared" si="0"/>
        <v>Ply</v>
      </c>
      <c r="J61" s="217">
        <v>18</v>
      </c>
      <c r="K61" s="1" t="str">
        <f t="shared" si="4"/>
        <v>MINIFIX HETTICH</v>
      </c>
      <c r="L61" s="1" t="str">
        <f t="shared" si="5"/>
        <v>DOWEL KAYU 4X8</v>
      </c>
      <c r="W61" s="1">
        <v>3</v>
      </c>
      <c r="X61" s="1">
        <v>3</v>
      </c>
      <c r="Y61" s="1">
        <v>3</v>
      </c>
      <c r="Z61" s="1">
        <v>0</v>
      </c>
      <c r="AA61" s="1">
        <v>0</v>
      </c>
      <c r="AB61" s="1">
        <v>0</v>
      </c>
    </row>
    <row r="62" spans="1:33" outlineLevel="1">
      <c r="A62" s="476" t="s">
        <v>2962</v>
      </c>
      <c r="B62" s="230" t="s">
        <v>1768</v>
      </c>
      <c r="C62" s="226" t="s">
        <v>2851</v>
      </c>
      <c r="D62" s="129">
        <f t="shared" si="1"/>
        <v>155</v>
      </c>
      <c r="E62" s="62" t="s">
        <v>1745</v>
      </c>
      <c r="G62" s="216">
        <v>0</v>
      </c>
      <c r="H62" s="216">
        <v>1</v>
      </c>
      <c r="I62" s="372" t="str">
        <f t="shared" si="0"/>
        <v>Ply</v>
      </c>
      <c r="J62" s="217">
        <v>36</v>
      </c>
      <c r="K62" s="1" t="str">
        <f t="shared" si="4"/>
        <v>MINIFIX HETTICH</v>
      </c>
      <c r="L62" s="1" t="str">
        <f t="shared" si="5"/>
        <v>DOWEL KAYU 4X8</v>
      </c>
      <c r="W62" s="1">
        <v>11</v>
      </c>
      <c r="X62" s="1">
        <v>11</v>
      </c>
      <c r="Y62" s="1">
        <v>22</v>
      </c>
      <c r="Z62" s="1">
        <v>0</v>
      </c>
      <c r="AA62" s="1">
        <v>0</v>
      </c>
      <c r="AB62" s="1">
        <v>0</v>
      </c>
    </row>
    <row r="63" spans="1:33" outlineLevel="1">
      <c r="A63" s="476" t="s">
        <v>2962</v>
      </c>
      <c r="B63" s="230" t="s">
        <v>1768</v>
      </c>
      <c r="C63" s="226" t="s">
        <v>1791</v>
      </c>
      <c r="D63" s="129">
        <f t="shared" si="1"/>
        <v>156</v>
      </c>
      <c r="E63" s="62" t="s">
        <v>1745</v>
      </c>
      <c r="G63" s="216">
        <v>0</v>
      </c>
      <c r="H63" s="216">
        <v>1</v>
      </c>
      <c r="I63" s="372" t="str">
        <f t="shared" si="0"/>
        <v>Ply</v>
      </c>
      <c r="J63" s="217">
        <v>18</v>
      </c>
      <c r="K63" s="1" t="str">
        <f t="shared" si="4"/>
        <v>MINIFIX HETTICH</v>
      </c>
      <c r="L63" s="1" t="str">
        <f t="shared" si="5"/>
        <v>DOWEL KAYU 4X8</v>
      </c>
      <c r="W63" s="1">
        <v>1</v>
      </c>
      <c r="X63" s="1">
        <v>1</v>
      </c>
      <c r="Y63" s="1">
        <v>1</v>
      </c>
      <c r="Z63" s="1">
        <v>0</v>
      </c>
      <c r="AA63" s="1">
        <v>0</v>
      </c>
      <c r="AB63" s="1">
        <v>0</v>
      </c>
    </row>
    <row r="64" spans="1:33" outlineLevel="1">
      <c r="A64" s="476" t="s">
        <v>2962</v>
      </c>
      <c r="B64" s="230" t="s">
        <v>1768</v>
      </c>
      <c r="C64" s="226" t="s">
        <v>4086</v>
      </c>
      <c r="D64" s="129">
        <f t="shared" si="1"/>
        <v>157</v>
      </c>
      <c r="E64" s="62" t="s">
        <v>1745</v>
      </c>
      <c r="G64" s="216">
        <v>0</v>
      </c>
      <c r="H64" s="216">
        <v>1</v>
      </c>
      <c r="I64" s="372" t="str">
        <f t="shared" si="0"/>
        <v>Ply</v>
      </c>
      <c r="J64" s="217">
        <v>36</v>
      </c>
      <c r="K64" s="1" t="str">
        <f t="shared" si="4"/>
        <v>MINIFIX HETTICH</v>
      </c>
      <c r="L64" s="1" t="str">
        <f t="shared" si="5"/>
        <v>DOWEL KAYU 4X8</v>
      </c>
      <c r="W64" s="1">
        <v>1</v>
      </c>
      <c r="X64" s="1">
        <v>1</v>
      </c>
      <c r="Y64" s="1">
        <v>2</v>
      </c>
      <c r="Z64" s="1">
        <v>0</v>
      </c>
      <c r="AA64" s="1">
        <v>0</v>
      </c>
      <c r="AB64" s="1">
        <v>0</v>
      </c>
    </row>
    <row r="65" spans="1:28" outlineLevel="1">
      <c r="A65" s="476" t="s">
        <v>2962</v>
      </c>
      <c r="B65" s="230" t="s">
        <v>1768</v>
      </c>
      <c r="C65" s="226" t="s">
        <v>2774</v>
      </c>
      <c r="D65" s="129">
        <f t="shared" si="1"/>
        <v>158</v>
      </c>
      <c r="E65" s="62" t="s">
        <v>1745</v>
      </c>
      <c r="G65" s="216">
        <v>0</v>
      </c>
      <c r="H65" s="216">
        <v>1</v>
      </c>
      <c r="I65" s="372" t="str">
        <f t="shared" si="0"/>
        <v>Ply</v>
      </c>
      <c r="J65" s="217">
        <v>18</v>
      </c>
      <c r="K65" s="1" t="str">
        <f t="shared" si="4"/>
        <v>MINIFIX HETTICH</v>
      </c>
      <c r="L65" s="1" t="str">
        <f t="shared" si="5"/>
        <v>DOWEL KAYU 4X8</v>
      </c>
      <c r="W65" s="1">
        <v>3</v>
      </c>
      <c r="X65" s="1">
        <v>3</v>
      </c>
      <c r="Y65" s="1">
        <v>3</v>
      </c>
      <c r="Z65" s="1">
        <v>0</v>
      </c>
      <c r="AA65" s="1">
        <v>0</v>
      </c>
      <c r="AB65" s="1">
        <v>0</v>
      </c>
    </row>
    <row r="66" spans="1:28" outlineLevel="1">
      <c r="A66" s="476" t="s">
        <v>2962</v>
      </c>
      <c r="B66" s="230" t="s">
        <v>1768</v>
      </c>
      <c r="C66" s="36" t="s">
        <v>1792</v>
      </c>
      <c r="D66" s="129">
        <f t="shared" si="1"/>
        <v>159</v>
      </c>
      <c r="E66" s="62" t="s">
        <v>1745</v>
      </c>
      <c r="G66" s="216">
        <v>1</v>
      </c>
      <c r="H66" s="216">
        <v>3</v>
      </c>
      <c r="I66" s="372" t="str">
        <f t="shared" si="0"/>
        <v>Ply</v>
      </c>
      <c r="J66" s="217">
        <v>18</v>
      </c>
      <c r="K66" s="1" t="str">
        <f t="shared" si="4"/>
        <v>MINIFIX HETTICH</v>
      </c>
      <c r="L66" s="1" t="str">
        <f t="shared" si="5"/>
        <v>DOWEL KAYU 4X8</v>
      </c>
      <c r="W66" s="1">
        <v>11</v>
      </c>
      <c r="X66" s="1">
        <v>11</v>
      </c>
      <c r="Y66" s="1">
        <v>22</v>
      </c>
      <c r="Z66" s="1">
        <v>0</v>
      </c>
      <c r="AA66" s="1">
        <v>22</v>
      </c>
      <c r="AB66" s="1">
        <v>22</v>
      </c>
    </row>
    <row r="67" spans="1:28" outlineLevel="1">
      <c r="A67" s="476" t="s">
        <v>2962</v>
      </c>
      <c r="B67" s="230" t="s">
        <v>1768</v>
      </c>
      <c r="C67" s="226" t="s">
        <v>1793</v>
      </c>
      <c r="D67" s="129">
        <f t="shared" si="1"/>
        <v>160</v>
      </c>
      <c r="E67" s="62" t="s">
        <v>1745</v>
      </c>
      <c r="G67" s="216">
        <v>1</v>
      </c>
      <c r="H67" s="216">
        <v>1</v>
      </c>
      <c r="I67" s="372" t="str">
        <f t="shared" si="0"/>
        <v>Ply</v>
      </c>
      <c r="J67" s="217">
        <v>18</v>
      </c>
      <c r="K67" s="1" t="str">
        <f t="shared" si="4"/>
        <v>MINIFIX HETTICH</v>
      </c>
      <c r="L67" s="1" t="str">
        <f t="shared" si="5"/>
        <v>DOWEL KAYU 4X8</v>
      </c>
      <c r="W67" s="1">
        <v>11</v>
      </c>
      <c r="X67" s="1">
        <v>11</v>
      </c>
      <c r="Y67" s="1">
        <v>11</v>
      </c>
      <c r="Z67" s="1">
        <v>0</v>
      </c>
      <c r="AA67" s="1">
        <v>0</v>
      </c>
      <c r="AB67" s="1">
        <v>0</v>
      </c>
    </row>
    <row r="68" spans="1:28" outlineLevel="1">
      <c r="A68" s="476" t="s">
        <v>2962</v>
      </c>
      <c r="B68" s="230" t="s">
        <v>1768</v>
      </c>
      <c r="C68" s="226" t="s">
        <v>2811</v>
      </c>
      <c r="D68" s="129">
        <f t="shared" si="1"/>
        <v>161</v>
      </c>
      <c r="E68" s="62" t="s">
        <v>1745</v>
      </c>
      <c r="G68" s="216">
        <v>1</v>
      </c>
      <c r="H68" s="216">
        <v>1</v>
      </c>
      <c r="I68" s="372" t="str">
        <f t="shared" si="0"/>
        <v>Ply</v>
      </c>
      <c r="J68" s="217">
        <v>24</v>
      </c>
      <c r="K68" s="1" t="str">
        <f t="shared" si="4"/>
        <v>MINIFIX HETTICH</v>
      </c>
      <c r="L68" s="1" t="str">
        <f t="shared" si="5"/>
        <v>DOWEL KAYU 4X8</v>
      </c>
      <c r="W68" s="1">
        <v>11</v>
      </c>
      <c r="X68" s="1">
        <v>11</v>
      </c>
      <c r="Y68" s="1">
        <v>22</v>
      </c>
      <c r="Z68" s="1">
        <v>22</v>
      </c>
      <c r="AA68" s="1">
        <v>0</v>
      </c>
      <c r="AB68" s="1">
        <v>0</v>
      </c>
    </row>
    <row r="69" spans="1:28" outlineLevel="1">
      <c r="A69" s="476" t="s">
        <v>2962</v>
      </c>
      <c r="B69" s="230" t="s">
        <v>1768</v>
      </c>
      <c r="C69" s="226" t="s">
        <v>3037</v>
      </c>
      <c r="D69" s="129">
        <f t="shared" si="1"/>
        <v>162</v>
      </c>
      <c r="E69" s="62" t="s">
        <v>1745</v>
      </c>
      <c r="G69" s="216">
        <v>1</v>
      </c>
      <c r="H69" s="216">
        <v>1</v>
      </c>
      <c r="I69" s="372" t="str">
        <f t="shared" si="0"/>
        <v>Ply</v>
      </c>
      <c r="J69" s="217">
        <v>24</v>
      </c>
      <c r="K69" s="1" t="str">
        <f t="shared" si="4"/>
        <v>MINIFIX HETTICH</v>
      </c>
      <c r="L69" s="1" t="str">
        <f t="shared" si="5"/>
        <v>DOWEL KAYU 4X8</v>
      </c>
      <c r="W69" s="1">
        <v>11</v>
      </c>
      <c r="X69" s="1">
        <v>11</v>
      </c>
      <c r="Y69" s="1">
        <v>22</v>
      </c>
      <c r="Z69" s="1">
        <v>0</v>
      </c>
      <c r="AA69" s="1">
        <v>22</v>
      </c>
      <c r="AB69" s="1">
        <v>0</v>
      </c>
    </row>
    <row r="70" spans="1:28" outlineLevel="1">
      <c r="A70" s="476" t="s">
        <v>2962</v>
      </c>
      <c r="B70" s="230" t="s">
        <v>1768</v>
      </c>
      <c r="C70" s="226" t="s">
        <v>2303</v>
      </c>
      <c r="D70" s="129">
        <f t="shared" si="1"/>
        <v>163</v>
      </c>
      <c r="E70" s="62" t="s">
        <v>1745</v>
      </c>
      <c r="G70" s="216">
        <v>0</v>
      </c>
      <c r="H70" s="216">
        <v>1</v>
      </c>
      <c r="I70" s="372" t="str">
        <f t="shared" si="0"/>
        <v>Ply</v>
      </c>
      <c r="J70" s="217">
        <v>18</v>
      </c>
      <c r="K70" s="1" t="str">
        <f t="shared" si="4"/>
        <v>MINIFIX HETTICH</v>
      </c>
      <c r="L70" s="1" t="str">
        <f t="shared" si="5"/>
        <v>DOWEL KAYU 4X8</v>
      </c>
      <c r="W70" s="1">
        <v>1</v>
      </c>
      <c r="X70" s="1">
        <v>1</v>
      </c>
      <c r="Y70" s="1">
        <v>1</v>
      </c>
      <c r="Z70" s="1">
        <v>0</v>
      </c>
      <c r="AA70" s="1">
        <v>0</v>
      </c>
      <c r="AB70" s="1">
        <v>0</v>
      </c>
    </row>
    <row r="71" spans="1:28" outlineLevel="1">
      <c r="A71" s="476" t="s">
        <v>2962</v>
      </c>
      <c r="B71" s="230" t="s">
        <v>1768</v>
      </c>
      <c r="C71" s="226" t="s">
        <v>4159</v>
      </c>
      <c r="D71" s="129">
        <f t="shared" si="1"/>
        <v>164</v>
      </c>
      <c r="E71" s="62" t="s">
        <v>1745</v>
      </c>
      <c r="G71" s="216">
        <v>0</v>
      </c>
      <c r="H71" s="216">
        <v>1</v>
      </c>
      <c r="I71" s="372" t="str">
        <f t="shared" si="0"/>
        <v>Ply</v>
      </c>
      <c r="J71" s="217">
        <v>18</v>
      </c>
      <c r="K71" s="1" t="str">
        <f t="shared" si="4"/>
        <v>MINIFIX HETTICH</v>
      </c>
      <c r="L71" s="1" t="str">
        <f t="shared" si="5"/>
        <v>DOWEL KAYU 4X8</v>
      </c>
      <c r="W71" s="1">
        <v>3</v>
      </c>
      <c r="X71" s="1">
        <v>3</v>
      </c>
      <c r="Y71" s="1">
        <v>3</v>
      </c>
      <c r="Z71" s="1">
        <v>0</v>
      </c>
      <c r="AA71" s="1">
        <v>0</v>
      </c>
      <c r="AB71" s="1">
        <v>0</v>
      </c>
    </row>
    <row r="72" spans="1:28" outlineLevel="1">
      <c r="A72" s="476" t="s">
        <v>2962</v>
      </c>
      <c r="B72" s="230" t="s">
        <v>1768</v>
      </c>
      <c r="C72" s="226" t="s">
        <v>2290</v>
      </c>
      <c r="D72" s="129">
        <f t="shared" si="1"/>
        <v>165</v>
      </c>
      <c r="E72" s="62" t="s">
        <v>1745</v>
      </c>
      <c r="G72" s="216">
        <v>0</v>
      </c>
      <c r="H72" s="216">
        <v>1</v>
      </c>
      <c r="I72" s="372" t="str">
        <f t="shared" si="0"/>
        <v>Ply</v>
      </c>
      <c r="J72" s="217">
        <v>18</v>
      </c>
      <c r="K72" s="1" t="str">
        <f t="shared" si="4"/>
        <v>MINIFIX HETTICH</v>
      </c>
      <c r="L72" s="1" t="str">
        <f t="shared" si="5"/>
        <v>DOWEL KAYU 4X8</v>
      </c>
      <c r="W72" s="1">
        <v>3</v>
      </c>
      <c r="X72" s="1">
        <v>3</v>
      </c>
      <c r="Y72" s="1">
        <v>3</v>
      </c>
      <c r="Z72" s="1">
        <v>0</v>
      </c>
      <c r="AA72" s="1">
        <v>0</v>
      </c>
      <c r="AB72" s="1">
        <v>0</v>
      </c>
    </row>
    <row r="73" spans="1:28" outlineLevel="1">
      <c r="A73" s="476" t="s">
        <v>2962</v>
      </c>
      <c r="B73" s="230" t="s">
        <v>1768</v>
      </c>
      <c r="C73" s="226" t="s">
        <v>1794</v>
      </c>
      <c r="D73" s="129">
        <f t="shared" si="1"/>
        <v>166</v>
      </c>
      <c r="E73" s="62" t="s">
        <v>1745</v>
      </c>
      <c r="G73" s="216">
        <v>1</v>
      </c>
      <c r="H73" s="216">
        <v>2</v>
      </c>
      <c r="I73" s="372" t="str">
        <f t="shared" si="0"/>
        <v>Ply</v>
      </c>
      <c r="J73" s="217">
        <v>18</v>
      </c>
      <c r="K73" s="1" t="str">
        <f t="shared" si="4"/>
        <v>MINIFIX HETTICH</v>
      </c>
      <c r="L73" s="1" t="str">
        <f t="shared" si="5"/>
        <v>DOWEL KAYU 4X8</v>
      </c>
      <c r="W73" s="1">
        <v>11</v>
      </c>
      <c r="X73" s="1">
        <v>11</v>
      </c>
      <c r="Y73" s="1">
        <v>11</v>
      </c>
      <c r="Z73" s="1">
        <v>0</v>
      </c>
      <c r="AA73" s="1">
        <v>0</v>
      </c>
      <c r="AB73" s="1">
        <v>0</v>
      </c>
    </row>
    <row r="74" spans="1:28" outlineLevel="1">
      <c r="A74" s="476" t="s">
        <v>2962</v>
      </c>
      <c r="B74" s="230" t="s">
        <v>1768</v>
      </c>
      <c r="C74" s="36" t="s">
        <v>1795</v>
      </c>
      <c r="D74" s="129">
        <f t="shared" si="1"/>
        <v>167</v>
      </c>
      <c r="E74" s="62" t="s">
        <v>1745</v>
      </c>
      <c r="G74" s="216">
        <v>1</v>
      </c>
      <c r="H74" s="216">
        <v>3</v>
      </c>
      <c r="I74" s="372" t="str">
        <f t="shared" si="0"/>
        <v>Ply</v>
      </c>
      <c r="J74" s="217">
        <v>24</v>
      </c>
      <c r="K74" s="1" t="str">
        <f t="shared" si="4"/>
        <v>MINIFIX HETTICH</v>
      </c>
      <c r="L74" s="1" t="str">
        <f t="shared" si="5"/>
        <v>DOWEL KAYU 4X8</v>
      </c>
      <c r="W74" s="1">
        <v>11</v>
      </c>
      <c r="X74" s="1">
        <v>11</v>
      </c>
      <c r="Y74" s="1">
        <v>22</v>
      </c>
      <c r="Z74" s="1">
        <v>22</v>
      </c>
      <c r="AA74" s="1">
        <v>22</v>
      </c>
      <c r="AB74" s="1">
        <v>0</v>
      </c>
    </row>
    <row r="75" spans="1:28" outlineLevel="1">
      <c r="A75" s="476" t="s">
        <v>2962</v>
      </c>
      <c r="B75" s="230" t="s">
        <v>1768</v>
      </c>
      <c r="C75" s="36" t="s">
        <v>2910</v>
      </c>
      <c r="D75" s="129">
        <f t="shared" si="1"/>
        <v>168</v>
      </c>
      <c r="E75" s="62" t="s">
        <v>1745</v>
      </c>
      <c r="G75" s="216">
        <v>1</v>
      </c>
      <c r="H75" s="216">
        <v>1</v>
      </c>
      <c r="I75" s="372" t="str">
        <f t="shared" si="0"/>
        <v>Ply</v>
      </c>
      <c r="J75" s="217">
        <v>18</v>
      </c>
      <c r="K75" s="1" t="str">
        <f t="shared" si="4"/>
        <v>MINIFIX HETTICH</v>
      </c>
      <c r="L75" s="1" t="str">
        <f t="shared" si="5"/>
        <v>DOWEL KAYU 4X8</v>
      </c>
      <c r="W75" s="1">
        <v>11</v>
      </c>
      <c r="X75" s="1">
        <v>11</v>
      </c>
      <c r="Y75" s="1">
        <v>11</v>
      </c>
      <c r="Z75" s="1">
        <v>11</v>
      </c>
      <c r="AA75" s="1">
        <v>11</v>
      </c>
      <c r="AB75" s="1">
        <v>11</v>
      </c>
    </row>
    <row r="76" spans="1:28" outlineLevel="1">
      <c r="A76" s="476" t="s">
        <v>2962</v>
      </c>
      <c r="B76" s="230" t="s">
        <v>1768</v>
      </c>
      <c r="C76" s="36" t="s">
        <v>2300</v>
      </c>
      <c r="D76" s="129">
        <f t="shared" si="1"/>
        <v>169</v>
      </c>
      <c r="E76" s="62" t="s">
        <v>1745</v>
      </c>
      <c r="G76" s="216">
        <v>1</v>
      </c>
      <c r="H76" s="216">
        <v>1</v>
      </c>
      <c r="I76" s="372" t="str">
        <f t="shared" si="0"/>
        <v>Ply</v>
      </c>
      <c r="J76" s="217">
        <v>18</v>
      </c>
      <c r="K76" s="1" t="str">
        <f t="shared" si="4"/>
        <v>MINIFIX HETTICH</v>
      </c>
      <c r="L76" s="1" t="str">
        <f t="shared" si="5"/>
        <v>DOWEL KAYU 4X8</v>
      </c>
      <c r="W76" s="1">
        <v>11</v>
      </c>
      <c r="X76" s="1">
        <v>11</v>
      </c>
      <c r="Y76" s="1">
        <v>11</v>
      </c>
      <c r="Z76" s="1">
        <v>11</v>
      </c>
      <c r="AA76" s="1">
        <v>11</v>
      </c>
      <c r="AB76" s="1">
        <v>0</v>
      </c>
    </row>
    <row r="77" spans="1:28" outlineLevel="1">
      <c r="A77" s="476" t="s">
        <v>2962</v>
      </c>
      <c r="B77" s="230" t="s">
        <v>1768</v>
      </c>
      <c r="C77" s="36" t="s">
        <v>2302</v>
      </c>
      <c r="D77" s="129">
        <f t="shared" si="1"/>
        <v>170</v>
      </c>
      <c r="E77" s="62" t="s">
        <v>1745</v>
      </c>
      <c r="G77" s="216">
        <v>0</v>
      </c>
      <c r="H77" s="216">
        <v>1</v>
      </c>
      <c r="I77" s="372" t="str">
        <f t="shared" si="0"/>
        <v>Ply</v>
      </c>
      <c r="J77" s="217">
        <v>18</v>
      </c>
      <c r="K77" s="1" t="str">
        <f t="shared" si="4"/>
        <v>MINIFIX HETTICH</v>
      </c>
      <c r="L77" s="1" t="str">
        <f t="shared" si="5"/>
        <v>DOWEL KAYU 4X8</v>
      </c>
      <c r="W77" s="1">
        <v>1</v>
      </c>
      <c r="X77" s="1">
        <v>1</v>
      </c>
      <c r="Y77" s="1">
        <v>1</v>
      </c>
      <c r="Z77" s="1">
        <v>1</v>
      </c>
      <c r="AA77" s="1">
        <v>1</v>
      </c>
      <c r="AB77" s="1">
        <v>0</v>
      </c>
    </row>
    <row r="78" spans="1:28" outlineLevel="1">
      <c r="A78" s="476" t="s">
        <v>2962</v>
      </c>
      <c r="B78" s="230" t="s">
        <v>1768</v>
      </c>
      <c r="C78" s="226" t="s">
        <v>1796</v>
      </c>
      <c r="D78" s="129">
        <f t="shared" si="1"/>
        <v>171</v>
      </c>
      <c r="E78" s="62" t="s">
        <v>1745</v>
      </c>
      <c r="G78" s="216">
        <v>1</v>
      </c>
      <c r="H78" s="216">
        <v>1</v>
      </c>
      <c r="I78" s="372" t="str">
        <f t="shared" si="0"/>
        <v>Ply</v>
      </c>
      <c r="J78" s="217">
        <v>18</v>
      </c>
      <c r="K78" s="1" t="str">
        <f t="shared" si="4"/>
        <v>MINIFIX HETTICH</v>
      </c>
      <c r="L78" s="1" t="str">
        <f t="shared" si="5"/>
        <v>DOWEL KAYU 4X8</v>
      </c>
      <c r="W78" s="1">
        <v>11</v>
      </c>
      <c r="X78" s="1">
        <v>11</v>
      </c>
      <c r="Y78" s="1">
        <v>11</v>
      </c>
      <c r="Z78" s="1">
        <v>0</v>
      </c>
      <c r="AA78" s="1">
        <v>0</v>
      </c>
      <c r="AB78" s="1">
        <v>0</v>
      </c>
    </row>
    <row r="79" spans="1:28" outlineLevel="1">
      <c r="A79" s="476" t="s">
        <v>2962</v>
      </c>
      <c r="B79" s="230" t="s">
        <v>1768</v>
      </c>
      <c r="C79" s="226" t="s">
        <v>1797</v>
      </c>
      <c r="D79" s="129">
        <f t="shared" si="1"/>
        <v>172</v>
      </c>
      <c r="E79" s="62" t="s">
        <v>1745</v>
      </c>
      <c r="G79" s="216">
        <v>1</v>
      </c>
      <c r="H79" s="216">
        <v>1</v>
      </c>
      <c r="I79" s="372" t="str">
        <f t="shared" si="0"/>
        <v>Ply</v>
      </c>
      <c r="J79" s="217">
        <v>18</v>
      </c>
      <c r="K79" s="1" t="str">
        <f t="shared" si="4"/>
        <v>MINIFIX HETTICH</v>
      </c>
      <c r="L79" s="1" t="str">
        <f t="shared" si="5"/>
        <v>DOWEL KAYU 4X8</v>
      </c>
      <c r="W79" s="55">
        <v>9</v>
      </c>
      <c r="X79" s="1">
        <v>11</v>
      </c>
      <c r="Y79" s="1">
        <v>0</v>
      </c>
      <c r="Z79" s="1">
        <v>0</v>
      </c>
      <c r="AA79" s="1">
        <v>0</v>
      </c>
      <c r="AB79" s="1">
        <v>0</v>
      </c>
    </row>
    <row r="80" spans="1:28" outlineLevel="1">
      <c r="A80" s="476" t="s">
        <v>2962</v>
      </c>
      <c r="B80" s="230" t="s">
        <v>1768</v>
      </c>
      <c r="C80" s="226" t="s">
        <v>1845</v>
      </c>
      <c r="D80" s="129">
        <f t="shared" si="1"/>
        <v>173</v>
      </c>
      <c r="E80" s="62" t="s">
        <v>3238</v>
      </c>
      <c r="G80" s="216">
        <v>1</v>
      </c>
      <c r="H80" s="216">
        <v>1</v>
      </c>
      <c r="I80" s="372" t="str">
        <f t="shared" si="0"/>
        <v>Ply</v>
      </c>
      <c r="J80" s="217">
        <v>14</v>
      </c>
      <c r="W80" s="1">
        <v>11</v>
      </c>
      <c r="X80" s="1">
        <v>11</v>
      </c>
      <c r="Y80" s="1">
        <v>11</v>
      </c>
      <c r="Z80" s="1">
        <v>11</v>
      </c>
      <c r="AA80" s="1">
        <v>0</v>
      </c>
      <c r="AB80" s="1">
        <v>0</v>
      </c>
    </row>
    <row r="81" spans="1:30" outlineLevel="1">
      <c r="A81" s="476" t="s">
        <v>2962</v>
      </c>
      <c r="B81" s="230" t="s">
        <v>1768</v>
      </c>
      <c r="C81" s="36" t="s">
        <v>1798</v>
      </c>
      <c r="D81" s="129">
        <f t="shared" si="1"/>
        <v>174</v>
      </c>
      <c r="E81" s="62" t="s">
        <v>1745</v>
      </c>
      <c r="G81" s="216">
        <v>1</v>
      </c>
      <c r="H81" s="216">
        <v>1</v>
      </c>
      <c r="I81" s="372" t="str">
        <f t="shared" si="0"/>
        <v>Ply</v>
      </c>
      <c r="J81" s="217">
        <v>18</v>
      </c>
      <c r="K81" s="1" t="str">
        <f>minifix_hettich</f>
        <v>MINIFIX HETTICH</v>
      </c>
      <c r="L81" s="1" t="str">
        <f>dowelØ8</f>
        <v>DOWEL KAYU 4X8</v>
      </c>
      <c r="W81" s="1">
        <v>11</v>
      </c>
      <c r="X81" s="1">
        <v>11</v>
      </c>
      <c r="Y81" s="1">
        <v>0</v>
      </c>
      <c r="Z81" s="1">
        <v>0</v>
      </c>
      <c r="AA81" s="1">
        <v>11</v>
      </c>
      <c r="AB81" s="1">
        <v>11</v>
      </c>
    </row>
    <row r="82" spans="1:30" outlineLevel="1">
      <c r="A82" s="476" t="s">
        <v>2962</v>
      </c>
      <c r="B82" s="230" t="s">
        <v>1768</v>
      </c>
      <c r="C82" s="36" t="s">
        <v>3206</v>
      </c>
      <c r="D82" s="129">
        <f t="shared" si="1"/>
        <v>175</v>
      </c>
      <c r="E82" s="62" t="s">
        <v>1745</v>
      </c>
      <c r="G82" s="216">
        <v>1</v>
      </c>
      <c r="H82" s="216">
        <v>1</v>
      </c>
      <c r="I82" s="372" t="str">
        <f t="shared" si="0"/>
        <v>Ply</v>
      </c>
      <c r="J82" s="217">
        <v>12</v>
      </c>
      <c r="W82" s="1">
        <v>11</v>
      </c>
      <c r="X82" s="1">
        <v>11</v>
      </c>
      <c r="Y82" s="1">
        <v>11</v>
      </c>
      <c r="Z82" s="1">
        <v>11</v>
      </c>
      <c r="AA82" s="1">
        <v>0</v>
      </c>
      <c r="AB82" s="1">
        <v>0</v>
      </c>
    </row>
    <row r="83" spans="1:30" outlineLevel="1">
      <c r="A83" s="476" t="s">
        <v>2962</v>
      </c>
      <c r="B83" s="230" t="s">
        <v>1768</v>
      </c>
      <c r="C83" s="226" t="s">
        <v>1799</v>
      </c>
      <c r="D83" s="129">
        <f t="shared" si="1"/>
        <v>176</v>
      </c>
      <c r="E83" s="62" t="s">
        <v>1745</v>
      </c>
      <c r="G83" s="216">
        <v>1</v>
      </c>
      <c r="H83" s="216">
        <v>2</v>
      </c>
      <c r="I83" s="372" t="str">
        <f t="shared" si="0"/>
        <v>Ply</v>
      </c>
      <c r="J83" s="217">
        <f>+tbl_komp_laci</f>
        <v>12</v>
      </c>
      <c r="W83" s="1">
        <v>11</v>
      </c>
      <c r="X83" s="1">
        <v>11</v>
      </c>
      <c r="Y83" s="1">
        <v>11</v>
      </c>
      <c r="Z83" s="1">
        <v>11</v>
      </c>
      <c r="AA83" s="1">
        <v>11</v>
      </c>
      <c r="AB83" s="1">
        <v>11</v>
      </c>
    </row>
    <row r="84" spans="1:30" outlineLevel="1">
      <c r="A84" s="476" t="s">
        <v>2962</v>
      </c>
      <c r="B84" s="230" t="s">
        <v>1768</v>
      </c>
      <c r="C84" s="226" t="s">
        <v>2987</v>
      </c>
      <c r="D84" s="129">
        <f t="shared" si="1"/>
        <v>177</v>
      </c>
      <c r="E84" s="62" t="s">
        <v>1745</v>
      </c>
      <c r="G84" s="216">
        <v>1</v>
      </c>
      <c r="H84" s="216">
        <v>2</v>
      </c>
      <c r="I84" s="372" t="str">
        <f t="shared" si="0"/>
        <v>Ply</v>
      </c>
      <c r="J84" s="217">
        <f>+tbl_komp_laci</f>
        <v>12</v>
      </c>
      <c r="W84" s="1">
        <v>11</v>
      </c>
      <c r="X84" s="1">
        <v>11</v>
      </c>
      <c r="Y84" s="1">
        <v>11</v>
      </c>
      <c r="Z84" s="1">
        <v>0</v>
      </c>
      <c r="AA84" s="1">
        <v>11</v>
      </c>
      <c r="AB84" s="1">
        <v>0</v>
      </c>
    </row>
    <row r="85" spans="1:30" outlineLevel="1">
      <c r="A85" s="476" t="s">
        <v>2962</v>
      </c>
      <c r="B85" s="230" t="s">
        <v>1768</v>
      </c>
      <c r="C85" s="226" t="s">
        <v>2374</v>
      </c>
      <c r="D85" s="129">
        <f t="shared" si="1"/>
        <v>178</v>
      </c>
      <c r="E85" s="62" t="s">
        <v>1745</v>
      </c>
      <c r="G85" s="216">
        <v>0</v>
      </c>
      <c r="H85" s="216">
        <v>2</v>
      </c>
      <c r="I85" s="372" t="str">
        <f t="shared" si="0"/>
        <v>Ply</v>
      </c>
      <c r="J85" s="217">
        <f>+tbl_komp_laci</f>
        <v>12</v>
      </c>
      <c r="W85" s="1">
        <v>1</v>
      </c>
      <c r="X85" s="1">
        <v>1</v>
      </c>
      <c r="Y85" s="1">
        <v>1</v>
      </c>
      <c r="Z85" s="1">
        <v>0</v>
      </c>
      <c r="AA85" s="1">
        <v>1</v>
      </c>
      <c r="AB85" s="1">
        <v>0</v>
      </c>
    </row>
    <row r="86" spans="1:30" outlineLevel="1">
      <c r="A86" s="476" t="s">
        <v>2962</v>
      </c>
      <c r="B86" s="230" t="s">
        <v>1768</v>
      </c>
      <c r="C86" s="226" t="s">
        <v>1800</v>
      </c>
      <c r="D86" s="129">
        <f t="shared" si="1"/>
        <v>179</v>
      </c>
      <c r="E86" s="62" t="s">
        <v>1745</v>
      </c>
      <c r="G86" s="216">
        <v>1</v>
      </c>
      <c r="H86" s="216">
        <v>2</v>
      </c>
      <c r="I86" s="372" t="str">
        <f t="shared" si="0"/>
        <v>Ply</v>
      </c>
      <c r="J86" s="217">
        <f>+tbl_komp_laci</f>
        <v>12</v>
      </c>
      <c r="L86" s="34" t="str">
        <f>dowelØ8</f>
        <v>DOWEL KAYU 4X8</v>
      </c>
      <c r="W86" s="1">
        <v>11</v>
      </c>
      <c r="X86" s="1">
        <v>11</v>
      </c>
      <c r="Y86" s="1">
        <v>11</v>
      </c>
      <c r="Z86" s="1">
        <v>0</v>
      </c>
      <c r="AA86" s="1">
        <v>0</v>
      </c>
      <c r="AB86" s="1">
        <v>0</v>
      </c>
    </row>
    <row r="87" spans="1:30" outlineLevel="1">
      <c r="A87" s="476" t="s">
        <v>2962</v>
      </c>
      <c r="B87" s="230" t="s">
        <v>1768</v>
      </c>
      <c r="C87" s="226" t="s">
        <v>1801</v>
      </c>
      <c r="D87" s="129">
        <f t="shared" si="1"/>
        <v>180</v>
      </c>
      <c r="E87" s="62" t="s">
        <v>1745</v>
      </c>
      <c r="G87" s="216">
        <v>1</v>
      </c>
      <c r="H87" s="216">
        <v>1</v>
      </c>
      <c r="I87" s="372" t="str">
        <f t="shared" si="0"/>
        <v>Ply</v>
      </c>
      <c r="J87" s="217">
        <v>14</v>
      </c>
      <c r="W87" s="1">
        <v>11</v>
      </c>
      <c r="X87" s="1">
        <v>11</v>
      </c>
      <c r="Y87" s="1">
        <v>11</v>
      </c>
      <c r="Z87" s="1">
        <v>11</v>
      </c>
      <c r="AA87" s="1">
        <v>0</v>
      </c>
      <c r="AB87" s="1">
        <v>0</v>
      </c>
    </row>
    <row r="88" spans="1:30" outlineLevel="1">
      <c r="A88" s="476" t="s">
        <v>2962</v>
      </c>
      <c r="B88" s="230" t="s">
        <v>1768</v>
      </c>
      <c r="C88" s="226" t="s">
        <v>1802</v>
      </c>
      <c r="D88" s="129">
        <f t="shared" si="1"/>
        <v>181</v>
      </c>
      <c r="E88" s="62" t="s">
        <v>1745</v>
      </c>
      <c r="G88" s="216">
        <v>1</v>
      </c>
      <c r="H88" s="216">
        <v>1</v>
      </c>
      <c r="I88" s="372" t="str">
        <f t="shared" si="0"/>
        <v>Ply</v>
      </c>
      <c r="J88" s="217">
        <v>14</v>
      </c>
      <c r="W88" s="1">
        <v>11</v>
      </c>
      <c r="X88" s="1">
        <v>11</v>
      </c>
      <c r="Y88" s="1">
        <v>11</v>
      </c>
      <c r="Z88" s="1">
        <v>0</v>
      </c>
      <c r="AA88" s="1">
        <v>0</v>
      </c>
      <c r="AB88" s="1">
        <v>0</v>
      </c>
    </row>
    <row r="89" spans="1:30" outlineLevel="1">
      <c r="A89" s="476" t="s">
        <v>2962</v>
      </c>
      <c r="B89" s="230" t="s">
        <v>1768</v>
      </c>
      <c r="C89" s="226" t="s">
        <v>3863</v>
      </c>
      <c r="D89" s="129">
        <f t="shared" si="1"/>
        <v>182</v>
      </c>
      <c r="E89" s="62" t="s">
        <v>1745</v>
      </c>
      <c r="G89" s="216">
        <v>1</v>
      </c>
      <c r="H89" s="216">
        <v>1</v>
      </c>
      <c r="I89" s="372" t="str">
        <f t="shared" si="0"/>
        <v>Ply</v>
      </c>
      <c r="J89" s="217">
        <v>14</v>
      </c>
      <c r="W89" s="1">
        <v>11</v>
      </c>
      <c r="X89" s="1">
        <v>11</v>
      </c>
      <c r="Y89" s="1">
        <v>11</v>
      </c>
      <c r="Z89" s="1">
        <v>11</v>
      </c>
      <c r="AA89" s="1">
        <v>0</v>
      </c>
      <c r="AB89" s="1">
        <v>0</v>
      </c>
    </row>
    <row r="90" spans="1:30" outlineLevel="1">
      <c r="A90" s="476" t="s">
        <v>2962</v>
      </c>
      <c r="B90" s="230" t="s">
        <v>1768</v>
      </c>
      <c r="C90" s="226" t="s">
        <v>4294</v>
      </c>
      <c r="D90" s="129">
        <f t="shared" si="1"/>
        <v>183</v>
      </c>
      <c r="E90" s="62" t="s">
        <v>1745</v>
      </c>
      <c r="G90" s="216">
        <v>1</v>
      </c>
      <c r="H90" s="216">
        <v>1</v>
      </c>
      <c r="I90" s="372" t="str">
        <f t="shared" si="0"/>
        <v>Ply</v>
      </c>
      <c r="J90" s="217">
        <v>14</v>
      </c>
      <c r="W90" s="1">
        <v>11</v>
      </c>
      <c r="X90" s="1">
        <v>11</v>
      </c>
      <c r="Y90" s="1">
        <v>11</v>
      </c>
      <c r="Z90" s="1">
        <v>11</v>
      </c>
      <c r="AA90" s="1">
        <v>0</v>
      </c>
      <c r="AB90" s="1">
        <v>0</v>
      </c>
    </row>
    <row r="91" spans="1:30" outlineLevel="1">
      <c r="A91" s="476" t="s">
        <v>2962</v>
      </c>
      <c r="B91" s="230" t="s">
        <v>1768</v>
      </c>
      <c r="C91" s="226" t="s">
        <v>2373</v>
      </c>
      <c r="D91" s="129">
        <f t="shared" si="1"/>
        <v>184</v>
      </c>
      <c r="E91" s="62" t="s">
        <v>1745</v>
      </c>
      <c r="G91" s="216">
        <v>0</v>
      </c>
      <c r="H91" s="216">
        <v>1</v>
      </c>
      <c r="I91" s="372" t="str">
        <f t="shared" si="0"/>
        <v>Ply</v>
      </c>
      <c r="J91" s="217">
        <f>+tbl_komp_laci</f>
        <v>12</v>
      </c>
      <c r="W91" s="1">
        <v>1</v>
      </c>
      <c r="X91" s="1">
        <v>1</v>
      </c>
      <c r="Y91" s="1">
        <v>1</v>
      </c>
      <c r="Z91" s="1">
        <v>0</v>
      </c>
      <c r="AA91" s="1">
        <v>0</v>
      </c>
      <c r="AB91" s="1">
        <v>0</v>
      </c>
    </row>
    <row r="92" spans="1:30" outlineLevel="1">
      <c r="A92" s="476" t="s">
        <v>2962</v>
      </c>
      <c r="B92" s="230" t="s">
        <v>1768</v>
      </c>
      <c r="C92" s="226" t="s">
        <v>1803</v>
      </c>
      <c r="D92" s="129">
        <f t="shared" si="1"/>
        <v>185</v>
      </c>
      <c r="E92" s="62" t="s">
        <v>1745</v>
      </c>
      <c r="G92" s="216">
        <v>1</v>
      </c>
      <c r="H92" s="216">
        <v>1</v>
      </c>
      <c r="I92" s="372" t="str">
        <f t="shared" si="0"/>
        <v>Ply</v>
      </c>
      <c r="J92" s="242">
        <f>Spek!$D$30</f>
        <v>6</v>
      </c>
      <c r="W92" s="55">
        <v>9</v>
      </c>
      <c r="X92" s="1">
        <v>11</v>
      </c>
      <c r="Y92" s="1">
        <v>0</v>
      </c>
      <c r="Z92" s="1">
        <v>0</v>
      </c>
      <c r="AA92" s="1">
        <v>0</v>
      </c>
      <c r="AB92" s="1">
        <v>0</v>
      </c>
      <c r="AD92" t="str">
        <f>_rel4</f>
        <v>REL TANDEM BLUM FULL EXT INTG P.500</v>
      </c>
    </row>
    <row r="93" spans="1:30" outlineLevel="1">
      <c r="A93" s="476" t="s">
        <v>2962</v>
      </c>
      <c r="B93" s="230" t="s">
        <v>1768</v>
      </c>
      <c r="C93" s="226" t="s">
        <v>1804</v>
      </c>
      <c r="D93" s="129">
        <f t="shared" si="1"/>
        <v>186</v>
      </c>
      <c r="E93" s="62" t="s">
        <v>1745</v>
      </c>
      <c r="G93" s="216">
        <v>1</v>
      </c>
      <c r="H93" s="216">
        <v>1</v>
      </c>
      <c r="I93" s="372" t="str">
        <f t="shared" si="0"/>
        <v>Ply</v>
      </c>
      <c r="J93" s="217">
        <v>18</v>
      </c>
      <c r="O93" t="str">
        <f>sikubr</f>
        <v>SIKU BR 012</v>
      </c>
      <c r="W93" s="1">
        <v>11</v>
      </c>
      <c r="X93" s="1">
        <v>11</v>
      </c>
      <c r="Y93" s="1">
        <v>11</v>
      </c>
      <c r="Z93" s="1">
        <v>11</v>
      </c>
      <c r="AA93" s="1">
        <v>11</v>
      </c>
      <c r="AB93" s="1">
        <v>11</v>
      </c>
      <c r="AD93" t="str">
        <f>_rel4</f>
        <v>REL TANDEM BLUM FULL EXT INTG P.500</v>
      </c>
    </row>
    <row r="94" spans="1:30" outlineLevel="1">
      <c r="A94" s="476" t="s">
        <v>2962</v>
      </c>
      <c r="B94" s="230" t="s">
        <v>1768</v>
      </c>
      <c r="C94" s="226" t="s">
        <v>2802</v>
      </c>
      <c r="D94" s="129">
        <f t="shared" si="1"/>
        <v>187</v>
      </c>
      <c r="E94" s="62" t="s">
        <v>1745</v>
      </c>
      <c r="G94" s="216">
        <v>0</v>
      </c>
      <c r="H94" s="216">
        <v>1</v>
      </c>
      <c r="I94" s="372" t="str">
        <f t="shared" si="0"/>
        <v>Ply</v>
      </c>
      <c r="J94" s="217">
        <v>18</v>
      </c>
      <c r="O94" t="str">
        <f>sikubr</f>
        <v>SIKU BR 012</v>
      </c>
      <c r="W94" s="1">
        <v>1</v>
      </c>
      <c r="X94" s="1">
        <v>1</v>
      </c>
      <c r="Y94" s="1">
        <v>1</v>
      </c>
      <c r="Z94" s="1">
        <v>1</v>
      </c>
      <c r="AA94" s="1">
        <v>1</v>
      </c>
      <c r="AB94" s="1">
        <v>1</v>
      </c>
      <c r="AD94" t="str">
        <f>_rel4</f>
        <v>REL TANDEM BLUM FULL EXT INTG P.500</v>
      </c>
    </row>
    <row r="95" spans="1:30" outlineLevel="1">
      <c r="A95" s="476" t="s">
        <v>2962</v>
      </c>
      <c r="B95" s="230" t="s">
        <v>1768</v>
      </c>
      <c r="C95" s="226" t="s">
        <v>2934</v>
      </c>
      <c r="D95" s="129">
        <f t="shared" si="1"/>
        <v>188</v>
      </c>
      <c r="E95" s="62" t="s">
        <v>1745</v>
      </c>
      <c r="G95" s="216">
        <v>0</v>
      </c>
      <c r="H95" s="216">
        <v>1</v>
      </c>
      <c r="I95" s="372" t="str">
        <f t="shared" si="0"/>
        <v>Ply</v>
      </c>
      <c r="J95" s="217">
        <v>18</v>
      </c>
      <c r="O95" t="str">
        <f>sikubr</f>
        <v>SIKU BR 012</v>
      </c>
      <c r="W95" s="1">
        <v>3</v>
      </c>
      <c r="X95" s="1">
        <v>3</v>
      </c>
      <c r="Y95" s="1">
        <v>3</v>
      </c>
      <c r="Z95" s="1">
        <v>3</v>
      </c>
      <c r="AA95" s="1">
        <v>3</v>
      </c>
      <c r="AB95" s="1">
        <v>3</v>
      </c>
      <c r="AD95" t="str">
        <f>_rel4</f>
        <v>REL TANDEM BLUM FULL EXT INTG P.500</v>
      </c>
    </row>
    <row r="96" spans="1:30" outlineLevel="1">
      <c r="A96" s="476" t="s">
        <v>2962</v>
      </c>
      <c r="B96" s="230" t="s">
        <v>1768</v>
      </c>
      <c r="C96" s="226" t="s">
        <v>1805</v>
      </c>
      <c r="D96" s="129">
        <f t="shared" si="1"/>
        <v>189</v>
      </c>
      <c r="E96" s="62" t="s">
        <v>1745</v>
      </c>
      <c r="G96" s="216">
        <v>1</v>
      </c>
      <c r="H96" s="216">
        <v>1</v>
      </c>
      <c r="I96" s="372" t="str">
        <f t="shared" si="0"/>
        <v>Ply</v>
      </c>
      <c r="J96" s="217">
        <v>14</v>
      </c>
      <c r="W96" s="1">
        <v>11</v>
      </c>
      <c r="X96" s="1">
        <v>11</v>
      </c>
      <c r="Y96" s="1">
        <v>0</v>
      </c>
      <c r="Z96" s="1">
        <v>0</v>
      </c>
      <c r="AA96" s="1">
        <v>0</v>
      </c>
      <c r="AB96" s="1">
        <v>0</v>
      </c>
      <c r="AD96" t="str">
        <f>_rel6</f>
        <v>LACI B1S1 INTE BLUMO</v>
      </c>
    </row>
    <row r="97" spans="1:33" outlineLevel="1">
      <c r="A97" s="476" t="s">
        <v>2962</v>
      </c>
      <c r="B97" s="230" t="s">
        <v>1768</v>
      </c>
      <c r="C97" s="226" t="s">
        <v>1806</v>
      </c>
      <c r="D97" s="129">
        <f t="shared" si="1"/>
        <v>190</v>
      </c>
      <c r="E97" s="62" t="s">
        <v>1745</v>
      </c>
      <c r="G97" s="216">
        <v>1</v>
      </c>
      <c r="H97" s="216">
        <v>1</v>
      </c>
      <c r="I97" s="372" t="str">
        <f t="shared" si="0"/>
        <v>Ply</v>
      </c>
      <c r="J97" s="217">
        <v>14</v>
      </c>
      <c r="W97" s="1">
        <v>11</v>
      </c>
      <c r="X97" s="1">
        <v>11</v>
      </c>
      <c r="Y97" s="1">
        <v>11</v>
      </c>
      <c r="Z97" s="1">
        <v>0</v>
      </c>
      <c r="AA97" s="1">
        <v>0</v>
      </c>
      <c r="AB97" s="1">
        <v>0</v>
      </c>
      <c r="AD97" t="str">
        <f>_rel2</f>
        <v>LEGRABOX S4 OG (ORION GREY)</v>
      </c>
    </row>
    <row r="98" spans="1:33" outlineLevel="1">
      <c r="A98" s="476" t="s">
        <v>2962</v>
      </c>
      <c r="B98" s="230" t="s">
        <v>1768</v>
      </c>
      <c r="C98" s="226" t="s">
        <v>3862</v>
      </c>
      <c r="D98" s="129">
        <f t="shared" si="1"/>
        <v>191</v>
      </c>
      <c r="E98" s="62" t="s">
        <v>1745</v>
      </c>
      <c r="G98" s="216">
        <v>1</v>
      </c>
      <c r="H98" s="216">
        <v>1</v>
      </c>
      <c r="I98" s="372" t="str">
        <f t="shared" si="0"/>
        <v>Ply</v>
      </c>
      <c r="J98" s="217">
        <v>14</v>
      </c>
      <c r="W98" s="1">
        <v>11</v>
      </c>
      <c r="X98" s="1">
        <v>11</v>
      </c>
      <c r="Y98" s="1">
        <v>0</v>
      </c>
      <c r="Z98" s="1">
        <v>0</v>
      </c>
      <c r="AA98" s="1">
        <v>0</v>
      </c>
      <c r="AB98" s="1">
        <v>0</v>
      </c>
      <c r="AD98" t="str">
        <f>_rel11</f>
        <v>LACI MERIVOBOX S2 + KACA ORION GREY</v>
      </c>
    </row>
    <row r="99" spans="1:33" outlineLevel="1">
      <c r="A99" s="476" t="s">
        <v>2962</v>
      </c>
      <c r="B99" s="230" t="s">
        <v>1768</v>
      </c>
      <c r="C99" s="226" t="s">
        <v>4295</v>
      </c>
      <c r="D99" s="129">
        <f t="shared" si="1"/>
        <v>192</v>
      </c>
      <c r="E99" s="62" t="s">
        <v>1745</v>
      </c>
      <c r="G99" s="216">
        <v>1</v>
      </c>
      <c r="H99" s="216">
        <v>1</v>
      </c>
      <c r="I99" s="372" t="str">
        <f t="shared" si="0"/>
        <v>Ply</v>
      </c>
      <c r="J99" s="217">
        <v>14</v>
      </c>
      <c r="W99" s="1">
        <v>11</v>
      </c>
      <c r="X99" s="1">
        <v>11</v>
      </c>
      <c r="Y99" s="1">
        <v>0</v>
      </c>
      <c r="Z99" s="1">
        <v>0</v>
      </c>
      <c r="AA99" s="1">
        <v>0</v>
      </c>
      <c r="AB99" s="1">
        <v>0</v>
      </c>
      <c r="AD99" t="str">
        <f>_rel14</f>
        <v>Avantech You 251 P.500mm</v>
      </c>
    </row>
    <row r="100" spans="1:33" outlineLevel="1">
      <c r="A100" s="476" t="s">
        <v>2962</v>
      </c>
      <c r="B100" s="230" t="s">
        <v>1768</v>
      </c>
      <c r="C100" s="226" t="s">
        <v>3000</v>
      </c>
      <c r="D100" s="129">
        <f t="shared" si="1"/>
        <v>193</v>
      </c>
      <c r="E100" s="62" t="s">
        <v>1745</v>
      </c>
      <c r="G100" s="216">
        <v>1</v>
      </c>
      <c r="H100" s="216">
        <v>1</v>
      </c>
      <c r="I100" s="372" t="str">
        <f t="shared" si="0"/>
        <v>Ply</v>
      </c>
      <c r="J100" s="217">
        <f>+tbl_komp_laci</f>
        <v>12</v>
      </c>
      <c r="W100" s="1">
        <v>11</v>
      </c>
      <c r="X100" s="1">
        <v>11</v>
      </c>
      <c r="Y100" s="1">
        <v>11</v>
      </c>
      <c r="Z100" s="1">
        <v>0</v>
      </c>
      <c r="AA100" s="1">
        <v>0</v>
      </c>
      <c r="AB100" s="1">
        <v>0</v>
      </c>
      <c r="AD100" t="str">
        <f>_rel4</f>
        <v>REL TANDEM BLUM FULL EXT INTG P.500</v>
      </c>
    </row>
    <row r="101" spans="1:33" outlineLevel="1">
      <c r="A101" s="476" t="s">
        <v>2962</v>
      </c>
      <c r="B101" s="230" t="s">
        <v>1768</v>
      </c>
      <c r="C101" s="226" t="s">
        <v>3906</v>
      </c>
      <c r="D101" s="129">
        <f t="shared" si="1"/>
        <v>194</v>
      </c>
      <c r="E101" s="62" t="s">
        <v>1745</v>
      </c>
      <c r="G101" s="216">
        <v>0</v>
      </c>
      <c r="H101" s="216">
        <v>1</v>
      </c>
      <c r="I101" s="372" t="str">
        <f t="shared" si="0"/>
        <v>Ply</v>
      </c>
      <c r="J101" s="217">
        <f>+tbl_komp_laci</f>
        <v>12</v>
      </c>
      <c r="W101" s="1">
        <v>1</v>
      </c>
      <c r="X101" s="1">
        <v>1</v>
      </c>
      <c r="Y101" s="1">
        <v>1</v>
      </c>
      <c r="Z101" s="1">
        <v>0</v>
      </c>
      <c r="AA101" s="1">
        <v>0</v>
      </c>
      <c r="AB101" s="1">
        <v>0</v>
      </c>
      <c r="AD101" t="str">
        <f>_rel4</f>
        <v>REL TANDEM BLUM FULL EXT INTG P.500</v>
      </c>
    </row>
    <row r="102" spans="1:33" outlineLevel="1">
      <c r="A102" s="476" t="s">
        <v>2962</v>
      </c>
      <c r="B102" s="230" t="s">
        <v>1768</v>
      </c>
      <c r="C102" s="226" t="s">
        <v>3907</v>
      </c>
      <c r="D102" s="129">
        <f t="shared" si="1"/>
        <v>195</v>
      </c>
      <c r="E102" s="62" t="s">
        <v>1745</v>
      </c>
      <c r="G102" s="216">
        <v>0</v>
      </c>
      <c r="H102" s="216">
        <v>1</v>
      </c>
      <c r="I102" s="372" t="str">
        <f t="shared" si="0"/>
        <v>Ply</v>
      </c>
      <c r="J102" s="217">
        <f>+tbl_komp_laci</f>
        <v>12</v>
      </c>
      <c r="W102" s="1">
        <v>3</v>
      </c>
      <c r="X102" s="1">
        <v>3</v>
      </c>
      <c r="Y102" s="1">
        <v>3</v>
      </c>
      <c r="Z102" s="1">
        <v>0</v>
      </c>
      <c r="AA102" s="1">
        <v>0</v>
      </c>
      <c r="AB102" s="1">
        <v>0</v>
      </c>
      <c r="AD102" t="str">
        <f>_rel4</f>
        <v>REL TANDEM BLUM FULL EXT INTG P.500</v>
      </c>
    </row>
    <row r="103" spans="1:33" outlineLevel="1">
      <c r="A103" s="476" t="s">
        <v>2962</v>
      </c>
      <c r="B103" s="230" t="s">
        <v>1768</v>
      </c>
      <c r="C103" s="226" t="s">
        <v>1807</v>
      </c>
      <c r="D103" s="129">
        <f t="shared" si="1"/>
        <v>196</v>
      </c>
      <c r="E103" s="62" t="s">
        <v>1745</v>
      </c>
      <c r="G103" s="216">
        <v>1</v>
      </c>
      <c r="H103" s="216">
        <v>1</v>
      </c>
      <c r="I103" s="372" t="str">
        <f t="shared" si="0"/>
        <v>Ply</v>
      </c>
      <c r="J103" s="217">
        <f>+tbl_komp_laci</f>
        <v>12</v>
      </c>
      <c r="W103" s="1">
        <v>11</v>
      </c>
      <c r="X103" s="1">
        <v>11</v>
      </c>
      <c r="Y103" s="1">
        <v>11</v>
      </c>
      <c r="Z103" s="1">
        <v>0</v>
      </c>
      <c r="AA103" s="1">
        <v>0</v>
      </c>
      <c r="AB103" s="1">
        <v>0</v>
      </c>
    </row>
    <row r="104" spans="1:33" outlineLevel="1">
      <c r="A104" s="476" t="s">
        <v>2962</v>
      </c>
      <c r="B104" s="230" t="s">
        <v>1768</v>
      </c>
      <c r="C104" s="226" t="s">
        <v>4140</v>
      </c>
      <c r="D104" s="129">
        <f t="shared" si="1"/>
        <v>197</v>
      </c>
      <c r="E104" s="62" t="s">
        <v>1745</v>
      </c>
      <c r="G104" s="216">
        <v>0</v>
      </c>
      <c r="H104" s="216">
        <v>1</v>
      </c>
      <c r="I104" s="372" t="str">
        <f t="shared" si="0"/>
        <v>Ply</v>
      </c>
      <c r="J104" s="217">
        <f>+tbl_komp_laci</f>
        <v>12</v>
      </c>
      <c r="W104" s="1">
        <v>1</v>
      </c>
      <c r="X104" s="1">
        <v>1</v>
      </c>
      <c r="Y104" s="1">
        <v>1</v>
      </c>
      <c r="Z104" s="1">
        <v>0</v>
      </c>
      <c r="AA104" s="1">
        <v>0</v>
      </c>
      <c r="AB104" s="1">
        <v>0</v>
      </c>
    </row>
    <row r="105" spans="1:33" outlineLevel="1">
      <c r="A105" s="476" t="s">
        <v>2962</v>
      </c>
      <c r="B105" s="230" t="s">
        <v>1768</v>
      </c>
      <c r="C105" s="226" t="s">
        <v>1808</v>
      </c>
      <c r="D105" s="129">
        <f t="shared" si="1"/>
        <v>198</v>
      </c>
      <c r="E105" s="62" t="s">
        <v>1745</v>
      </c>
      <c r="G105" s="216">
        <v>0</v>
      </c>
      <c r="I105" s="372" t="str">
        <f t="shared" si="0"/>
        <v>Ply</v>
      </c>
      <c r="J105" s="217">
        <v>18</v>
      </c>
      <c r="W105" s="1">
        <v>1</v>
      </c>
      <c r="X105" s="1">
        <v>1</v>
      </c>
      <c r="Y105" s="1">
        <v>1</v>
      </c>
      <c r="Z105" s="1">
        <v>0</v>
      </c>
      <c r="AA105" s="1">
        <v>0</v>
      </c>
      <c r="AB105" s="1">
        <v>0</v>
      </c>
    </row>
    <row r="106" spans="1:33" outlineLevel="1">
      <c r="A106" s="476" t="s">
        <v>2962</v>
      </c>
      <c r="B106" s="230" t="s">
        <v>1768</v>
      </c>
      <c r="C106" s="226" t="s">
        <v>1809</v>
      </c>
      <c r="D106" s="129">
        <f t="shared" si="1"/>
        <v>199</v>
      </c>
      <c r="E106" s="62" t="s">
        <v>1745</v>
      </c>
      <c r="G106" s="216">
        <v>1</v>
      </c>
      <c r="I106" s="372" t="str">
        <f t="shared" si="0"/>
        <v>Ply</v>
      </c>
      <c r="J106" s="217">
        <f>+tbl_komp_laci</f>
        <v>12</v>
      </c>
      <c r="W106" s="1">
        <v>11</v>
      </c>
      <c r="X106" s="1">
        <v>11</v>
      </c>
      <c r="Y106" s="1">
        <v>11</v>
      </c>
      <c r="Z106" s="1">
        <v>0</v>
      </c>
      <c r="AA106" s="1">
        <v>0</v>
      </c>
      <c r="AB106" s="1">
        <v>0</v>
      </c>
    </row>
    <row r="107" spans="1:33" outlineLevel="1">
      <c r="A107" s="476" t="s">
        <v>2963</v>
      </c>
      <c r="B107" s="230" t="s">
        <v>1768</v>
      </c>
      <c r="C107" s="227" t="s">
        <v>1810</v>
      </c>
      <c r="D107" s="129">
        <f>ROW()+152</f>
        <v>259</v>
      </c>
      <c r="E107" s="62" t="s">
        <v>3238</v>
      </c>
      <c r="G107" s="216">
        <v>0</v>
      </c>
      <c r="I107" s="372" t="str">
        <f t="shared" ref="I107:I153" si="6">bahan5</f>
        <v>Ply</v>
      </c>
      <c r="J107" s="217">
        <v>18</v>
      </c>
      <c r="W107" s="1">
        <v>1</v>
      </c>
      <c r="X107" s="769">
        <f>IF(Spek!$A$35=11,11,W107)</f>
        <v>11</v>
      </c>
      <c r="Y107" s="1">
        <v>1</v>
      </c>
      <c r="Z107" s="1">
        <v>1</v>
      </c>
      <c r="AA107" s="1">
        <v>1</v>
      </c>
      <c r="AB107" s="1">
        <v>1</v>
      </c>
      <c r="AE107" t="str">
        <f t="shared" ref="AE107:AE160" si="7">engsel1</f>
        <v>ENGSEL CLIP TOP  107 DEG INTEGRATED 75 B 1550 + 173 L 6100</v>
      </c>
    </row>
    <row r="108" spans="1:33" outlineLevel="1">
      <c r="A108" s="476" t="s">
        <v>2963</v>
      </c>
      <c r="B108" s="230" t="s">
        <v>1768</v>
      </c>
      <c r="C108" s="227" t="s">
        <v>2626</v>
      </c>
      <c r="D108" s="129">
        <f>ROW()+152</f>
        <v>260</v>
      </c>
      <c r="E108" s="62" t="s">
        <v>3238</v>
      </c>
      <c r="G108" s="216">
        <v>1</v>
      </c>
      <c r="I108" s="372" t="str">
        <f t="shared" si="6"/>
        <v>Ply</v>
      </c>
      <c r="J108" s="217">
        <v>18</v>
      </c>
      <c r="W108" s="215">
        <v>11</v>
      </c>
      <c r="X108" s="769">
        <f>IF(Spek!$A$35=11,11,W108)</f>
        <v>11</v>
      </c>
      <c r="Y108" s="1">
        <v>11</v>
      </c>
      <c r="Z108" s="1">
        <v>11</v>
      </c>
      <c r="AA108" s="1">
        <v>11</v>
      </c>
      <c r="AB108" s="1">
        <v>11</v>
      </c>
      <c r="AE108" t="str">
        <f t="shared" si="7"/>
        <v>ENGSEL CLIP TOP  107 DEG INTEGRATED 75 B 1550 + 173 L 6100</v>
      </c>
    </row>
    <row r="109" spans="1:33" outlineLevel="1">
      <c r="A109" s="476" t="s">
        <v>2963</v>
      </c>
      <c r="B109" s="230" t="s">
        <v>1768</v>
      </c>
      <c r="C109" s="227" t="s">
        <v>4158</v>
      </c>
      <c r="D109" s="129">
        <f>ROW()+152</f>
        <v>261</v>
      </c>
      <c r="E109" s="62" t="s">
        <v>3238</v>
      </c>
      <c r="G109" s="216">
        <v>0</v>
      </c>
      <c r="I109" s="372" t="str">
        <f t="shared" si="6"/>
        <v>Ply</v>
      </c>
      <c r="J109" s="217">
        <v>18</v>
      </c>
      <c r="W109" s="1">
        <v>1</v>
      </c>
      <c r="X109" s="1">
        <f>+W109</f>
        <v>1</v>
      </c>
      <c r="Y109" s="1">
        <v>1</v>
      </c>
      <c r="Z109" s="1">
        <v>1</v>
      </c>
      <c r="AA109" s="1">
        <v>1</v>
      </c>
      <c r="AB109" s="1">
        <v>1</v>
      </c>
      <c r="AE109" t="str">
        <f t="shared" si="7"/>
        <v>ENGSEL CLIP TOP  107 DEG INTEGRATED 75 B 1550 + 173 L 6100</v>
      </c>
    </row>
    <row r="110" spans="1:33" outlineLevel="1">
      <c r="A110" s="476" t="s">
        <v>2963</v>
      </c>
      <c r="B110" s="230" t="s">
        <v>1768</v>
      </c>
      <c r="C110" s="227" t="s">
        <v>3071</v>
      </c>
      <c r="D110" s="129">
        <f>ROW()+152</f>
        <v>262</v>
      </c>
      <c r="E110" s="62" t="s">
        <v>3238</v>
      </c>
      <c r="G110" s="216">
        <v>0</v>
      </c>
      <c r="I110" s="372" t="str">
        <f t="shared" si="6"/>
        <v>Ply</v>
      </c>
      <c r="J110" s="217">
        <v>18</v>
      </c>
      <c r="W110" s="1">
        <v>3</v>
      </c>
      <c r="X110" s="769">
        <f>IF(Spek!$A$35=11,11,W110)</f>
        <v>11</v>
      </c>
      <c r="Y110" s="1">
        <v>3</v>
      </c>
      <c r="Z110" s="1">
        <v>3</v>
      </c>
      <c r="AA110" s="1">
        <v>3</v>
      </c>
      <c r="AB110" s="1">
        <v>3</v>
      </c>
      <c r="AE110" t="str">
        <f t="shared" si="7"/>
        <v>ENGSEL CLIP TOP  107 DEG INTEGRATED 75 B 1550 + 173 L 6100</v>
      </c>
    </row>
    <row r="111" spans="1:33" outlineLevel="1">
      <c r="A111" s="476" t="s">
        <v>2963</v>
      </c>
      <c r="B111" s="230" t="s">
        <v>1768</v>
      </c>
      <c r="C111" s="227" t="s">
        <v>3799</v>
      </c>
      <c r="D111" s="129">
        <f>ROW()+152</f>
        <v>263</v>
      </c>
      <c r="E111" s="62" t="s">
        <v>3238</v>
      </c>
      <c r="G111" s="216">
        <v>0</v>
      </c>
      <c r="I111" s="372" t="str">
        <f t="shared" si="6"/>
        <v>Ply</v>
      </c>
      <c r="J111" s="217">
        <v>18</v>
      </c>
      <c r="W111" s="1">
        <v>5</v>
      </c>
      <c r="X111" s="769">
        <f>IF(Spek!$A$35=11,11,W111)</f>
        <v>11</v>
      </c>
      <c r="Y111" s="1">
        <v>5</v>
      </c>
      <c r="Z111" s="1">
        <v>5</v>
      </c>
      <c r="AA111" s="1">
        <v>5</v>
      </c>
      <c r="AB111" s="1">
        <v>5</v>
      </c>
      <c r="AE111" t="str">
        <f t="shared" si="7"/>
        <v>ENGSEL CLIP TOP  107 DEG INTEGRATED 75 B 1550 + 173 L 6100</v>
      </c>
    </row>
    <row r="112" spans="1:33" outlineLevel="1">
      <c r="A112" s="476" t="s">
        <v>2963</v>
      </c>
      <c r="B112" s="230" t="s">
        <v>1768</v>
      </c>
      <c r="C112" s="227" t="s">
        <v>1811</v>
      </c>
      <c r="D112" s="129">
        <f t="shared" ref="D112:D312" si="8">ROW()+152</f>
        <v>264</v>
      </c>
      <c r="E112" s="62" t="s">
        <v>3238</v>
      </c>
      <c r="G112" s="216">
        <v>0</v>
      </c>
      <c r="I112" s="372" t="str">
        <f t="shared" si="6"/>
        <v>Ply</v>
      </c>
      <c r="J112" s="217">
        <v>18</v>
      </c>
      <c r="U112" s="34" t="str">
        <f>seal_putih</f>
        <v>SILICONE SIKAFLEX 221 PUTIH</v>
      </c>
      <c r="W112" s="1">
        <v>1</v>
      </c>
      <c r="X112" s="769">
        <f>IF(Spek!$A$35=11,11,W112)</f>
        <v>11</v>
      </c>
      <c r="Y112" s="1">
        <v>1</v>
      </c>
      <c r="Z112" s="1">
        <v>1</v>
      </c>
      <c r="AA112" s="1">
        <v>1</v>
      </c>
      <c r="AB112" s="1">
        <v>0</v>
      </c>
      <c r="AE112" t="str">
        <f t="shared" si="7"/>
        <v>ENGSEL CLIP TOP  107 DEG INTEGRATED 75 B 1550 + 173 L 6100</v>
      </c>
      <c r="AF112" t="str">
        <f>Hand2</f>
        <v>MH-02 Brown Doff ( Alm. 86706 ) P3 coak standart</v>
      </c>
      <c r="AG112" s="1">
        <v>1</v>
      </c>
    </row>
    <row r="113" spans="1:33" outlineLevel="1">
      <c r="A113" s="476" t="s">
        <v>2963</v>
      </c>
      <c r="B113" s="230" t="s">
        <v>1768</v>
      </c>
      <c r="C113" s="227" t="s">
        <v>2779</v>
      </c>
      <c r="D113" s="129">
        <f t="shared" si="8"/>
        <v>265</v>
      </c>
      <c r="E113" s="62" t="s">
        <v>3238</v>
      </c>
      <c r="G113" s="216">
        <v>0</v>
      </c>
      <c r="I113" s="372" t="str">
        <f t="shared" si="6"/>
        <v>Ply</v>
      </c>
      <c r="J113" s="217">
        <v>18</v>
      </c>
      <c r="U113" s="34" t="str">
        <f>seal_putih</f>
        <v>SILICONE SIKAFLEX 221 PUTIH</v>
      </c>
      <c r="W113" s="1">
        <v>3</v>
      </c>
      <c r="X113" s="769">
        <f>IF(Spek!$A$35=11,11,W113)</f>
        <v>11</v>
      </c>
      <c r="Y113" s="1">
        <v>3</v>
      </c>
      <c r="Z113" s="1">
        <v>3</v>
      </c>
      <c r="AA113" s="1">
        <v>3</v>
      </c>
      <c r="AB113" s="1">
        <v>0</v>
      </c>
      <c r="AE113" t="str">
        <f t="shared" si="7"/>
        <v>ENGSEL CLIP TOP  107 DEG INTEGRATED 75 B 1550 + 173 L 6100</v>
      </c>
      <c r="AF113" t="str">
        <f>Hand2</f>
        <v>MH-02 Brown Doff ( Alm. 86706 ) P3 coak standart</v>
      </c>
      <c r="AG113" s="1">
        <v>1</v>
      </c>
    </row>
    <row r="114" spans="1:33" outlineLevel="1">
      <c r="A114" s="476" t="s">
        <v>2963</v>
      </c>
      <c r="B114" s="230" t="s">
        <v>1768</v>
      </c>
      <c r="C114" s="228" t="s">
        <v>1812</v>
      </c>
      <c r="D114" s="129">
        <f t="shared" si="8"/>
        <v>266</v>
      </c>
      <c r="E114" s="62" t="s">
        <v>3238</v>
      </c>
      <c r="G114" s="216">
        <v>0</v>
      </c>
      <c r="I114" s="372" t="str">
        <f t="shared" si="6"/>
        <v>Ply</v>
      </c>
      <c r="J114" s="217">
        <v>18</v>
      </c>
      <c r="U114" s="34" t="str">
        <f>seal_putih</f>
        <v>SILICONE SIKAFLEX 221 PUTIH</v>
      </c>
      <c r="W114" s="1">
        <v>1</v>
      </c>
      <c r="X114" s="769">
        <f>IF(Spek!$A$35=11,11,W114)</f>
        <v>11</v>
      </c>
      <c r="Y114" s="1">
        <v>1</v>
      </c>
      <c r="Z114" s="1">
        <v>0</v>
      </c>
      <c r="AA114" s="1">
        <v>1</v>
      </c>
      <c r="AB114" s="1">
        <v>1</v>
      </c>
      <c r="AE114" t="str">
        <f t="shared" si="7"/>
        <v>ENGSEL CLIP TOP  107 DEG INTEGRATED 75 B 1550 + 173 L 6100</v>
      </c>
      <c r="AF114" t="str">
        <f>Hand1</f>
        <v>MH-02 Brown Doff ( Alm. 86706 ) P3</v>
      </c>
      <c r="AG114" s="1">
        <v>1</v>
      </c>
    </row>
    <row r="115" spans="1:33" outlineLevel="1">
      <c r="A115" s="476" t="s">
        <v>2963</v>
      </c>
      <c r="B115" s="230" t="s">
        <v>1768</v>
      </c>
      <c r="C115" s="228" t="s">
        <v>3242</v>
      </c>
      <c r="D115" s="129">
        <f t="shared" si="8"/>
        <v>267</v>
      </c>
      <c r="E115" s="62" t="s">
        <v>3238</v>
      </c>
      <c r="G115" s="216">
        <v>0</v>
      </c>
      <c r="I115" s="372" t="str">
        <f t="shared" si="6"/>
        <v>Ply</v>
      </c>
      <c r="J115" s="217">
        <v>18</v>
      </c>
      <c r="U115" s="34" t="str">
        <f>seal_putih</f>
        <v>SILICONE SIKAFLEX 221 PUTIH</v>
      </c>
      <c r="W115" s="1">
        <v>3</v>
      </c>
      <c r="X115" s="769">
        <f>IF(Spek!$A$35=11,11,W115)</f>
        <v>11</v>
      </c>
      <c r="Y115" s="1">
        <v>3</v>
      </c>
      <c r="Z115" s="1">
        <v>0</v>
      </c>
      <c r="AA115" s="1">
        <v>3</v>
      </c>
      <c r="AB115" s="1">
        <v>3</v>
      </c>
      <c r="AE115" t="str">
        <f t="shared" si="7"/>
        <v>ENGSEL CLIP TOP  107 DEG INTEGRATED 75 B 1550 + 173 L 6100</v>
      </c>
      <c r="AF115" t="str">
        <f>Hand1</f>
        <v>MH-02 Brown Doff ( Alm. 86706 ) P3</v>
      </c>
      <c r="AG115" s="1">
        <v>1</v>
      </c>
    </row>
    <row r="116" spans="1:33" outlineLevel="1">
      <c r="A116" s="476" t="s">
        <v>2963</v>
      </c>
      <c r="B116" s="230" t="s">
        <v>1768</v>
      </c>
      <c r="C116" s="227" t="s">
        <v>1813</v>
      </c>
      <c r="D116" s="129">
        <f t="shared" si="8"/>
        <v>268</v>
      </c>
      <c r="E116" s="62" t="s">
        <v>3238</v>
      </c>
      <c r="G116" s="216">
        <v>0</v>
      </c>
      <c r="I116" s="372" t="str">
        <f t="shared" si="6"/>
        <v>Ply</v>
      </c>
      <c r="J116" s="217">
        <v>18</v>
      </c>
      <c r="T116" s="34" t="str">
        <f t="shared" ref="T116:T125" si="9">seal_putih</f>
        <v>SILICONE SIKAFLEX 221 PUTIH</v>
      </c>
      <c r="W116" s="1">
        <v>1</v>
      </c>
      <c r="X116" s="769">
        <f>IF(Spek!$A$35=11,11,W116)</f>
        <v>11</v>
      </c>
      <c r="Y116" s="161">
        <f t="shared" ref="Y116:AB117" si="10">+IF(bahan1="MDF",8,7)</f>
        <v>7</v>
      </c>
      <c r="Z116" s="161">
        <f t="shared" si="10"/>
        <v>7</v>
      </c>
      <c r="AA116" s="161">
        <f t="shared" si="10"/>
        <v>7</v>
      </c>
      <c r="AB116" s="161">
        <f t="shared" si="10"/>
        <v>7</v>
      </c>
      <c r="AE116" t="str">
        <f t="shared" si="7"/>
        <v>ENGSEL CLIP TOP  107 DEG INTEGRATED 75 B 1550 + 173 L 6100</v>
      </c>
    </row>
    <row r="117" spans="1:33" outlineLevel="1">
      <c r="A117" s="476" t="s">
        <v>2963</v>
      </c>
      <c r="B117" s="230" t="s">
        <v>1768</v>
      </c>
      <c r="C117" s="227" t="s">
        <v>3070</v>
      </c>
      <c r="D117" s="129">
        <f t="shared" si="8"/>
        <v>269</v>
      </c>
      <c r="E117" s="62" t="s">
        <v>3238</v>
      </c>
      <c r="G117" s="216">
        <v>0</v>
      </c>
      <c r="I117" s="372" t="str">
        <f t="shared" si="6"/>
        <v>Ply</v>
      </c>
      <c r="J117" s="217">
        <v>18</v>
      </c>
      <c r="T117" s="34" t="str">
        <f t="shared" si="9"/>
        <v>SILICONE SIKAFLEX 221 PUTIH</v>
      </c>
      <c r="W117" s="1">
        <v>3</v>
      </c>
      <c r="X117" s="769">
        <f>IF(Spek!$A$35=11,11,W117)</f>
        <v>11</v>
      </c>
      <c r="Y117" s="161">
        <f t="shared" si="10"/>
        <v>7</v>
      </c>
      <c r="Z117" s="161">
        <f t="shared" si="10"/>
        <v>7</v>
      </c>
      <c r="AA117" s="161">
        <f t="shared" si="10"/>
        <v>7</v>
      </c>
      <c r="AB117" s="161">
        <f t="shared" si="10"/>
        <v>7</v>
      </c>
      <c r="AE117" t="str">
        <f t="shared" si="7"/>
        <v>ENGSEL CLIP TOP  107 DEG INTEGRATED 75 B 1550 + 173 L 6100</v>
      </c>
    </row>
    <row r="118" spans="1:33" outlineLevel="1">
      <c r="A118" s="476" t="s">
        <v>2963</v>
      </c>
      <c r="B118" s="230" t="s">
        <v>1768</v>
      </c>
      <c r="C118" s="227" t="s">
        <v>2266</v>
      </c>
      <c r="D118" s="129">
        <f t="shared" si="8"/>
        <v>270</v>
      </c>
      <c r="E118" s="62" t="s">
        <v>3238</v>
      </c>
      <c r="G118" s="216">
        <v>0</v>
      </c>
      <c r="I118" s="372" t="str">
        <f t="shared" si="6"/>
        <v>Ply</v>
      </c>
      <c r="J118" s="217">
        <v>18</v>
      </c>
      <c r="T118" s="34" t="str">
        <f t="shared" si="9"/>
        <v>SILICONE SIKAFLEX 221 PUTIH</v>
      </c>
      <c r="W118" s="1">
        <v>1</v>
      </c>
      <c r="X118" s="769">
        <f>IF(Spek!$A$35=11,11,W118)</f>
        <v>11</v>
      </c>
      <c r="Y118" s="161">
        <f>+IF(bahan1="MDF",8,7)</f>
        <v>7</v>
      </c>
      <c r="Z118" s="161">
        <f>+IF(bahan1="MDF",8,7)</f>
        <v>7</v>
      </c>
      <c r="AA118" s="161">
        <f>+IF(bahan1="MDF",8,7)</f>
        <v>7</v>
      </c>
      <c r="AB118" s="1">
        <v>0</v>
      </c>
      <c r="AE118" t="str">
        <f t="shared" si="7"/>
        <v>ENGSEL CLIP TOP  107 DEG INTEGRATED 75 B 1550 + 173 L 6100</v>
      </c>
      <c r="AF118" t="str">
        <f>Hand2</f>
        <v>MH-02 Brown Doff ( Alm. 86706 ) P3 coak standart</v>
      </c>
      <c r="AG118" s="1">
        <v>1</v>
      </c>
    </row>
    <row r="119" spans="1:33" outlineLevel="1">
      <c r="A119" s="476" t="s">
        <v>2963</v>
      </c>
      <c r="B119" s="230" t="s">
        <v>1768</v>
      </c>
      <c r="C119" s="227" t="s">
        <v>2267</v>
      </c>
      <c r="D119" s="129">
        <f t="shared" si="8"/>
        <v>271</v>
      </c>
      <c r="E119" s="62" t="s">
        <v>3238</v>
      </c>
      <c r="G119" s="216">
        <v>0</v>
      </c>
      <c r="I119" s="372" t="str">
        <f t="shared" si="6"/>
        <v>Ply</v>
      </c>
      <c r="J119" s="217">
        <v>18</v>
      </c>
      <c r="T119" s="34" t="str">
        <f t="shared" si="9"/>
        <v>SILICONE SIKAFLEX 221 PUTIH</v>
      </c>
      <c r="W119" s="1">
        <v>1</v>
      </c>
      <c r="X119" s="769">
        <f>IF(Spek!$A$35=11,11,W119)</f>
        <v>11</v>
      </c>
      <c r="Y119" s="161">
        <f>+IF(bahan1="MDF",8,7)</f>
        <v>7</v>
      </c>
      <c r="Z119" s="1">
        <v>0</v>
      </c>
      <c r="AA119" s="161">
        <f>+IF(bahan1="MDF",8,7)</f>
        <v>7</v>
      </c>
      <c r="AB119" s="161">
        <f>+IF(bahan1="MDF",8,7)</f>
        <v>7</v>
      </c>
      <c r="AE119" t="str">
        <f t="shared" si="7"/>
        <v>ENGSEL CLIP TOP  107 DEG INTEGRATED 75 B 1550 + 173 L 6100</v>
      </c>
      <c r="AF119" t="str">
        <f>Hand1</f>
        <v>MH-02 Brown Doff ( Alm. 86706 ) P3</v>
      </c>
      <c r="AG119" s="1">
        <v>1</v>
      </c>
    </row>
    <row r="120" spans="1:33" outlineLevel="1">
      <c r="A120" s="476" t="s">
        <v>2963</v>
      </c>
      <c r="B120" s="230" t="s">
        <v>1768</v>
      </c>
      <c r="C120" s="227" t="s">
        <v>1814</v>
      </c>
      <c r="D120" s="129">
        <f t="shared" si="8"/>
        <v>272</v>
      </c>
      <c r="E120" s="62" t="s">
        <v>3238</v>
      </c>
      <c r="G120" s="216">
        <v>0</v>
      </c>
      <c r="I120" s="372" t="str">
        <f t="shared" si="6"/>
        <v>Ply</v>
      </c>
      <c r="J120" s="217">
        <v>18</v>
      </c>
      <c r="T120" s="34" t="str">
        <f t="shared" si="9"/>
        <v>SILICONE SIKAFLEX 221 PUTIH</v>
      </c>
      <c r="W120" s="1">
        <v>1</v>
      </c>
      <c r="X120" s="769">
        <f>IF(Spek!$A$35=11,11,W120)</f>
        <v>11</v>
      </c>
      <c r="Y120" s="1">
        <v>1</v>
      </c>
      <c r="Z120" s="1">
        <v>1</v>
      </c>
      <c r="AA120" s="1">
        <v>0</v>
      </c>
      <c r="AB120" s="1">
        <v>0</v>
      </c>
      <c r="AE120" t="str">
        <f t="shared" si="7"/>
        <v>ENGSEL CLIP TOP  107 DEG INTEGRATED 75 B 1550 + 173 L 6100</v>
      </c>
      <c r="AF120" t="str">
        <f t="shared" ref="AF120:AF125" si="11">edging7</f>
        <v>Trim 21 S2/S4 Brown Doff ( Alm. 75181 ) P3</v>
      </c>
      <c r="AG120" s="1">
        <v>2</v>
      </c>
    </row>
    <row r="121" spans="1:33" outlineLevel="1">
      <c r="A121" s="476" t="s">
        <v>2963</v>
      </c>
      <c r="B121" s="230" t="s">
        <v>1768</v>
      </c>
      <c r="C121" s="227" t="s">
        <v>2646</v>
      </c>
      <c r="D121" s="129">
        <f t="shared" si="8"/>
        <v>273</v>
      </c>
      <c r="E121" s="62" t="s">
        <v>3238</v>
      </c>
      <c r="G121" s="216">
        <v>0</v>
      </c>
      <c r="I121" s="372" t="str">
        <f t="shared" si="6"/>
        <v>Ply</v>
      </c>
      <c r="J121" s="217">
        <v>18</v>
      </c>
      <c r="T121" s="34" t="str">
        <f t="shared" si="9"/>
        <v>SILICONE SIKAFLEX 221 PUTIH</v>
      </c>
      <c r="W121" s="1">
        <v>3</v>
      </c>
      <c r="X121" s="769">
        <f>IF(Spek!$A$35=11,11,W121)</f>
        <v>11</v>
      </c>
      <c r="Y121" s="1">
        <v>3</v>
      </c>
      <c r="Z121" s="1">
        <v>3</v>
      </c>
      <c r="AA121" s="1">
        <v>0</v>
      </c>
      <c r="AB121" s="1">
        <v>0</v>
      </c>
      <c r="AE121" t="str">
        <f t="shared" si="7"/>
        <v>ENGSEL CLIP TOP  107 DEG INTEGRATED 75 B 1550 + 173 L 6100</v>
      </c>
      <c r="AF121" t="str">
        <f t="shared" si="11"/>
        <v>Trim 21 S2/S4 Brown Doff ( Alm. 75181 ) P3</v>
      </c>
      <c r="AG121" s="1">
        <v>2</v>
      </c>
    </row>
    <row r="122" spans="1:33" outlineLevel="1">
      <c r="A122" s="476" t="s">
        <v>2963</v>
      </c>
      <c r="B122" s="230" t="s">
        <v>1768</v>
      </c>
      <c r="C122" s="227" t="s">
        <v>3800</v>
      </c>
      <c r="D122" s="129">
        <f t="shared" si="8"/>
        <v>274</v>
      </c>
      <c r="E122" s="62" t="s">
        <v>3238</v>
      </c>
      <c r="G122" s="216">
        <v>0</v>
      </c>
      <c r="I122" s="372" t="str">
        <f t="shared" si="6"/>
        <v>Ply</v>
      </c>
      <c r="J122" s="217">
        <v>18</v>
      </c>
      <c r="T122" s="34" t="str">
        <f t="shared" si="9"/>
        <v>SILICONE SIKAFLEX 221 PUTIH</v>
      </c>
      <c r="W122" s="1">
        <v>5</v>
      </c>
      <c r="X122" s="769">
        <f>IF(Spek!$A$35=11,11,W122)</f>
        <v>11</v>
      </c>
      <c r="Y122" s="1">
        <v>5</v>
      </c>
      <c r="Z122" s="1">
        <v>5</v>
      </c>
      <c r="AA122" s="1">
        <v>0</v>
      </c>
      <c r="AB122" s="1">
        <v>0</v>
      </c>
      <c r="AE122" t="str">
        <f t="shared" si="7"/>
        <v>ENGSEL CLIP TOP  107 DEG INTEGRATED 75 B 1550 + 173 L 6100</v>
      </c>
      <c r="AF122" t="str">
        <f t="shared" si="11"/>
        <v>Trim 21 S2/S4 Brown Doff ( Alm. 75181 ) P3</v>
      </c>
      <c r="AG122" s="1">
        <v>2</v>
      </c>
    </row>
    <row r="123" spans="1:33" outlineLevel="1">
      <c r="A123" s="476" t="s">
        <v>2963</v>
      </c>
      <c r="B123" s="230" t="s">
        <v>1768</v>
      </c>
      <c r="C123" s="227" t="s">
        <v>2268</v>
      </c>
      <c r="D123" s="129">
        <f t="shared" si="8"/>
        <v>275</v>
      </c>
      <c r="E123" s="62" t="s">
        <v>3238</v>
      </c>
      <c r="G123" s="216">
        <v>0</v>
      </c>
      <c r="I123" s="372" t="str">
        <f t="shared" si="6"/>
        <v>Ply</v>
      </c>
      <c r="J123" s="217">
        <v>18</v>
      </c>
      <c r="T123" s="34" t="str">
        <f t="shared" si="9"/>
        <v>SILICONE SIKAFLEX 221 PUTIH</v>
      </c>
      <c r="W123" s="1">
        <v>1</v>
      </c>
      <c r="X123" s="769">
        <f>IF(Spek!$A$35=11,11,W123)</f>
        <v>11</v>
      </c>
      <c r="Y123" s="1">
        <v>1</v>
      </c>
      <c r="Z123" s="1">
        <v>1</v>
      </c>
      <c r="AA123" s="1">
        <v>0</v>
      </c>
      <c r="AB123" s="1">
        <v>0</v>
      </c>
      <c r="AE123" t="str">
        <f t="shared" si="7"/>
        <v>ENGSEL CLIP TOP  107 DEG INTEGRATED 75 B 1550 + 173 L 6100</v>
      </c>
      <c r="AF123" t="str">
        <f t="shared" si="11"/>
        <v>Trim 21 S2/S4 Brown Doff ( Alm. 75181 ) P3</v>
      </c>
      <c r="AG123" s="1">
        <v>1</v>
      </c>
    </row>
    <row r="124" spans="1:33" outlineLevel="1">
      <c r="A124" s="476" t="s">
        <v>2963</v>
      </c>
      <c r="B124" s="230" t="s">
        <v>1768</v>
      </c>
      <c r="C124" s="227" t="s">
        <v>2269</v>
      </c>
      <c r="D124" s="129">
        <f t="shared" si="8"/>
        <v>276</v>
      </c>
      <c r="E124" s="62" t="s">
        <v>3238</v>
      </c>
      <c r="G124" s="216">
        <v>0</v>
      </c>
      <c r="I124" s="372" t="str">
        <f t="shared" si="6"/>
        <v>Ply</v>
      </c>
      <c r="J124" s="217">
        <v>18</v>
      </c>
      <c r="T124" s="34" t="str">
        <f t="shared" si="9"/>
        <v>SILICONE SIKAFLEX 221 PUTIH</v>
      </c>
      <c r="W124" s="1">
        <v>1</v>
      </c>
      <c r="X124" s="769">
        <f>IF(Spek!$A$35=11,11,W124)</f>
        <v>11</v>
      </c>
      <c r="Y124" s="1">
        <v>1</v>
      </c>
      <c r="Z124" s="1">
        <v>0</v>
      </c>
      <c r="AA124" s="1">
        <v>0</v>
      </c>
      <c r="AB124" s="1">
        <v>0</v>
      </c>
      <c r="AE124" t="str">
        <f t="shared" si="7"/>
        <v>ENGSEL CLIP TOP  107 DEG INTEGRATED 75 B 1550 + 173 L 6100</v>
      </c>
      <c r="AF124" t="str">
        <f t="shared" si="11"/>
        <v>Trim 21 S2/S4 Brown Doff ( Alm. 75181 ) P3</v>
      </c>
      <c r="AG124" s="1">
        <v>2</v>
      </c>
    </row>
    <row r="125" spans="1:33" outlineLevel="1">
      <c r="A125" s="476" t="s">
        <v>2963</v>
      </c>
      <c r="B125" s="230" t="s">
        <v>1768</v>
      </c>
      <c r="C125" s="227" t="s">
        <v>3896</v>
      </c>
      <c r="D125" s="129">
        <f t="shared" si="8"/>
        <v>277</v>
      </c>
      <c r="E125" s="62" t="s">
        <v>3238</v>
      </c>
      <c r="G125" s="216">
        <v>0</v>
      </c>
      <c r="I125" s="372" t="str">
        <f t="shared" si="6"/>
        <v>Ply</v>
      </c>
      <c r="J125" s="217">
        <v>18</v>
      </c>
      <c r="T125" s="34" t="str">
        <f t="shared" si="9"/>
        <v>SILICONE SIKAFLEX 221 PUTIH</v>
      </c>
      <c r="W125" s="1">
        <v>3</v>
      </c>
      <c r="X125" s="769">
        <f>IF(Spek!$A$35=11,11,W125)</f>
        <v>11</v>
      </c>
      <c r="Y125" s="1">
        <v>3</v>
      </c>
      <c r="Z125" s="1">
        <v>0</v>
      </c>
      <c r="AA125" s="1">
        <v>0</v>
      </c>
      <c r="AB125" s="1">
        <v>0</v>
      </c>
      <c r="AE125" t="str">
        <f t="shared" si="7"/>
        <v>ENGSEL CLIP TOP  107 DEG INTEGRATED 75 B 1550 + 173 L 6100</v>
      </c>
      <c r="AF125" t="str">
        <f t="shared" si="11"/>
        <v>Trim 21 S2/S4 Brown Doff ( Alm. 75181 ) P3</v>
      </c>
      <c r="AG125" s="1">
        <v>2</v>
      </c>
    </row>
    <row r="126" spans="1:33" outlineLevel="1">
      <c r="A126" s="476" t="s">
        <v>2963</v>
      </c>
      <c r="B126" s="230" t="s">
        <v>1768</v>
      </c>
      <c r="C126" s="227" t="s">
        <v>1815</v>
      </c>
      <c r="D126" s="129">
        <f t="shared" si="8"/>
        <v>278</v>
      </c>
      <c r="E126" s="62" t="s">
        <v>3238</v>
      </c>
      <c r="G126" s="216">
        <v>0</v>
      </c>
      <c r="I126" s="372" t="str">
        <f t="shared" si="6"/>
        <v>Ply</v>
      </c>
      <c r="J126" s="217">
        <v>13.5</v>
      </c>
      <c r="T126" s="34" t="str">
        <f t="shared" ref="T126:T142" si="12">seal_putih</f>
        <v>SILICONE SIKAFLEX 221 PUTIH</v>
      </c>
      <c r="W126" s="1">
        <v>22</v>
      </c>
      <c r="X126" s="771">
        <f>IF(Spek!$A$35=11,11,1)</f>
        <v>11</v>
      </c>
      <c r="Y126" s="1">
        <v>1</v>
      </c>
      <c r="Z126" s="1">
        <v>1</v>
      </c>
      <c r="AA126" s="1">
        <v>0</v>
      </c>
      <c r="AB126" s="1">
        <v>0</v>
      </c>
      <c r="AE126" t="str">
        <f t="shared" si="7"/>
        <v>ENGSEL CLIP TOP  107 DEG INTEGRATED 75 B 1550 + 173 L 6100</v>
      </c>
      <c r="AF126" s="504" t="str">
        <f t="shared" ref="AF126:AF131" si="13">IF(bahan5="UPVC",edging7,edging8)</f>
        <v>Trim 22 S2/S4 Brown Doff ( Alm. 75270 ) P3</v>
      </c>
      <c r="AG126" s="1">
        <v>2</v>
      </c>
    </row>
    <row r="127" spans="1:33" outlineLevel="1">
      <c r="A127" s="476" t="s">
        <v>2963</v>
      </c>
      <c r="B127" s="230" t="s">
        <v>1768</v>
      </c>
      <c r="C127" s="227" t="s">
        <v>2758</v>
      </c>
      <c r="D127" s="129">
        <f t="shared" si="8"/>
        <v>279</v>
      </c>
      <c r="E127" s="62" t="s">
        <v>3238</v>
      </c>
      <c r="G127" s="216">
        <v>0</v>
      </c>
      <c r="I127" s="372" t="str">
        <f t="shared" si="6"/>
        <v>Ply</v>
      </c>
      <c r="J127" s="217">
        <v>13.5</v>
      </c>
      <c r="T127" s="34" t="str">
        <f t="shared" si="12"/>
        <v>SILICONE SIKAFLEX 221 PUTIH</v>
      </c>
      <c r="W127" s="1">
        <v>22</v>
      </c>
      <c r="X127" s="771">
        <f>IF(Spek!$A$35=11,11,3)</f>
        <v>11</v>
      </c>
      <c r="Y127" s="1">
        <v>3</v>
      </c>
      <c r="Z127" s="1">
        <v>3</v>
      </c>
      <c r="AA127" s="1">
        <v>0</v>
      </c>
      <c r="AB127" s="1">
        <v>0</v>
      </c>
      <c r="AE127" t="str">
        <f t="shared" si="7"/>
        <v>ENGSEL CLIP TOP  107 DEG INTEGRATED 75 B 1550 + 173 L 6100</v>
      </c>
      <c r="AF127" s="504" t="str">
        <f t="shared" si="13"/>
        <v>Trim 22 S2/S4 Brown Doff ( Alm. 75270 ) P3</v>
      </c>
      <c r="AG127" s="1">
        <v>2</v>
      </c>
    </row>
    <row r="128" spans="1:33" outlineLevel="1">
      <c r="A128" s="476" t="s">
        <v>2963</v>
      </c>
      <c r="B128" s="230" t="s">
        <v>1768</v>
      </c>
      <c r="C128" s="227" t="s">
        <v>2270</v>
      </c>
      <c r="D128" s="129">
        <f t="shared" si="8"/>
        <v>280</v>
      </c>
      <c r="E128" s="62" t="s">
        <v>3238</v>
      </c>
      <c r="G128" s="216">
        <v>0</v>
      </c>
      <c r="I128" s="372" t="str">
        <f t="shared" si="6"/>
        <v>Ply</v>
      </c>
      <c r="J128" s="217">
        <v>13.5</v>
      </c>
      <c r="T128" s="34" t="str">
        <f t="shared" si="12"/>
        <v>SILICONE SIKAFLEX 221 PUTIH</v>
      </c>
      <c r="W128" s="1">
        <v>22</v>
      </c>
      <c r="X128" s="771">
        <f>IF(Spek!$A$35=11,11,1)</f>
        <v>11</v>
      </c>
      <c r="Y128" s="1">
        <v>1</v>
      </c>
      <c r="Z128" s="1">
        <v>1</v>
      </c>
      <c r="AA128" s="1">
        <v>0</v>
      </c>
      <c r="AB128" s="1">
        <v>0</v>
      </c>
      <c r="AE128" t="str">
        <f t="shared" si="7"/>
        <v>ENGSEL CLIP TOP  107 DEG INTEGRATED 75 B 1550 + 173 L 6100</v>
      </c>
      <c r="AF128" s="504" t="str">
        <f t="shared" si="13"/>
        <v>Trim 22 S2/S4 Brown Doff ( Alm. 75270 ) P3</v>
      </c>
      <c r="AG128" s="1">
        <v>1</v>
      </c>
    </row>
    <row r="129" spans="1:33" outlineLevel="1">
      <c r="A129" s="476" t="s">
        <v>2963</v>
      </c>
      <c r="B129" s="230" t="s">
        <v>1768</v>
      </c>
      <c r="C129" s="227" t="s">
        <v>2763</v>
      </c>
      <c r="D129" s="129">
        <f t="shared" si="8"/>
        <v>281</v>
      </c>
      <c r="E129" s="62" t="s">
        <v>3238</v>
      </c>
      <c r="G129" s="216">
        <v>0</v>
      </c>
      <c r="I129" s="372" t="str">
        <f t="shared" si="6"/>
        <v>Ply</v>
      </c>
      <c r="J129" s="217">
        <v>13.5</v>
      </c>
      <c r="T129" s="34" t="str">
        <f t="shared" si="12"/>
        <v>SILICONE SIKAFLEX 221 PUTIH</v>
      </c>
      <c r="W129" s="1">
        <v>22</v>
      </c>
      <c r="X129" s="771">
        <f>IF(Spek!$A$35=11,11,3)</f>
        <v>11</v>
      </c>
      <c r="Y129" s="1">
        <v>3</v>
      </c>
      <c r="Z129" s="1">
        <v>3</v>
      </c>
      <c r="AA129" s="1">
        <v>0</v>
      </c>
      <c r="AB129" s="1">
        <v>0</v>
      </c>
      <c r="AE129" t="str">
        <f t="shared" si="7"/>
        <v>ENGSEL CLIP TOP  107 DEG INTEGRATED 75 B 1550 + 173 L 6100</v>
      </c>
      <c r="AF129" s="504" t="str">
        <f t="shared" si="13"/>
        <v>Trim 22 S2/S4 Brown Doff ( Alm. 75270 ) P3</v>
      </c>
      <c r="AG129" s="1">
        <v>1</v>
      </c>
    </row>
    <row r="130" spans="1:33" outlineLevel="1">
      <c r="A130" s="476" t="s">
        <v>2963</v>
      </c>
      <c r="B130" s="230" t="s">
        <v>1768</v>
      </c>
      <c r="C130" s="227" t="s">
        <v>2271</v>
      </c>
      <c r="D130" s="129">
        <f t="shared" si="8"/>
        <v>282</v>
      </c>
      <c r="E130" s="62" t="s">
        <v>3238</v>
      </c>
      <c r="G130" s="216">
        <v>0</v>
      </c>
      <c r="I130" s="372" t="str">
        <f t="shared" si="6"/>
        <v>Ply</v>
      </c>
      <c r="J130" s="217">
        <v>13.5</v>
      </c>
      <c r="T130" s="34" t="str">
        <f t="shared" si="12"/>
        <v>SILICONE SIKAFLEX 221 PUTIH</v>
      </c>
      <c r="W130" s="1">
        <v>22</v>
      </c>
      <c r="X130" s="771">
        <f>IF(Spek!$A$35=11,11,1)</f>
        <v>11</v>
      </c>
      <c r="Y130" s="1">
        <v>1</v>
      </c>
      <c r="Z130" s="1">
        <v>0</v>
      </c>
      <c r="AA130" s="1">
        <v>0</v>
      </c>
      <c r="AB130" s="1">
        <v>0</v>
      </c>
      <c r="AE130" t="str">
        <f t="shared" si="7"/>
        <v>ENGSEL CLIP TOP  107 DEG INTEGRATED 75 B 1550 + 173 L 6100</v>
      </c>
      <c r="AF130" s="504" t="str">
        <f t="shared" si="13"/>
        <v>Trim 22 S2/S4 Brown Doff ( Alm. 75270 ) P3</v>
      </c>
      <c r="AG130" s="1">
        <v>2</v>
      </c>
    </row>
    <row r="131" spans="1:33" outlineLevel="1">
      <c r="A131" s="476" t="s">
        <v>2963</v>
      </c>
      <c r="B131" s="230" t="s">
        <v>1768</v>
      </c>
      <c r="C131" s="227" t="s">
        <v>2765</v>
      </c>
      <c r="D131" s="129">
        <f t="shared" si="8"/>
        <v>283</v>
      </c>
      <c r="E131" s="62" t="s">
        <v>3238</v>
      </c>
      <c r="G131" s="216">
        <v>0</v>
      </c>
      <c r="I131" s="372" t="str">
        <f t="shared" si="6"/>
        <v>Ply</v>
      </c>
      <c r="J131" s="217">
        <v>13.5</v>
      </c>
      <c r="T131" s="34" t="str">
        <f t="shared" si="12"/>
        <v>SILICONE SIKAFLEX 221 PUTIH</v>
      </c>
      <c r="W131" s="1">
        <v>22</v>
      </c>
      <c r="X131" s="771">
        <f>IF(Spek!$A$35=11,11,3)</f>
        <v>11</v>
      </c>
      <c r="Y131" s="1">
        <v>3</v>
      </c>
      <c r="Z131" s="1">
        <v>0</v>
      </c>
      <c r="AA131" s="1">
        <v>0</v>
      </c>
      <c r="AB131" s="1">
        <v>0</v>
      </c>
      <c r="AE131" t="str">
        <f t="shared" si="7"/>
        <v>ENGSEL CLIP TOP  107 DEG INTEGRATED 75 B 1550 + 173 L 6100</v>
      </c>
      <c r="AF131" s="504" t="str">
        <f t="shared" si="13"/>
        <v>Trim 22 S2/S4 Brown Doff ( Alm. 75270 ) P3</v>
      </c>
      <c r="AG131" s="1">
        <v>2</v>
      </c>
    </row>
    <row r="132" spans="1:33" outlineLevel="1">
      <c r="A132" s="476" t="s">
        <v>2963</v>
      </c>
      <c r="B132" s="230" t="s">
        <v>1768</v>
      </c>
      <c r="C132" s="227" t="s">
        <v>2500</v>
      </c>
      <c r="D132" s="129">
        <f t="shared" si="8"/>
        <v>284</v>
      </c>
      <c r="E132" s="62" t="s">
        <v>3238</v>
      </c>
      <c r="G132" s="216">
        <v>0</v>
      </c>
      <c r="I132" s="372" t="str">
        <f t="shared" si="6"/>
        <v>Ply</v>
      </c>
      <c r="J132" s="217">
        <v>15</v>
      </c>
      <c r="T132" s="34" t="str">
        <f t="shared" si="12"/>
        <v>SILICONE SIKAFLEX 221 PUTIH</v>
      </c>
      <c r="W132" s="1">
        <v>22</v>
      </c>
      <c r="X132" s="771">
        <f>IF(Spek!$A$35=11,11,1)</f>
        <v>11</v>
      </c>
      <c r="Y132" s="1">
        <v>7</v>
      </c>
      <c r="Z132" s="1">
        <v>7</v>
      </c>
      <c r="AA132" s="1">
        <v>7</v>
      </c>
      <c r="AB132" s="1">
        <v>7</v>
      </c>
      <c r="AE132" t="str">
        <f t="shared" si="7"/>
        <v>ENGSEL CLIP TOP  107 DEG INTEGRATED 75 B 1550 + 173 L 6100</v>
      </c>
    </row>
    <row r="133" spans="1:33" outlineLevel="1">
      <c r="A133" s="476" t="s">
        <v>2963</v>
      </c>
      <c r="B133" s="230" t="s">
        <v>1768</v>
      </c>
      <c r="C133" s="227" t="s">
        <v>2840</v>
      </c>
      <c r="D133" s="129">
        <f t="shared" si="8"/>
        <v>285</v>
      </c>
      <c r="E133" s="62" t="s">
        <v>3238</v>
      </c>
      <c r="G133" s="216">
        <v>0</v>
      </c>
      <c r="I133" s="372" t="str">
        <f t="shared" si="6"/>
        <v>Ply</v>
      </c>
      <c r="J133" s="217">
        <v>15</v>
      </c>
      <c r="T133" s="34" t="str">
        <f t="shared" si="12"/>
        <v>SILICONE SIKAFLEX 221 PUTIH</v>
      </c>
      <c r="W133" s="1">
        <v>22</v>
      </c>
      <c r="X133" s="771">
        <f>IF(Spek!$A$35=11,11,1)</f>
        <v>11</v>
      </c>
      <c r="Y133" s="1">
        <v>0</v>
      </c>
      <c r="Z133" s="1">
        <v>7</v>
      </c>
      <c r="AA133" s="1">
        <v>7</v>
      </c>
      <c r="AB133" s="1">
        <v>7</v>
      </c>
      <c r="AE133" t="str">
        <f t="shared" si="7"/>
        <v>ENGSEL CLIP TOP  107 DEG INTEGRATED 75 B 1550 + 173 L 6100</v>
      </c>
      <c r="AF133" t="str">
        <f>Hand1</f>
        <v>MH-02 Brown Doff ( Alm. 86706 ) P3</v>
      </c>
      <c r="AG133" s="1">
        <v>1</v>
      </c>
    </row>
    <row r="134" spans="1:33" outlineLevel="1">
      <c r="A134" s="476" t="s">
        <v>2963</v>
      </c>
      <c r="B134" s="230" t="s">
        <v>1768</v>
      </c>
      <c r="C134" s="227" t="s">
        <v>2472</v>
      </c>
      <c r="D134" s="129">
        <f t="shared" si="8"/>
        <v>286</v>
      </c>
      <c r="E134" s="62" t="s">
        <v>3238</v>
      </c>
      <c r="G134" s="216">
        <v>0</v>
      </c>
      <c r="I134" s="372" t="str">
        <f t="shared" si="6"/>
        <v>Ply</v>
      </c>
      <c r="J134" s="217">
        <v>13.5</v>
      </c>
      <c r="T134" s="34" t="str">
        <f t="shared" si="12"/>
        <v>SILICONE SIKAFLEX 221 PUTIH</v>
      </c>
      <c r="W134" s="1">
        <v>22</v>
      </c>
      <c r="X134" s="771">
        <f>IF(Spek!$A$35=11,11,1)</f>
        <v>11</v>
      </c>
      <c r="Y134" s="1">
        <v>8</v>
      </c>
      <c r="Z134" s="1">
        <v>8</v>
      </c>
      <c r="AA134" s="1">
        <v>8</v>
      </c>
      <c r="AB134" s="1">
        <v>8</v>
      </c>
      <c r="AE134" t="str">
        <f t="shared" si="7"/>
        <v>ENGSEL CLIP TOP  107 DEG INTEGRATED 75 B 1550 + 173 L 6100</v>
      </c>
    </row>
    <row r="135" spans="1:33" outlineLevel="1">
      <c r="A135" s="476" t="s">
        <v>2963</v>
      </c>
      <c r="B135" s="230" t="s">
        <v>1768</v>
      </c>
      <c r="C135" s="227" t="s">
        <v>2473</v>
      </c>
      <c r="D135" s="129">
        <f t="shared" si="8"/>
        <v>287</v>
      </c>
      <c r="E135" s="62" t="s">
        <v>3238</v>
      </c>
      <c r="G135" s="216">
        <v>0</v>
      </c>
      <c r="I135" s="372" t="str">
        <f t="shared" si="6"/>
        <v>Ply</v>
      </c>
      <c r="J135" s="217">
        <v>13.5</v>
      </c>
      <c r="T135" s="34" t="str">
        <f t="shared" si="12"/>
        <v>SILICONE SIKAFLEX 221 PUTIH</v>
      </c>
      <c r="W135" s="1">
        <v>22</v>
      </c>
      <c r="X135" s="771">
        <f>IF(Spek!$A$35=11,11,1)</f>
        <v>11</v>
      </c>
      <c r="Y135" s="1">
        <v>8</v>
      </c>
      <c r="Z135" s="1">
        <v>8</v>
      </c>
      <c r="AA135" s="1">
        <v>8</v>
      </c>
      <c r="AB135" s="1">
        <v>0</v>
      </c>
      <c r="AE135" t="str">
        <f t="shared" si="7"/>
        <v>ENGSEL CLIP TOP  107 DEG INTEGRATED 75 B 1550 + 173 L 6100</v>
      </c>
      <c r="AF135" t="str">
        <f>Hand2</f>
        <v>MH-02 Brown Doff ( Alm. 86706 ) P3 coak standart</v>
      </c>
      <c r="AG135" s="1">
        <v>1</v>
      </c>
    </row>
    <row r="136" spans="1:33" outlineLevel="1">
      <c r="A136" s="476" t="s">
        <v>2963</v>
      </c>
      <c r="B136" s="230" t="s">
        <v>1768</v>
      </c>
      <c r="C136" s="227" t="s">
        <v>2474</v>
      </c>
      <c r="D136" s="129">
        <f t="shared" si="8"/>
        <v>288</v>
      </c>
      <c r="E136" s="62" t="s">
        <v>3238</v>
      </c>
      <c r="G136" s="216">
        <v>0</v>
      </c>
      <c r="I136" s="372" t="str">
        <f t="shared" si="6"/>
        <v>Ply</v>
      </c>
      <c r="J136" s="217">
        <v>13.5</v>
      </c>
      <c r="T136" s="34" t="str">
        <f t="shared" si="12"/>
        <v>SILICONE SIKAFLEX 221 PUTIH</v>
      </c>
      <c r="W136" s="1">
        <v>22</v>
      </c>
      <c r="X136" s="771">
        <f>IF(Spek!$A$35=11,11,1)</f>
        <v>11</v>
      </c>
      <c r="Y136" s="1">
        <v>8</v>
      </c>
      <c r="Z136" s="1">
        <v>0</v>
      </c>
      <c r="AA136" s="1">
        <v>8</v>
      </c>
      <c r="AB136" s="1">
        <v>8</v>
      </c>
      <c r="AE136" t="str">
        <f t="shared" si="7"/>
        <v>ENGSEL CLIP TOP  107 DEG INTEGRATED 75 B 1550 + 173 L 6100</v>
      </c>
      <c r="AF136" t="str">
        <f>Hand1</f>
        <v>MH-02 Brown Doff ( Alm. 86706 ) P3</v>
      </c>
      <c r="AG136" s="1">
        <v>1</v>
      </c>
    </row>
    <row r="137" spans="1:33" outlineLevel="1">
      <c r="A137" s="476" t="s">
        <v>2963</v>
      </c>
      <c r="B137" s="230" t="s">
        <v>1768</v>
      </c>
      <c r="C137" s="227" t="s">
        <v>1816</v>
      </c>
      <c r="D137" s="129">
        <f t="shared" si="8"/>
        <v>289</v>
      </c>
      <c r="E137" s="62" t="s">
        <v>3238</v>
      </c>
      <c r="G137" s="216">
        <v>0</v>
      </c>
      <c r="I137" s="372" t="str">
        <f t="shared" si="6"/>
        <v>Ply</v>
      </c>
      <c r="J137" s="217">
        <v>13.5</v>
      </c>
      <c r="T137" s="34" t="str">
        <f t="shared" si="12"/>
        <v>SILICONE SIKAFLEX 221 PUTIH</v>
      </c>
      <c r="W137" s="1">
        <v>1</v>
      </c>
      <c r="X137" s="769">
        <f>IF(Spek!$A$35=11,11,W137)</f>
        <v>11</v>
      </c>
      <c r="Y137" s="1">
        <v>8</v>
      </c>
      <c r="Z137" s="1">
        <v>8</v>
      </c>
      <c r="AA137" s="1">
        <v>8</v>
      </c>
      <c r="AB137" s="1">
        <v>8</v>
      </c>
      <c r="AE137" t="str">
        <f t="shared" si="7"/>
        <v>ENGSEL CLIP TOP  107 DEG INTEGRATED 75 B 1550 + 173 L 6100</v>
      </c>
    </row>
    <row r="138" spans="1:33" outlineLevel="1">
      <c r="A138" s="476" t="s">
        <v>2963</v>
      </c>
      <c r="B138" s="230" t="s">
        <v>1768</v>
      </c>
      <c r="C138" s="227" t="s">
        <v>2799</v>
      </c>
      <c r="D138" s="129">
        <f t="shared" si="8"/>
        <v>290</v>
      </c>
      <c r="E138" s="62" t="s">
        <v>3238</v>
      </c>
      <c r="G138" s="216">
        <v>0</v>
      </c>
      <c r="I138" s="372" t="str">
        <f t="shared" si="6"/>
        <v>Ply</v>
      </c>
      <c r="J138" s="217">
        <v>13.5</v>
      </c>
      <c r="T138" s="34" t="str">
        <f t="shared" si="12"/>
        <v>SILICONE SIKAFLEX 221 PUTIH</v>
      </c>
      <c r="W138" s="1">
        <v>3</v>
      </c>
      <c r="X138" s="769">
        <f>IF(Spek!$A$35=11,11,W138)</f>
        <v>11</v>
      </c>
      <c r="Y138" s="1">
        <v>8</v>
      </c>
      <c r="Z138" s="1">
        <v>8</v>
      </c>
      <c r="AA138" s="1">
        <v>8</v>
      </c>
      <c r="AB138" s="1">
        <v>8</v>
      </c>
      <c r="AE138" t="str">
        <f t="shared" si="7"/>
        <v>ENGSEL CLIP TOP  107 DEG INTEGRATED 75 B 1550 + 173 L 6100</v>
      </c>
    </row>
    <row r="139" spans="1:33" outlineLevel="1">
      <c r="A139" s="476" t="s">
        <v>2963</v>
      </c>
      <c r="B139" s="230" t="s">
        <v>1768</v>
      </c>
      <c r="C139" s="227" t="s">
        <v>2272</v>
      </c>
      <c r="D139" s="129">
        <f t="shared" si="8"/>
        <v>291</v>
      </c>
      <c r="E139" s="62" t="s">
        <v>3238</v>
      </c>
      <c r="G139" s="216">
        <v>0</v>
      </c>
      <c r="I139" s="372" t="str">
        <f t="shared" si="6"/>
        <v>Ply</v>
      </c>
      <c r="J139" s="217">
        <v>13.5</v>
      </c>
      <c r="T139" s="34" t="str">
        <f t="shared" si="12"/>
        <v>SILICONE SIKAFLEX 221 PUTIH</v>
      </c>
      <c r="W139" s="1">
        <v>1</v>
      </c>
      <c r="X139" s="769">
        <f>IF(Spek!$A$35=11,11,W139)</f>
        <v>11</v>
      </c>
      <c r="Y139" s="1">
        <v>8</v>
      </c>
      <c r="Z139" s="1">
        <v>8</v>
      </c>
      <c r="AA139" s="1">
        <v>8</v>
      </c>
      <c r="AB139" s="1">
        <v>0</v>
      </c>
      <c r="AE139" t="str">
        <f t="shared" si="7"/>
        <v>ENGSEL CLIP TOP  107 DEG INTEGRATED 75 B 1550 + 173 L 6100</v>
      </c>
      <c r="AF139" t="str">
        <f>Hand2</f>
        <v>MH-02 Brown Doff ( Alm. 86706 ) P3 coak standart</v>
      </c>
      <c r="AG139" s="1">
        <v>1</v>
      </c>
    </row>
    <row r="140" spans="1:33" outlineLevel="1">
      <c r="A140" s="476" t="s">
        <v>2963</v>
      </c>
      <c r="B140" s="230" t="s">
        <v>1768</v>
      </c>
      <c r="C140" s="227" t="s">
        <v>2797</v>
      </c>
      <c r="D140" s="129">
        <f t="shared" si="8"/>
        <v>292</v>
      </c>
      <c r="E140" s="62" t="s">
        <v>3238</v>
      </c>
      <c r="G140" s="216">
        <v>0</v>
      </c>
      <c r="I140" s="372" t="str">
        <f t="shared" si="6"/>
        <v>Ply</v>
      </c>
      <c r="J140" s="217">
        <v>13.5</v>
      </c>
      <c r="T140" s="34" t="str">
        <f t="shared" si="12"/>
        <v>SILICONE SIKAFLEX 221 PUTIH</v>
      </c>
      <c r="W140" s="1">
        <v>3</v>
      </c>
      <c r="X140" s="769">
        <f>IF(Spek!$A$35=11,11,W140)</f>
        <v>11</v>
      </c>
      <c r="Y140" s="1">
        <v>8</v>
      </c>
      <c r="Z140" s="1">
        <v>8</v>
      </c>
      <c r="AA140" s="1">
        <v>8</v>
      </c>
      <c r="AB140" s="1">
        <v>0</v>
      </c>
      <c r="AE140" t="str">
        <f t="shared" si="7"/>
        <v>ENGSEL CLIP TOP  107 DEG INTEGRATED 75 B 1550 + 173 L 6100</v>
      </c>
      <c r="AF140" t="str">
        <f>Hand2</f>
        <v>MH-02 Brown Doff ( Alm. 86706 ) P3 coak standart</v>
      </c>
      <c r="AG140" s="1">
        <v>1</v>
      </c>
    </row>
    <row r="141" spans="1:33" outlineLevel="1">
      <c r="A141" s="476" t="s">
        <v>2963</v>
      </c>
      <c r="B141" s="230" t="s">
        <v>1768</v>
      </c>
      <c r="C141" s="227" t="s">
        <v>2273</v>
      </c>
      <c r="D141" s="129">
        <f t="shared" si="8"/>
        <v>293</v>
      </c>
      <c r="E141" s="62" t="s">
        <v>3238</v>
      </c>
      <c r="G141" s="216">
        <v>0</v>
      </c>
      <c r="I141" s="372" t="str">
        <f t="shared" si="6"/>
        <v>Ply</v>
      </c>
      <c r="J141" s="217">
        <v>13.5</v>
      </c>
      <c r="T141" s="34" t="str">
        <f t="shared" si="12"/>
        <v>SILICONE SIKAFLEX 221 PUTIH</v>
      </c>
      <c r="W141" s="1">
        <v>1</v>
      </c>
      <c r="X141" s="769">
        <f>IF(Spek!$A$35=11,11,W141)</f>
        <v>11</v>
      </c>
      <c r="Y141" s="1">
        <v>8</v>
      </c>
      <c r="Z141" s="1">
        <v>0</v>
      </c>
      <c r="AA141" s="1">
        <v>8</v>
      </c>
      <c r="AB141" s="1">
        <v>8</v>
      </c>
      <c r="AE141" t="str">
        <f t="shared" si="7"/>
        <v>ENGSEL CLIP TOP  107 DEG INTEGRATED 75 B 1550 + 173 L 6100</v>
      </c>
      <c r="AF141" t="str">
        <f>Hand1</f>
        <v>MH-02 Brown Doff ( Alm. 86706 ) P3</v>
      </c>
      <c r="AG141" s="1">
        <v>1</v>
      </c>
    </row>
    <row r="142" spans="1:33" outlineLevel="1">
      <c r="A142" s="476" t="s">
        <v>2963</v>
      </c>
      <c r="B142" s="230" t="s">
        <v>1768</v>
      </c>
      <c r="C142" s="227" t="s">
        <v>2798</v>
      </c>
      <c r="D142" s="129">
        <f t="shared" si="8"/>
        <v>294</v>
      </c>
      <c r="E142" s="62" t="s">
        <v>3238</v>
      </c>
      <c r="G142" s="216">
        <v>0</v>
      </c>
      <c r="I142" s="372" t="str">
        <f t="shared" si="6"/>
        <v>Ply</v>
      </c>
      <c r="J142" s="217">
        <v>13.5</v>
      </c>
      <c r="T142" s="34" t="str">
        <f t="shared" si="12"/>
        <v>SILICONE SIKAFLEX 221 PUTIH</v>
      </c>
      <c r="W142" s="1">
        <v>3</v>
      </c>
      <c r="X142" s="769">
        <f>IF(Spek!$A$35=11,11,W142)</f>
        <v>11</v>
      </c>
      <c r="Y142" s="1">
        <v>8</v>
      </c>
      <c r="Z142" s="1">
        <v>0</v>
      </c>
      <c r="AA142" s="1">
        <v>8</v>
      </c>
      <c r="AB142" s="1">
        <v>8</v>
      </c>
      <c r="AE142" t="str">
        <f t="shared" si="7"/>
        <v>ENGSEL CLIP TOP  107 DEG INTEGRATED 75 B 1550 + 173 L 6100</v>
      </c>
      <c r="AF142" t="str">
        <f>Hand1</f>
        <v>MH-02 Brown Doff ( Alm. 86706 ) P3</v>
      </c>
      <c r="AG142" s="1">
        <v>1</v>
      </c>
    </row>
    <row r="143" spans="1:33" outlineLevel="1">
      <c r="A143" s="476" t="s">
        <v>2963</v>
      </c>
      <c r="B143" s="230" t="s">
        <v>1768</v>
      </c>
      <c r="C143" s="227" t="s">
        <v>1817</v>
      </c>
      <c r="D143" s="129">
        <f t="shared" si="8"/>
        <v>295</v>
      </c>
      <c r="E143" s="62" t="s">
        <v>3238</v>
      </c>
      <c r="G143" s="216">
        <v>1</v>
      </c>
      <c r="I143" s="372" t="str">
        <f t="shared" si="6"/>
        <v>Ply</v>
      </c>
      <c r="J143" s="217">
        <v>12</v>
      </c>
      <c r="T143" s="34">
        <f t="shared" ref="T143:T153" si="14">Prof_pintu_3</f>
        <v>0</v>
      </c>
      <c r="U143" s="34" t="str">
        <f t="shared" ref="U143:U151" si="15">prof_pintu_2</f>
        <v>PROFIL MLP 04 MDF HIJAU UK 2350X14X14</v>
      </c>
      <c r="W143" s="474">
        <f>Spek!$A$37</f>
        <v>0</v>
      </c>
      <c r="X143" s="769">
        <f>IF(Spek!$A$35=11,11,W143)</f>
        <v>11</v>
      </c>
      <c r="Y143" s="1">
        <v>0</v>
      </c>
      <c r="Z143" s="1">
        <v>0</v>
      </c>
      <c r="AA143" s="1">
        <v>0</v>
      </c>
      <c r="AB143" s="1">
        <v>0</v>
      </c>
      <c r="AE143" t="str">
        <f t="shared" si="7"/>
        <v>ENGSEL CLIP TOP  107 DEG INTEGRATED 75 B 1550 + 173 L 6100</v>
      </c>
    </row>
    <row r="144" spans="1:33" outlineLevel="1">
      <c r="A144" s="476" t="s">
        <v>2963</v>
      </c>
      <c r="B144" s="230" t="s">
        <v>1768</v>
      </c>
      <c r="C144" s="227" t="s">
        <v>4139</v>
      </c>
      <c r="D144" s="129">
        <f t="shared" si="8"/>
        <v>296</v>
      </c>
      <c r="E144" s="62" t="s">
        <v>3238</v>
      </c>
      <c r="G144" s="216">
        <v>1</v>
      </c>
      <c r="I144" s="372" t="str">
        <f t="shared" si="6"/>
        <v>Ply</v>
      </c>
      <c r="J144" s="217">
        <v>18</v>
      </c>
      <c r="T144" s="34">
        <f>prof_pintu_1</f>
        <v>0</v>
      </c>
      <c r="W144" s="474">
        <f>Spek!$A$37</f>
        <v>0</v>
      </c>
      <c r="X144" s="769">
        <f>IF(Spek!$A$35=11,11,W144)</f>
        <v>11</v>
      </c>
      <c r="Y144" s="1">
        <v>0</v>
      </c>
      <c r="Z144" s="1">
        <v>0</v>
      </c>
      <c r="AA144" s="1">
        <v>0</v>
      </c>
      <c r="AB144" s="1">
        <v>0</v>
      </c>
      <c r="AE144" t="str">
        <f>engsel_profil</f>
        <v>ENGSEL PROFILE TEBAL PINTU 24 MM 71 B 9550 + 173 L 6100</v>
      </c>
    </row>
    <row r="145" spans="1:33" outlineLevel="1">
      <c r="A145" s="476" t="s">
        <v>2963</v>
      </c>
      <c r="B145" s="230" t="s">
        <v>1768</v>
      </c>
      <c r="C145" s="227" t="s">
        <v>3223</v>
      </c>
      <c r="D145" s="129">
        <f t="shared" si="8"/>
        <v>297</v>
      </c>
      <c r="E145" s="62" t="s">
        <v>3238</v>
      </c>
      <c r="G145" s="216">
        <v>1</v>
      </c>
      <c r="I145" s="372" t="str">
        <f t="shared" si="6"/>
        <v>Ply</v>
      </c>
      <c r="J145" s="217">
        <v>12</v>
      </c>
      <c r="T145" s="34">
        <f t="shared" si="14"/>
        <v>0</v>
      </c>
      <c r="U145" s="34" t="str">
        <f t="shared" si="15"/>
        <v>PROFIL MLP 04 MDF HIJAU UK 2350X14X14</v>
      </c>
      <c r="V145" s="34">
        <f>prof_pintu_1</f>
        <v>0</v>
      </c>
      <c r="W145" s="474">
        <f>Spek!$A$37</f>
        <v>0</v>
      </c>
      <c r="X145" s="769">
        <f>IF(Spek!$A$35=11,11,W145)</f>
        <v>11</v>
      </c>
      <c r="Y145" s="1">
        <v>0</v>
      </c>
      <c r="Z145" s="1">
        <v>0</v>
      </c>
      <c r="AA145" s="1">
        <v>0</v>
      </c>
      <c r="AB145" s="1">
        <v>0</v>
      </c>
      <c r="AE145" t="str">
        <f t="shared" si="7"/>
        <v>ENGSEL CLIP TOP  107 DEG INTEGRATED 75 B 1550 + 173 L 6100</v>
      </c>
      <c r="AF145" t="str">
        <f>Hand2</f>
        <v>MH-02 Brown Doff ( Alm. 86706 ) P3 coak standart</v>
      </c>
      <c r="AG145" s="1">
        <v>1</v>
      </c>
    </row>
    <row r="146" spans="1:33" outlineLevel="1">
      <c r="A146" s="476" t="s">
        <v>2963</v>
      </c>
      <c r="B146" s="230" t="s">
        <v>1768</v>
      </c>
      <c r="C146" s="227" t="s">
        <v>4050</v>
      </c>
      <c r="D146" s="129">
        <f t="shared" si="8"/>
        <v>298</v>
      </c>
      <c r="E146" s="62" t="s">
        <v>3238</v>
      </c>
      <c r="G146" s="216">
        <v>1</v>
      </c>
      <c r="I146" s="372" t="str">
        <f t="shared" si="6"/>
        <v>Ply</v>
      </c>
      <c r="J146" s="217">
        <v>12</v>
      </c>
      <c r="T146" s="34">
        <f t="shared" si="14"/>
        <v>0</v>
      </c>
      <c r="U146" s="34" t="str">
        <f t="shared" si="15"/>
        <v>PROFIL MLP 04 MDF HIJAU UK 2350X14X14</v>
      </c>
      <c r="V146" s="34">
        <f>prof_pintu_1</f>
        <v>0</v>
      </c>
      <c r="W146" s="474">
        <f>Spek!$A$37</f>
        <v>0</v>
      </c>
      <c r="X146" s="769">
        <f>IF(Spek!$A$35=11,11,W146)</f>
        <v>11</v>
      </c>
      <c r="Y146" s="1">
        <v>0</v>
      </c>
      <c r="Z146" s="1">
        <v>0</v>
      </c>
      <c r="AA146" s="1">
        <v>0</v>
      </c>
      <c r="AB146" s="1">
        <v>0</v>
      </c>
      <c r="AE146" t="str">
        <f t="shared" si="7"/>
        <v>ENGSEL CLIP TOP  107 DEG INTEGRATED 75 B 1550 + 173 L 6100</v>
      </c>
      <c r="AF146" t="str">
        <f>Hand1</f>
        <v>MH-02 Brown Doff ( Alm. 86706 ) P3</v>
      </c>
      <c r="AG146" s="1">
        <v>1</v>
      </c>
    </row>
    <row r="147" spans="1:33" outlineLevel="1">
      <c r="A147" s="476" t="s">
        <v>2963</v>
      </c>
      <c r="B147" s="230" t="s">
        <v>1768</v>
      </c>
      <c r="C147" s="227" t="s">
        <v>4042</v>
      </c>
      <c r="D147" s="129">
        <f t="shared" si="8"/>
        <v>299</v>
      </c>
      <c r="E147" s="62" t="s">
        <v>3238</v>
      </c>
      <c r="G147" s="216">
        <v>0</v>
      </c>
      <c r="I147" s="372" t="str">
        <f t="shared" si="6"/>
        <v>Ply</v>
      </c>
      <c r="J147" s="217">
        <v>12</v>
      </c>
      <c r="T147" s="34">
        <f t="shared" si="14"/>
        <v>0</v>
      </c>
      <c r="U147" s="34" t="str">
        <f t="shared" si="15"/>
        <v>PROFIL MLP 04 MDF HIJAU UK 2350X14X14</v>
      </c>
      <c r="V147" s="34">
        <f>prof_pintu_1</f>
        <v>0</v>
      </c>
      <c r="W147" s="166">
        <v>1</v>
      </c>
      <c r="X147" s="769">
        <f>IF(Spek!$A$35=11,11,W147)</f>
        <v>11</v>
      </c>
      <c r="Y147" s="1">
        <v>0</v>
      </c>
      <c r="Z147" s="1">
        <v>0</v>
      </c>
      <c r="AA147" s="1">
        <v>0</v>
      </c>
      <c r="AB147" s="1">
        <v>0</v>
      </c>
      <c r="AE147" t="str">
        <f t="shared" si="7"/>
        <v>ENGSEL CLIP TOP  107 DEG INTEGRATED 75 B 1550 + 173 L 6100</v>
      </c>
    </row>
    <row r="148" spans="1:33" outlineLevel="1">
      <c r="A148" s="476" t="s">
        <v>2963</v>
      </c>
      <c r="B148" s="230" t="s">
        <v>1768</v>
      </c>
      <c r="C148" s="227" t="s">
        <v>4043</v>
      </c>
      <c r="D148" s="129">
        <f t="shared" si="8"/>
        <v>300</v>
      </c>
      <c r="E148" s="62" t="s">
        <v>3238</v>
      </c>
      <c r="G148" s="216">
        <v>0</v>
      </c>
      <c r="I148" s="372" t="str">
        <f t="shared" si="6"/>
        <v>Ply</v>
      </c>
      <c r="J148" s="217">
        <v>12</v>
      </c>
      <c r="T148" s="34">
        <f t="shared" si="14"/>
        <v>0</v>
      </c>
      <c r="U148" s="34" t="str">
        <f t="shared" si="15"/>
        <v>PROFIL MLP 04 MDF HIJAU UK 2350X14X14</v>
      </c>
      <c r="V148" s="34">
        <f>prof_pintu_1</f>
        <v>0</v>
      </c>
      <c r="W148" s="166">
        <v>3</v>
      </c>
      <c r="X148" s="769">
        <f>IF(Spek!$A$35=11,11,W148)</f>
        <v>11</v>
      </c>
      <c r="Y148" s="1">
        <v>0</v>
      </c>
      <c r="Z148" s="1">
        <v>0</v>
      </c>
      <c r="AA148" s="1">
        <v>0</v>
      </c>
      <c r="AB148" s="1">
        <v>0</v>
      </c>
      <c r="AE148" t="str">
        <f t="shared" si="7"/>
        <v>ENGSEL CLIP TOP  107 DEG INTEGRATED 75 B 1550 + 173 L 6100</v>
      </c>
    </row>
    <row r="149" spans="1:33" outlineLevel="1">
      <c r="A149" s="476" t="s">
        <v>2963</v>
      </c>
      <c r="B149" s="230" t="s">
        <v>1768</v>
      </c>
      <c r="C149" s="227" t="s">
        <v>4044</v>
      </c>
      <c r="D149" s="129">
        <f t="shared" si="8"/>
        <v>301</v>
      </c>
      <c r="E149" s="62" t="s">
        <v>3238</v>
      </c>
      <c r="G149" s="216">
        <v>0</v>
      </c>
      <c r="I149" s="372" t="str">
        <f t="shared" si="6"/>
        <v>Ply</v>
      </c>
      <c r="J149" s="217">
        <v>12</v>
      </c>
      <c r="T149" s="34">
        <f t="shared" si="14"/>
        <v>0</v>
      </c>
      <c r="U149" s="34" t="str">
        <f t="shared" si="15"/>
        <v>PROFIL MLP 04 MDF HIJAU UK 2350X14X14</v>
      </c>
      <c r="V149" s="34">
        <f>prof_pintu_1</f>
        <v>0</v>
      </c>
      <c r="W149" s="166">
        <v>5</v>
      </c>
      <c r="X149" s="769">
        <f>IF(Spek!$A$35=11,11,W149)</f>
        <v>11</v>
      </c>
      <c r="Y149" s="1">
        <v>0</v>
      </c>
      <c r="Z149" s="1">
        <v>0</v>
      </c>
      <c r="AA149" s="1">
        <v>0</v>
      </c>
      <c r="AB149" s="1">
        <v>0</v>
      </c>
      <c r="AE149" t="str">
        <f t="shared" si="7"/>
        <v>ENGSEL CLIP TOP  107 DEG INTEGRATED 75 B 1550 + 173 L 6100</v>
      </c>
    </row>
    <row r="150" spans="1:33" outlineLevel="1">
      <c r="A150" s="476" t="s">
        <v>2963</v>
      </c>
      <c r="B150" s="230" t="s">
        <v>1768</v>
      </c>
      <c r="C150" s="227" t="s">
        <v>1818</v>
      </c>
      <c r="D150" s="129">
        <f t="shared" si="8"/>
        <v>302</v>
      </c>
      <c r="E150" s="62" t="s">
        <v>3238</v>
      </c>
      <c r="G150" s="216">
        <v>0</v>
      </c>
      <c r="I150" s="372" t="str">
        <f t="shared" si="6"/>
        <v>Ply</v>
      </c>
      <c r="J150" s="217">
        <v>18</v>
      </c>
      <c r="T150" s="34">
        <f t="shared" si="14"/>
        <v>0</v>
      </c>
      <c r="U150" s="34" t="str">
        <f t="shared" si="15"/>
        <v>PROFIL MLP 04 MDF HIJAU UK 2350X14X14</v>
      </c>
      <c r="W150" s="1">
        <v>1</v>
      </c>
      <c r="X150" s="769">
        <f>IF(Spek!$A$35=11,11,W150)</f>
        <v>11</v>
      </c>
      <c r="Y150" s="1">
        <v>1</v>
      </c>
      <c r="Z150" s="1">
        <v>1</v>
      </c>
      <c r="AA150" s="1">
        <v>1</v>
      </c>
      <c r="AB150" s="1">
        <v>1</v>
      </c>
      <c r="AE150" t="str">
        <f t="shared" si="7"/>
        <v>ENGSEL CLIP TOP  107 DEG INTEGRATED 75 B 1550 + 173 L 6100</v>
      </c>
    </row>
    <row r="151" spans="1:33" outlineLevel="1">
      <c r="A151" s="476" t="s">
        <v>2963</v>
      </c>
      <c r="B151" s="230" t="s">
        <v>1768</v>
      </c>
      <c r="C151" s="227" t="s">
        <v>3224</v>
      </c>
      <c r="D151" s="129">
        <f t="shared" si="8"/>
        <v>303</v>
      </c>
      <c r="E151" s="62" t="s">
        <v>3238</v>
      </c>
      <c r="G151" s="216">
        <v>0</v>
      </c>
      <c r="I151" s="372" t="str">
        <f t="shared" si="6"/>
        <v>Ply</v>
      </c>
      <c r="J151" s="217">
        <v>18</v>
      </c>
      <c r="T151" s="34">
        <f t="shared" si="14"/>
        <v>0</v>
      </c>
      <c r="U151" s="34" t="str">
        <f t="shared" si="15"/>
        <v>PROFIL MLP 04 MDF HIJAU UK 2350X14X14</v>
      </c>
      <c r="W151" s="1">
        <v>1</v>
      </c>
      <c r="X151" s="769">
        <f>IF(Spek!$A$35=11,11,W151)</f>
        <v>11</v>
      </c>
      <c r="Y151" s="1">
        <v>1</v>
      </c>
      <c r="Z151" s="1">
        <v>1</v>
      </c>
      <c r="AA151" s="1">
        <v>1</v>
      </c>
      <c r="AB151" s="1">
        <v>1</v>
      </c>
      <c r="AE151" t="str">
        <f t="shared" si="7"/>
        <v>ENGSEL CLIP TOP  107 DEG INTEGRATED 75 B 1550 + 173 L 6100</v>
      </c>
      <c r="AF151" t="str">
        <f>Hand2</f>
        <v>MH-02 Brown Doff ( Alm. 86706 ) P3 coak standart</v>
      </c>
      <c r="AG151" s="1">
        <v>1</v>
      </c>
    </row>
    <row r="152" spans="1:33" outlineLevel="1">
      <c r="A152" s="476" t="s">
        <v>2963</v>
      </c>
      <c r="B152" s="230" t="s">
        <v>1768</v>
      </c>
      <c r="C152" s="227" t="s">
        <v>1819</v>
      </c>
      <c r="D152" s="129">
        <f t="shared" si="8"/>
        <v>304</v>
      </c>
      <c r="E152" s="62" t="s">
        <v>3238</v>
      </c>
      <c r="G152" s="216">
        <v>0</v>
      </c>
      <c r="I152" s="372" t="str">
        <f t="shared" si="6"/>
        <v>Ply</v>
      </c>
      <c r="T152" s="34">
        <f t="shared" si="14"/>
        <v>0</v>
      </c>
      <c r="U152" s="34">
        <f>prof_pintu_1</f>
        <v>0</v>
      </c>
      <c r="X152" s="769">
        <f>IF(Spek!$A$35=11,11,W152)</f>
        <v>11</v>
      </c>
      <c r="AE152" t="str">
        <f t="shared" si="7"/>
        <v>ENGSEL CLIP TOP  107 DEG INTEGRATED 75 B 1550 + 173 L 6100</v>
      </c>
    </row>
    <row r="153" spans="1:33" outlineLevel="1">
      <c r="A153" s="476" t="s">
        <v>2963</v>
      </c>
      <c r="B153" s="230" t="s">
        <v>1768</v>
      </c>
      <c r="C153" s="227" t="s">
        <v>1820</v>
      </c>
      <c r="D153" s="129">
        <f t="shared" si="8"/>
        <v>305</v>
      </c>
      <c r="E153" s="62" t="s">
        <v>3238</v>
      </c>
      <c r="G153" s="216">
        <v>0</v>
      </c>
      <c r="I153" s="372" t="str">
        <f t="shared" si="6"/>
        <v>Ply</v>
      </c>
      <c r="T153" s="34">
        <f t="shared" si="14"/>
        <v>0</v>
      </c>
      <c r="U153" s="34">
        <f>prof_pintu_1</f>
        <v>0</v>
      </c>
      <c r="X153" s="769">
        <f>IF(Spek!$A$35=11,11,W153)</f>
        <v>11</v>
      </c>
      <c r="AE153" t="str">
        <f t="shared" si="7"/>
        <v>ENGSEL CLIP TOP  107 DEG INTEGRATED 75 B 1550 + 173 L 6100</v>
      </c>
    </row>
    <row r="154" spans="1:33" outlineLevel="1">
      <c r="A154" s="476" t="s">
        <v>2963</v>
      </c>
      <c r="B154" s="230" t="s">
        <v>1768</v>
      </c>
      <c r="C154" s="227" t="s">
        <v>2337</v>
      </c>
      <c r="D154" s="129">
        <f t="shared" si="8"/>
        <v>306</v>
      </c>
      <c r="E154" s="62" t="s">
        <v>3238</v>
      </c>
      <c r="G154" s="216">
        <v>0</v>
      </c>
      <c r="I154" s="537" t="str">
        <f>IF(Spek!$D$17="MDF",bahan4,bahan5)</f>
        <v>Ply</v>
      </c>
      <c r="J154" s="217">
        <v>13.5</v>
      </c>
      <c r="W154" s="536">
        <f>IF(Spek!$D$17="MDF",0,7)</f>
        <v>7</v>
      </c>
      <c r="X154" s="769">
        <f>IF(Spek!$A$35=11,11,W154)</f>
        <v>11</v>
      </c>
      <c r="Y154" s="1">
        <v>9</v>
      </c>
      <c r="Z154" s="1">
        <v>9</v>
      </c>
      <c r="AA154" s="1">
        <v>9</v>
      </c>
      <c r="AB154" s="1">
        <v>9</v>
      </c>
      <c r="AE154" t="str">
        <f t="shared" si="7"/>
        <v>ENGSEL CLIP TOP  107 DEG INTEGRATED 75 B 1550 + 173 L 6100</v>
      </c>
    </row>
    <row r="155" spans="1:33" outlineLevel="1">
      <c r="A155" s="476" t="s">
        <v>2963</v>
      </c>
      <c r="B155" s="230" t="s">
        <v>1768</v>
      </c>
      <c r="C155" s="227" t="s">
        <v>3831</v>
      </c>
      <c r="D155" s="129">
        <f t="shared" si="8"/>
        <v>307</v>
      </c>
      <c r="E155" s="62" t="s">
        <v>3238</v>
      </c>
      <c r="G155" s="216">
        <v>0</v>
      </c>
      <c r="I155" s="537" t="str">
        <f>IF(Spek!$D$17="MDF",bahan4,bahan5)</f>
        <v>Ply</v>
      </c>
      <c r="J155" s="217">
        <v>13.5</v>
      </c>
      <c r="W155" s="536">
        <v>1</v>
      </c>
      <c r="X155" s="769">
        <f>IF(Spek!$A$35=11,11,W155)</f>
        <v>11</v>
      </c>
      <c r="Y155" s="1">
        <v>1</v>
      </c>
      <c r="Z155" s="1">
        <v>1</v>
      </c>
      <c r="AA155" s="1">
        <v>1</v>
      </c>
      <c r="AB155" s="1">
        <v>1</v>
      </c>
      <c r="AE155" t="str">
        <f t="shared" si="7"/>
        <v>ENGSEL CLIP TOP  107 DEG INTEGRATED 75 B 1550 + 173 L 6100</v>
      </c>
    </row>
    <row r="156" spans="1:33" outlineLevel="1">
      <c r="A156" s="476" t="s">
        <v>2963</v>
      </c>
      <c r="B156" s="230" t="s">
        <v>1768</v>
      </c>
      <c r="C156" s="227" t="s">
        <v>3832</v>
      </c>
      <c r="D156" s="129">
        <f t="shared" si="8"/>
        <v>308</v>
      </c>
      <c r="E156" s="62" t="s">
        <v>3238</v>
      </c>
      <c r="G156" s="216">
        <v>0</v>
      </c>
      <c r="I156" s="537" t="str">
        <f>IF(Spek!$D$17="MDF",bahan4,bahan5)</f>
        <v>Ply</v>
      </c>
      <c r="J156" s="217">
        <v>13.5</v>
      </c>
      <c r="W156" s="536">
        <v>3</v>
      </c>
      <c r="X156" s="769">
        <f>IF(Spek!$A$35=11,11,W156)</f>
        <v>11</v>
      </c>
      <c r="Y156" s="1">
        <v>3</v>
      </c>
      <c r="Z156" s="1">
        <v>3</v>
      </c>
      <c r="AA156" s="1">
        <v>3</v>
      </c>
      <c r="AB156" s="1">
        <v>3</v>
      </c>
      <c r="AE156" t="str">
        <f t="shared" si="7"/>
        <v>ENGSEL CLIP TOP  107 DEG INTEGRATED 75 B 1550 + 173 L 6100</v>
      </c>
    </row>
    <row r="157" spans="1:33" outlineLevel="1">
      <c r="A157" s="476" t="s">
        <v>2963</v>
      </c>
      <c r="B157" s="230" t="s">
        <v>1768</v>
      </c>
      <c r="C157" s="227" t="s">
        <v>2780</v>
      </c>
      <c r="D157" s="129">
        <f t="shared" si="8"/>
        <v>309</v>
      </c>
      <c r="E157" s="62" t="s">
        <v>3238</v>
      </c>
      <c r="G157" s="216">
        <v>0</v>
      </c>
      <c r="I157" s="537" t="str">
        <f>IF(Spek!$D$17="MDF",bahan4,bahan5)</f>
        <v>Ply</v>
      </c>
      <c r="J157" s="217">
        <v>13.5</v>
      </c>
      <c r="W157" s="536">
        <f>IF(Spek!$D$17="MDF",0,7)</f>
        <v>7</v>
      </c>
      <c r="X157" s="769">
        <f>IF(Spek!$A$35=11,11,W157)</f>
        <v>11</v>
      </c>
      <c r="Y157" s="1">
        <v>9</v>
      </c>
      <c r="Z157" s="1">
        <v>9</v>
      </c>
      <c r="AA157" s="1">
        <v>9</v>
      </c>
      <c r="AB157" s="1">
        <v>0</v>
      </c>
      <c r="AE157" t="str">
        <f t="shared" si="7"/>
        <v>ENGSEL CLIP TOP  107 DEG INTEGRATED 75 B 1550 + 173 L 6100</v>
      </c>
      <c r="AF157" t="str">
        <f>Hand2</f>
        <v>MH-02 Brown Doff ( Alm. 86706 ) P3 coak standart</v>
      </c>
      <c r="AG157" s="1">
        <v>1</v>
      </c>
    </row>
    <row r="158" spans="1:33" outlineLevel="1">
      <c r="A158" s="476" t="s">
        <v>2963</v>
      </c>
      <c r="B158" s="230" t="s">
        <v>1768</v>
      </c>
      <c r="C158" s="227" t="s">
        <v>2421</v>
      </c>
      <c r="D158" s="129">
        <f t="shared" si="8"/>
        <v>310</v>
      </c>
      <c r="E158" s="62" t="s">
        <v>3238</v>
      </c>
      <c r="G158" s="216">
        <v>0</v>
      </c>
      <c r="I158" s="372" t="str">
        <f>bahan5</f>
        <v>Ply</v>
      </c>
      <c r="J158" s="217">
        <v>18</v>
      </c>
      <c r="W158" s="1">
        <v>1</v>
      </c>
      <c r="X158" s="769">
        <f>IF(Spek!$A$35=11,11,W158)</f>
        <v>11</v>
      </c>
      <c r="Y158" s="1">
        <v>1</v>
      </c>
      <c r="Z158" s="1">
        <v>1</v>
      </c>
      <c r="AA158" s="1">
        <v>1</v>
      </c>
      <c r="AB158" s="1">
        <v>1</v>
      </c>
      <c r="AE158" t="str">
        <f>engsel6</f>
        <v>ENGSEL  S 8657i B12 TH52</v>
      </c>
    </row>
    <row r="159" spans="1:33" outlineLevel="1">
      <c r="A159" s="476" t="s">
        <v>2963</v>
      </c>
      <c r="B159" s="230" t="s">
        <v>1768</v>
      </c>
      <c r="C159" s="227" t="s">
        <v>4135</v>
      </c>
      <c r="D159" s="129">
        <f t="shared" si="8"/>
        <v>311</v>
      </c>
      <c r="E159" s="62" t="s">
        <v>3238</v>
      </c>
      <c r="G159" s="216">
        <v>0</v>
      </c>
      <c r="I159" s="372" t="str">
        <f>bahan5</f>
        <v>Ply</v>
      </c>
      <c r="J159" s="217">
        <v>18</v>
      </c>
      <c r="T159" s="34" t="str">
        <f>seal_putih</f>
        <v>SILICONE SIKAFLEX 221 PUTIH</v>
      </c>
      <c r="W159" s="1">
        <v>22</v>
      </c>
      <c r="X159" s="769">
        <f>IF(Spek!$A$35=11,11,W159)</f>
        <v>11</v>
      </c>
      <c r="Y159" s="1">
        <v>0</v>
      </c>
      <c r="Z159" s="1">
        <v>0</v>
      </c>
      <c r="AA159" s="1">
        <v>0</v>
      </c>
      <c r="AB159" s="1">
        <v>0</v>
      </c>
      <c r="AE159" t="str">
        <f t="shared" si="7"/>
        <v>ENGSEL CLIP TOP  107 DEG INTEGRATED 75 B 1550 + 173 L 6100</v>
      </c>
      <c r="AF159" t="str">
        <f>edging7</f>
        <v>Trim 21 S2/S4 Brown Doff ( Alm. 75181 ) P3</v>
      </c>
      <c r="AG159" s="1">
        <v>2</v>
      </c>
    </row>
    <row r="160" spans="1:33" outlineLevel="1">
      <c r="A160" s="476" t="s">
        <v>2963</v>
      </c>
      <c r="B160" s="230" t="s">
        <v>1768</v>
      </c>
      <c r="C160" s="227" t="s">
        <v>4136</v>
      </c>
      <c r="D160" s="129">
        <f t="shared" si="8"/>
        <v>312</v>
      </c>
      <c r="E160" s="62" t="s">
        <v>3238</v>
      </c>
      <c r="G160" s="216">
        <v>0</v>
      </c>
      <c r="I160" s="372" t="str">
        <f>bahan5</f>
        <v>Ply</v>
      </c>
      <c r="J160" s="217">
        <v>18</v>
      </c>
      <c r="T160" s="34" t="str">
        <f>seal_putih</f>
        <v>SILICONE SIKAFLEX 221 PUTIH</v>
      </c>
      <c r="W160" s="1">
        <v>22</v>
      </c>
      <c r="X160" s="769">
        <f>IF(Spek!$A$35=11,11,W160)</f>
        <v>11</v>
      </c>
      <c r="Y160" s="1">
        <v>0</v>
      </c>
      <c r="Z160" s="1">
        <v>7</v>
      </c>
      <c r="AA160" s="1">
        <v>7</v>
      </c>
      <c r="AB160" s="1">
        <v>7</v>
      </c>
      <c r="AE160" t="str">
        <f t="shared" si="7"/>
        <v>ENGSEL CLIP TOP  107 DEG INTEGRATED 75 B 1550 + 173 L 6100</v>
      </c>
      <c r="AF160" t="str">
        <f>Hand1</f>
        <v>MH-02 Brown Doff ( Alm. 86706 ) P3</v>
      </c>
      <c r="AG160" s="1">
        <v>1</v>
      </c>
    </row>
    <row r="161" spans="1:33" outlineLevel="1">
      <c r="A161" s="476" t="s">
        <v>2963</v>
      </c>
      <c r="B161" s="230" t="s">
        <v>1768</v>
      </c>
      <c r="C161" s="227" t="s">
        <v>1821</v>
      </c>
      <c r="D161" s="129">
        <f t="shared" si="8"/>
        <v>313</v>
      </c>
      <c r="E161" s="62" t="s">
        <v>3238</v>
      </c>
      <c r="G161" s="216">
        <v>0</v>
      </c>
    </row>
    <row r="162" spans="1:33" outlineLevel="1">
      <c r="A162" s="476" t="s">
        <v>2963</v>
      </c>
      <c r="B162" s="230" t="s">
        <v>1768</v>
      </c>
      <c r="C162" s="227" t="s">
        <v>1822</v>
      </c>
      <c r="D162" s="129">
        <f t="shared" si="8"/>
        <v>314</v>
      </c>
      <c r="E162" s="62" t="s">
        <v>3238</v>
      </c>
      <c r="G162" s="216">
        <v>0</v>
      </c>
    </row>
    <row r="163" spans="1:33" outlineLevel="1">
      <c r="A163" s="476" t="s">
        <v>2963</v>
      </c>
      <c r="B163" s="230" t="s">
        <v>1768</v>
      </c>
      <c r="C163" s="227" t="s">
        <v>1823</v>
      </c>
      <c r="D163" s="129">
        <f t="shared" si="8"/>
        <v>315</v>
      </c>
      <c r="E163" s="62" t="s">
        <v>3238</v>
      </c>
      <c r="G163" s="216">
        <v>0</v>
      </c>
      <c r="I163" s="372" t="str">
        <f t="shared" ref="I163:I199" si="16">bahan5</f>
        <v>Ply</v>
      </c>
      <c r="J163" s="217">
        <v>18</v>
      </c>
      <c r="W163" s="1">
        <v>1</v>
      </c>
      <c r="X163" s="769">
        <f>IF(Spek!$A$35=11,11,W163)</f>
        <v>11</v>
      </c>
      <c r="Y163" s="1">
        <v>1</v>
      </c>
      <c r="Z163" s="1">
        <v>1</v>
      </c>
      <c r="AA163" s="1">
        <v>1</v>
      </c>
      <c r="AB163" s="1">
        <v>1</v>
      </c>
    </row>
    <row r="164" spans="1:33" outlineLevel="1">
      <c r="A164" s="476" t="s">
        <v>2963</v>
      </c>
      <c r="B164" s="230" t="s">
        <v>1768</v>
      </c>
      <c r="C164" s="227" t="s">
        <v>3072</v>
      </c>
      <c r="D164" s="129">
        <f t="shared" si="8"/>
        <v>316</v>
      </c>
      <c r="E164" s="62" t="s">
        <v>3238</v>
      </c>
      <c r="G164" s="216">
        <v>0</v>
      </c>
      <c r="I164" s="372" t="str">
        <f t="shared" si="16"/>
        <v>Ply</v>
      </c>
      <c r="J164" s="217">
        <v>18</v>
      </c>
      <c r="W164" s="1">
        <v>3</v>
      </c>
      <c r="X164" s="769">
        <f>IF(Spek!$A$35=11,11,W164)</f>
        <v>11</v>
      </c>
      <c r="Y164" s="1">
        <v>3</v>
      </c>
      <c r="Z164" s="1">
        <v>3</v>
      </c>
      <c r="AA164" s="1">
        <v>3</v>
      </c>
      <c r="AB164" s="1">
        <v>3</v>
      </c>
    </row>
    <row r="165" spans="1:33" outlineLevel="1">
      <c r="A165" s="476" t="s">
        <v>2963</v>
      </c>
      <c r="B165" s="230" t="s">
        <v>1768</v>
      </c>
      <c r="C165" s="227" t="s">
        <v>3861</v>
      </c>
      <c r="D165" s="129">
        <f t="shared" si="8"/>
        <v>317</v>
      </c>
      <c r="E165" s="62" t="s">
        <v>1745</v>
      </c>
      <c r="G165" s="216">
        <v>1</v>
      </c>
      <c r="I165" s="372" t="str">
        <f t="shared" si="16"/>
        <v>Ply</v>
      </c>
      <c r="J165" s="217">
        <v>15</v>
      </c>
      <c r="W165" s="1">
        <v>0</v>
      </c>
      <c r="X165" s="769">
        <f>IF(Spek!$A$35=11,11,W165)</f>
        <v>11</v>
      </c>
      <c r="Y165" s="1">
        <v>0</v>
      </c>
      <c r="Z165" s="1">
        <v>0</v>
      </c>
      <c r="AA165" s="1">
        <v>0</v>
      </c>
      <c r="AB165" s="1">
        <v>0</v>
      </c>
    </row>
    <row r="166" spans="1:33" outlineLevel="1">
      <c r="A166" s="476" t="s">
        <v>2963</v>
      </c>
      <c r="B166" s="230" t="s">
        <v>1768</v>
      </c>
      <c r="C166" s="227" t="s">
        <v>1824</v>
      </c>
      <c r="D166" s="129">
        <f t="shared" si="8"/>
        <v>318</v>
      </c>
      <c r="E166" s="62" t="s">
        <v>3238</v>
      </c>
      <c r="G166" s="216">
        <v>1</v>
      </c>
      <c r="H166" s="216">
        <v>1</v>
      </c>
      <c r="I166" s="372" t="str">
        <f t="shared" si="16"/>
        <v>Ply</v>
      </c>
      <c r="J166" s="217">
        <v>3</v>
      </c>
      <c r="W166" s="1">
        <v>22</v>
      </c>
      <c r="X166" s="771">
        <f>IF(Spek!$A$35=11,11,Spek!$A$35)</f>
        <v>11</v>
      </c>
      <c r="Y166" s="1">
        <v>0</v>
      </c>
      <c r="Z166" s="1">
        <v>0</v>
      </c>
      <c r="AA166" s="1">
        <v>0</v>
      </c>
      <c r="AB166" s="1">
        <v>0</v>
      </c>
    </row>
    <row r="167" spans="1:33" outlineLevel="1">
      <c r="A167" s="476" t="s">
        <v>2963</v>
      </c>
      <c r="B167" s="230" t="s">
        <v>1768</v>
      </c>
      <c r="C167" s="227" t="s">
        <v>4382</v>
      </c>
      <c r="D167" s="129">
        <f t="shared" si="8"/>
        <v>319</v>
      </c>
      <c r="E167" s="62" t="s">
        <v>3238</v>
      </c>
      <c r="G167" s="216">
        <v>1</v>
      </c>
      <c r="H167" s="216">
        <v>1</v>
      </c>
      <c r="I167" s="372" t="str">
        <f t="shared" si="16"/>
        <v>Ply</v>
      </c>
      <c r="J167" s="217">
        <v>9</v>
      </c>
      <c r="W167" s="1">
        <v>22</v>
      </c>
      <c r="X167" s="771">
        <f>IF(Spek!$A$35=11,11,Spek!$A$35)</f>
        <v>11</v>
      </c>
      <c r="Y167" s="1">
        <v>0</v>
      </c>
      <c r="Z167" s="1">
        <v>0</v>
      </c>
      <c r="AA167" s="1">
        <v>0</v>
      </c>
      <c r="AB167" s="1">
        <v>0</v>
      </c>
    </row>
    <row r="168" spans="1:33" outlineLevel="1">
      <c r="A168" s="476" t="s">
        <v>2963</v>
      </c>
      <c r="B168" s="230" t="s">
        <v>1768</v>
      </c>
      <c r="C168" s="227" t="s">
        <v>2381</v>
      </c>
      <c r="D168" s="129">
        <f t="shared" si="8"/>
        <v>320</v>
      </c>
      <c r="E168" s="62" t="s">
        <v>1745</v>
      </c>
      <c r="G168" s="216">
        <v>1</v>
      </c>
      <c r="H168" s="216">
        <v>1</v>
      </c>
      <c r="I168" s="372" t="str">
        <f t="shared" si="16"/>
        <v>Ply</v>
      </c>
      <c r="J168" s="217">
        <v>4</v>
      </c>
      <c r="W168" s="1">
        <v>22</v>
      </c>
      <c r="X168" s="1">
        <v>22</v>
      </c>
      <c r="Y168" s="1">
        <v>0</v>
      </c>
      <c r="Z168" s="1">
        <v>0</v>
      </c>
      <c r="AA168" s="1">
        <v>0</v>
      </c>
      <c r="AB168" s="1">
        <v>0</v>
      </c>
    </row>
    <row r="169" spans="1:33" outlineLevel="1">
      <c r="A169" s="476" t="s">
        <v>2963</v>
      </c>
      <c r="B169" s="230" t="s">
        <v>1768</v>
      </c>
      <c r="C169" s="227" t="s">
        <v>1825</v>
      </c>
      <c r="D169" s="129">
        <f t="shared" si="8"/>
        <v>321</v>
      </c>
      <c r="E169" s="62" t="s">
        <v>3238</v>
      </c>
      <c r="G169" s="216">
        <v>0</v>
      </c>
      <c r="I169" s="372" t="str">
        <f t="shared" si="16"/>
        <v>Ply</v>
      </c>
      <c r="J169" s="217">
        <v>18</v>
      </c>
      <c r="W169" s="1">
        <v>1</v>
      </c>
      <c r="X169" s="769">
        <f>IF(Spek!$A$35=11,11,W169)</f>
        <v>11</v>
      </c>
      <c r="Y169" s="1">
        <v>1</v>
      </c>
      <c r="Z169" s="1">
        <v>1</v>
      </c>
      <c r="AA169" s="1">
        <v>1</v>
      </c>
      <c r="AB169" s="1">
        <v>1</v>
      </c>
    </row>
    <row r="170" spans="1:33" outlineLevel="1">
      <c r="A170" s="476" t="s">
        <v>2963</v>
      </c>
      <c r="B170" s="230" t="s">
        <v>1768</v>
      </c>
      <c r="C170" s="227" t="s">
        <v>2470</v>
      </c>
      <c r="D170" s="129">
        <f t="shared" si="8"/>
        <v>322</v>
      </c>
      <c r="E170" s="62" t="s">
        <v>3238</v>
      </c>
      <c r="G170" s="216">
        <v>0</v>
      </c>
      <c r="I170" s="372" t="str">
        <f t="shared" si="16"/>
        <v>Ply</v>
      </c>
      <c r="J170" s="217">
        <v>18</v>
      </c>
      <c r="W170" s="1">
        <v>1</v>
      </c>
      <c r="X170" s="1">
        <f>+W170</f>
        <v>1</v>
      </c>
      <c r="Y170" s="1">
        <v>1</v>
      </c>
      <c r="Z170" s="1">
        <v>1</v>
      </c>
      <c r="AA170" s="1">
        <v>1</v>
      </c>
      <c r="AB170" s="1">
        <v>1</v>
      </c>
    </row>
    <row r="171" spans="1:33" outlineLevel="1">
      <c r="A171" s="476" t="s">
        <v>2963</v>
      </c>
      <c r="B171" s="230" t="s">
        <v>1768</v>
      </c>
      <c r="C171" s="227" t="s">
        <v>2933</v>
      </c>
      <c r="D171" s="129">
        <f t="shared" si="8"/>
        <v>323</v>
      </c>
      <c r="E171" s="62" t="s">
        <v>3238</v>
      </c>
      <c r="G171" s="216">
        <v>0</v>
      </c>
      <c r="I171" s="372" t="str">
        <f t="shared" si="16"/>
        <v>Ply</v>
      </c>
      <c r="J171" s="217">
        <v>18</v>
      </c>
      <c r="W171" s="1">
        <v>3</v>
      </c>
      <c r="X171" s="1">
        <f>+W171</f>
        <v>3</v>
      </c>
      <c r="Y171" s="1">
        <v>3</v>
      </c>
      <c r="Z171" s="1">
        <v>3</v>
      </c>
      <c r="AA171" s="1">
        <v>3</v>
      </c>
      <c r="AB171" s="1">
        <v>3</v>
      </c>
    </row>
    <row r="172" spans="1:33" outlineLevel="1">
      <c r="A172" s="476" t="s">
        <v>2963</v>
      </c>
      <c r="B172" s="230" t="s">
        <v>1768</v>
      </c>
      <c r="C172" s="227" t="s">
        <v>3073</v>
      </c>
      <c r="D172" s="129">
        <f t="shared" si="8"/>
        <v>324</v>
      </c>
      <c r="E172" s="62" t="s">
        <v>3238</v>
      </c>
      <c r="G172" s="216">
        <v>0</v>
      </c>
      <c r="I172" s="372" t="str">
        <f t="shared" si="16"/>
        <v>Ply</v>
      </c>
      <c r="J172" s="217">
        <v>18</v>
      </c>
      <c r="W172" s="1">
        <v>3</v>
      </c>
      <c r="X172" s="769">
        <f>IF(Spek!$A$35=11,11,W172)</f>
        <v>11</v>
      </c>
      <c r="Y172" s="1">
        <v>3</v>
      </c>
      <c r="Z172" s="1">
        <v>3</v>
      </c>
      <c r="AA172" s="1">
        <v>3</v>
      </c>
      <c r="AB172" s="1">
        <v>3</v>
      </c>
    </row>
    <row r="173" spans="1:33" outlineLevel="1">
      <c r="A173" s="476" t="s">
        <v>2963</v>
      </c>
      <c r="B173" s="230" t="s">
        <v>1768</v>
      </c>
      <c r="C173" s="227" t="s">
        <v>3796</v>
      </c>
      <c r="D173" s="129">
        <f t="shared" si="8"/>
        <v>325</v>
      </c>
      <c r="E173" s="62" t="s">
        <v>3238</v>
      </c>
      <c r="G173" s="216">
        <v>0</v>
      </c>
      <c r="I173" s="372" t="str">
        <f t="shared" si="16"/>
        <v>Ply</v>
      </c>
      <c r="J173" s="217">
        <v>18</v>
      </c>
      <c r="W173" s="1">
        <v>5</v>
      </c>
      <c r="X173" s="769">
        <f>IF(Spek!$A$35=11,11,W173)</f>
        <v>11</v>
      </c>
      <c r="Y173" s="1">
        <v>5</v>
      </c>
      <c r="Z173" s="1">
        <v>5</v>
      </c>
      <c r="AA173" s="1">
        <v>5</v>
      </c>
      <c r="AB173" s="1">
        <v>5</v>
      </c>
    </row>
    <row r="174" spans="1:33" outlineLevel="1">
      <c r="A174" s="476" t="s">
        <v>2963</v>
      </c>
      <c r="B174" s="230" t="s">
        <v>1768</v>
      </c>
      <c r="C174" s="227" t="s">
        <v>2369</v>
      </c>
      <c r="D174" s="129">
        <f t="shared" si="8"/>
        <v>326</v>
      </c>
      <c r="E174" s="62" t="s">
        <v>3238</v>
      </c>
      <c r="G174" s="216">
        <v>0</v>
      </c>
      <c r="I174" s="372" t="str">
        <f t="shared" si="16"/>
        <v>Ply</v>
      </c>
      <c r="J174" s="217">
        <v>18</v>
      </c>
      <c r="U174" s="34" t="str">
        <f>seal_putih</f>
        <v>SILICONE SIKAFLEX 221 PUTIH</v>
      </c>
      <c r="W174" s="1">
        <v>1</v>
      </c>
      <c r="X174" s="769">
        <f>IF(Spek!$A$35=11,11,W174)</f>
        <v>11</v>
      </c>
      <c r="Y174" s="1">
        <v>1</v>
      </c>
      <c r="Z174" s="1">
        <v>0</v>
      </c>
      <c r="AA174" s="1">
        <v>1</v>
      </c>
      <c r="AB174" s="1">
        <v>1</v>
      </c>
      <c r="AF174" t="str">
        <f>Hand1</f>
        <v>MH-02 Brown Doff ( Alm. 86706 ) P3</v>
      </c>
      <c r="AG174" s="1">
        <v>1</v>
      </c>
    </row>
    <row r="175" spans="1:33" outlineLevel="1">
      <c r="A175" s="476" t="s">
        <v>2963</v>
      </c>
      <c r="B175" s="230" t="s">
        <v>1768</v>
      </c>
      <c r="C175" s="227" t="s">
        <v>1826</v>
      </c>
      <c r="D175" s="129">
        <f t="shared" si="8"/>
        <v>327</v>
      </c>
      <c r="E175" s="62" t="s">
        <v>3238</v>
      </c>
      <c r="G175" s="216">
        <v>0</v>
      </c>
      <c r="I175" s="372" t="str">
        <f t="shared" si="16"/>
        <v>Ply</v>
      </c>
      <c r="J175" s="217">
        <v>18</v>
      </c>
      <c r="U175" s="34" t="str">
        <f>seal_putih</f>
        <v>SILICONE SIKAFLEX 221 PUTIH</v>
      </c>
      <c r="W175" s="1">
        <v>1</v>
      </c>
      <c r="X175" s="769">
        <f>IF(Spek!$A$35=11,11,W175)</f>
        <v>11</v>
      </c>
      <c r="Y175" s="1">
        <v>1</v>
      </c>
      <c r="Z175" s="1">
        <v>1</v>
      </c>
      <c r="AA175" s="1">
        <v>1</v>
      </c>
      <c r="AB175" s="1">
        <v>0</v>
      </c>
      <c r="AF175" t="str">
        <f>Hand2</f>
        <v>MH-02 Brown Doff ( Alm. 86706 ) P3 coak standart</v>
      </c>
      <c r="AG175" s="1">
        <v>1</v>
      </c>
    </row>
    <row r="176" spans="1:33" outlineLevel="1">
      <c r="A176" s="476" t="s">
        <v>2963</v>
      </c>
      <c r="B176" s="230" t="s">
        <v>1768</v>
      </c>
      <c r="C176" s="227" t="s">
        <v>3797</v>
      </c>
      <c r="D176" s="129">
        <f t="shared" si="8"/>
        <v>328</v>
      </c>
      <c r="E176" s="62" t="s">
        <v>3238</v>
      </c>
      <c r="G176" s="216">
        <v>0</v>
      </c>
      <c r="I176" s="372" t="str">
        <f t="shared" si="16"/>
        <v>Ply</v>
      </c>
      <c r="J176" s="217">
        <v>18</v>
      </c>
      <c r="U176" s="34" t="str">
        <f>seal_putih</f>
        <v>SILICONE SIKAFLEX 221 PUTIH</v>
      </c>
      <c r="W176" s="1">
        <v>3</v>
      </c>
      <c r="X176" s="769">
        <f>IF(Spek!$A$35=11,11,W176)</f>
        <v>11</v>
      </c>
      <c r="Y176" s="1">
        <v>3</v>
      </c>
      <c r="Z176" s="1">
        <v>3</v>
      </c>
      <c r="AA176" s="1">
        <v>3</v>
      </c>
      <c r="AB176" s="1">
        <v>0</v>
      </c>
      <c r="AF176" t="str">
        <f>Hand2</f>
        <v>MH-02 Brown Doff ( Alm. 86706 ) P3 coak standart</v>
      </c>
      <c r="AG176" s="1">
        <v>1</v>
      </c>
    </row>
    <row r="177" spans="1:33" outlineLevel="1">
      <c r="A177" s="476" t="s">
        <v>2963</v>
      </c>
      <c r="B177" s="230" t="s">
        <v>1768</v>
      </c>
      <c r="C177" s="227" t="s">
        <v>1827</v>
      </c>
      <c r="D177" s="129">
        <f t="shared" si="8"/>
        <v>329</v>
      </c>
      <c r="E177" s="62" t="s">
        <v>3238</v>
      </c>
      <c r="G177" s="216">
        <v>0</v>
      </c>
      <c r="I177" s="372" t="str">
        <f t="shared" si="16"/>
        <v>Ply</v>
      </c>
      <c r="J177" s="217">
        <v>18</v>
      </c>
      <c r="T177" s="34" t="str">
        <f>seal_putih</f>
        <v>SILICONE SIKAFLEX 221 PUTIH</v>
      </c>
      <c r="W177" s="1">
        <v>1</v>
      </c>
      <c r="X177" s="769">
        <f>IF(Spek!$A$35=11,11,W177)</f>
        <v>11</v>
      </c>
      <c r="Y177" s="1">
        <v>1</v>
      </c>
      <c r="Z177" s="1">
        <v>1</v>
      </c>
      <c r="AA177" s="1">
        <v>0</v>
      </c>
      <c r="AB177" s="1">
        <v>0</v>
      </c>
      <c r="AF177" t="str">
        <f>edging7</f>
        <v>Trim 21 S2/S4 Brown Doff ( Alm. 75181 ) P3</v>
      </c>
      <c r="AG177" s="1">
        <v>2</v>
      </c>
    </row>
    <row r="178" spans="1:33" outlineLevel="1">
      <c r="A178" s="476" t="s">
        <v>2963</v>
      </c>
      <c r="B178" s="230" t="s">
        <v>1768</v>
      </c>
      <c r="C178" s="227" t="s">
        <v>2760</v>
      </c>
      <c r="D178" s="129">
        <f t="shared" si="8"/>
        <v>330</v>
      </c>
      <c r="E178" s="62" t="s">
        <v>3238</v>
      </c>
      <c r="G178" s="216">
        <v>0</v>
      </c>
      <c r="I178" s="372" t="str">
        <f t="shared" si="16"/>
        <v>Ply</v>
      </c>
      <c r="J178" s="217">
        <v>18</v>
      </c>
      <c r="T178" s="34" t="str">
        <f>seal_putih</f>
        <v>SILICONE SIKAFLEX 221 PUTIH</v>
      </c>
      <c r="W178" s="1">
        <v>3</v>
      </c>
      <c r="X178" s="769">
        <f>IF(Spek!$A$35=11,11,W178)</f>
        <v>11</v>
      </c>
      <c r="Y178" s="1">
        <v>3</v>
      </c>
      <c r="Z178" s="1">
        <v>3</v>
      </c>
      <c r="AA178" s="1">
        <v>0</v>
      </c>
      <c r="AB178" s="1">
        <v>0</v>
      </c>
      <c r="AF178" t="str">
        <f>edging7</f>
        <v>Trim 21 S2/S4 Brown Doff ( Alm. 75181 ) P3</v>
      </c>
      <c r="AG178" s="1">
        <v>2</v>
      </c>
    </row>
    <row r="179" spans="1:33" outlineLevel="1">
      <c r="A179" s="476" t="s">
        <v>2963</v>
      </c>
      <c r="B179" s="230" t="s">
        <v>1768</v>
      </c>
      <c r="C179" s="227" t="s">
        <v>3798</v>
      </c>
      <c r="D179" s="129">
        <f t="shared" si="8"/>
        <v>331</v>
      </c>
      <c r="E179" s="62" t="s">
        <v>3238</v>
      </c>
      <c r="G179" s="216">
        <v>0</v>
      </c>
      <c r="I179" s="372" t="str">
        <f t="shared" si="16"/>
        <v>Ply</v>
      </c>
      <c r="J179" s="217">
        <v>18</v>
      </c>
      <c r="T179" s="34" t="str">
        <f>seal_putih</f>
        <v>SILICONE SIKAFLEX 221 PUTIH</v>
      </c>
      <c r="W179" s="1">
        <v>5</v>
      </c>
      <c r="X179" s="769">
        <f>IF(Spek!$A$35=11,11,W179)</f>
        <v>11</v>
      </c>
      <c r="Y179" s="1">
        <v>5</v>
      </c>
      <c r="Z179" s="1">
        <v>5</v>
      </c>
      <c r="AA179" s="1">
        <v>0</v>
      </c>
      <c r="AB179" s="1">
        <v>0</v>
      </c>
      <c r="AF179" t="str">
        <f>edging7</f>
        <v>Trim 21 S2/S4 Brown Doff ( Alm. 75181 ) P3</v>
      </c>
      <c r="AG179" s="1">
        <v>2</v>
      </c>
    </row>
    <row r="180" spans="1:33" outlineLevel="1">
      <c r="A180" s="476" t="s">
        <v>2963</v>
      </c>
      <c r="B180" s="230" t="s">
        <v>1768</v>
      </c>
      <c r="C180" s="227" t="s">
        <v>2263</v>
      </c>
      <c r="D180" s="129">
        <f t="shared" si="8"/>
        <v>332</v>
      </c>
      <c r="E180" s="62" t="s">
        <v>3238</v>
      </c>
      <c r="G180" s="216">
        <v>0</v>
      </c>
      <c r="I180" s="372" t="str">
        <f t="shared" si="16"/>
        <v>Ply</v>
      </c>
      <c r="J180" s="217">
        <v>18</v>
      </c>
      <c r="T180" s="34" t="str">
        <f>seal_putih</f>
        <v>SILICONE SIKAFLEX 221 PUTIH</v>
      </c>
      <c r="W180" s="1">
        <v>1</v>
      </c>
      <c r="X180" s="769">
        <f>IF(Spek!$A$35=11,11,W180)</f>
        <v>11</v>
      </c>
      <c r="Y180" s="1">
        <v>1</v>
      </c>
      <c r="Z180" s="1">
        <v>1</v>
      </c>
      <c r="AA180" s="1">
        <v>0</v>
      </c>
      <c r="AB180" s="1">
        <v>0</v>
      </c>
      <c r="AF180" t="str">
        <f>edging7</f>
        <v>Trim 21 S2/S4 Brown Doff ( Alm. 75181 ) P3</v>
      </c>
      <c r="AG180" s="1">
        <v>1</v>
      </c>
    </row>
    <row r="181" spans="1:33" outlineLevel="1">
      <c r="A181" s="476" t="s">
        <v>2963</v>
      </c>
      <c r="B181" s="230" t="s">
        <v>1768</v>
      </c>
      <c r="C181" s="227" t="s">
        <v>1828</v>
      </c>
      <c r="D181" s="129">
        <f t="shared" si="8"/>
        <v>333</v>
      </c>
      <c r="E181" s="62" t="s">
        <v>3238</v>
      </c>
      <c r="G181" s="216">
        <v>0</v>
      </c>
      <c r="I181" s="372" t="str">
        <f t="shared" si="16"/>
        <v>Ply</v>
      </c>
      <c r="J181" s="217">
        <v>13.5</v>
      </c>
      <c r="T181" s="34" t="str">
        <f t="shared" ref="T181:T192" si="17">seal_putih</f>
        <v>SILICONE SIKAFLEX 221 PUTIH</v>
      </c>
      <c r="W181" s="1">
        <v>22</v>
      </c>
      <c r="X181" s="771">
        <f>IF(Spek!$A$35=11,11,1)</f>
        <v>11</v>
      </c>
      <c r="Y181" s="1">
        <v>1</v>
      </c>
      <c r="Z181" s="1">
        <v>1</v>
      </c>
      <c r="AA181" s="1">
        <v>0</v>
      </c>
      <c r="AB181" s="1">
        <v>0</v>
      </c>
      <c r="AF181" s="504" t="str">
        <f>IF(bahan5="UPVC",edging7,edging8)</f>
        <v>Trim 22 S2/S4 Brown Doff ( Alm. 75270 ) P3</v>
      </c>
      <c r="AG181" s="1">
        <v>2</v>
      </c>
    </row>
    <row r="182" spans="1:33" outlineLevel="1">
      <c r="A182" s="476" t="s">
        <v>2963</v>
      </c>
      <c r="B182" s="230" t="s">
        <v>1768</v>
      </c>
      <c r="C182" s="227" t="s">
        <v>3099</v>
      </c>
      <c r="D182" s="129">
        <f t="shared" si="8"/>
        <v>334</v>
      </c>
      <c r="E182" s="62" t="s">
        <v>3238</v>
      </c>
      <c r="G182" s="216">
        <v>0</v>
      </c>
      <c r="I182" s="372" t="str">
        <f t="shared" si="16"/>
        <v>Ply</v>
      </c>
      <c r="J182" s="217">
        <v>13.5</v>
      </c>
      <c r="T182" s="34" t="str">
        <f t="shared" si="17"/>
        <v>SILICONE SIKAFLEX 221 PUTIH</v>
      </c>
      <c r="W182" s="1">
        <v>22</v>
      </c>
      <c r="X182" s="771">
        <f>IF(Spek!$A$35=11,11,3)</f>
        <v>11</v>
      </c>
      <c r="Y182" s="1">
        <v>3</v>
      </c>
      <c r="Z182" s="1">
        <v>3</v>
      </c>
      <c r="AA182" s="1">
        <v>0</v>
      </c>
      <c r="AB182" s="1">
        <v>0</v>
      </c>
      <c r="AF182" s="504" t="str">
        <f>IF(bahan5="UPVC",edging7,edging8)</f>
        <v>Trim 22 S2/S4 Brown Doff ( Alm. 75270 ) P3</v>
      </c>
      <c r="AG182" s="1">
        <v>2</v>
      </c>
    </row>
    <row r="183" spans="1:33" outlineLevel="1">
      <c r="A183" s="476" t="s">
        <v>2963</v>
      </c>
      <c r="B183" s="230" t="s">
        <v>1768</v>
      </c>
      <c r="C183" s="227" t="s">
        <v>2264</v>
      </c>
      <c r="D183" s="129">
        <f t="shared" si="8"/>
        <v>335</v>
      </c>
      <c r="E183" s="62" t="s">
        <v>3238</v>
      </c>
      <c r="G183" s="216">
        <v>0</v>
      </c>
      <c r="I183" s="372" t="str">
        <f t="shared" si="16"/>
        <v>Ply</v>
      </c>
      <c r="J183" s="217">
        <v>13.5</v>
      </c>
      <c r="T183" s="34" t="str">
        <f t="shared" si="17"/>
        <v>SILICONE SIKAFLEX 221 PUTIH</v>
      </c>
      <c r="W183" s="1">
        <v>22</v>
      </c>
      <c r="X183" s="771">
        <f>IF(Spek!$A$35=11,11,1)</f>
        <v>11</v>
      </c>
      <c r="Y183" s="1">
        <v>1</v>
      </c>
      <c r="Z183" s="1">
        <v>1</v>
      </c>
      <c r="AA183" s="1">
        <v>0</v>
      </c>
      <c r="AB183" s="1">
        <v>0</v>
      </c>
      <c r="AF183" s="504" t="str">
        <f>IF(bahan5="UPVC",edging7,edging8)</f>
        <v>Trim 22 S2/S4 Brown Doff ( Alm. 75270 ) P3</v>
      </c>
      <c r="AG183" s="1">
        <v>1</v>
      </c>
    </row>
    <row r="184" spans="1:33" outlineLevel="1">
      <c r="A184" s="476" t="s">
        <v>2963</v>
      </c>
      <c r="B184" s="230" t="s">
        <v>1768</v>
      </c>
      <c r="C184" s="227" t="s">
        <v>2764</v>
      </c>
      <c r="D184" s="129">
        <f t="shared" si="8"/>
        <v>336</v>
      </c>
      <c r="E184" s="62" t="s">
        <v>3238</v>
      </c>
      <c r="G184" s="216">
        <v>0</v>
      </c>
      <c r="I184" s="372" t="str">
        <f t="shared" si="16"/>
        <v>Ply</v>
      </c>
      <c r="J184" s="217">
        <v>13.5</v>
      </c>
      <c r="T184" s="34" t="str">
        <f t="shared" si="17"/>
        <v>SILICONE SIKAFLEX 221 PUTIH</v>
      </c>
      <c r="W184" s="1">
        <v>22</v>
      </c>
      <c r="X184" s="771">
        <f>IF(Spek!$A$35=11,11,3)</f>
        <v>11</v>
      </c>
      <c r="Y184" s="1">
        <v>3</v>
      </c>
      <c r="Z184" s="1">
        <v>3</v>
      </c>
      <c r="AA184" s="1">
        <v>0</v>
      </c>
      <c r="AB184" s="1">
        <v>0</v>
      </c>
      <c r="AF184" s="504" t="str">
        <f>IF(bahan5="UPVC",edging7,edging8)</f>
        <v>Trim 22 S2/S4 Brown Doff ( Alm. 75270 ) P3</v>
      </c>
      <c r="AG184" s="1">
        <v>1</v>
      </c>
    </row>
    <row r="185" spans="1:33" outlineLevel="1">
      <c r="A185" s="476" t="s">
        <v>2963</v>
      </c>
      <c r="B185" s="230" t="s">
        <v>1768</v>
      </c>
      <c r="C185" s="227" t="s">
        <v>2743</v>
      </c>
      <c r="D185" s="129">
        <f t="shared" si="8"/>
        <v>337</v>
      </c>
      <c r="E185" s="62" t="s">
        <v>3238</v>
      </c>
      <c r="G185" s="216">
        <v>0</v>
      </c>
      <c r="I185" s="372" t="str">
        <f t="shared" si="16"/>
        <v>Ply</v>
      </c>
      <c r="J185" s="217">
        <v>18</v>
      </c>
      <c r="T185" s="34" t="str">
        <f t="shared" si="17"/>
        <v>SILICONE SIKAFLEX 221 PUTIH</v>
      </c>
      <c r="W185" s="1">
        <v>1</v>
      </c>
      <c r="X185" s="769">
        <f>IF(Spek!$A$35=11,11,W185)</f>
        <v>11</v>
      </c>
      <c r="Y185" s="161">
        <f>+IF(bahan1="MDF",8,7)</f>
        <v>7</v>
      </c>
      <c r="Z185" s="161">
        <f>+IF(bahan1="MDF",8,7)</f>
        <v>7</v>
      </c>
      <c r="AA185" s="161">
        <f>+IF(bahan1="MDF",8,7)</f>
        <v>7</v>
      </c>
      <c r="AB185" s="161">
        <f>+IF(bahan1="MDF",8,7)</f>
        <v>7</v>
      </c>
    </row>
    <row r="186" spans="1:33" outlineLevel="1">
      <c r="A186" s="476" t="s">
        <v>2963</v>
      </c>
      <c r="B186" s="230" t="s">
        <v>1768</v>
      </c>
      <c r="C186" s="227" t="s">
        <v>3085</v>
      </c>
      <c r="D186" s="129">
        <f t="shared" si="8"/>
        <v>338</v>
      </c>
      <c r="E186" s="62" t="s">
        <v>3238</v>
      </c>
      <c r="G186" s="216">
        <v>0</v>
      </c>
      <c r="I186" s="372" t="str">
        <f t="shared" si="16"/>
        <v>Ply</v>
      </c>
      <c r="J186" s="217">
        <v>18</v>
      </c>
      <c r="T186" s="34" t="str">
        <f t="shared" si="17"/>
        <v>SILICONE SIKAFLEX 221 PUTIH</v>
      </c>
      <c r="W186" s="1">
        <v>1</v>
      </c>
      <c r="X186" s="769">
        <f>IF(Spek!$A$35=11,11,W186)</f>
        <v>11</v>
      </c>
      <c r="Y186" s="161">
        <f>+IF(bahan1="MDF",8,7)</f>
        <v>7</v>
      </c>
      <c r="Z186" s="161">
        <f>+IF(bahan1="MDF",8,7)</f>
        <v>7</v>
      </c>
      <c r="AA186" s="161">
        <f>+IF(bahan1="MDF",8,7)</f>
        <v>7</v>
      </c>
      <c r="AB186" s="1">
        <v>0</v>
      </c>
      <c r="AF186" t="str">
        <f>Hand2</f>
        <v>MH-02 Brown Doff ( Alm. 86706 ) P3 coak standart</v>
      </c>
      <c r="AG186" s="1">
        <v>1</v>
      </c>
    </row>
    <row r="187" spans="1:33" outlineLevel="1">
      <c r="A187" s="476" t="s">
        <v>2963</v>
      </c>
      <c r="B187" s="230" t="s">
        <v>1768</v>
      </c>
      <c r="C187" s="227" t="s">
        <v>3086</v>
      </c>
      <c r="D187" s="129">
        <f t="shared" si="8"/>
        <v>339</v>
      </c>
      <c r="E187" s="62" t="s">
        <v>3238</v>
      </c>
      <c r="G187" s="216">
        <v>0</v>
      </c>
      <c r="I187" s="372" t="str">
        <f t="shared" si="16"/>
        <v>Ply</v>
      </c>
      <c r="J187" s="217">
        <v>18</v>
      </c>
      <c r="T187" s="34" t="str">
        <f t="shared" si="17"/>
        <v>SILICONE SIKAFLEX 221 PUTIH</v>
      </c>
      <c r="W187" s="1">
        <v>1</v>
      </c>
      <c r="X187" s="769">
        <f>IF(Spek!$A$35=11,11,W187)</f>
        <v>11</v>
      </c>
      <c r="Y187" s="161">
        <f>+IF(bahan1="MDF",8,7)</f>
        <v>7</v>
      </c>
      <c r="Z187" s="1">
        <v>0</v>
      </c>
      <c r="AA187" s="161">
        <f>+IF(bahan1="MDF",8,7)</f>
        <v>7</v>
      </c>
      <c r="AB187" s="161">
        <f>+IF(bahan1="MDF",8,7)</f>
        <v>7</v>
      </c>
      <c r="AF187" t="str">
        <f>Hand1</f>
        <v>MH-02 Brown Doff ( Alm. 86706 ) P3</v>
      </c>
      <c r="AG187" s="1">
        <v>1</v>
      </c>
    </row>
    <row r="188" spans="1:33" outlineLevel="1">
      <c r="A188" s="476" t="s">
        <v>2963</v>
      </c>
      <c r="B188" s="230" t="s">
        <v>1768</v>
      </c>
      <c r="C188" s="227" t="s">
        <v>2501</v>
      </c>
      <c r="D188" s="129">
        <f t="shared" si="8"/>
        <v>340</v>
      </c>
      <c r="E188" s="62" t="s">
        <v>3238</v>
      </c>
      <c r="G188" s="216">
        <v>0</v>
      </c>
      <c r="I188" s="372" t="str">
        <f t="shared" si="16"/>
        <v>Ply</v>
      </c>
      <c r="J188" s="217">
        <v>15</v>
      </c>
      <c r="T188" s="34" t="str">
        <f t="shared" si="17"/>
        <v>SILICONE SIKAFLEX 221 PUTIH</v>
      </c>
      <c r="W188" s="1">
        <v>22</v>
      </c>
      <c r="X188" s="771">
        <f>IF(Spek!$A$35=11,11,1)</f>
        <v>11</v>
      </c>
      <c r="Y188" s="1">
        <v>7</v>
      </c>
      <c r="Z188" s="1">
        <v>7</v>
      </c>
      <c r="AA188" s="1">
        <v>7</v>
      </c>
      <c r="AB188" s="1">
        <v>7</v>
      </c>
    </row>
    <row r="189" spans="1:33" outlineLevel="1">
      <c r="A189" s="476" t="s">
        <v>2963</v>
      </c>
      <c r="B189" s="230" t="s">
        <v>1768</v>
      </c>
      <c r="C189" s="227" t="s">
        <v>1829</v>
      </c>
      <c r="D189" s="129">
        <f t="shared" si="8"/>
        <v>341</v>
      </c>
      <c r="E189" s="62" t="s">
        <v>3238</v>
      </c>
      <c r="G189" s="216">
        <v>0</v>
      </c>
      <c r="I189" s="372" t="str">
        <f t="shared" si="16"/>
        <v>Ply</v>
      </c>
      <c r="J189" s="217">
        <v>13.5</v>
      </c>
      <c r="T189" s="34" t="str">
        <f t="shared" si="17"/>
        <v>SILICONE SIKAFLEX 221 PUTIH</v>
      </c>
      <c r="W189" s="1">
        <v>22</v>
      </c>
      <c r="X189" s="771">
        <f>IF(Spek!$A$35=11,11,1)</f>
        <v>11</v>
      </c>
      <c r="Y189" s="1">
        <v>8</v>
      </c>
      <c r="Z189" s="1">
        <v>8</v>
      </c>
      <c r="AA189" s="1">
        <v>8</v>
      </c>
      <c r="AB189" s="1">
        <v>8</v>
      </c>
    </row>
    <row r="190" spans="1:33" outlineLevel="1">
      <c r="A190" s="476" t="s">
        <v>2963</v>
      </c>
      <c r="B190" s="230" t="s">
        <v>1768</v>
      </c>
      <c r="C190" s="227" t="s">
        <v>4202</v>
      </c>
      <c r="D190" s="129">
        <f t="shared" si="8"/>
        <v>342</v>
      </c>
      <c r="E190" s="62" t="s">
        <v>3238</v>
      </c>
      <c r="G190" s="216">
        <v>0</v>
      </c>
      <c r="I190" s="372" t="str">
        <f t="shared" si="16"/>
        <v>Ply</v>
      </c>
      <c r="J190" s="217">
        <v>13.5</v>
      </c>
      <c r="T190" s="34" t="str">
        <f t="shared" si="17"/>
        <v>SILICONE SIKAFLEX 221 PUTIH</v>
      </c>
      <c r="W190" s="1">
        <v>22</v>
      </c>
      <c r="X190" s="771">
        <f>IF(Spek!$A$35=11,11,3)</f>
        <v>11</v>
      </c>
      <c r="Y190" s="1">
        <v>8</v>
      </c>
      <c r="Z190" s="1">
        <v>8</v>
      </c>
      <c r="AA190" s="1">
        <v>8</v>
      </c>
      <c r="AB190" s="1">
        <v>8</v>
      </c>
    </row>
    <row r="191" spans="1:33" outlineLevel="1">
      <c r="A191" s="476" t="s">
        <v>2963</v>
      </c>
      <c r="B191" s="230" t="s">
        <v>1768</v>
      </c>
      <c r="C191" s="227" t="s">
        <v>2265</v>
      </c>
      <c r="D191" s="129">
        <f t="shared" si="8"/>
        <v>343</v>
      </c>
      <c r="E191" s="62" t="s">
        <v>3238</v>
      </c>
      <c r="G191" s="216">
        <v>0</v>
      </c>
      <c r="I191" s="372" t="str">
        <f t="shared" si="16"/>
        <v>Ply</v>
      </c>
      <c r="J191" s="217">
        <v>13.5</v>
      </c>
      <c r="T191" s="34" t="str">
        <f t="shared" si="17"/>
        <v>SILICONE SIKAFLEX 221 PUTIH</v>
      </c>
      <c r="W191" s="1">
        <v>22</v>
      </c>
      <c r="X191" s="771">
        <f>IF(Spek!$A$35=11,11,1)</f>
        <v>11</v>
      </c>
      <c r="Y191" s="1">
        <v>8</v>
      </c>
      <c r="Z191" s="1">
        <v>8</v>
      </c>
      <c r="AA191" s="1">
        <v>8</v>
      </c>
      <c r="AB191" s="1">
        <v>0</v>
      </c>
      <c r="AF191" t="str">
        <f>Hand1</f>
        <v>MH-02 Brown Doff ( Alm. 86706 ) P3</v>
      </c>
      <c r="AG191" s="1">
        <v>1</v>
      </c>
    </row>
    <row r="192" spans="1:33" outlineLevel="1">
      <c r="A192" s="476" t="s">
        <v>2963</v>
      </c>
      <c r="B192" s="230" t="s">
        <v>1768</v>
      </c>
      <c r="C192" s="227" t="s">
        <v>4203</v>
      </c>
      <c r="D192" s="129">
        <f t="shared" si="8"/>
        <v>344</v>
      </c>
      <c r="E192" s="62" t="s">
        <v>3238</v>
      </c>
      <c r="G192" s="216">
        <v>0</v>
      </c>
      <c r="I192" s="372" t="str">
        <f t="shared" si="16"/>
        <v>Ply</v>
      </c>
      <c r="J192" s="217">
        <v>13.5</v>
      </c>
      <c r="T192" s="34" t="str">
        <f t="shared" si="17"/>
        <v>SILICONE SIKAFLEX 221 PUTIH</v>
      </c>
      <c r="W192" s="1">
        <v>22</v>
      </c>
      <c r="X192" s="771">
        <f>IF(Spek!$A$35=11,11,3)</f>
        <v>11</v>
      </c>
      <c r="Y192" s="1">
        <v>8</v>
      </c>
      <c r="Z192" s="1">
        <v>8</v>
      </c>
      <c r="AA192" s="1">
        <v>8</v>
      </c>
      <c r="AB192" s="1">
        <v>0</v>
      </c>
      <c r="AF192" t="str">
        <f>Hand1</f>
        <v>MH-02 Brown Doff ( Alm. 86706 ) P3</v>
      </c>
      <c r="AG192" s="1">
        <v>1</v>
      </c>
    </row>
    <row r="193" spans="1:33" outlineLevel="1">
      <c r="A193" s="476" t="s">
        <v>2963</v>
      </c>
      <c r="B193" s="230" t="s">
        <v>1768</v>
      </c>
      <c r="C193" s="227" t="s">
        <v>1830</v>
      </c>
      <c r="D193" s="129">
        <f t="shared" si="8"/>
        <v>345</v>
      </c>
      <c r="E193" s="62" t="s">
        <v>3238</v>
      </c>
      <c r="G193" s="216">
        <v>0</v>
      </c>
      <c r="I193" s="372" t="str">
        <f t="shared" si="16"/>
        <v>Ply</v>
      </c>
      <c r="J193" s="217">
        <v>12</v>
      </c>
      <c r="T193" s="34">
        <f t="shared" ref="T193:T199" si="18">Prof_pintu_3</f>
        <v>0</v>
      </c>
      <c r="U193" s="34" t="str">
        <f t="shared" ref="U193:U199" si="19">prof_pintu_2</f>
        <v>PROFIL MLP 04 MDF HIJAU UK 2350X14X14</v>
      </c>
      <c r="W193" s="474">
        <f>Spek!$A$37</f>
        <v>0</v>
      </c>
      <c r="X193" s="769">
        <f>IF(Spek!$A$35=11,11,W193)</f>
        <v>11</v>
      </c>
      <c r="Y193" s="1">
        <v>0</v>
      </c>
      <c r="Z193" s="1">
        <v>0</v>
      </c>
      <c r="AA193" s="1">
        <v>0</v>
      </c>
      <c r="AB193" s="1">
        <v>0</v>
      </c>
    </row>
    <row r="194" spans="1:33" outlineLevel="1">
      <c r="A194" s="476" t="s">
        <v>2963</v>
      </c>
      <c r="B194" s="230" t="s">
        <v>1768</v>
      </c>
      <c r="C194" s="227" t="s">
        <v>4138</v>
      </c>
      <c r="D194" s="129">
        <f t="shared" si="8"/>
        <v>346</v>
      </c>
      <c r="E194" s="62" t="s">
        <v>3238</v>
      </c>
      <c r="G194" s="216">
        <v>0</v>
      </c>
      <c r="I194" s="372" t="str">
        <f t="shared" si="16"/>
        <v>Ply</v>
      </c>
      <c r="J194" s="217">
        <v>18</v>
      </c>
      <c r="T194" s="34">
        <f>prof_pintu_1</f>
        <v>0</v>
      </c>
      <c r="W194" s="474">
        <f>Spek!$A$37</f>
        <v>0</v>
      </c>
      <c r="X194" s="769">
        <f>IF(Spek!$A$35=11,11,W194)</f>
        <v>11</v>
      </c>
      <c r="Y194" s="1">
        <v>0</v>
      </c>
      <c r="Z194" s="1">
        <v>0</v>
      </c>
      <c r="AA194" s="1">
        <v>0</v>
      </c>
      <c r="AB194" s="1">
        <v>0</v>
      </c>
    </row>
    <row r="195" spans="1:33" outlineLevel="1">
      <c r="A195" s="476" t="s">
        <v>2963</v>
      </c>
      <c r="B195" s="230" t="s">
        <v>1768</v>
      </c>
      <c r="C195" s="227" t="s">
        <v>3225</v>
      </c>
      <c r="D195" s="129">
        <f t="shared" si="8"/>
        <v>347</v>
      </c>
      <c r="E195" s="62" t="s">
        <v>3238</v>
      </c>
      <c r="G195" s="216">
        <v>0</v>
      </c>
      <c r="I195" s="372" t="str">
        <f t="shared" si="16"/>
        <v>Ply</v>
      </c>
      <c r="J195" s="217">
        <v>12</v>
      </c>
      <c r="T195" s="34">
        <f t="shared" si="18"/>
        <v>0</v>
      </c>
      <c r="U195" s="34" t="str">
        <f t="shared" si="19"/>
        <v>PROFIL MLP 04 MDF HIJAU UK 2350X14X14</v>
      </c>
      <c r="V195" s="34">
        <f>prof_pintu_1</f>
        <v>0</v>
      </c>
      <c r="W195" s="474">
        <f>Spek!$A$37</f>
        <v>0</v>
      </c>
      <c r="X195" s="769">
        <f>IF(Spek!$A$35=11,11,W195)</f>
        <v>11</v>
      </c>
      <c r="Y195" s="1">
        <v>0</v>
      </c>
      <c r="Z195" s="1">
        <v>0</v>
      </c>
      <c r="AA195" s="1">
        <v>0</v>
      </c>
      <c r="AB195" s="1">
        <v>0</v>
      </c>
      <c r="AF195" t="str">
        <f>Hand2</f>
        <v>MH-02 Brown Doff ( Alm. 86706 ) P3 coak standart</v>
      </c>
      <c r="AG195" s="1">
        <v>1</v>
      </c>
    </row>
    <row r="196" spans="1:33" outlineLevel="1">
      <c r="A196" s="476" t="s">
        <v>2963</v>
      </c>
      <c r="B196" s="230" t="s">
        <v>1768</v>
      </c>
      <c r="C196" s="227" t="s">
        <v>4049</v>
      </c>
      <c r="D196" s="129">
        <f t="shared" si="8"/>
        <v>348</v>
      </c>
      <c r="E196" s="62" t="s">
        <v>3238</v>
      </c>
      <c r="G196" s="216">
        <v>0</v>
      </c>
      <c r="I196" s="372" t="str">
        <f t="shared" si="16"/>
        <v>Ply</v>
      </c>
      <c r="J196" s="217">
        <v>12</v>
      </c>
      <c r="T196" s="34">
        <f t="shared" si="18"/>
        <v>0</v>
      </c>
      <c r="U196" s="34" t="str">
        <f t="shared" si="19"/>
        <v>PROFIL MLP 04 MDF HIJAU UK 2350X14X14</v>
      </c>
      <c r="V196" s="34">
        <f>prof_pintu_1</f>
        <v>0</v>
      </c>
      <c r="W196" s="474">
        <f>Spek!$A$37</f>
        <v>0</v>
      </c>
      <c r="X196" s="769">
        <f>IF(Spek!$A$35=11,11,W196)</f>
        <v>11</v>
      </c>
      <c r="Y196" s="1">
        <v>0</v>
      </c>
      <c r="Z196" s="1">
        <v>0</v>
      </c>
      <c r="AA196" s="1">
        <v>0</v>
      </c>
      <c r="AB196" s="1">
        <v>0</v>
      </c>
      <c r="AF196" t="str">
        <f>Hand1</f>
        <v>MH-02 Brown Doff ( Alm. 86706 ) P3</v>
      </c>
      <c r="AG196" s="1">
        <v>1</v>
      </c>
    </row>
    <row r="197" spans="1:33" outlineLevel="1">
      <c r="A197" s="476" t="s">
        <v>2963</v>
      </c>
      <c r="B197" s="230" t="s">
        <v>1768</v>
      </c>
      <c r="C197" s="227" t="s">
        <v>4039</v>
      </c>
      <c r="D197" s="129">
        <f t="shared" si="8"/>
        <v>349</v>
      </c>
      <c r="E197" s="62" t="s">
        <v>3238</v>
      </c>
      <c r="G197" s="216">
        <v>0</v>
      </c>
      <c r="I197" s="372" t="str">
        <f t="shared" si="16"/>
        <v>Ply</v>
      </c>
      <c r="J197" s="217">
        <v>12</v>
      </c>
      <c r="T197" s="34">
        <f t="shared" si="18"/>
        <v>0</v>
      </c>
      <c r="U197" s="34" t="str">
        <f t="shared" si="19"/>
        <v>PROFIL MLP 04 MDF HIJAU UK 2350X14X14</v>
      </c>
      <c r="V197" s="34">
        <f>prof_pintu_1</f>
        <v>0</v>
      </c>
      <c r="W197" s="166">
        <v>1</v>
      </c>
      <c r="X197" s="769">
        <f>IF(Spek!$A$35=11,11,W197)</f>
        <v>11</v>
      </c>
      <c r="Y197" s="1">
        <v>0</v>
      </c>
      <c r="Z197" s="1">
        <v>0</v>
      </c>
      <c r="AA197" s="1">
        <v>0</v>
      </c>
      <c r="AB197" s="1">
        <v>0</v>
      </c>
    </row>
    <row r="198" spans="1:33" outlineLevel="1">
      <c r="A198" s="476" t="s">
        <v>2963</v>
      </c>
      <c r="B198" s="230" t="s">
        <v>1768</v>
      </c>
      <c r="C198" s="227" t="s">
        <v>4040</v>
      </c>
      <c r="D198" s="129">
        <f t="shared" si="8"/>
        <v>350</v>
      </c>
      <c r="E198" s="62" t="s">
        <v>3238</v>
      </c>
      <c r="G198" s="216">
        <v>0</v>
      </c>
      <c r="I198" s="372" t="str">
        <f t="shared" si="16"/>
        <v>Ply</v>
      </c>
      <c r="J198" s="217">
        <v>12</v>
      </c>
      <c r="T198" s="34">
        <f t="shared" si="18"/>
        <v>0</v>
      </c>
      <c r="U198" s="34" t="str">
        <f t="shared" si="19"/>
        <v>PROFIL MLP 04 MDF HIJAU UK 2350X14X14</v>
      </c>
      <c r="V198" s="34">
        <f>prof_pintu_1</f>
        <v>0</v>
      </c>
      <c r="W198" s="166">
        <v>3</v>
      </c>
      <c r="X198" s="769">
        <f>IF(Spek!$A$35=11,11,W198)</f>
        <v>11</v>
      </c>
      <c r="Y198" s="1">
        <v>0</v>
      </c>
      <c r="Z198" s="1">
        <v>0</v>
      </c>
      <c r="AA198" s="1">
        <v>0</v>
      </c>
      <c r="AB198" s="1">
        <v>0</v>
      </c>
    </row>
    <row r="199" spans="1:33" outlineLevel="1">
      <c r="A199" s="476" t="s">
        <v>2963</v>
      </c>
      <c r="B199" s="230" t="s">
        <v>1768</v>
      </c>
      <c r="C199" s="227" t="s">
        <v>4041</v>
      </c>
      <c r="D199" s="129">
        <f t="shared" si="8"/>
        <v>351</v>
      </c>
      <c r="E199" s="62" t="s">
        <v>3238</v>
      </c>
      <c r="G199" s="216">
        <v>0</v>
      </c>
      <c r="I199" s="372" t="str">
        <f t="shared" si="16"/>
        <v>Ply</v>
      </c>
      <c r="J199" s="217">
        <v>12</v>
      </c>
      <c r="T199" s="34">
        <f t="shared" si="18"/>
        <v>0</v>
      </c>
      <c r="U199" s="34" t="str">
        <f t="shared" si="19"/>
        <v>PROFIL MLP 04 MDF HIJAU UK 2350X14X14</v>
      </c>
      <c r="V199" s="34">
        <f>prof_pintu_1</f>
        <v>0</v>
      </c>
      <c r="W199" s="166">
        <v>5</v>
      </c>
      <c r="X199" s="769">
        <f>IF(Spek!$A$35=11,11,W199)</f>
        <v>11</v>
      </c>
      <c r="Y199" s="1">
        <v>0</v>
      </c>
      <c r="Z199" s="1">
        <v>0</v>
      </c>
      <c r="AA199" s="1">
        <v>0</v>
      </c>
      <c r="AB199" s="1">
        <v>0</v>
      </c>
    </row>
    <row r="200" spans="1:33" outlineLevel="1">
      <c r="A200" s="476" t="s">
        <v>3129</v>
      </c>
      <c r="B200" s="230" t="s">
        <v>1768</v>
      </c>
      <c r="C200" s="227" t="s">
        <v>2336</v>
      </c>
      <c r="D200" s="129">
        <f t="shared" si="8"/>
        <v>352</v>
      </c>
      <c r="E200" s="62" t="s">
        <v>3238</v>
      </c>
      <c r="G200" s="216">
        <v>0</v>
      </c>
      <c r="I200" s="537" t="str">
        <f>IF(Spek!$D$17="MDF",bahan4,bahan5)</f>
        <v>Ply</v>
      </c>
      <c r="J200" s="217">
        <v>13.5</v>
      </c>
      <c r="W200" s="536">
        <f>IF(Spek!$D$17="MDF",0,7)</f>
        <v>7</v>
      </c>
      <c r="X200" s="769">
        <f>IF(Spek!$A$35=11,11,W200)</f>
        <v>11</v>
      </c>
      <c r="Y200" s="1">
        <v>9</v>
      </c>
      <c r="Z200" s="1">
        <v>9</v>
      </c>
      <c r="AA200" s="1">
        <v>9</v>
      </c>
      <c r="AB200" s="1">
        <v>9</v>
      </c>
    </row>
    <row r="201" spans="1:33" outlineLevel="1">
      <c r="A201" s="476" t="s">
        <v>3129</v>
      </c>
      <c r="B201" s="230" t="s">
        <v>1768</v>
      </c>
      <c r="C201" s="227" t="s">
        <v>4074</v>
      </c>
      <c r="D201" s="129">
        <f t="shared" si="8"/>
        <v>353</v>
      </c>
      <c r="E201" s="62" t="s">
        <v>3238</v>
      </c>
      <c r="G201" s="216">
        <v>0</v>
      </c>
      <c r="I201" s="537" t="str">
        <f>IF(Spek!$D$17="MDF",bahan4,bahan5)</f>
        <v>Ply</v>
      </c>
      <c r="J201" s="217">
        <v>13.5</v>
      </c>
      <c r="W201" s="536">
        <v>1</v>
      </c>
      <c r="X201" s="769">
        <f>IF(Spek!$A$35=11,11,W201)</f>
        <v>11</v>
      </c>
      <c r="Y201" s="1">
        <v>1</v>
      </c>
      <c r="Z201" s="1">
        <v>1</v>
      </c>
      <c r="AA201" s="1">
        <v>1</v>
      </c>
      <c r="AB201" s="1">
        <v>1</v>
      </c>
    </row>
    <row r="202" spans="1:33" outlineLevel="1">
      <c r="A202" s="476" t="s">
        <v>3129</v>
      </c>
      <c r="B202" s="230" t="s">
        <v>1768</v>
      </c>
      <c r="C202" s="227" t="s">
        <v>3466</v>
      </c>
      <c r="D202" s="129">
        <f t="shared" si="8"/>
        <v>354</v>
      </c>
      <c r="E202" s="62" t="s">
        <v>3238</v>
      </c>
      <c r="G202" s="216">
        <v>0</v>
      </c>
      <c r="I202" s="537" t="str">
        <f>IF(Spek!$D$17="MDF",bahan4,bahan5)</f>
        <v>Ply</v>
      </c>
      <c r="J202" s="217">
        <v>13.5</v>
      </c>
      <c r="W202" s="536">
        <v>3</v>
      </c>
      <c r="X202" s="769">
        <f>IF(Spek!$A$35=11,11,W202)</f>
        <v>11</v>
      </c>
      <c r="Y202" s="1">
        <v>3</v>
      </c>
      <c r="Z202" s="1">
        <v>3</v>
      </c>
      <c r="AA202" s="1">
        <v>3</v>
      </c>
      <c r="AB202" s="1">
        <v>3</v>
      </c>
    </row>
    <row r="203" spans="1:33" outlineLevel="1">
      <c r="A203" s="476" t="s">
        <v>2965</v>
      </c>
      <c r="B203" s="230" t="s">
        <v>1768</v>
      </c>
      <c r="C203" s="227" t="s">
        <v>2325</v>
      </c>
      <c r="D203" s="129">
        <f t="shared" si="8"/>
        <v>355</v>
      </c>
      <c r="E203" s="62" t="s">
        <v>3238</v>
      </c>
      <c r="G203" s="216">
        <v>0</v>
      </c>
      <c r="I203" s="372" t="s">
        <v>2326</v>
      </c>
      <c r="J203" s="217">
        <v>2</v>
      </c>
      <c r="W203" s="1">
        <v>0</v>
      </c>
      <c r="X203" s="1">
        <v>0</v>
      </c>
      <c r="Y203" s="1">
        <v>0</v>
      </c>
      <c r="Z203" s="1">
        <v>0</v>
      </c>
      <c r="AA203" s="1">
        <v>0</v>
      </c>
      <c r="AB203" s="1">
        <v>0</v>
      </c>
    </row>
    <row r="204" spans="1:33" outlineLevel="1">
      <c r="A204" s="476" t="s">
        <v>2965</v>
      </c>
      <c r="B204" s="230" t="s">
        <v>1768</v>
      </c>
      <c r="C204" s="227" t="s">
        <v>2880</v>
      </c>
      <c r="D204" s="129">
        <f t="shared" si="8"/>
        <v>356</v>
      </c>
      <c r="E204" s="62" t="s">
        <v>3238</v>
      </c>
      <c r="G204" s="216">
        <v>0</v>
      </c>
      <c r="I204" s="372" t="s">
        <v>2326</v>
      </c>
      <c r="J204" s="217">
        <v>2</v>
      </c>
      <c r="W204" s="1">
        <v>0</v>
      </c>
      <c r="X204" s="1">
        <v>0</v>
      </c>
      <c r="Y204" s="1">
        <v>0</v>
      </c>
      <c r="Z204" s="1">
        <v>0</v>
      </c>
      <c r="AA204" s="1">
        <v>0</v>
      </c>
      <c r="AB204" s="1">
        <v>0</v>
      </c>
    </row>
    <row r="205" spans="1:33" outlineLevel="1">
      <c r="A205" s="476" t="s">
        <v>2965</v>
      </c>
      <c r="B205" s="230" t="s">
        <v>1768</v>
      </c>
      <c r="C205" s="227" t="s">
        <v>4110</v>
      </c>
      <c r="D205" s="129">
        <f t="shared" si="8"/>
        <v>357</v>
      </c>
      <c r="E205" s="62" t="s">
        <v>3238</v>
      </c>
      <c r="G205" s="216">
        <v>0</v>
      </c>
      <c r="I205" s="372" t="s">
        <v>2326</v>
      </c>
      <c r="J205" s="217">
        <v>2</v>
      </c>
      <c r="W205" s="1">
        <v>0</v>
      </c>
      <c r="X205" s="1">
        <v>0</v>
      </c>
      <c r="Y205" s="1">
        <v>0</v>
      </c>
      <c r="Z205" s="1">
        <v>0</v>
      </c>
      <c r="AA205" s="1">
        <v>0</v>
      </c>
      <c r="AB205" s="1">
        <v>0</v>
      </c>
    </row>
    <row r="206" spans="1:33" outlineLevel="1">
      <c r="A206" s="476" t="s">
        <v>2963</v>
      </c>
      <c r="B206" s="230" t="s">
        <v>1768</v>
      </c>
      <c r="C206" s="227" t="s">
        <v>1831</v>
      </c>
      <c r="D206" s="129">
        <f t="shared" si="8"/>
        <v>358</v>
      </c>
      <c r="E206" s="62" t="s">
        <v>1745</v>
      </c>
      <c r="G206" s="216">
        <v>1</v>
      </c>
      <c r="H206" s="216">
        <v>1</v>
      </c>
      <c r="I206" s="372" t="str">
        <f t="shared" ref="I206:I224" si="20">bahan5</f>
        <v>Ply</v>
      </c>
      <c r="J206" s="217">
        <v>18</v>
      </c>
      <c r="W206" s="1">
        <v>11</v>
      </c>
      <c r="X206" s="1">
        <v>11</v>
      </c>
      <c r="Y206" s="1">
        <v>11</v>
      </c>
      <c r="Z206" s="1">
        <v>11</v>
      </c>
      <c r="AA206" s="1">
        <v>11</v>
      </c>
      <c r="AB206" s="1">
        <v>11</v>
      </c>
    </row>
    <row r="207" spans="1:33" outlineLevel="1">
      <c r="A207" s="476" t="s">
        <v>2963</v>
      </c>
      <c r="B207" s="230" t="s">
        <v>1768</v>
      </c>
      <c r="C207" s="227" t="s">
        <v>2516</v>
      </c>
      <c r="D207" s="129">
        <f t="shared" si="8"/>
        <v>359</v>
      </c>
      <c r="E207" s="62" t="s">
        <v>1745</v>
      </c>
      <c r="G207" s="216">
        <v>1</v>
      </c>
      <c r="H207" s="216">
        <v>1</v>
      </c>
      <c r="I207" s="372" t="str">
        <f t="shared" si="20"/>
        <v>Ply</v>
      </c>
      <c r="J207" s="217">
        <v>18</v>
      </c>
      <c r="U207" s="34" t="str">
        <f>seal_putih</f>
        <v>SILICONE SIKAFLEX 221 PUTIH</v>
      </c>
      <c r="W207" s="1">
        <v>11</v>
      </c>
      <c r="X207" s="1">
        <v>11</v>
      </c>
      <c r="Y207" s="1">
        <v>11</v>
      </c>
      <c r="Z207" s="1">
        <v>11</v>
      </c>
      <c r="AA207" s="1">
        <v>11</v>
      </c>
      <c r="AB207" s="1">
        <v>0</v>
      </c>
      <c r="AF207" t="str">
        <f>Hand1</f>
        <v>MH-02 Brown Doff ( Alm. 86706 ) P3</v>
      </c>
      <c r="AG207" s="1">
        <v>1</v>
      </c>
    </row>
    <row r="208" spans="1:33" outlineLevel="1">
      <c r="A208" s="476" t="s">
        <v>2963</v>
      </c>
      <c r="B208" s="230" t="s">
        <v>1768</v>
      </c>
      <c r="C208" s="227" t="s">
        <v>1613</v>
      </c>
      <c r="D208" s="129">
        <f t="shared" si="8"/>
        <v>360</v>
      </c>
      <c r="E208" s="62" t="s">
        <v>3238</v>
      </c>
      <c r="G208" s="216">
        <v>0</v>
      </c>
      <c r="H208" s="216">
        <v>1</v>
      </c>
      <c r="I208" s="372" t="str">
        <f t="shared" si="20"/>
        <v>Ply</v>
      </c>
      <c r="J208" s="217">
        <v>36</v>
      </c>
      <c r="W208" s="1">
        <v>1</v>
      </c>
      <c r="X208" s="1">
        <v>1</v>
      </c>
      <c r="Y208" s="1">
        <v>2</v>
      </c>
      <c r="Z208" s="1">
        <v>2</v>
      </c>
      <c r="AA208" s="1">
        <v>2</v>
      </c>
      <c r="AB208" s="1">
        <v>2</v>
      </c>
    </row>
    <row r="209" spans="1:28" outlineLevel="1">
      <c r="A209" s="476" t="s">
        <v>2963</v>
      </c>
      <c r="B209" s="230" t="s">
        <v>1768</v>
      </c>
      <c r="C209" s="227" t="s">
        <v>2598</v>
      </c>
      <c r="D209" s="129">
        <f t="shared" si="8"/>
        <v>361</v>
      </c>
      <c r="E209" s="62" t="s">
        <v>3238</v>
      </c>
      <c r="G209" s="216">
        <v>0</v>
      </c>
      <c r="H209" s="216">
        <v>1</v>
      </c>
      <c r="I209" s="372" t="str">
        <f t="shared" si="20"/>
        <v>Ply</v>
      </c>
      <c r="J209" s="217">
        <v>36</v>
      </c>
      <c r="W209" s="1">
        <v>3</v>
      </c>
      <c r="X209" s="1">
        <v>3</v>
      </c>
      <c r="Y209" s="1">
        <v>4</v>
      </c>
      <c r="Z209" s="1">
        <v>4</v>
      </c>
      <c r="AA209" s="1">
        <v>4</v>
      </c>
      <c r="AB209" s="1">
        <v>4</v>
      </c>
    </row>
    <row r="210" spans="1:28" outlineLevel="1">
      <c r="A210" s="476" t="s">
        <v>2963</v>
      </c>
      <c r="B210" s="230" t="s">
        <v>1768</v>
      </c>
      <c r="C210" s="227" t="s">
        <v>3088</v>
      </c>
      <c r="D210" s="129">
        <f t="shared" si="8"/>
        <v>362</v>
      </c>
      <c r="E210" s="62" t="s">
        <v>3238</v>
      </c>
      <c r="G210" s="216">
        <v>0</v>
      </c>
      <c r="H210" s="216">
        <v>1</v>
      </c>
      <c r="I210" s="372" t="str">
        <f t="shared" si="20"/>
        <v>Ply</v>
      </c>
      <c r="J210" s="217">
        <v>36</v>
      </c>
      <c r="W210" s="1">
        <v>5</v>
      </c>
      <c r="X210" s="1">
        <v>5</v>
      </c>
      <c r="Y210" s="1">
        <v>5</v>
      </c>
      <c r="Z210" s="1">
        <v>5</v>
      </c>
      <c r="AA210" s="1">
        <v>5</v>
      </c>
      <c r="AB210" s="1">
        <v>5</v>
      </c>
    </row>
    <row r="211" spans="1:28" outlineLevel="1">
      <c r="A211" s="476" t="s">
        <v>2963</v>
      </c>
      <c r="B211" s="230" t="s">
        <v>1768</v>
      </c>
      <c r="C211" s="227" t="s">
        <v>2301</v>
      </c>
      <c r="D211" s="129">
        <f t="shared" si="8"/>
        <v>363</v>
      </c>
      <c r="E211" s="62" t="s">
        <v>1745</v>
      </c>
      <c r="G211" s="216">
        <v>0</v>
      </c>
      <c r="H211" s="216">
        <v>1</v>
      </c>
      <c r="I211" s="372" t="str">
        <f t="shared" si="20"/>
        <v>Ply</v>
      </c>
      <c r="J211" s="217">
        <v>18</v>
      </c>
      <c r="W211" s="1">
        <v>1</v>
      </c>
      <c r="X211" s="1">
        <v>22</v>
      </c>
      <c r="Y211" s="1">
        <v>1</v>
      </c>
      <c r="Z211" s="1">
        <v>1</v>
      </c>
      <c r="AA211" s="1">
        <v>1</v>
      </c>
      <c r="AB211" s="1">
        <v>1</v>
      </c>
    </row>
    <row r="212" spans="1:28" outlineLevel="1">
      <c r="A212" s="476" t="s">
        <v>2963</v>
      </c>
      <c r="B212" s="230" t="s">
        <v>1768</v>
      </c>
      <c r="C212" s="227" t="s">
        <v>3207</v>
      </c>
      <c r="D212" s="129">
        <f t="shared" si="8"/>
        <v>364</v>
      </c>
      <c r="E212" s="62" t="s">
        <v>1745</v>
      </c>
      <c r="G212" s="216">
        <v>0</v>
      </c>
      <c r="H212" s="216">
        <v>1</v>
      </c>
      <c r="I212" s="372" t="str">
        <f t="shared" si="20"/>
        <v>Ply</v>
      </c>
      <c r="J212" s="217">
        <v>18</v>
      </c>
      <c r="W212" s="1">
        <v>3</v>
      </c>
      <c r="X212" s="1">
        <v>22</v>
      </c>
      <c r="Y212" s="1">
        <v>3</v>
      </c>
      <c r="Z212" s="1">
        <v>3</v>
      </c>
      <c r="AA212" s="1">
        <v>3</v>
      </c>
      <c r="AB212" s="1">
        <v>3</v>
      </c>
    </row>
    <row r="213" spans="1:28" outlineLevel="1">
      <c r="A213" s="476" t="s">
        <v>2963</v>
      </c>
      <c r="B213" s="230" t="s">
        <v>1768</v>
      </c>
      <c r="C213" s="227" t="s">
        <v>3208</v>
      </c>
      <c r="D213" s="129">
        <f t="shared" si="8"/>
        <v>365</v>
      </c>
      <c r="E213" s="62" t="s">
        <v>1745</v>
      </c>
      <c r="G213" s="216">
        <v>0</v>
      </c>
      <c r="H213" s="216">
        <v>1</v>
      </c>
      <c r="I213" s="372" t="str">
        <f t="shared" si="20"/>
        <v>Ply</v>
      </c>
      <c r="J213" s="217">
        <v>18</v>
      </c>
      <c r="W213" s="1">
        <v>5</v>
      </c>
      <c r="X213" s="1">
        <v>22</v>
      </c>
      <c r="Y213" s="1">
        <v>5</v>
      </c>
      <c r="Z213" s="1">
        <v>5</v>
      </c>
      <c r="AA213" s="1">
        <v>5</v>
      </c>
      <c r="AB213" s="1">
        <v>5</v>
      </c>
    </row>
    <row r="214" spans="1:28" outlineLevel="1">
      <c r="A214" s="476" t="s">
        <v>2963</v>
      </c>
      <c r="B214" s="230" t="s">
        <v>1768</v>
      </c>
      <c r="C214" s="227" t="s">
        <v>1606</v>
      </c>
      <c r="D214" s="129">
        <f t="shared" si="8"/>
        <v>366</v>
      </c>
      <c r="E214" s="62" t="s">
        <v>3238</v>
      </c>
      <c r="G214" s="216">
        <v>0</v>
      </c>
      <c r="H214" s="216">
        <v>1</v>
      </c>
      <c r="I214" s="372" t="str">
        <f t="shared" si="20"/>
        <v>Ply</v>
      </c>
      <c r="J214" s="408">
        <v>18</v>
      </c>
      <c r="W214" s="1">
        <v>1</v>
      </c>
      <c r="X214" s="502">
        <f>IF(Spek!$B$42="paper",22,Spek!$A$36)</f>
        <v>0</v>
      </c>
      <c r="Y214" s="1">
        <v>0</v>
      </c>
      <c r="Z214" s="1">
        <v>0</v>
      </c>
      <c r="AA214" s="1">
        <v>0</v>
      </c>
      <c r="AB214" s="1">
        <v>0</v>
      </c>
    </row>
    <row r="215" spans="1:28" outlineLevel="1">
      <c r="A215" s="476" t="s">
        <v>2963</v>
      </c>
      <c r="B215" s="230" t="s">
        <v>1768</v>
      </c>
      <c r="C215" s="227" t="s">
        <v>3074</v>
      </c>
      <c r="D215" s="129">
        <f t="shared" si="8"/>
        <v>367</v>
      </c>
      <c r="E215" s="62" t="s">
        <v>3238</v>
      </c>
      <c r="G215" s="216">
        <v>0</v>
      </c>
      <c r="H215" s="216">
        <v>1</v>
      </c>
      <c r="I215" s="372" t="str">
        <f t="shared" si="20"/>
        <v>Ply</v>
      </c>
      <c r="J215" s="217">
        <v>18</v>
      </c>
      <c r="W215" s="1">
        <v>3</v>
      </c>
      <c r="X215" s="502">
        <f>IF(Spek!$B$42="paper",22,Spek!$A$36)</f>
        <v>0</v>
      </c>
      <c r="Y215" s="1">
        <v>0</v>
      </c>
      <c r="Z215" s="1">
        <v>0</v>
      </c>
      <c r="AA215" s="1">
        <v>0</v>
      </c>
      <c r="AB215" s="1">
        <v>0</v>
      </c>
    </row>
    <row r="216" spans="1:28" outlineLevel="1">
      <c r="A216" s="476" t="s">
        <v>2963</v>
      </c>
      <c r="B216" s="230" t="s">
        <v>1768</v>
      </c>
      <c r="C216" s="227" t="s">
        <v>3595</v>
      </c>
      <c r="D216" s="129">
        <f t="shared" si="8"/>
        <v>368</v>
      </c>
      <c r="E216" s="62" t="s">
        <v>3238</v>
      </c>
      <c r="G216" s="216">
        <v>0</v>
      </c>
      <c r="H216" s="216">
        <v>1</v>
      </c>
      <c r="I216" s="372" t="str">
        <f t="shared" si="20"/>
        <v>Ply</v>
      </c>
      <c r="J216" s="217">
        <v>18</v>
      </c>
      <c r="W216" s="1">
        <v>5</v>
      </c>
      <c r="X216" s="502">
        <f>IF(Spek!$B$42="paper",22,Spek!$A$36)</f>
        <v>0</v>
      </c>
      <c r="Y216" s="1">
        <v>0</v>
      </c>
      <c r="Z216" s="1">
        <v>0</v>
      </c>
      <c r="AA216" s="1">
        <v>0</v>
      </c>
      <c r="AB216" s="1">
        <v>0</v>
      </c>
    </row>
    <row r="217" spans="1:28" outlineLevel="1">
      <c r="A217" s="476" t="s">
        <v>2963</v>
      </c>
      <c r="B217" s="230" t="s">
        <v>1768</v>
      </c>
      <c r="C217" s="227" t="s">
        <v>1607</v>
      </c>
      <c r="D217" s="129">
        <f t="shared" si="8"/>
        <v>369</v>
      </c>
      <c r="E217" s="62" t="s">
        <v>1745</v>
      </c>
      <c r="G217" s="216">
        <v>0</v>
      </c>
      <c r="H217" s="216">
        <v>1</v>
      </c>
      <c r="I217" s="372" t="str">
        <f t="shared" si="20"/>
        <v>Ply</v>
      </c>
      <c r="J217" s="217">
        <v>18</v>
      </c>
      <c r="W217" s="1">
        <v>1</v>
      </c>
      <c r="X217" s="1">
        <v>2</v>
      </c>
      <c r="Y217" s="1">
        <v>1</v>
      </c>
      <c r="Z217" s="1">
        <v>1</v>
      </c>
      <c r="AA217" s="1">
        <v>1</v>
      </c>
      <c r="AB217" s="1">
        <v>1</v>
      </c>
    </row>
    <row r="218" spans="1:28" outlineLevel="1">
      <c r="A218" s="476" t="s">
        <v>2963</v>
      </c>
      <c r="B218" s="230" t="s">
        <v>1768</v>
      </c>
      <c r="C218" s="227" t="s">
        <v>3825</v>
      </c>
      <c r="D218" s="129">
        <f t="shared" si="8"/>
        <v>370</v>
      </c>
      <c r="E218" s="62" t="s">
        <v>1745</v>
      </c>
      <c r="G218" s="216">
        <v>0</v>
      </c>
      <c r="H218" s="216">
        <v>1</v>
      </c>
      <c r="I218" s="372" t="str">
        <f t="shared" si="20"/>
        <v>Ply</v>
      </c>
      <c r="J218" s="217">
        <v>18</v>
      </c>
      <c r="W218" s="1">
        <v>1</v>
      </c>
      <c r="X218" s="1">
        <v>1</v>
      </c>
      <c r="Y218" s="1">
        <v>1</v>
      </c>
      <c r="Z218" s="1">
        <v>1</v>
      </c>
      <c r="AA218" s="1">
        <v>1</v>
      </c>
      <c r="AB218" s="1">
        <v>1</v>
      </c>
    </row>
    <row r="219" spans="1:28" outlineLevel="1">
      <c r="A219" s="476" t="s">
        <v>2963</v>
      </c>
      <c r="B219" s="230" t="s">
        <v>1768</v>
      </c>
      <c r="C219" s="227" t="s">
        <v>2808</v>
      </c>
      <c r="D219" s="129">
        <f t="shared" si="8"/>
        <v>371</v>
      </c>
      <c r="E219" s="62" t="s">
        <v>1745</v>
      </c>
      <c r="G219" s="216">
        <v>0</v>
      </c>
      <c r="H219" s="216">
        <v>1</v>
      </c>
      <c r="I219" s="372" t="str">
        <f t="shared" si="20"/>
        <v>Ply</v>
      </c>
      <c r="J219" s="217">
        <v>36</v>
      </c>
      <c r="W219" s="1">
        <v>1</v>
      </c>
      <c r="X219" s="1">
        <v>2</v>
      </c>
      <c r="Y219" s="1">
        <v>2</v>
      </c>
      <c r="Z219" s="1">
        <v>2</v>
      </c>
      <c r="AA219" s="1">
        <v>2</v>
      </c>
      <c r="AB219" s="1">
        <v>2</v>
      </c>
    </row>
    <row r="220" spans="1:28" outlineLevel="1">
      <c r="A220" s="476" t="s">
        <v>2963</v>
      </c>
      <c r="B220" s="230" t="s">
        <v>1768</v>
      </c>
      <c r="C220" s="227" t="s">
        <v>3826</v>
      </c>
      <c r="D220" s="129">
        <f t="shared" si="8"/>
        <v>372</v>
      </c>
      <c r="E220" s="62" t="s">
        <v>1745</v>
      </c>
      <c r="G220" s="216">
        <v>0</v>
      </c>
      <c r="H220" s="216">
        <v>1</v>
      </c>
      <c r="I220" s="372" t="str">
        <f t="shared" si="20"/>
        <v>Ply</v>
      </c>
      <c r="J220" s="217">
        <v>36</v>
      </c>
      <c r="W220" s="1">
        <v>1</v>
      </c>
      <c r="X220" s="1">
        <v>1</v>
      </c>
      <c r="Y220" s="1">
        <v>2</v>
      </c>
      <c r="Z220" s="1">
        <v>2</v>
      </c>
      <c r="AA220" s="1">
        <v>2</v>
      </c>
      <c r="AB220" s="1">
        <v>2</v>
      </c>
    </row>
    <row r="221" spans="1:28" outlineLevel="1">
      <c r="A221" s="476" t="s">
        <v>2963</v>
      </c>
      <c r="B221" s="230" t="s">
        <v>1768</v>
      </c>
      <c r="C221" s="227" t="s">
        <v>3075</v>
      </c>
      <c r="D221" s="129">
        <f t="shared" si="8"/>
        <v>373</v>
      </c>
      <c r="E221" s="62" t="s">
        <v>1745</v>
      </c>
      <c r="G221" s="216">
        <v>0</v>
      </c>
      <c r="H221" s="216">
        <v>1</v>
      </c>
      <c r="I221" s="372" t="str">
        <f t="shared" si="20"/>
        <v>Ply</v>
      </c>
      <c r="J221" s="217">
        <v>18</v>
      </c>
      <c r="W221" s="1">
        <v>3</v>
      </c>
      <c r="X221" s="1">
        <v>4</v>
      </c>
      <c r="Y221" s="1">
        <v>3</v>
      </c>
      <c r="Z221" s="1">
        <v>3</v>
      </c>
      <c r="AA221" s="1">
        <v>3</v>
      </c>
      <c r="AB221" s="1">
        <v>3</v>
      </c>
    </row>
    <row r="222" spans="1:28" outlineLevel="1">
      <c r="A222" s="476" t="s">
        <v>2963</v>
      </c>
      <c r="B222" s="230" t="s">
        <v>1768</v>
      </c>
      <c r="C222" s="227" t="s">
        <v>3827</v>
      </c>
      <c r="D222" s="129">
        <f t="shared" si="8"/>
        <v>374</v>
      </c>
      <c r="E222" s="62" t="s">
        <v>1745</v>
      </c>
      <c r="G222" s="216">
        <v>0</v>
      </c>
      <c r="H222" s="216">
        <v>1</v>
      </c>
      <c r="I222" s="372" t="str">
        <f t="shared" si="20"/>
        <v>Ply</v>
      </c>
      <c r="J222" s="217">
        <v>18</v>
      </c>
      <c r="W222" s="1">
        <v>3</v>
      </c>
      <c r="X222" s="1">
        <v>3</v>
      </c>
      <c r="Y222" s="1">
        <v>3</v>
      </c>
      <c r="Z222" s="1">
        <v>3</v>
      </c>
      <c r="AA222" s="1">
        <v>3</v>
      </c>
      <c r="AB222" s="1">
        <v>3</v>
      </c>
    </row>
    <row r="223" spans="1:28" outlineLevel="1">
      <c r="A223" s="476" t="s">
        <v>2963</v>
      </c>
      <c r="B223" s="230" t="s">
        <v>1768</v>
      </c>
      <c r="C223" s="227" t="s">
        <v>2809</v>
      </c>
      <c r="D223" s="129">
        <f t="shared" si="8"/>
        <v>375</v>
      </c>
      <c r="E223" s="62" t="s">
        <v>1745</v>
      </c>
      <c r="G223" s="216">
        <v>0</v>
      </c>
      <c r="H223" s="216">
        <v>1</v>
      </c>
      <c r="I223" s="372" t="str">
        <f t="shared" si="20"/>
        <v>Ply</v>
      </c>
      <c r="J223" s="217">
        <v>36</v>
      </c>
      <c r="W223" s="1">
        <v>3</v>
      </c>
      <c r="X223" s="1">
        <v>4</v>
      </c>
      <c r="Y223" s="1">
        <v>4</v>
      </c>
      <c r="Z223" s="1">
        <v>4</v>
      </c>
      <c r="AA223" s="1">
        <v>4</v>
      </c>
      <c r="AB223" s="1">
        <v>4</v>
      </c>
    </row>
    <row r="224" spans="1:28" outlineLevel="1">
      <c r="A224" s="476" t="s">
        <v>2963</v>
      </c>
      <c r="B224" s="230" t="s">
        <v>1768</v>
      </c>
      <c r="C224" s="227" t="s">
        <v>3828</v>
      </c>
      <c r="D224" s="129">
        <f t="shared" si="8"/>
        <v>376</v>
      </c>
      <c r="E224" s="62" t="s">
        <v>1745</v>
      </c>
      <c r="G224" s="216">
        <v>0</v>
      </c>
      <c r="H224" s="216">
        <v>1</v>
      </c>
      <c r="I224" s="372" t="str">
        <f t="shared" si="20"/>
        <v>Ply</v>
      </c>
      <c r="J224" s="217">
        <v>36</v>
      </c>
      <c r="W224" s="1">
        <v>3</v>
      </c>
      <c r="X224" s="1">
        <v>3</v>
      </c>
      <c r="Y224" s="1">
        <v>4</v>
      </c>
      <c r="Z224" s="1">
        <v>4</v>
      </c>
      <c r="AA224" s="1">
        <v>4</v>
      </c>
      <c r="AB224" s="1">
        <v>4</v>
      </c>
    </row>
    <row r="225" spans="1:33" outlineLevel="1">
      <c r="A225" s="476" t="s">
        <v>3129</v>
      </c>
      <c r="B225" s="230" t="s">
        <v>1768</v>
      </c>
      <c r="C225" s="227" t="s">
        <v>1832</v>
      </c>
      <c r="D225" s="129">
        <f t="shared" si="8"/>
        <v>377</v>
      </c>
      <c r="E225" s="62" t="s">
        <v>1745</v>
      </c>
      <c r="G225" s="216">
        <v>0</v>
      </c>
      <c r="H225" s="216">
        <v>1</v>
      </c>
      <c r="I225" s="537" t="str">
        <f>IF(Spek!$D$17="MDF",bahan4,bahan5)</f>
        <v>Ply</v>
      </c>
      <c r="J225" s="217">
        <v>11</v>
      </c>
      <c r="T225" s="34" t="str">
        <f>prof_pintu_2</f>
        <v>PROFIL MLP 04 MDF HIJAU UK 2350X14X14</v>
      </c>
      <c r="U225" s="34">
        <f>prof_pintu_1</f>
        <v>0</v>
      </c>
      <c r="V225" s="34">
        <f>prof_pintu_1</f>
        <v>0</v>
      </c>
      <c r="W225" s="1">
        <v>0</v>
      </c>
      <c r="X225" s="1">
        <v>1</v>
      </c>
      <c r="Y225" s="1">
        <v>0</v>
      </c>
      <c r="Z225" s="1">
        <v>0</v>
      </c>
      <c r="AA225" s="1">
        <v>0</v>
      </c>
      <c r="AB225" s="1">
        <v>0</v>
      </c>
    </row>
    <row r="226" spans="1:33" outlineLevel="1">
      <c r="A226" s="476" t="s">
        <v>3129</v>
      </c>
      <c r="B226" s="230" t="s">
        <v>1768</v>
      </c>
      <c r="C226" s="227" t="s">
        <v>2620</v>
      </c>
      <c r="D226" s="129">
        <f t="shared" si="8"/>
        <v>378</v>
      </c>
      <c r="E226" s="62" t="s">
        <v>1745</v>
      </c>
      <c r="G226" s="216">
        <v>0</v>
      </c>
      <c r="H226" s="216">
        <v>1</v>
      </c>
      <c r="I226" s="537" t="str">
        <f>IF(Spek!$D$17="MDF",bahan4,bahan5)</f>
        <v>Ply</v>
      </c>
      <c r="J226" s="217">
        <v>12</v>
      </c>
      <c r="T226" s="34" t="str">
        <f>prof_panel_1</f>
        <v>PROFIL  PT-04 MDF HIJAU P.2440</v>
      </c>
      <c r="W226" s="1">
        <v>0</v>
      </c>
      <c r="X226" s="1">
        <v>0</v>
      </c>
      <c r="Y226" s="1">
        <v>0</v>
      </c>
      <c r="Z226" s="1">
        <v>0</v>
      </c>
      <c r="AA226" s="1">
        <v>0</v>
      </c>
      <c r="AB226" s="1">
        <v>0</v>
      </c>
    </row>
    <row r="227" spans="1:33" outlineLevel="1">
      <c r="A227" s="476" t="s">
        <v>2963</v>
      </c>
      <c r="B227" s="230" t="s">
        <v>1768</v>
      </c>
      <c r="C227" s="227" t="s">
        <v>1833</v>
      </c>
      <c r="D227" s="129">
        <f t="shared" si="8"/>
        <v>379</v>
      </c>
      <c r="E227" s="62" t="s">
        <v>1745</v>
      </c>
      <c r="G227" s="216">
        <v>1</v>
      </c>
      <c r="H227" s="216">
        <v>1</v>
      </c>
      <c r="I227" s="500" t="str">
        <f>IF(Spek!$D$17="UPVC","UPVC","Ply")</f>
        <v>Ply</v>
      </c>
      <c r="J227" s="217">
        <v>15</v>
      </c>
      <c r="W227" s="1">
        <v>1</v>
      </c>
      <c r="X227" s="1">
        <v>0</v>
      </c>
      <c r="Y227" s="1">
        <v>0</v>
      </c>
      <c r="Z227" s="1">
        <v>0</v>
      </c>
      <c r="AA227" s="1">
        <v>0</v>
      </c>
      <c r="AB227" s="1">
        <v>0</v>
      </c>
    </row>
    <row r="228" spans="1:33" outlineLevel="1">
      <c r="A228" s="476" t="s">
        <v>2963</v>
      </c>
      <c r="B228" s="230" t="s">
        <v>1768</v>
      </c>
      <c r="C228" s="227" t="s">
        <v>2334</v>
      </c>
      <c r="D228" s="129">
        <f t="shared" si="8"/>
        <v>380</v>
      </c>
      <c r="E228" s="62" t="s">
        <v>1745</v>
      </c>
      <c r="G228" s="216">
        <v>0</v>
      </c>
      <c r="H228" s="216">
        <v>1</v>
      </c>
      <c r="I228" s="372" t="str">
        <f>bahan5</f>
        <v>Ply</v>
      </c>
      <c r="J228" s="217">
        <v>13.5</v>
      </c>
      <c r="T228" s="34" t="str">
        <f>seal_putih</f>
        <v>SILICONE SIKAFLEX 221 PUTIH</v>
      </c>
      <c r="W228" s="1">
        <v>22</v>
      </c>
      <c r="X228" s="1">
        <v>2</v>
      </c>
      <c r="Y228" s="1">
        <v>1</v>
      </c>
      <c r="Z228" s="1">
        <v>1</v>
      </c>
      <c r="AA228" s="1">
        <v>0</v>
      </c>
      <c r="AB228" s="1">
        <v>0</v>
      </c>
      <c r="AF228" s="504" t="str">
        <f>IF(bahan5="UPVC",edging7,edging8)</f>
        <v>Trim 22 S2/S4 Brown Doff ( Alm. 75270 ) P3</v>
      </c>
      <c r="AG228" s="1">
        <v>2</v>
      </c>
    </row>
    <row r="229" spans="1:33" outlineLevel="1">
      <c r="A229" s="476" t="s">
        <v>2963</v>
      </c>
      <c r="B229" s="230" t="s">
        <v>1768</v>
      </c>
      <c r="C229" s="227" t="s">
        <v>3076</v>
      </c>
      <c r="D229" s="129">
        <f t="shared" si="8"/>
        <v>381</v>
      </c>
      <c r="E229" s="62" t="s">
        <v>1745</v>
      </c>
      <c r="G229" s="216">
        <v>0</v>
      </c>
      <c r="H229" s="216">
        <v>1</v>
      </c>
      <c r="I229" s="372" t="str">
        <f>bahan5</f>
        <v>Ply</v>
      </c>
      <c r="J229" s="217">
        <v>13.5</v>
      </c>
      <c r="T229" s="34" t="str">
        <f>seal_putih</f>
        <v>SILICONE SIKAFLEX 221 PUTIH</v>
      </c>
      <c r="W229" s="1">
        <v>22</v>
      </c>
      <c r="X229" s="1">
        <v>4</v>
      </c>
      <c r="Y229" s="1">
        <v>3</v>
      </c>
      <c r="Z229" s="1">
        <v>3</v>
      </c>
      <c r="AA229" s="1">
        <v>0</v>
      </c>
      <c r="AB229" s="1">
        <v>0</v>
      </c>
      <c r="AF229" t="str">
        <f>edging8</f>
        <v>Trim 22 S2/S4 Brown Doff ( Alm. 75270 ) P3</v>
      </c>
      <c r="AG229" s="1">
        <v>2</v>
      </c>
    </row>
    <row r="230" spans="1:33" outlineLevel="1">
      <c r="A230" s="476" t="s">
        <v>2963</v>
      </c>
      <c r="B230" s="230" t="s">
        <v>1768</v>
      </c>
      <c r="C230" s="227" t="s">
        <v>4342</v>
      </c>
      <c r="D230" s="129">
        <f t="shared" si="8"/>
        <v>382</v>
      </c>
      <c r="E230" s="62" t="s">
        <v>1745</v>
      </c>
      <c r="G230" s="216">
        <v>0</v>
      </c>
      <c r="H230" s="216">
        <v>1</v>
      </c>
      <c r="I230" s="372" t="str">
        <f>bahan5</f>
        <v>Ply</v>
      </c>
      <c r="J230" s="217">
        <v>13.5</v>
      </c>
      <c r="T230" s="34" t="str">
        <f>seal_putih</f>
        <v>SILICONE SIKAFLEX 221 PUTIH</v>
      </c>
      <c r="W230" s="1">
        <v>22</v>
      </c>
      <c r="X230" s="1">
        <v>2</v>
      </c>
      <c r="Y230" s="1">
        <v>8</v>
      </c>
      <c r="Z230" s="1">
        <v>8</v>
      </c>
      <c r="AA230" s="1">
        <v>8</v>
      </c>
      <c r="AB230" s="1">
        <v>8</v>
      </c>
    </row>
    <row r="231" spans="1:33" outlineLevel="1">
      <c r="A231" s="476" t="s">
        <v>2963</v>
      </c>
      <c r="B231" s="230" t="s">
        <v>1768</v>
      </c>
      <c r="C231" s="227" t="s">
        <v>4343</v>
      </c>
      <c r="D231" s="129">
        <f t="shared" si="8"/>
        <v>383</v>
      </c>
      <c r="E231" s="62" t="s">
        <v>1745</v>
      </c>
      <c r="G231" s="216">
        <v>0</v>
      </c>
      <c r="H231" s="216">
        <v>1</v>
      </c>
      <c r="I231" s="372" t="str">
        <f>bahan5</f>
        <v>Ply</v>
      </c>
      <c r="J231" s="217">
        <v>13.5</v>
      </c>
      <c r="T231" s="34" t="str">
        <f>seal_putih</f>
        <v>SILICONE SIKAFLEX 221 PUTIH</v>
      </c>
      <c r="W231" s="1">
        <v>22</v>
      </c>
      <c r="X231" s="1">
        <v>4</v>
      </c>
      <c r="Y231" s="1">
        <v>8</v>
      </c>
      <c r="Z231" s="1">
        <v>8</v>
      </c>
      <c r="AA231" s="1">
        <v>8</v>
      </c>
      <c r="AB231" s="1">
        <v>8</v>
      </c>
    </row>
    <row r="232" spans="1:33" outlineLevel="1">
      <c r="A232" s="476" t="s">
        <v>2963</v>
      </c>
      <c r="B232" s="230" t="s">
        <v>1768</v>
      </c>
      <c r="C232" s="227" t="s">
        <v>2805</v>
      </c>
      <c r="D232" s="129">
        <f t="shared" si="8"/>
        <v>384</v>
      </c>
      <c r="E232" s="62" t="s">
        <v>1745</v>
      </c>
      <c r="G232" s="216">
        <v>0</v>
      </c>
      <c r="H232" s="216">
        <v>1</v>
      </c>
      <c r="I232" s="372" t="str">
        <f>bahan5</f>
        <v>Ply</v>
      </c>
      <c r="J232" s="217">
        <v>18</v>
      </c>
      <c r="T232" s="34" t="str">
        <f>seal_putih</f>
        <v>SILICONE SIKAFLEX 221 PUTIH</v>
      </c>
      <c r="W232" s="1">
        <v>1</v>
      </c>
      <c r="X232" s="1">
        <v>1</v>
      </c>
      <c r="Y232" s="161">
        <f>+IF(bahan1="MDF",8,7)</f>
        <v>7</v>
      </c>
      <c r="Z232" s="161">
        <f>+IF(bahan1="MDF",8,7)</f>
        <v>7</v>
      </c>
      <c r="AA232" s="161">
        <f>+IF(bahan1="MDF",8,7)</f>
        <v>7</v>
      </c>
      <c r="AB232" s="161">
        <f>+IF(bahan1="MDF",8,7)</f>
        <v>7</v>
      </c>
    </row>
    <row r="233" spans="1:33" outlineLevel="1">
      <c r="A233" s="476" t="s">
        <v>2963</v>
      </c>
      <c r="B233" s="230" t="s">
        <v>1768</v>
      </c>
      <c r="C233" s="227" t="s">
        <v>2293</v>
      </c>
      <c r="D233" s="129">
        <f t="shared" si="8"/>
        <v>385</v>
      </c>
      <c r="E233" s="62" t="s">
        <v>1745</v>
      </c>
      <c r="G233" s="216">
        <v>1</v>
      </c>
      <c r="H233" s="216">
        <v>1</v>
      </c>
      <c r="I233" s="500" t="str">
        <f>IF(Spek!$D$17="UPVC","UPVC","Ply")</f>
        <v>Ply</v>
      </c>
      <c r="W233" s="1">
        <v>0</v>
      </c>
      <c r="X233" s="1">
        <v>0</v>
      </c>
      <c r="Y233" s="1">
        <v>0</v>
      </c>
      <c r="Z233" s="1">
        <v>0</v>
      </c>
      <c r="AA233" s="1">
        <v>0</v>
      </c>
      <c r="AB233" s="1">
        <v>0</v>
      </c>
    </row>
    <row r="234" spans="1:33" outlineLevel="1">
      <c r="A234" s="476" t="s">
        <v>2963</v>
      </c>
      <c r="B234" s="230" t="s">
        <v>1768</v>
      </c>
      <c r="C234" s="227" t="s">
        <v>1608</v>
      </c>
      <c r="D234" s="129">
        <f t="shared" si="8"/>
        <v>386</v>
      </c>
      <c r="E234" s="62" t="s">
        <v>1745</v>
      </c>
      <c r="G234" s="216">
        <v>0</v>
      </c>
      <c r="H234" s="216">
        <v>1</v>
      </c>
      <c r="I234" s="372" t="str">
        <f t="shared" ref="I234:I244" si="21">bahan5</f>
        <v>Ply</v>
      </c>
      <c r="J234" s="217">
        <v>18</v>
      </c>
      <c r="W234" s="1">
        <v>1</v>
      </c>
      <c r="X234" s="1">
        <v>22</v>
      </c>
      <c r="Y234" s="1">
        <v>1</v>
      </c>
      <c r="Z234" s="1">
        <v>1</v>
      </c>
      <c r="AA234" s="1">
        <v>1</v>
      </c>
      <c r="AB234" s="1">
        <v>1</v>
      </c>
    </row>
    <row r="235" spans="1:33" outlineLevel="1">
      <c r="A235" s="476" t="s">
        <v>2963</v>
      </c>
      <c r="B235" s="230" t="s">
        <v>1768</v>
      </c>
      <c r="C235" s="227" t="s">
        <v>3077</v>
      </c>
      <c r="D235" s="129">
        <f t="shared" si="8"/>
        <v>387</v>
      </c>
      <c r="E235" s="62" t="s">
        <v>1745</v>
      </c>
      <c r="G235" s="216">
        <v>0</v>
      </c>
      <c r="H235" s="216">
        <v>1</v>
      </c>
      <c r="I235" s="372" t="str">
        <f t="shared" si="21"/>
        <v>Ply</v>
      </c>
      <c r="J235" s="217">
        <v>18</v>
      </c>
      <c r="W235" s="1">
        <v>3</v>
      </c>
      <c r="X235" s="1">
        <v>22</v>
      </c>
      <c r="Y235" s="1">
        <v>3</v>
      </c>
      <c r="Z235" s="1">
        <v>3</v>
      </c>
      <c r="AA235" s="1">
        <v>3</v>
      </c>
      <c r="AB235" s="1">
        <v>3</v>
      </c>
    </row>
    <row r="236" spans="1:33" outlineLevel="1">
      <c r="A236" s="476" t="s">
        <v>2963</v>
      </c>
      <c r="B236" s="230" t="s">
        <v>1768</v>
      </c>
      <c r="C236" s="227" t="s">
        <v>2761</v>
      </c>
      <c r="D236" s="129">
        <f t="shared" si="8"/>
        <v>388</v>
      </c>
      <c r="E236" s="62" t="s">
        <v>1745</v>
      </c>
      <c r="G236" s="216">
        <v>0</v>
      </c>
      <c r="H236" s="216">
        <v>1</v>
      </c>
      <c r="I236" s="372" t="str">
        <f t="shared" si="21"/>
        <v>Ply</v>
      </c>
      <c r="J236" s="217">
        <v>18</v>
      </c>
      <c r="W236" s="1">
        <v>5</v>
      </c>
      <c r="X236" s="1">
        <v>22</v>
      </c>
      <c r="Y236" s="1">
        <v>5</v>
      </c>
      <c r="Z236" s="1">
        <v>5</v>
      </c>
      <c r="AA236" s="1">
        <v>5</v>
      </c>
      <c r="AB236" s="1">
        <v>5</v>
      </c>
    </row>
    <row r="237" spans="1:33" outlineLevel="1">
      <c r="A237" s="476" t="s">
        <v>2963</v>
      </c>
      <c r="B237" s="230" t="s">
        <v>1768</v>
      </c>
      <c r="C237" s="227" t="s">
        <v>4369</v>
      </c>
      <c r="D237" s="129">
        <f t="shared" si="8"/>
        <v>389</v>
      </c>
      <c r="E237" s="62" t="s">
        <v>1745</v>
      </c>
      <c r="G237" s="216">
        <v>0</v>
      </c>
      <c r="H237" s="216">
        <v>1</v>
      </c>
      <c r="I237" s="372" t="str">
        <f t="shared" si="21"/>
        <v>Ply</v>
      </c>
      <c r="J237" s="217">
        <v>18</v>
      </c>
      <c r="W237" s="1">
        <v>6</v>
      </c>
      <c r="X237" s="1">
        <v>22</v>
      </c>
      <c r="Y237" s="1">
        <v>66</v>
      </c>
      <c r="Z237" s="1">
        <v>66</v>
      </c>
      <c r="AA237" s="1">
        <v>66</v>
      </c>
      <c r="AB237" s="1">
        <v>66</v>
      </c>
    </row>
    <row r="238" spans="1:33" outlineLevel="1">
      <c r="A238" s="476" t="s">
        <v>2963</v>
      </c>
      <c r="B238" s="230" t="s">
        <v>1768</v>
      </c>
      <c r="C238" s="227" t="s">
        <v>1834</v>
      </c>
      <c r="D238" s="129">
        <f t="shared" si="8"/>
        <v>390</v>
      </c>
      <c r="E238" s="62" t="s">
        <v>3238</v>
      </c>
      <c r="G238" s="216">
        <v>0</v>
      </c>
      <c r="H238" s="216">
        <v>1</v>
      </c>
      <c r="I238" s="372" t="str">
        <f t="shared" si="21"/>
        <v>Ply</v>
      </c>
      <c r="J238" s="217">
        <v>18</v>
      </c>
      <c r="T238" s="34" t="str">
        <f t="shared" ref="T238:T243" si="22">seal_putih</f>
        <v>SILICONE SIKAFLEX 221 PUTIH</v>
      </c>
      <c r="W238" s="1">
        <v>1</v>
      </c>
      <c r="X238" s="1">
        <v>22</v>
      </c>
      <c r="Y238" s="1">
        <v>1</v>
      </c>
      <c r="Z238" s="1">
        <v>1</v>
      </c>
      <c r="AA238" s="1">
        <v>0</v>
      </c>
      <c r="AB238" s="1">
        <v>0</v>
      </c>
      <c r="AF238" s="504" t="str">
        <f>IF(bahan5="UPVC",edging7,edging8)</f>
        <v>Trim 22 S2/S4 Brown Doff ( Alm. 75270 ) P3</v>
      </c>
      <c r="AG238" s="1">
        <v>2</v>
      </c>
    </row>
    <row r="239" spans="1:33" outlineLevel="1">
      <c r="A239" s="476" t="s">
        <v>2963</v>
      </c>
      <c r="B239" s="230" t="s">
        <v>1768</v>
      </c>
      <c r="C239" s="227" t="s">
        <v>1835</v>
      </c>
      <c r="D239" s="129">
        <f t="shared" si="8"/>
        <v>391</v>
      </c>
      <c r="E239" s="62" t="s">
        <v>3238</v>
      </c>
      <c r="G239" s="216">
        <v>1</v>
      </c>
      <c r="H239" s="216">
        <v>1</v>
      </c>
      <c r="I239" s="372" t="str">
        <f t="shared" si="21"/>
        <v>Ply</v>
      </c>
      <c r="J239" s="217">
        <v>13.5</v>
      </c>
      <c r="T239" s="34" t="str">
        <f t="shared" si="22"/>
        <v>SILICONE SIKAFLEX 221 PUTIH</v>
      </c>
      <c r="W239" s="1">
        <v>22</v>
      </c>
      <c r="X239" s="1">
        <v>22</v>
      </c>
      <c r="Y239" s="1">
        <v>1</v>
      </c>
      <c r="Z239" s="1">
        <v>1</v>
      </c>
      <c r="AA239" s="1">
        <v>0</v>
      </c>
      <c r="AB239" s="1">
        <v>0</v>
      </c>
      <c r="AF239" s="504" t="str">
        <f>IF(bahan5="UPVC",edging7,edging8)</f>
        <v>Trim 22 S2/S4 Brown Doff ( Alm. 75270 ) P3</v>
      </c>
      <c r="AG239" s="1">
        <v>2</v>
      </c>
    </row>
    <row r="240" spans="1:33" outlineLevel="1">
      <c r="A240" s="476" t="s">
        <v>2963</v>
      </c>
      <c r="B240" s="230" t="s">
        <v>1768</v>
      </c>
      <c r="C240" s="227" t="s">
        <v>2759</v>
      </c>
      <c r="D240" s="129">
        <f t="shared" si="8"/>
        <v>392</v>
      </c>
      <c r="E240" s="62" t="s">
        <v>3238</v>
      </c>
      <c r="G240" s="216">
        <v>1</v>
      </c>
      <c r="H240" s="216">
        <v>1</v>
      </c>
      <c r="I240" s="372" t="str">
        <f t="shared" si="21"/>
        <v>Ply</v>
      </c>
      <c r="J240" s="217">
        <v>13.5</v>
      </c>
      <c r="T240" s="34" t="str">
        <f t="shared" si="22"/>
        <v>SILICONE SIKAFLEX 221 PUTIH</v>
      </c>
      <c r="W240" s="1">
        <v>22</v>
      </c>
      <c r="X240" s="1">
        <v>22</v>
      </c>
      <c r="Y240" s="1">
        <v>3</v>
      </c>
      <c r="Z240" s="1">
        <v>3</v>
      </c>
      <c r="AA240" s="1">
        <v>0</v>
      </c>
      <c r="AB240" s="1">
        <v>0</v>
      </c>
      <c r="AF240" s="504" t="str">
        <f>IF(bahan5="UPVC",edging7,edging8)</f>
        <v>Trim 22 S2/S4 Brown Doff ( Alm. 75270 ) P3</v>
      </c>
      <c r="AG240" s="1">
        <v>2</v>
      </c>
    </row>
    <row r="241" spans="1:33" outlineLevel="1">
      <c r="A241" s="476" t="s">
        <v>2963</v>
      </c>
      <c r="B241" s="230" t="s">
        <v>1768</v>
      </c>
      <c r="C241" s="227" t="s">
        <v>1836</v>
      </c>
      <c r="D241" s="129">
        <f t="shared" si="8"/>
        <v>393</v>
      </c>
      <c r="E241" s="62" t="s">
        <v>3238</v>
      </c>
      <c r="G241" s="216">
        <v>1</v>
      </c>
      <c r="H241" s="216">
        <v>1</v>
      </c>
      <c r="I241" s="372" t="str">
        <f t="shared" si="21"/>
        <v>Ply</v>
      </c>
      <c r="J241" s="217">
        <v>13.5</v>
      </c>
      <c r="T241" s="34" t="str">
        <f t="shared" si="22"/>
        <v>SILICONE SIKAFLEX 221 PUTIH</v>
      </c>
      <c r="W241" s="1">
        <v>22</v>
      </c>
      <c r="X241" s="1">
        <v>22</v>
      </c>
      <c r="Y241" s="1">
        <v>8</v>
      </c>
      <c r="Z241" s="1">
        <v>8</v>
      </c>
      <c r="AA241" s="1">
        <v>8</v>
      </c>
      <c r="AB241" s="1">
        <v>8</v>
      </c>
    </row>
    <row r="242" spans="1:33" outlineLevel="1">
      <c r="A242" s="476" t="s">
        <v>2963</v>
      </c>
      <c r="B242" s="230" t="s">
        <v>1768</v>
      </c>
      <c r="C242" s="227" t="s">
        <v>2502</v>
      </c>
      <c r="D242" s="129">
        <f t="shared" si="8"/>
        <v>394</v>
      </c>
      <c r="E242" s="62" t="s">
        <v>3238</v>
      </c>
      <c r="G242" s="216">
        <v>1</v>
      </c>
      <c r="H242" s="216">
        <v>1</v>
      </c>
      <c r="I242" s="372" t="str">
        <f t="shared" si="21"/>
        <v>Ply</v>
      </c>
      <c r="J242" s="217">
        <v>15</v>
      </c>
      <c r="T242" s="34" t="str">
        <f t="shared" si="22"/>
        <v>SILICONE SIKAFLEX 221 PUTIH</v>
      </c>
      <c r="W242" s="1">
        <v>22</v>
      </c>
      <c r="X242" s="1">
        <v>22</v>
      </c>
      <c r="Y242" s="1">
        <v>7</v>
      </c>
      <c r="Z242" s="1">
        <v>7</v>
      </c>
      <c r="AA242" s="1">
        <v>7</v>
      </c>
      <c r="AB242" s="1">
        <v>7</v>
      </c>
    </row>
    <row r="243" spans="1:33" outlineLevel="1">
      <c r="A243" s="476" t="s">
        <v>2963</v>
      </c>
      <c r="B243" s="230" t="s">
        <v>1768</v>
      </c>
      <c r="C243" s="227" t="s">
        <v>2668</v>
      </c>
      <c r="D243" s="129">
        <f t="shared" si="8"/>
        <v>395</v>
      </c>
      <c r="E243" s="62" t="s">
        <v>3238</v>
      </c>
      <c r="G243" s="216">
        <v>1</v>
      </c>
      <c r="H243" s="216">
        <v>1</v>
      </c>
      <c r="I243" s="372" t="str">
        <f t="shared" si="21"/>
        <v>Ply</v>
      </c>
      <c r="J243" s="217">
        <v>15</v>
      </c>
      <c r="T243" s="34" t="str">
        <f t="shared" si="22"/>
        <v>SILICONE SIKAFLEX 221 PUTIH</v>
      </c>
      <c r="W243" s="1">
        <v>22</v>
      </c>
      <c r="X243" s="1">
        <v>22</v>
      </c>
      <c r="Y243" s="1">
        <v>7</v>
      </c>
      <c r="Z243" s="1">
        <v>7</v>
      </c>
      <c r="AA243" s="1">
        <v>7</v>
      </c>
      <c r="AB243" s="1">
        <v>7</v>
      </c>
    </row>
    <row r="244" spans="1:33" outlineLevel="1">
      <c r="A244" s="476" t="s">
        <v>2963</v>
      </c>
      <c r="B244" s="230" t="s">
        <v>1768</v>
      </c>
      <c r="C244" s="227" t="s">
        <v>2722</v>
      </c>
      <c r="D244" s="129">
        <f t="shared" si="8"/>
        <v>396</v>
      </c>
      <c r="E244" s="62" t="s">
        <v>3238</v>
      </c>
      <c r="G244" s="216">
        <v>1</v>
      </c>
      <c r="H244" s="216">
        <v>1</v>
      </c>
      <c r="I244" s="372" t="str">
        <f t="shared" si="21"/>
        <v>Ply</v>
      </c>
      <c r="J244" s="217">
        <v>15</v>
      </c>
      <c r="W244" s="1">
        <v>22</v>
      </c>
      <c r="X244" s="1">
        <v>22</v>
      </c>
      <c r="Y244" s="1">
        <v>0</v>
      </c>
      <c r="Z244" s="1">
        <v>0</v>
      </c>
      <c r="AA244" s="1">
        <v>0</v>
      </c>
      <c r="AB244" s="1">
        <v>0</v>
      </c>
    </row>
    <row r="245" spans="1:33" outlineLevel="1">
      <c r="A245" s="476" t="s">
        <v>2963</v>
      </c>
      <c r="B245" s="230" t="s">
        <v>1768</v>
      </c>
      <c r="C245" s="227" t="s">
        <v>1837</v>
      </c>
      <c r="D245" s="129">
        <f t="shared" si="8"/>
        <v>397</v>
      </c>
      <c r="E245" s="62" t="s">
        <v>3238</v>
      </c>
      <c r="G245" s="216">
        <v>1</v>
      </c>
      <c r="H245" s="216">
        <v>1</v>
      </c>
      <c r="I245" s="537" t="str">
        <f>IF(Spek!$D$17="MDF",bahan4,bahan5)</f>
        <v>Ply</v>
      </c>
      <c r="J245" s="217">
        <v>12</v>
      </c>
      <c r="T245" s="34" t="str">
        <f>prof_panel_3</f>
        <v>PROFIL MLP 02 MDF HIJAU UK 2350X16X17( Tidak coak)</v>
      </c>
      <c r="U245" s="34" t="str">
        <f>prof_pintu_2</f>
        <v>PROFIL MLP 04 MDF HIJAU UK 2350X14X14</v>
      </c>
      <c r="V245" s="34">
        <f>prof_pintu_1</f>
        <v>0</v>
      </c>
      <c r="W245" s="474">
        <f>Spek!$A$37</f>
        <v>0</v>
      </c>
      <c r="X245" s="1">
        <v>22</v>
      </c>
      <c r="Y245" s="1">
        <v>0</v>
      </c>
      <c r="Z245" s="1">
        <v>0</v>
      </c>
      <c r="AA245" s="1">
        <v>0</v>
      </c>
      <c r="AB245" s="1">
        <v>0</v>
      </c>
    </row>
    <row r="246" spans="1:33" outlineLevel="1">
      <c r="A246" s="476" t="s">
        <v>2963</v>
      </c>
      <c r="B246" s="230" t="s">
        <v>1768</v>
      </c>
      <c r="C246" s="227" t="s">
        <v>2621</v>
      </c>
      <c r="D246" s="129">
        <f t="shared" si="8"/>
        <v>398</v>
      </c>
      <c r="E246" s="62" t="s">
        <v>3238</v>
      </c>
      <c r="G246" s="216">
        <v>1</v>
      </c>
      <c r="H246" s="216">
        <v>1</v>
      </c>
      <c r="I246" s="537" t="str">
        <f>IF(Spek!$D$17="MDF",bahan4,bahan5)</f>
        <v>Ply</v>
      </c>
      <c r="J246" s="217">
        <v>12</v>
      </c>
      <c r="T246" s="34" t="str">
        <f>prof_panel_1</f>
        <v>PROFIL  PT-04 MDF HIJAU P.2440</v>
      </c>
      <c r="W246" s="1">
        <v>0</v>
      </c>
      <c r="X246" s="1">
        <v>22</v>
      </c>
      <c r="Y246" s="1">
        <v>0</v>
      </c>
      <c r="Z246" s="1">
        <v>0</v>
      </c>
      <c r="AA246" s="1">
        <v>0</v>
      </c>
      <c r="AB246" s="1">
        <v>0</v>
      </c>
    </row>
    <row r="247" spans="1:33" outlineLevel="1">
      <c r="A247" s="476" t="s">
        <v>3129</v>
      </c>
      <c r="B247" s="230" t="s">
        <v>1768</v>
      </c>
      <c r="C247" s="227" t="s">
        <v>2338</v>
      </c>
      <c r="D247" s="129">
        <f t="shared" si="8"/>
        <v>399</v>
      </c>
      <c r="E247" s="62" t="s">
        <v>1745</v>
      </c>
      <c r="G247" s="216">
        <v>1</v>
      </c>
      <c r="H247" s="216">
        <v>1</v>
      </c>
      <c r="I247" s="537" t="str">
        <f>IF(Spek!$D$17="MDF",bahan4,bahan5)</f>
        <v>Ply</v>
      </c>
      <c r="J247" s="217">
        <v>12</v>
      </c>
      <c r="W247" s="536">
        <f>IF(Spek!$D$17="MDF",0,7)</f>
        <v>7</v>
      </c>
      <c r="X247" s="1">
        <v>22</v>
      </c>
      <c r="Y247" s="1">
        <v>9</v>
      </c>
      <c r="Z247" s="1">
        <v>9</v>
      </c>
      <c r="AA247" s="1">
        <v>9</v>
      </c>
      <c r="AB247" s="1">
        <v>9</v>
      </c>
    </row>
    <row r="248" spans="1:33" outlineLevel="1">
      <c r="A248" s="476" t="s">
        <v>3129</v>
      </c>
      <c r="B248" s="230" t="s">
        <v>1768</v>
      </c>
      <c r="C248" s="227" t="s">
        <v>3089</v>
      </c>
      <c r="D248" s="129">
        <f t="shared" si="8"/>
        <v>400</v>
      </c>
      <c r="E248" s="62" t="s">
        <v>1745</v>
      </c>
      <c r="G248" s="216">
        <v>0</v>
      </c>
      <c r="H248" s="216">
        <v>1</v>
      </c>
      <c r="I248" s="372" t="str">
        <f>bahan5</f>
        <v>Ply</v>
      </c>
      <c r="J248" s="217">
        <v>12</v>
      </c>
      <c r="W248" s="1">
        <v>1</v>
      </c>
      <c r="X248" s="1">
        <v>22</v>
      </c>
      <c r="Y248" s="1">
        <v>1</v>
      </c>
      <c r="Z248" s="1">
        <v>1</v>
      </c>
      <c r="AA248" s="1">
        <v>1</v>
      </c>
      <c r="AB248" s="1">
        <v>1</v>
      </c>
    </row>
    <row r="249" spans="1:33" outlineLevel="1">
      <c r="A249" s="476" t="s">
        <v>3129</v>
      </c>
      <c r="B249" s="230" t="s">
        <v>1768</v>
      </c>
      <c r="C249" s="227" t="s">
        <v>2790</v>
      </c>
      <c r="D249" s="129">
        <f t="shared" si="8"/>
        <v>401</v>
      </c>
      <c r="E249" s="62" t="s">
        <v>1745</v>
      </c>
      <c r="G249" s="216">
        <v>0</v>
      </c>
      <c r="H249" s="216">
        <v>1</v>
      </c>
      <c r="I249" s="372" t="str">
        <f>bahan5</f>
        <v>Ply</v>
      </c>
      <c r="J249" s="217">
        <v>12</v>
      </c>
      <c r="W249" s="1">
        <v>3</v>
      </c>
      <c r="X249" s="1">
        <v>22</v>
      </c>
      <c r="Y249" s="1">
        <v>3</v>
      </c>
      <c r="Z249" s="1">
        <v>3</v>
      </c>
      <c r="AA249" s="1">
        <v>3</v>
      </c>
      <c r="AB249" s="1">
        <v>3</v>
      </c>
    </row>
    <row r="250" spans="1:33" outlineLevel="1">
      <c r="A250" s="476" t="s">
        <v>3129</v>
      </c>
      <c r="B250" s="230" t="s">
        <v>1768</v>
      </c>
      <c r="C250" s="227" t="s">
        <v>3061</v>
      </c>
      <c r="D250" s="129">
        <f t="shared" si="8"/>
        <v>402</v>
      </c>
      <c r="E250" s="62" t="s">
        <v>3238</v>
      </c>
      <c r="G250" s="216">
        <v>0</v>
      </c>
      <c r="H250" s="216">
        <v>1</v>
      </c>
      <c r="I250" s="372" t="str">
        <f t="shared" ref="I250:I260" si="23">bahan5</f>
        <v>Ply</v>
      </c>
      <c r="J250" s="217">
        <v>6</v>
      </c>
      <c r="W250" s="1">
        <v>22</v>
      </c>
      <c r="X250" s="1">
        <v>22</v>
      </c>
      <c r="Y250" s="1">
        <v>0</v>
      </c>
      <c r="Z250" s="1">
        <v>0</v>
      </c>
      <c r="AA250" s="1">
        <v>0</v>
      </c>
      <c r="AB250" s="1">
        <v>0</v>
      </c>
    </row>
    <row r="251" spans="1:33" outlineLevel="1">
      <c r="A251" s="476" t="s">
        <v>2963</v>
      </c>
      <c r="B251" s="230" t="s">
        <v>1768</v>
      </c>
      <c r="C251" s="227" t="s">
        <v>1838</v>
      </c>
      <c r="D251" s="129">
        <f t="shared" si="8"/>
        <v>403</v>
      </c>
      <c r="E251" s="62" t="s">
        <v>1745</v>
      </c>
      <c r="G251" s="216">
        <v>0</v>
      </c>
      <c r="H251" s="216">
        <v>1</v>
      </c>
      <c r="I251" s="372" t="str">
        <f t="shared" si="23"/>
        <v>Ply</v>
      </c>
      <c r="J251" s="217">
        <v>18</v>
      </c>
      <c r="W251" s="1">
        <v>1</v>
      </c>
      <c r="X251" s="502">
        <f>IF(Spek!$B$42="paper",22,Spek!$A$36)</f>
        <v>0</v>
      </c>
      <c r="Y251" s="1">
        <v>1</v>
      </c>
      <c r="Z251" s="1">
        <v>1</v>
      </c>
      <c r="AA251" s="1">
        <v>1</v>
      </c>
      <c r="AB251" s="1">
        <v>1</v>
      </c>
    </row>
    <row r="252" spans="1:33" outlineLevel="1">
      <c r="A252" s="476" t="s">
        <v>2963</v>
      </c>
      <c r="B252" s="230" t="s">
        <v>1768</v>
      </c>
      <c r="C252" s="227" t="s">
        <v>2660</v>
      </c>
      <c r="D252" s="129">
        <f t="shared" si="8"/>
        <v>404</v>
      </c>
      <c r="E252" s="62" t="s">
        <v>1745</v>
      </c>
      <c r="G252" s="216">
        <v>0</v>
      </c>
      <c r="H252" s="216">
        <v>1</v>
      </c>
      <c r="I252" s="372" t="str">
        <f t="shared" si="23"/>
        <v>Ply</v>
      </c>
      <c r="J252" s="217">
        <v>18</v>
      </c>
      <c r="W252" s="1">
        <v>3</v>
      </c>
      <c r="X252" s="502">
        <f>IF(Spek!$B$42="paper",22,Spek!$A$36)</f>
        <v>0</v>
      </c>
      <c r="Y252" s="1">
        <v>3</v>
      </c>
      <c r="Z252" s="1">
        <v>3</v>
      </c>
      <c r="AA252" s="1">
        <v>3</v>
      </c>
      <c r="AB252" s="1">
        <v>3</v>
      </c>
    </row>
    <row r="253" spans="1:33" outlineLevel="1">
      <c r="A253" s="476" t="s">
        <v>2963</v>
      </c>
      <c r="B253" s="230" t="s">
        <v>1768</v>
      </c>
      <c r="C253" s="227" t="s">
        <v>2791</v>
      </c>
      <c r="D253" s="129">
        <f t="shared" si="8"/>
        <v>405</v>
      </c>
      <c r="E253" s="62" t="s">
        <v>1745</v>
      </c>
      <c r="G253" s="216">
        <v>0</v>
      </c>
      <c r="H253" s="216">
        <v>1</v>
      </c>
      <c r="I253" s="372" t="str">
        <f t="shared" si="23"/>
        <v>Ply</v>
      </c>
      <c r="J253" s="217">
        <v>18</v>
      </c>
      <c r="W253" s="1">
        <v>6</v>
      </c>
      <c r="X253" s="502">
        <f>IF(Spek!$B$42="paper",22,Spek!$A$36)</f>
        <v>0</v>
      </c>
      <c r="Y253" s="1">
        <v>66</v>
      </c>
      <c r="Z253" s="1">
        <v>66</v>
      </c>
      <c r="AA253" s="1">
        <v>66</v>
      </c>
      <c r="AB253" s="1">
        <v>66</v>
      </c>
    </row>
    <row r="254" spans="1:33" outlineLevel="1">
      <c r="A254" s="476" t="s">
        <v>2963</v>
      </c>
      <c r="B254" s="230" t="s">
        <v>1768</v>
      </c>
      <c r="C254" s="227" t="s">
        <v>3097</v>
      </c>
      <c r="D254" s="129">
        <f t="shared" si="8"/>
        <v>406</v>
      </c>
      <c r="E254" s="62" t="s">
        <v>1745</v>
      </c>
      <c r="G254" s="216">
        <v>0</v>
      </c>
      <c r="H254" s="216">
        <v>1</v>
      </c>
      <c r="I254" s="372" t="str">
        <f t="shared" si="23"/>
        <v>Ply</v>
      </c>
      <c r="J254" s="217">
        <v>18</v>
      </c>
      <c r="W254" s="1">
        <v>5</v>
      </c>
      <c r="X254" s="502">
        <f>IF(Spek!$B$42="paper",22,Spek!$A$36)</f>
        <v>0</v>
      </c>
      <c r="Y254" s="1">
        <v>5</v>
      </c>
      <c r="Z254" s="1">
        <v>5</v>
      </c>
      <c r="AA254" s="1">
        <v>5</v>
      </c>
      <c r="AB254" s="1">
        <v>5</v>
      </c>
    </row>
    <row r="255" spans="1:33" outlineLevel="1">
      <c r="A255" s="476" t="s">
        <v>2963</v>
      </c>
      <c r="B255" s="230" t="s">
        <v>1768</v>
      </c>
      <c r="C255" s="227" t="s">
        <v>4372</v>
      </c>
      <c r="D255" s="129">
        <f t="shared" si="8"/>
        <v>407</v>
      </c>
      <c r="E255" s="62" t="s">
        <v>1745</v>
      </c>
      <c r="G255" s="216">
        <v>0</v>
      </c>
      <c r="H255" s="216">
        <v>1</v>
      </c>
      <c r="I255" s="372" t="str">
        <f t="shared" si="23"/>
        <v>Ply</v>
      </c>
      <c r="J255" s="217">
        <v>18</v>
      </c>
      <c r="W255" s="1">
        <v>6</v>
      </c>
      <c r="X255" s="502">
        <f>IF(Spek!$B$42="paper",22,Spek!$A$36)</f>
        <v>0</v>
      </c>
      <c r="Y255" s="1">
        <v>66</v>
      </c>
      <c r="Z255" s="1">
        <v>66</v>
      </c>
      <c r="AA255" s="1">
        <v>66</v>
      </c>
      <c r="AB255" s="1">
        <v>66</v>
      </c>
    </row>
    <row r="256" spans="1:33" outlineLevel="1">
      <c r="A256" s="476" t="s">
        <v>2963</v>
      </c>
      <c r="B256" s="230" t="s">
        <v>1768</v>
      </c>
      <c r="C256" s="227" t="s">
        <v>1839</v>
      </c>
      <c r="D256" s="129">
        <f t="shared" si="8"/>
        <v>408</v>
      </c>
      <c r="E256" s="62" t="s">
        <v>1745</v>
      </c>
      <c r="G256" s="216">
        <v>0</v>
      </c>
      <c r="H256" s="216">
        <v>1</v>
      </c>
      <c r="I256" s="372" t="str">
        <f t="shared" si="23"/>
        <v>Ply</v>
      </c>
      <c r="J256" s="217">
        <v>18</v>
      </c>
      <c r="W256" s="1">
        <v>1</v>
      </c>
      <c r="X256" s="1">
        <v>22</v>
      </c>
      <c r="Y256" s="1">
        <v>1</v>
      </c>
      <c r="Z256" s="1">
        <v>1</v>
      </c>
      <c r="AA256" s="1">
        <v>0</v>
      </c>
      <c r="AB256" s="1">
        <v>0</v>
      </c>
      <c r="AF256" t="str">
        <f>edging7</f>
        <v>Trim 21 S2/S4 Brown Doff ( Alm. 75181 ) P3</v>
      </c>
      <c r="AG256" s="1">
        <v>2</v>
      </c>
    </row>
    <row r="257" spans="1:33" outlineLevel="1">
      <c r="A257" s="476" t="s">
        <v>2963</v>
      </c>
      <c r="B257" s="230" t="s">
        <v>1768</v>
      </c>
      <c r="C257" s="227" t="s">
        <v>2278</v>
      </c>
      <c r="D257" s="129">
        <f t="shared" si="8"/>
        <v>409</v>
      </c>
      <c r="E257" s="62" t="s">
        <v>1745</v>
      </c>
      <c r="G257" s="216">
        <v>0</v>
      </c>
      <c r="H257" s="216">
        <v>1</v>
      </c>
      <c r="I257" s="372" t="str">
        <f t="shared" si="23"/>
        <v>Ply</v>
      </c>
      <c r="J257" s="217">
        <v>13.5</v>
      </c>
      <c r="T257" s="34" t="str">
        <f>seal_maxbond</f>
        <v>SILICONE MAX BOND</v>
      </c>
      <c r="W257" s="1">
        <v>22</v>
      </c>
      <c r="X257" s="1">
        <v>22</v>
      </c>
      <c r="Y257" s="1">
        <v>8</v>
      </c>
      <c r="Z257" s="1">
        <v>0</v>
      </c>
      <c r="AA257" s="1">
        <v>0</v>
      </c>
      <c r="AB257" s="1">
        <v>0</v>
      </c>
    </row>
    <row r="258" spans="1:33" outlineLevel="1">
      <c r="A258" s="476" t="s">
        <v>2963</v>
      </c>
      <c r="B258" s="230" t="s">
        <v>1768</v>
      </c>
      <c r="C258" s="227" t="s">
        <v>1840</v>
      </c>
      <c r="D258" s="129">
        <f t="shared" si="8"/>
        <v>410</v>
      </c>
      <c r="E258" s="62" t="s">
        <v>1745</v>
      </c>
      <c r="G258" s="216">
        <v>0</v>
      </c>
      <c r="H258" s="216">
        <v>1</v>
      </c>
      <c r="I258" s="372" t="str">
        <f t="shared" si="23"/>
        <v>Ply</v>
      </c>
      <c r="J258" s="217">
        <v>13.5</v>
      </c>
      <c r="T258" s="34" t="str">
        <f>seal_putih</f>
        <v>SILICONE SIKAFLEX 221 PUTIH</v>
      </c>
      <c r="W258" s="1">
        <v>22</v>
      </c>
      <c r="X258" s="1">
        <v>22</v>
      </c>
      <c r="Y258" s="1">
        <v>1</v>
      </c>
      <c r="Z258" s="1">
        <v>1</v>
      </c>
      <c r="AA258" s="1">
        <v>0</v>
      </c>
      <c r="AB258" s="1">
        <v>0</v>
      </c>
      <c r="AF258" s="504" t="str">
        <f>IF(Spek!$D$21="UPVC",edging7,edging8)</f>
        <v>Trim 22 S2/S4 Brown Doff ( Alm. 75270 ) P3</v>
      </c>
      <c r="AG258" s="1">
        <v>2</v>
      </c>
    </row>
    <row r="259" spans="1:33" outlineLevel="1">
      <c r="A259" s="476" t="s">
        <v>2963</v>
      </c>
      <c r="B259" s="230" t="s">
        <v>1768</v>
      </c>
      <c r="C259" s="227" t="s">
        <v>1841</v>
      </c>
      <c r="D259" s="129">
        <f t="shared" si="8"/>
        <v>411</v>
      </c>
      <c r="E259" s="62" t="s">
        <v>1745</v>
      </c>
      <c r="G259" s="216">
        <v>0</v>
      </c>
      <c r="H259" s="216">
        <v>1</v>
      </c>
      <c r="I259" s="372" t="str">
        <f t="shared" si="23"/>
        <v>Ply</v>
      </c>
      <c r="J259" s="217">
        <v>13.5</v>
      </c>
      <c r="T259" s="34" t="str">
        <f>seal_putih</f>
        <v>SILICONE SIKAFLEX 221 PUTIH</v>
      </c>
      <c r="W259" s="1">
        <v>22</v>
      </c>
      <c r="X259" s="1">
        <v>22</v>
      </c>
      <c r="Y259" s="1">
        <v>8</v>
      </c>
      <c r="Z259" s="1">
        <v>8</v>
      </c>
      <c r="AA259" s="1">
        <v>8</v>
      </c>
      <c r="AB259" s="1">
        <v>8</v>
      </c>
    </row>
    <row r="260" spans="1:33" outlineLevel="1">
      <c r="A260" s="476" t="s">
        <v>2963</v>
      </c>
      <c r="B260" s="230" t="s">
        <v>1768</v>
      </c>
      <c r="C260" s="227" t="s">
        <v>2503</v>
      </c>
      <c r="D260" s="129">
        <f t="shared" si="8"/>
        <v>412</v>
      </c>
      <c r="E260" s="62" t="s">
        <v>1745</v>
      </c>
      <c r="G260" s="216">
        <v>0</v>
      </c>
      <c r="H260" s="216">
        <v>1</v>
      </c>
      <c r="I260" s="372" t="str">
        <f t="shared" si="23"/>
        <v>Ply</v>
      </c>
      <c r="J260" s="217">
        <v>15</v>
      </c>
      <c r="T260" s="34" t="str">
        <f>seal_putih</f>
        <v>SILICONE SIKAFLEX 221 PUTIH</v>
      </c>
      <c r="W260" s="1">
        <v>22</v>
      </c>
      <c r="X260" s="1">
        <v>22</v>
      </c>
      <c r="Y260" s="1">
        <v>7</v>
      </c>
      <c r="Z260" s="1">
        <v>7</v>
      </c>
      <c r="AA260" s="1">
        <v>7</v>
      </c>
      <c r="AB260" s="1">
        <v>7</v>
      </c>
    </row>
    <row r="261" spans="1:33" outlineLevel="1">
      <c r="A261" s="476" t="s">
        <v>2963</v>
      </c>
      <c r="B261" s="230" t="s">
        <v>1768</v>
      </c>
      <c r="C261" s="227" t="s">
        <v>2379</v>
      </c>
      <c r="D261" s="129">
        <f t="shared" si="8"/>
        <v>413</v>
      </c>
      <c r="E261" s="62" t="s">
        <v>1745</v>
      </c>
      <c r="G261" s="216">
        <v>1</v>
      </c>
      <c r="H261" s="216">
        <v>1</v>
      </c>
      <c r="I261" s="500" t="str">
        <f>IF(Spek!$D$17="UPVC","UPVC","Ply")</f>
        <v>Ply</v>
      </c>
      <c r="J261" s="217">
        <v>9</v>
      </c>
      <c r="W261" s="1">
        <v>0</v>
      </c>
      <c r="X261" s="1">
        <v>0</v>
      </c>
      <c r="Y261" s="1">
        <v>0</v>
      </c>
      <c r="Z261" s="1">
        <v>0</v>
      </c>
      <c r="AA261" s="1">
        <v>0</v>
      </c>
      <c r="AB261" s="1">
        <v>0</v>
      </c>
    </row>
    <row r="262" spans="1:33" outlineLevel="1">
      <c r="A262" s="476" t="s">
        <v>2963</v>
      </c>
      <c r="B262" s="230" t="s">
        <v>1768</v>
      </c>
      <c r="C262" s="227" t="s">
        <v>1842</v>
      </c>
      <c r="D262" s="129">
        <f t="shared" si="8"/>
        <v>414</v>
      </c>
      <c r="E262" s="62" t="s">
        <v>1745</v>
      </c>
      <c r="G262" s="216">
        <v>1</v>
      </c>
      <c r="H262" s="216">
        <v>1</v>
      </c>
      <c r="I262" s="500" t="str">
        <f>IF(Spek!$D$17="UPVC","UPVC","Ply")</f>
        <v>Ply</v>
      </c>
      <c r="J262" s="217">
        <v>18</v>
      </c>
      <c r="W262" s="1">
        <v>0</v>
      </c>
      <c r="X262" s="1">
        <v>22</v>
      </c>
      <c r="Y262" s="1">
        <v>0</v>
      </c>
      <c r="Z262" s="55">
        <v>9</v>
      </c>
      <c r="AA262" s="1">
        <v>0</v>
      </c>
      <c r="AB262" s="1">
        <v>0</v>
      </c>
      <c r="AC262" t="s">
        <v>1506</v>
      </c>
    </row>
    <row r="263" spans="1:33" outlineLevel="1">
      <c r="A263" s="476" t="s">
        <v>2963</v>
      </c>
      <c r="B263" s="230" t="s">
        <v>1768</v>
      </c>
      <c r="C263" s="227" t="s">
        <v>2845</v>
      </c>
      <c r="D263" s="129">
        <f t="shared" si="8"/>
        <v>415</v>
      </c>
      <c r="E263" s="62" t="s">
        <v>1745</v>
      </c>
      <c r="G263" s="216">
        <v>0</v>
      </c>
      <c r="H263" s="216">
        <v>1</v>
      </c>
      <c r="I263" s="500" t="str">
        <f>IF(Spek!$D$17="UPVC","UPVC","Ply")</f>
        <v>Ply</v>
      </c>
      <c r="J263" s="217">
        <v>18</v>
      </c>
      <c r="W263" s="1">
        <v>1</v>
      </c>
      <c r="X263" s="1">
        <v>0</v>
      </c>
      <c r="Y263" s="1">
        <v>1</v>
      </c>
      <c r="Z263" s="1">
        <v>0</v>
      </c>
      <c r="AA263" s="1">
        <v>0</v>
      </c>
      <c r="AB263" s="1">
        <v>0</v>
      </c>
    </row>
    <row r="264" spans="1:33" outlineLevel="1">
      <c r="A264" s="476" t="s">
        <v>2963</v>
      </c>
      <c r="B264" s="230" t="s">
        <v>1768</v>
      </c>
      <c r="C264" s="227" t="s">
        <v>2846</v>
      </c>
      <c r="D264" s="129">
        <f t="shared" si="8"/>
        <v>416</v>
      </c>
      <c r="E264" s="62" t="s">
        <v>1745</v>
      </c>
      <c r="G264" s="216">
        <v>0</v>
      </c>
      <c r="H264" s="216">
        <v>1</v>
      </c>
      <c r="I264" s="500" t="str">
        <f>IF(Spek!$D$17="UPVC","UPVC","Ply")</f>
        <v>Ply</v>
      </c>
      <c r="J264" s="217">
        <v>18</v>
      </c>
      <c r="W264" s="1">
        <v>3</v>
      </c>
      <c r="X264" s="1">
        <v>0</v>
      </c>
      <c r="Y264" s="1">
        <v>3</v>
      </c>
      <c r="Z264" s="1">
        <v>0</v>
      </c>
      <c r="AA264" s="1">
        <v>0</v>
      </c>
      <c r="AB264" s="1">
        <v>0</v>
      </c>
    </row>
    <row r="265" spans="1:33" outlineLevel="1">
      <c r="A265" s="476" t="s">
        <v>2963</v>
      </c>
      <c r="B265" s="230" t="s">
        <v>1768</v>
      </c>
      <c r="C265" s="227" t="s">
        <v>3519</v>
      </c>
      <c r="D265" s="129">
        <f t="shared" si="8"/>
        <v>417</v>
      </c>
      <c r="E265" s="62" t="s">
        <v>1745</v>
      </c>
      <c r="G265" s="216">
        <v>0</v>
      </c>
      <c r="H265" s="216">
        <v>1</v>
      </c>
      <c r="I265" s="500" t="str">
        <f>IF(Spek!$D$17="UPVC","UPVC","Ply")</f>
        <v>Ply</v>
      </c>
      <c r="J265" s="217">
        <v>18</v>
      </c>
      <c r="W265" s="1">
        <v>5</v>
      </c>
      <c r="X265" s="1">
        <v>0</v>
      </c>
      <c r="Y265" s="1">
        <v>5</v>
      </c>
      <c r="Z265" s="1">
        <v>0</v>
      </c>
      <c r="AA265" s="1">
        <v>0</v>
      </c>
      <c r="AB265" s="1">
        <v>0</v>
      </c>
    </row>
    <row r="266" spans="1:33" outlineLevel="1">
      <c r="A266" s="476" t="s">
        <v>2963</v>
      </c>
      <c r="B266" s="230" t="s">
        <v>1768</v>
      </c>
      <c r="C266" s="227" t="s">
        <v>2970</v>
      </c>
      <c r="D266" s="129">
        <f t="shared" si="8"/>
        <v>418</v>
      </c>
      <c r="E266" s="62" t="s">
        <v>1745</v>
      </c>
      <c r="G266" s="216">
        <v>1</v>
      </c>
      <c r="H266" s="216">
        <v>1</v>
      </c>
      <c r="I266" s="500" t="str">
        <f>IF(Spek!$D$17="UPVC","UPVC","Ply")</f>
        <v>Ply</v>
      </c>
      <c r="J266" s="217">
        <v>9</v>
      </c>
      <c r="W266" s="1">
        <v>0</v>
      </c>
      <c r="X266" s="1">
        <v>22</v>
      </c>
      <c r="Y266" s="1">
        <v>0</v>
      </c>
      <c r="Z266" s="1">
        <v>0</v>
      </c>
      <c r="AA266" s="1">
        <v>0</v>
      </c>
      <c r="AB266" s="1">
        <v>0</v>
      </c>
    </row>
    <row r="267" spans="1:33" outlineLevel="1">
      <c r="A267" s="476" t="s">
        <v>3129</v>
      </c>
      <c r="B267" s="230" t="s">
        <v>1768</v>
      </c>
      <c r="C267" s="227" t="s">
        <v>1843</v>
      </c>
      <c r="D267" s="129">
        <f t="shared" si="8"/>
        <v>419</v>
      </c>
      <c r="E267" s="62" t="s">
        <v>3238</v>
      </c>
      <c r="G267" s="216">
        <v>0</v>
      </c>
      <c r="H267" s="216">
        <v>1</v>
      </c>
      <c r="I267" s="500" t="str">
        <f>IF(Spek!$D$17="UPVC","UPVC","Ply")</f>
        <v>Ply</v>
      </c>
      <c r="J267" s="217">
        <v>18</v>
      </c>
      <c r="T267" s="34" t="str">
        <f>prof_cor_3</f>
        <v>PROFIL R5 MDF hijau 10X15X2350 (MR 02)</v>
      </c>
      <c r="U267" s="34" t="str">
        <f>prof_cor_2</f>
        <v>PROFIL R5 MDF hijau 10X15X2350 (MR 02)</v>
      </c>
      <c r="V267" s="34" t="str">
        <f>prof_cor_1</f>
        <v>PROFIL MLT 01 MDF + PLY 2440X128X24</v>
      </c>
      <c r="W267" s="1">
        <v>7</v>
      </c>
      <c r="X267" s="1">
        <v>0</v>
      </c>
      <c r="Y267" s="55">
        <v>9</v>
      </c>
      <c r="Z267" s="1">
        <v>0</v>
      </c>
      <c r="AA267" s="1">
        <v>0</v>
      </c>
      <c r="AB267" s="1">
        <v>0</v>
      </c>
      <c r="AC267" t="s">
        <v>1506</v>
      </c>
    </row>
    <row r="268" spans="1:33" outlineLevel="1">
      <c r="A268" s="476" t="s">
        <v>3129</v>
      </c>
      <c r="B268" s="230" t="s">
        <v>1768</v>
      </c>
      <c r="C268" s="227" t="s">
        <v>2752</v>
      </c>
      <c r="D268" s="129">
        <f t="shared" si="8"/>
        <v>420</v>
      </c>
      <c r="E268" s="62" t="s">
        <v>3238</v>
      </c>
      <c r="G268" s="216">
        <v>0</v>
      </c>
      <c r="H268" s="216">
        <v>1</v>
      </c>
      <c r="I268" s="500" t="str">
        <f>IF(Spek!$D$17="UPVC","UPVC","Ply")</f>
        <v>Ply</v>
      </c>
      <c r="J268" s="217">
        <v>5.5</v>
      </c>
      <c r="W268" s="1">
        <v>7</v>
      </c>
      <c r="X268" s="1">
        <v>0</v>
      </c>
      <c r="Y268" s="1">
        <v>0</v>
      </c>
      <c r="Z268" s="1">
        <v>0</v>
      </c>
      <c r="AA268" s="1">
        <v>0</v>
      </c>
      <c r="AB268" s="1">
        <v>0</v>
      </c>
    </row>
    <row r="269" spans="1:33" outlineLevel="1">
      <c r="A269" s="476" t="s">
        <v>2963</v>
      </c>
      <c r="B269" s="230" t="s">
        <v>1768</v>
      </c>
      <c r="C269" s="227" t="s">
        <v>1844</v>
      </c>
      <c r="D269" s="129">
        <f t="shared" si="8"/>
        <v>421</v>
      </c>
      <c r="E269" s="62" t="s">
        <v>1745</v>
      </c>
      <c r="G269" s="216">
        <v>0</v>
      </c>
      <c r="H269" s="216">
        <v>1</v>
      </c>
      <c r="I269" s="500" t="str">
        <f>IF(Spek!$D$17="UPVC","UPVC","Ply")</f>
        <v>Ply</v>
      </c>
      <c r="J269" s="217">
        <v>18</v>
      </c>
      <c r="W269" s="1">
        <v>0</v>
      </c>
      <c r="X269" s="1">
        <v>0</v>
      </c>
      <c r="Y269" s="1">
        <v>0</v>
      </c>
      <c r="Z269" s="1">
        <v>0</v>
      </c>
      <c r="AA269" s="1">
        <v>0</v>
      </c>
      <c r="AB269" s="1">
        <v>0</v>
      </c>
    </row>
    <row r="270" spans="1:33" outlineLevel="1">
      <c r="A270" s="476" t="s">
        <v>2963</v>
      </c>
      <c r="B270" s="230" t="s">
        <v>1768</v>
      </c>
      <c r="C270" s="227" t="s">
        <v>1609</v>
      </c>
      <c r="D270" s="129">
        <f t="shared" si="8"/>
        <v>422</v>
      </c>
      <c r="E270" s="62" t="s">
        <v>1745</v>
      </c>
      <c r="G270" s="216">
        <v>1</v>
      </c>
      <c r="H270" s="216">
        <v>1</v>
      </c>
      <c r="I270" s="372" t="str">
        <f t="shared" ref="I270:I275" si="24">bahan5</f>
        <v>Ply</v>
      </c>
      <c r="J270" s="217">
        <v>13.5</v>
      </c>
      <c r="W270" s="1">
        <v>22</v>
      </c>
      <c r="X270" s="1">
        <v>22</v>
      </c>
      <c r="Y270" s="1">
        <v>0</v>
      </c>
      <c r="Z270" s="1">
        <v>0</v>
      </c>
      <c r="AA270" s="1">
        <v>0</v>
      </c>
      <c r="AB270" s="1">
        <v>0</v>
      </c>
    </row>
    <row r="271" spans="1:33" outlineLevel="1">
      <c r="A271" s="476" t="s">
        <v>2963</v>
      </c>
      <c r="B271" s="230" t="s">
        <v>1768</v>
      </c>
      <c r="C271" s="227" t="s">
        <v>2939</v>
      </c>
      <c r="D271" s="129">
        <f t="shared" si="8"/>
        <v>423</v>
      </c>
      <c r="E271" s="62" t="s">
        <v>1745</v>
      </c>
      <c r="G271" s="216">
        <v>1</v>
      </c>
      <c r="H271" s="216">
        <v>1</v>
      </c>
      <c r="I271" s="372" t="str">
        <f t="shared" si="24"/>
        <v>Ply</v>
      </c>
      <c r="J271" s="217">
        <v>12</v>
      </c>
      <c r="W271" s="1">
        <v>22</v>
      </c>
      <c r="X271" s="1">
        <v>22</v>
      </c>
      <c r="Y271" s="1">
        <v>0</v>
      </c>
      <c r="Z271" s="1">
        <v>0</v>
      </c>
      <c r="AA271" s="1">
        <v>0</v>
      </c>
      <c r="AB271" s="1">
        <v>0</v>
      </c>
    </row>
    <row r="272" spans="1:33" outlineLevel="1">
      <c r="A272" s="476" t="s">
        <v>2963</v>
      </c>
      <c r="B272" s="230" t="s">
        <v>1768</v>
      </c>
      <c r="C272" s="227" t="s">
        <v>2475</v>
      </c>
      <c r="D272" s="129">
        <f t="shared" si="8"/>
        <v>424</v>
      </c>
      <c r="E272" s="62" t="s">
        <v>1745</v>
      </c>
      <c r="G272" s="216">
        <v>1</v>
      </c>
      <c r="H272" s="216">
        <v>1</v>
      </c>
      <c r="I272" s="372" t="str">
        <f t="shared" si="24"/>
        <v>Ply</v>
      </c>
      <c r="J272" s="217">
        <v>5.5</v>
      </c>
      <c r="W272" s="1">
        <v>22</v>
      </c>
      <c r="X272" s="1">
        <v>22</v>
      </c>
      <c r="Y272" s="1">
        <v>0</v>
      </c>
      <c r="Z272" s="1">
        <v>0</v>
      </c>
      <c r="AA272" s="1">
        <v>0</v>
      </c>
      <c r="AB272" s="1">
        <v>0</v>
      </c>
    </row>
    <row r="273" spans="1:29" outlineLevel="1">
      <c r="A273" s="476" t="s">
        <v>2963</v>
      </c>
      <c r="B273" s="230" t="s">
        <v>1768</v>
      </c>
      <c r="C273" s="227" t="s">
        <v>2762</v>
      </c>
      <c r="D273" s="129">
        <f t="shared" si="8"/>
        <v>425</v>
      </c>
      <c r="E273" s="62" t="s">
        <v>1745</v>
      </c>
      <c r="G273" s="216">
        <v>1</v>
      </c>
      <c r="H273" s="216">
        <v>1</v>
      </c>
      <c r="I273" s="372" t="str">
        <f t="shared" si="24"/>
        <v>Ply</v>
      </c>
      <c r="J273" s="217">
        <v>13.5</v>
      </c>
      <c r="W273" s="1">
        <v>22</v>
      </c>
      <c r="X273" s="1">
        <v>22</v>
      </c>
      <c r="Y273" s="55">
        <v>9</v>
      </c>
      <c r="Z273" s="55">
        <v>9</v>
      </c>
      <c r="AA273" s="55">
        <v>9</v>
      </c>
      <c r="AB273" s="55">
        <v>9</v>
      </c>
      <c r="AC273" t="s">
        <v>1506</v>
      </c>
    </row>
    <row r="274" spans="1:29" outlineLevel="1">
      <c r="A274" s="476" t="s">
        <v>2963</v>
      </c>
      <c r="B274" s="230" t="s">
        <v>1768</v>
      </c>
      <c r="C274" s="227" t="s">
        <v>2718</v>
      </c>
      <c r="D274" s="129">
        <f t="shared" si="8"/>
        <v>426</v>
      </c>
      <c r="E274" s="62" t="s">
        <v>1745</v>
      </c>
      <c r="G274" s="216">
        <v>1</v>
      </c>
      <c r="H274" s="216">
        <v>1</v>
      </c>
      <c r="I274" s="372" t="str">
        <f t="shared" si="24"/>
        <v>Ply</v>
      </c>
      <c r="J274" s="217">
        <v>3</v>
      </c>
      <c r="W274" s="1">
        <v>0</v>
      </c>
      <c r="X274" s="1">
        <v>0</v>
      </c>
      <c r="Y274" s="1">
        <v>0</v>
      </c>
      <c r="Z274" s="1">
        <v>0</v>
      </c>
      <c r="AA274" s="1">
        <v>0</v>
      </c>
      <c r="AB274" s="1">
        <v>0</v>
      </c>
    </row>
    <row r="275" spans="1:29" outlineLevel="1">
      <c r="A275" s="476" t="s">
        <v>2963</v>
      </c>
      <c r="B275" s="230" t="s">
        <v>1768</v>
      </c>
      <c r="C275" s="227" t="s">
        <v>2277</v>
      </c>
      <c r="D275" s="129">
        <f t="shared" si="8"/>
        <v>427</v>
      </c>
      <c r="E275" s="62" t="s">
        <v>1745</v>
      </c>
      <c r="G275" s="216">
        <v>1</v>
      </c>
      <c r="H275" s="216">
        <v>1</v>
      </c>
      <c r="I275" s="792" t="str">
        <f t="shared" si="24"/>
        <v>Ply</v>
      </c>
      <c r="J275" s="217">
        <v>13.5</v>
      </c>
      <c r="W275" s="1">
        <v>22</v>
      </c>
      <c r="X275" s="502">
        <f>IF(bahan5="ply",0,22)</f>
        <v>0</v>
      </c>
      <c r="Y275" s="55">
        <v>0</v>
      </c>
      <c r="Z275" s="55">
        <v>0</v>
      </c>
      <c r="AA275" s="55">
        <v>0</v>
      </c>
      <c r="AB275" s="55">
        <v>0</v>
      </c>
      <c r="AC275" t="s">
        <v>1506</v>
      </c>
    </row>
    <row r="276" spans="1:29" outlineLevel="1">
      <c r="A276" s="476" t="s">
        <v>2963</v>
      </c>
      <c r="B276" s="230" t="s">
        <v>1768</v>
      </c>
      <c r="C276" s="227" t="s">
        <v>1610</v>
      </c>
      <c r="D276" s="129">
        <f t="shared" si="8"/>
        <v>428</v>
      </c>
      <c r="E276" s="62" t="s">
        <v>1745</v>
      </c>
      <c r="G276" s="216">
        <v>1</v>
      </c>
      <c r="H276" s="216">
        <v>1</v>
      </c>
      <c r="I276" s="500" t="str">
        <f>IF(Spek!$D$17="UPVC","UPVC","Ply")</f>
        <v>Ply</v>
      </c>
      <c r="W276" s="1">
        <v>0</v>
      </c>
      <c r="X276" s="1">
        <v>0</v>
      </c>
      <c r="Y276" s="1">
        <v>0</v>
      </c>
      <c r="Z276" s="1">
        <v>0</v>
      </c>
      <c r="AA276" s="1">
        <v>0</v>
      </c>
      <c r="AB276" s="1">
        <v>0</v>
      </c>
    </row>
    <row r="277" spans="1:29" outlineLevel="1">
      <c r="A277" s="476" t="s">
        <v>2963</v>
      </c>
      <c r="B277" s="230" t="s">
        <v>1768</v>
      </c>
      <c r="C277" s="227" t="s">
        <v>1611</v>
      </c>
      <c r="D277" s="129">
        <f t="shared" si="8"/>
        <v>429</v>
      </c>
      <c r="E277" s="62" t="s">
        <v>1745</v>
      </c>
      <c r="G277" s="216">
        <v>1</v>
      </c>
      <c r="H277" s="216">
        <v>1</v>
      </c>
      <c r="I277" s="500" t="str">
        <f>IF(Spek!$D$17="UPVC","UPVC","Ply")</f>
        <v>Ply</v>
      </c>
      <c r="J277" s="242">
        <f>Spek!$D$31</f>
        <v>18</v>
      </c>
      <c r="W277" s="1">
        <v>0</v>
      </c>
      <c r="X277" s="1">
        <v>22</v>
      </c>
      <c r="Y277" s="1">
        <v>0</v>
      </c>
      <c r="Z277" s="1">
        <v>0</v>
      </c>
      <c r="AA277" s="1">
        <v>0</v>
      </c>
      <c r="AB277" s="1">
        <v>0</v>
      </c>
    </row>
    <row r="278" spans="1:29" outlineLevel="1">
      <c r="A278" s="476" t="s">
        <v>2963</v>
      </c>
      <c r="B278" s="230" t="s">
        <v>1768</v>
      </c>
      <c r="C278" s="227" t="s">
        <v>2666</v>
      </c>
      <c r="D278" s="129">
        <f t="shared" si="8"/>
        <v>430</v>
      </c>
      <c r="E278" s="62" t="s">
        <v>1745</v>
      </c>
      <c r="G278" s="216">
        <v>1</v>
      </c>
      <c r="H278" s="216">
        <v>1</v>
      </c>
      <c r="I278" s="500" t="str">
        <f>IF(Spek!$D$17="UPVC","UPVC","Ply")</f>
        <v>Ply</v>
      </c>
      <c r="J278" s="217">
        <v>12</v>
      </c>
      <c r="W278" s="1">
        <v>0</v>
      </c>
      <c r="X278" s="1">
        <v>22</v>
      </c>
      <c r="Y278" s="1">
        <v>0</v>
      </c>
      <c r="Z278" s="1">
        <v>0</v>
      </c>
      <c r="AA278" s="1">
        <v>0</v>
      </c>
      <c r="AB278" s="1">
        <v>0</v>
      </c>
    </row>
    <row r="279" spans="1:29" outlineLevel="1">
      <c r="A279" s="476" t="s">
        <v>2963</v>
      </c>
      <c r="B279" s="230" t="s">
        <v>1768</v>
      </c>
      <c r="C279" s="227" t="s">
        <v>2850</v>
      </c>
      <c r="D279" s="129">
        <f t="shared" si="8"/>
        <v>431</v>
      </c>
      <c r="E279" s="62" t="s">
        <v>1745</v>
      </c>
      <c r="G279" s="216">
        <v>1</v>
      </c>
      <c r="H279" s="216">
        <v>1</v>
      </c>
      <c r="I279" s="500" t="str">
        <f>IF(Spek!$D$17="UPVC","UPVC","Ply")</f>
        <v>Ply</v>
      </c>
      <c r="J279" s="217">
        <v>12</v>
      </c>
      <c r="W279" s="1">
        <v>0</v>
      </c>
      <c r="X279" s="1">
        <v>22</v>
      </c>
      <c r="Y279" s="1">
        <v>0</v>
      </c>
      <c r="Z279" s="1">
        <v>0</v>
      </c>
      <c r="AA279" s="1">
        <v>0</v>
      </c>
      <c r="AB279" s="1">
        <v>0</v>
      </c>
    </row>
    <row r="280" spans="1:29" outlineLevel="1">
      <c r="A280" s="476" t="s">
        <v>2963</v>
      </c>
      <c r="B280" s="230" t="s">
        <v>1768</v>
      </c>
      <c r="C280" s="227" t="s">
        <v>4200</v>
      </c>
      <c r="D280" s="129">
        <f t="shared" si="8"/>
        <v>432</v>
      </c>
      <c r="E280" s="62" t="s">
        <v>1745</v>
      </c>
      <c r="G280" s="216">
        <v>1</v>
      </c>
      <c r="H280" s="216">
        <v>1</v>
      </c>
      <c r="I280" s="500" t="str">
        <f>IF(Spek!$D$17="UPVC","UPVC","Ply")</f>
        <v>Ply</v>
      </c>
      <c r="J280" s="217">
        <v>12</v>
      </c>
      <c r="W280" s="1">
        <v>0</v>
      </c>
      <c r="X280" s="1">
        <v>22</v>
      </c>
      <c r="Y280" s="1">
        <v>0</v>
      </c>
      <c r="Z280" s="1">
        <v>0</v>
      </c>
      <c r="AA280" s="1">
        <v>0</v>
      </c>
      <c r="AB280" s="1">
        <v>0</v>
      </c>
    </row>
    <row r="281" spans="1:29" outlineLevel="1">
      <c r="A281" s="476" t="s">
        <v>2963</v>
      </c>
      <c r="B281" s="230" t="s">
        <v>1768</v>
      </c>
      <c r="C281" s="227" t="s">
        <v>1615</v>
      </c>
      <c r="D281" s="129">
        <f t="shared" si="8"/>
        <v>433</v>
      </c>
      <c r="E281" s="62" t="s">
        <v>1745</v>
      </c>
      <c r="G281" s="216">
        <v>1</v>
      </c>
      <c r="H281" s="216">
        <v>1</v>
      </c>
      <c r="I281" s="500" t="str">
        <f>IF(Spek!$D$17="UPVC","UPVC","Ply")</f>
        <v>Ply</v>
      </c>
      <c r="J281" s="242">
        <f>Spek!$D$32</f>
        <v>27</v>
      </c>
      <c r="W281" s="1">
        <v>0</v>
      </c>
      <c r="X281" s="1">
        <v>22</v>
      </c>
      <c r="Y281" s="1">
        <v>0</v>
      </c>
      <c r="Z281" s="1">
        <v>0</v>
      </c>
      <c r="AA281" s="1">
        <v>0</v>
      </c>
      <c r="AB281" s="1">
        <v>0</v>
      </c>
    </row>
    <row r="282" spans="1:29" outlineLevel="1">
      <c r="A282" s="476" t="s">
        <v>2963</v>
      </c>
      <c r="B282" s="230" t="s">
        <v>1768</v>
      </c>
      <c r="C282" s="227" t="s">
        <v>1616</v>
      </c>
      <c r="D282" s="129">
        <f t="shared" si="8"/>
        <v>434</v>
      </c>
      <c r="E282" s="62" t="s">
        <v>1745</v>
      </c>
      <c r="G282" s="216">
        <v>1</v>
      </c>
      <c r="H282" s="216">
        <v>4</v>
      </c>
      <c r="I282" s="500" t="str">
        <f>IF(Spek!$D$17="UPVC","UPVC","Ply")</f>
        <v>Ply</v>
      </c>
      <c r="J282" s="217">
        <v>18</v>
      </c>
      <c r="W282" s="1">
        <v>22</v>
      </c>
      <c r="X282" s="1">
        <v>22</v>
      </c>
      <c r="Y282" s="1">
        <v>0</v>
      </c>
      <c r="Z282" s="1">
        <v>0</v>
      </c>
      <c r="AA282" s="1">
        <v>0</v>
      </c>
      <c r="AB282" s="1">
        <v>0</v>
      </c>
    </row>
    <row r="283" spans="1:29" outlineLevel="1">
      <c r="A283" s="476" t="s">
        <v>2963</v>
      </c>
      <c r="B283" s="230" t="s">
        <v>1768</v>
      </c>
      <c r="C283" s="227" t="s">
        <v>1617</v>
      </c>
      <c r="D283" s="129">
        <f t="shared" si="8"/>
        <v>435</v>
      </c>
      <c r="E283" s="62" t="s">
        <v>1745</v>
      </c>
      <c r="G283" s="216">
        <v>0</v>
      </c>
      <c r="H283" s="216">
        <v>4</v>
      </c>
      <c r="I283" s="500" t="str">
        <f>IF(Spek!$D$17="UPVC","UPVC","Ply")</f>
        <v>Ply</v>
      </c>
      <c r="J283" s="217">
        <v>18</v>
      </c>
      <c r="W283" s="1">
        <v>1</v>
      </c>
      <c r="X283" s="809">
        <f>IF(I283="ply",0,22)</f>
        <v>0</v>
      </c>
      <c r="Y283" s="1">
        <v>0</v>
      </c>
      <c r="Z283" s="1">
        <v>0</v>
      </c>
      <c r="AA283" s="1">
        <v>0</v>
      </c>
      <c r="AB283" s="1">
        <v>0</v>
      </c>
    </row>
    <row r="284" spans="1:29" outlineLevel="1">
      <c r="A284" s="476" t="s">
        <v>2963</v>
      </c>
      <c r="B284" s="230" t="s">
        <v>1768</v>
      </c>
      <c r="C284" s="227" t="s">
        <v>2725</v>
      </c>
      <c r="D284" s="129">
        <f t="shared" si="8"/>
        <v>436</v>
      </c>
      <c r="E284" s="62" t="s">
        <v>1745</v>
      </c>
      <c r="G284" s="216">
        <v>0</v>
      </c>
      <c r="H284" s="216">
        <v>3</v>
      </c>
      <c r="I284" s="500" t="str">
        <f>IF(Spek!$D$17="UPVC","UPVC","Ply")</f>
        <v>Ply</v>
      </c>
      <c r="J284" s="217">
        <v>18</v>
      </c>
      <c r="W284" s="1">
        <v>3</v>
      </c>
      <c r="X284" s="809">
        <f>IF(I284="ply",0,22)</f>
        <v>0</v>
      </c>
      <c r="Y284" s="1">
        <v>0</v>
      </c>
      <c r="Z284" s="1">
        <v>0</v>
      </c>
      <c r="AA284" s="1">
        <v>0</v>
      </c>
      <c r="AB284" s="1">
        <v>0</v>
      </c>
    </row>
    <row r="285" spans="1:29" outlineLevel="1">
      <c r="A285" s="476" t="s">
        <v>2963</v>
      </c>
      <c r="B285" s="230" t="s">
        <v>1768</v>
      </c>
      <c r="C285" s="227" t="s">
        <v>3060</v>
      </c>
      <c r="D285" s="129">
        <f t="shared" si="8"/>
        <v>437</v>
      </c>
      <c r="E285" s="62" t="s">
        <v>1745</v>
      </c>
      <c r="G285" s="216">
        <v>0</v>
      </c>
      <c r="H285" s="216">
        <v>3</v>
      </c>
      <c r="I285" s="500" t="str">
        <f>IF(Spek!$D$17="UPVC","UPVC","Ply")</f>
        <v>Ply</v>
      </c>
      <c r="J285" s="217">
        <v>18</v>
      </c>
      <c r="W285" s="1">
        <v>5</v>
      </c>
      <c r="X285" s="809">
        <f>IF(I285="ply",0,22)</f>
        <v>0</v>
      </c>
      <c r="Y285" s="1">
        <v>0</v>
      </c>
      <c r="Z285" s="1">
        <v>0</v>
      </c>
      <c r="AA285" s="1">
        <v>0</v>
      </c>
      <c r="AB285" s="1">
        <v>0</v>
      </c>
    </row>
    <row r="286" spans="1:29" outlineLevel="1">
      <c r="A286" s="476" t="s">
        <v>2963</v>
      </c>
      <c r="B286" s="230" t="s">
        <v>1768</v>
      </c>
      <c r="C286" s="227" t="s">
        <v>2471</v>
      </c>
      <c r="D286" s="129">
        <f t="shared" si="8"/>
        <v>438</v>
      </c>
      <c r="E286" s="62" t="s">
        <v>1745</v>
      </c>
      <c r="G286" s="216">
        <v>1</v>
      </c>
      <c r="H286" s="216">
        <v>3</v>
      </c>
      <c r="I286" s="500" t="str">
        <f>IF(Spek!$D$17="UPVC","UPVC","Ply")</f>
        <v>Ply</v>
      </c>
      <c r="J286" s="217">
        <v>18</v>
      </c>
      <c r="W286" s="1">
        <v>11</v>
      </c>
      <c r="X286" s="1">
        <v>22</v>
      </c>
      <c r="Y286" s="1">
        <v>0</v>
      </c>
      <c r="Z286" s="1">
        <v>0</v>
      </c>
      <c r="AA286" s="1">
        <v>0</v>
      </c>
      <c r="AB286" s="1">
        <v>0</v>
      </c>
    </row>
    <row r="287" spans="1:29" outlineLevel="1">
      <c r="A287" s="476" t="s">
        <v>2963</v>
      </c>
      <c r="B287" s="230" t="s">
        <v>1768</v>
      </c>
      <c r="C287" s="227" t="s">
        <v>2467</v>
      </c>
      <c r="D287" s="129">
        <f t="shared" si="8"/>
        <v>439</v>
      </c>
      <c r="E287" s="62" t="s">
        <v>1745</v>
      </c>
      <c r="G287" s="216">
        <v>0</v>
      </c>
      <c r="H287" s="216">
        <v>3</v>
      </c>
      <c r="I287" s="500" t="str">
        <f>IF(Spek!$D$17="UPVC","UPVC","Ply")</f>
        <v>Ply</v>
      </c>
      <c r="J287" s="217">
        <v>20</v>
      </c>
      <c r="W287" s="1">
        <v>1</v>
      </c>
      <c r="X287" s="1">
        <v>22</v>
      </c>
      <c r="Y287" s="1">
        <v>2</v>
      </c>
      <c r="Z287" s="1">
        <v>2</v>
      </c>
      <c r="AA287" s="1">
        <v>2</v>
      </c>
      <c r="AB287" s="1">
        <v>2</v>
      </c>
    </row>
    <row r="288" spans="1:29" outlineLevel="1">
      <c r="A288" s="476" t="s">
        <v>2963</v>
      </c>
      <c r="B288" s="230" t="s">
        <v>1768</v>
      </c>
      <c r="C288" s="227" t="s">
        <v>2767</v>
      </c>
      <c r="D288" s="129">
        <f t="shared" si="8"/>
        <v>440</v>
      </c>
      <c r="E288" s="62" t="s">
        <v>1745</v>
      </c>
      <c r="G288" s="216">
        <v>0</v>
      </c>
      <c r="H288" s="216">
        <v>3</v>
      </c>
      <c r="I288" s="500" t="str">
        <f>IF(Spek!$D$17="UPVC","UPVC","Ply")</f>
        <v>Ply</v>
      </c>
      <c r="J288" s="217">
        <v>20</v>
      </c>
      <c r="W288" s="1">
        <v>3</v>
      </c>
      <c r="X288" s="1">
        <v>22</v>
      </c>
      <c r="Y288" s="1">
        <v>4</v>
      </c>
      <c r="Z288" s="1">
        <v>4</v>
      </c>
      <c r="AA288" s="1">
        <v>4</v>
      </c>
      <c r="AB288" s="1">
        <v>4</v>
      </c>
    </row>
    <row r="289" spans="1:28" outlineLevel="1">
      <c r="A289" s="476" t="s">
        <v>2963</v>
      </c>
      <c r="B289" s="230" t="s">
        <v>1768</v>
      </c>
      <c r="C289" s="227" t="s">
        <v>2396</v>
      </c>
      <c r="D289" s="129">
        <f t="shared" si="8"/>
        <v>441</v>
      </c>
      <c r="E289" s="62" t="s">
        <v>1745</v>
      </c>
      <c r="G289" s="216">
        <v>1</v>
      </c>
      <c r="H289" s="216">
        <v>1</v>
      </c>
      <c r="I289" s="500" t="str">
        <f>IF(Spek!$D$17="UPVC","UPVC","Ply")</f>
        <v>Ply</v>
      </c>
      <c r="J289" s="217">
        <v>18</v>
      </c>
      <c r="W289" s="1">
        <v>1</v>
      </c>
      <c r="X289" s="502">
        <f>IF(Spek!$B$42="paper",22,Spek!$A$36)</f>
        <v>0</v>
      </c>
      <c r="Y289" s="1">
        <v>1</v>
      </c>
      <c r="Z289" s="1">
        <v>0</v>
      </c>
      <c r="AA289" s="1">
        <v>0</v>
      </c>
      <c r="AB289" s="1">
        <v>0</v>
      </c>
    </row>
    <row r="290" spans="1:28" outlineLevel="1">
      <c r="A290" s="476" t="s">
        <v>2963</v>
      </c>
      <c r="B290" s="230" t="s">
        <v>1768</v>
      </c>
      <c r="C290" s="227" t="s">
        <v>3027</v>
      </c>
      <c r="D290" s="129">
        <f t="shared" si="8"/>
        <v>442</v>
      </c>
      <c r="E290" s="62" t="s">
        <v>1745</v>
      </c>
      <c r="G290" s="216">
        <v>0</v>
      </c>
      <c r="I290" s="500" t="str">
        <f>IF(Spek!$D$17="UPVC","UPVC","Ply")</f>
        <v>Ply</v>
      </c>
      <c r="J290" s="217">
        <v>18</v>
      </c>
      <c r="W290" s="1">
        <v>1</v>
      </c>
      <c r="X290" s="1">
        <v>1</v>
      </c>
      <c r="Y290" s="1">
        <v>1</v>
      </c>
      <c r="Z290" s="1">
        <v>1</v>
      </c>
      <c r="AA290" s="1">
        <v>1</v>
      </c>
      <c r="AB290" s="1">
        <v>1</v>
      </c>
    </row>
    <row r="291" spans="1:28" outlineLevel="1">
      <c r="A291" s="476" t="s">
        <v>2963</v>
      </c>
      <c r="B291" s="230" t="s">
        <v>1768</v>
      </c>
      <c r="C291" s="227" t="s">
        <v>2579</v>
      </c>
      <c r="D291" s="129">
        <f t="shared" si="8"/>
        <v>443</v>
      </c>
      <c r="E291" s="62" t="s">
        <v>1745</v>
      </c>
      <c r="G291" s="216">
        <v>0</v>
      </c>
      <c r="I291" s="500" t="str">
        <f>IF(Spek!$D$17="UPVC","UPVC","Ply")</f>
        <v>Ply</v>
      </c>
      <c r="J291" s="217">
        <v>36</v>
      </c>
      <c r="W291" s="1">
        <v>1</v>
      </c>
      <c r="X291" s="1">
        <v>1</v>
      </c>
      <c r="Y291" s="1">
        <v>2</v>
      </c>
      <c r="Z291" s="1">
        <v>2</v>
      </c>
      <c r="AA291" s="1">
        <v>2</v>
      </c>
      <c r="AB291" s="1">
        <v>2</v>
      </c>
    </row>
    <row r="292" spans="1:28" outlineLevel="1">
      <c r="A292" s="476" t="s">
        <v>2963</v>
      </c>
      <c r="B292" s="230" t="s">
        <v>1768</v>
      </c>
      <c r="C292" s="227" t="s">
        <v>3026</v>
      </c>
      <c r="D292" s="129">
        <f t="shared" si="8"/>
        <v>444</v>
      </c>
      <c r="E292" s="62" t="s">
        <v>1745</v>
      </c>
      <c r="G292" s="216">
        <v>0</v>
      </c>
      <c r="I292" s="500" t="str">
        <f>IF(Spek!$D$17="UPVC","UPVC","Ply")</f>
        <v>Ply</v>
      </c>
      <c r="J292" s="217">
        <v>18</v>
      </c>
      <c r="W292" s="1">
        <v>3</v>
      </c>
      <c r="X292" s="1">
        <v>3</v>
      </c>
      <c r="Y292" s="1">
        <v>3</v>
      </c>
      <c r="Z292" s="1">
        <v>3</v>
      </c>
      <c r="AA292" s="1">
        <v>3</v>
      </c>
      <c r="AB292" s="1">
        <v>3</v>
      </c>
    </row>
    <row r="293" spans="1:28" outlineLevel="1">
      <c r="A293" s="476" t="s">
        <v>2963</v>
      </c>
      <c r="B293" s="230" t="s">
        <v>1768</v>
      </c>
      <c r="C293" s="227" t="s">
        <v>2853</v>
      </c>
      <c r="D293" s="129">
        <f t="shared" si="8"/>
        <v>445</v>
      </c>
      <c r="E293" s="62" t="s">
        <v>1745</v>
      </c>
      <c r="G293" s="216">
        <v>0</v>
      </c>
      <c r="I293" s="500" t="str">
        <f>IF(Spek!$D$17="UPVC","UPVC","Ply")</f>
        <v>Ply</v>
      </c>
      <c r="J293" s="217">
        <v>36</v>
      </c>
      <c r="W293" s="1">
        <v>3</v>
      </c>
      <c r="X293" s="1">
        <v>3</v>
      </c>
      <c r="Y293" s="1">
        <v>4</v>
      </c>
      <c r="Z293" s="1">
        <v>4</v>
      </c>
      <c r="AA293" s="1">
        <v>4</v>
      </c>
      <c r="AB293" s="1">
        <v>4</v>
      </c>
    </row>
    <row r="294" spans="1:28" outlineLevel="1">
      <c r="A294" s="476" t="s">
        <v>2963</v>
      </c>
      <c r="B294" s="230" t="s">
        <v>1768</v>
      </c>
      <c r="C294" s="227" t="s">
        <v>3857</v>
      </c>
      <c r="D294" s="129">
        <f t="shared" si="8"/>
        <v>446</v>
      </c>
      <c r="E294" s="62" t="s">
        <v>1745</v>
      </c>
      <c r="G294" s="216">
        <v>0</v>
      </c>
      <c r="I294" s="500" t="str">
        <f>IF(Spek!$D$17="UPVC","UPVC","Ply")</f>
        <v>Ply</v>
      </c>
      <c r="J294" s="217">
        <v>18</v>
      </c>
      <c r="W294" s="1">
        <v>5</v>
      </c>
      <c r="X294" s="1">
        <v>5</v>
      </c>
      <c r="Y294" s="1">
        <v>5</v>
      </c>
      <c r="Z294" s="1">
        <v>5</v>
      </c>
      <c r="AA294" s="1">
        <v>5</v>
      </c>
      <c r="AB294" s="1">
        <v>5</v>
      </c>
    </row>
    <row r="295" spans="1:28" outlineLevel="1">
      <c r="A295" s="476" t="s">
        <v>2963</v>
      </c>
      <c r="B295" s="230" t="s">
        <v>1768</v>
      </c>
      <c r="C295" s="227" t="s">
        <v>3856</v>
      </c>
      <c r="D295" s="129">
        <f t="shared" si="8"/>
        <v>447</v>
      </c>
      <c r="E295" s="62" t="s">
        <v>1745</v>
      </c>
      <c r="G295" s="216">
        <v>0</v>
      </c>
      <c r="I295" s="500" t="str">
        <f>IF(Spek!$D$17="UPVC","UPVC","Ply")</f>
        <v>Ply</v>
      </c>
      <c r="J295" s="217">
        <v>36</v>
      </c>
      <c r="W295" s="1">
        <v>5</v>
      </c>
      <c r="X295" s="1">
        <v>5</v>
      </c>
      <c r="Y295" s="1">
        <v>5</v>
      </c>
      <c r="Z295" s="1">
        <v>5</v>
      </c>
      <c r="AA295" s="1">
        <v>5</v>
      </c>
      <c r="AB295" s="1">
        <v>5</v>
      </c>
    </row>
    <row r="296" spans="1:28" outlineLevel="1">
      <c r="A296" s="476" t="s">
        <v>2963</v>
      </c>
      <c r="B296" s="230" t="s">
        <v>1768</v>
      </c>
      <c r="C296" s="227" t="s">
        <v>2721</v>
      </c>
      <c r="D296" s="129">
        <f t="shared" si="8"/>
        <v>448</v>
      </c>
      <c r="E296" s="62" t="s">
        <v>1745</v>
      </c>
      <c r="G296" s="216">
        <v>0</v>
      </c>
      <c r="I296" s="500" t="str">
        <f>IF(Spek!$D$17="UPVC","UPVC","Ply")</f>
        <v>Ply</v>
      </c>
      <c r="J296" s="217">
        <v>18</v>
      </c>
      <c r="W296" s="1">
        <v>1</v>
      </c>
      <c r="X296" s="1">
        <v>0</v>
      </c>
      <c r="Y296" s="1">
        <v>1</v>
      </c>
      <c r="Z296" s="1">
        <v>1</v>
      </c>
      <c r="AA296" s="1">
        <v>1</v>
      </c>
      <c r="AB296" s="1">
        <v>1</v>
      </c>
    </row>
    <row r="297" spans="1:28" outlineLevel="1">
      <c r="A297" s="476" t="s">
        <v>2963</v>
      </c>
      <c r="B297" s="230" t="s">
        <v>1768</v>
      </c>
      <c r="C297" s="227" t="s">
        <v>3062</v>
      </c>
      <c r="D297" s="129">
        <f t="shared" si="8"/>
        <v>449</v>
      </c>
      <c r="E297" s="62" t="s">
        <v>1745</v>
      </c>
      <c r="G297" s="216">
        <v>0</v>
      </c>
      <c r="I297" s="500" t="str">
        <f>IF(Spek!$D$17="UPVC","UPVC","Ply")</f>
        <v>Ply</v>
      </c>
      <c r="J297" s="217">
        <v>18</v>
      </c>
      <c r="W297" s="1">
        <v>3</v>
      </c>
      <c r="X297" s="1">
        <v>0</v>
      </c>
      <c r="Y297" s="1">
        <v>3</v>
      </c>
      <c r="Z297" s="1">
        <v>3</v>
      </c>
      <c r="AA297" s="1">
        <v>3</v>
      </c>
      <c r="AB297" s="1">
        <v>3</v>
      </c>
    </row>
    <row r="298" spans="1:28" outlineLevel="1">
      <c r="A298" s="476" t="s">
        <v>2963</v>
      </c>
      <c r="B298" s="230" t="s">
        <v>1768</v>
      </c>
      <c r="C298" s="227" t="s">
        <v>2602</v>
      </c>
      <c r="D298" s="129">
        <f t="shared" si="8"/>
        <v>450</v>
      </c>
      <c r="E298" s="62" t="s">
        <v>1745</v>
      </c>
      <c r="G298" s="216">
        <v>0</v>
      </c>
      <c r="I298" s="500" t="str">
        <f>IF(Spek!$D$17="UPVC","UPVC","Ply")</f>
        <v>Ply</v>
      </c>
      <c r="J298" s="217">
        <v>36</v>
      </c>
      <c r="W298" s="1">
        <v>3</v>
      </c>
      <c r="X298" s="1">
        <v>3</v>
      </c>
      <c r="Y298" s="1">
        <v>2</v>
      </c>
      <c r="Z298" s="1">
        <v>0</v>
      </c>
      <c r="AA298" s="1">
        <v>0</v>
      </c>
      <c r="AB298" s="1">
        <v>0</v>
      </c>
    </row>
    <row r="299" spans="1:28" outlineLevel="1">
      <c r="A299" s="476" t="s">
        <v>3129</v>
      </c>
      <c r="B299" s="230" t="s">
        <v>1768</v>
      </c>
      <c r="C299" s="227" t="s">
        <v>2582</v>
      </c>
      <c r="D299" s="129">
        <f t="shared" si="8"/>
        <v>451</v>
      </c>
      <c r="E299" s="62" t="s">
        <v>1745</v>
      </c>
      <c r="G299" s="216">
        <v>0</v>
      </c>
      <c r="I299" s="537" t="str">
        <f>IF(Spek!$D$17="MDF",bahan4,bahan5)</f>
        <v>Ply</v>
      </c>
      <c r="J299" s="217">
        <v>5.5</v>
      </c>
      <c r="W299" s="1">
        <v>3</v>
      </c>
      <c r="X299" s="1">
        <v>0</v>
      </c>
      <c r="Y299" s="1">
        <v>0</v>
      </c>
      <c r="Z299" s="1">
        <v>0</v>
      </c>
      <c r="AA299" s="1">
        <v>0</v>
      </c>
      <c r="AB299" s="1">
        <v>0</v>
      </c>
    </row>
    <row r="300" spans="1:28" outlineLevel="1">
      <c r="A300" s="476" t="s">
        <v>3129</v>
      </c>
      <c r="B300" s="230" t="s">
        <v>1768</v>
      </c>
      <c r="C300" s="227" t="s">
        <v>1846</v>
      </c>
      <c r="D300" s="129">
        <f t="shared" si="8"/>
        <v>452</v>
      </c>
      <c r="E300" s="62" t="s">
        <v>1745</v>
      </c>
      <c r="G300" s="216">
        <v>0</v>
      </c>
      <c r="I300" s="537" t="str">
        <f>IF(Spek!$D$17="MDF",bahan4,bahan5)</f>
        <v>Ply</v>
      </c>
      <c r="J300" s="217">
        <v>5.5</v>
      </c>
      <c r="W300" s="536">
        <f>IF(Spek!$D$17="MDF",0,7)</f>
        <v>7</v>
      </c>
      <c r="X300" s="1">
        <v>0</v>
      </c>
      <c r="Y300" s="1">
        <v>0</v>
      </c>
      <c r="Z300" s="1">
        <v>0</v>
      </c>
      <c r="AA300" s="1">
        <v>0</v>
      </c>
      <c r="AB300" s="1">
        <v>0</v>
      </c>
    </row>
    <row r="301" spans="1:28" outlineLevel="1">
      <c r="A301" s="476" t="s">
        <v>3129</v>
      </c>
      <c r="B301" s="230" t="s">
        <v>1768</v>
      </c>
      <c r="C301" s="227" t="s">
        <v>2807</v>
      </c>
      <c r="D301" s="129">
        <f t="shared" si="8"/>
        <v>453</v>
      </c>
      <c r="E301" s="62" t="s">
        <v>1745</v>
      </c>
      <c r="G301" s="216">
        <v>0</v>
      </c>
      <c r="I301" s="537" t="str">
        <f>IF(Spek!$D$17="MDF",bahan4,bahan5)</f>
        <v>Ply</v>
      </c>
      <c r="J301" s="217">
        <v>5.5</v>
      </c>
      <c r="W301" s="1">
        <v>1</v>
      </c>
      <c r="X301" s="1">
        <v>0</v>
      </c>
      <c r="Y301" s="1">
        <v>0</v>
      </c>
      <c r="Z301" s="1">
        <v>0</v>
      </c>
      <c r="AA301" s="1">
        <v>0</v>
      </c>
      <c r="AB301" s="1">
        <v>0</v>
      </c>
    </row>
    <row r="302" spans="1:28" outlineLevel="1">
      <c r="A302" s="476" t="s">
        <v>2963</v>
      </c>
      <c r="B302" s="230" t="s">
        <v>1768</v>
      </c>
      <c r="C302" s="227" t="s">
        <v>1847</v>
      </c>
      <c r="D302" s="129">
        <f t="shared" si="8"/>
        <v>454</v>
      </c>
      <c r="E302" s="62" t="s">
        <v>1745</v>
      </c>
      <c r="G302" s="216">
        <v>0</v>
      </c>
      <c r="I302" s="500" t="str">
        <f>IF(Spek!$D$17="UPVC","UPVC","Ply")</f>
        <v>Ply</v>
      </c>
      <c r="J302" s="217">
        <v>18</v>
      </c>
      <c r="W302" s="1">
        <v>1</v>
      </c>
      <c r="X302" s="502">
        <f>IF(Spek!$B$42="paper",22,Spek!$A$36)</f>
        <v>0</v>
      </c>
      <c r="Y302" s="1">
        <v>1</v>
      </c>
      <c r="Z302" s="1">
        <v>1</v>
      </c>
      <c r="AA302" s="1">
        <v>1</v>
      </c>
      <c r="AB302" s="1">
        <v>1</v>
      </c>
    </row>
    <row r="303" spans="1:28" outlineLevel="1">
      <c r="A303" s="476" t="s">
        <v>2963</v>
      </c>
      <c r="B303" s="230" t="s">
        <v>1768</v>
      </c>
      <c r="C303" s="227" t="s">
        <v>2484</v>
      </c>
      <c r="D303" s="129">
        <f t="shared" si="8"/>
        <v>455</v>
      </c>
      <c r="E303" s="62" t="s">
        <v>1745</v>
      </c>
      <c r="G303" s="216">
        <v>0</v>
      </c>
      <c r="I303" s="500" t="str">
        <f>IF(Spek!$D$17="UPVC","UPVC","Ply")</f>
        <v>Ply</v>
      </c>
      <c r="J303" s="217">
        <v>18</v>
      </c>
      <c r="W303" s="1">
        <v>7</v>
      </c>
      <c r="X303" s="507">
        <f>IF(Spek!$B$42="paper",W303,11)</f>
        <v>11</v>
      </c>
      <c r="Y303" s="1">
        <v>9</v>
      </c>
      <c r="Z303" s="1">
        <v>9</v>
      </c>
      <c r="AA303" s="1">
        <v>0</v>
      </c>
      <c r="AB303" s="1">
        <v>0</v>
      </c>
    </row>
    <row r="304" spans="1:28" outlineLevel="1">
      <c r="A304" s="476" t="s">
        <v>2963</v>
      </c>
      <c r="B304" s="230" t="s">
        <v>1768</v>
      </c>
      <c r="C304" s="227" t="s">
        <v>3058</v>
      </c>
      <c r="D304" s="129">
        <f t="shared" si="8"/>
        <v>456</v>
      </c>
      <c r="E304" s="62" t="s">
        <v>1745</v>
      </c>
      <c r="G304" s="216">
        <v>0</v>
      </c>
      <c r="I304" s="500" t="str">
        <f>IF(Spek!$D$17="UPVC","UPVC","Ply")</f>
        <v>Ply</v>
      </c>
      <c r="J304" s="217">
        <v>18</v>
      </c>
      <c r="W304" s="1">
        <v>3</v>
      </c>
      <c r="X304" s="507">
        <f>IF(Spek!$B$42="paper",W304,11)</f>
        <v>11</v>
      </c>
      <c r="Y304" s="1">
        <v>3</v>
      </c>
      <c r="Z304" s="1">
        <v>3</v>
      </c>
      <c r="AA304" s="1">
        <v>0</v>
      </c>
      <c r="AB304" s="1">
        <v>0</v>
      </c>
    </row>
    <row r="305" spans="1:29" outlineLevel="1">
      <c r="A305" s="476" t="s">
        <v>2963</v>
      </c>
      <c r="B305" s="230" t="s">
        <v>1768</v>
      </c>
      <c r="C305" s="227" t="s">
        <v>3059</v>
      </c>
      <c r="D305" s="129">
        <f t="shared" si="8"/>
        <v>457</v>
      </c>
      <c r="E305" s="62" t="s">
        <v>1745</v>
      </c>
      <c r="G305" s="216">
        <v>0</v>
      </c>
      <c r="I305" s="500" t="str">
        <f>IF(Spek!$D$17="UPVC","UPVC","Ply")</f>
        <v>Ply</v>
      </c>
      <c r="J305" s="217">
        <v>18</v>
      </c>
      <c r="W305" s="1">
        <v>1</v>
      </c>
      <c r="X305" s="507">
        <f>IF(Spek!$B$42="paper",W305,11)</f>
        <v>11</v>
      </c>
      <c r="Y305" s="1">
        <v>1</v>
      </c>
      <c r="Z305" s="1">
        <v>1</v>
      </c>
      <c r="AA305" s="1">
        <v>0</v>
      </c>
      <c r="AB305" s="1">
        <v>0</v>
      </c>
    </row>
    <row r="306" spans="1:29" outlineLevel="1">
      <c r="A306" s="476" t="s">
        <v>2963</v>
      </c>
      <c r="B306" s="230" t="s">
        <v>1768</v>
      </c>
      <c r="C306" s="227" t="s">
        <v>1932</v>
      </c>
      <c r="D306" s="129">
        <f t="shared" si="8"/>
        <v>458</v>
      </c>
      <c r="E306" s="62" t="s">
        <v>1745</v>
      </c>
      <c r="G306" s="216">
        <v>0</v>
      </c>
      <c r="I306" s="500" t="str">
        <f>IF(Spek!$D$17="UPVC","UPVC","Ply")</f>
        <v>Ply</v>
      </c>
      <c r="J306" s="217">
        <v>15</v>
      </c>
      <c r="W306" s="1">
        <v>7</v>
      </c>
      <c r="X306" s="507">
        <f>IF(Spek!$B$42="paper",W306,11)</f>
        <v>11</v>
      </c>
      <c r="Y306" s="1">
        <v>9</v>
      </c>
      <c r="Z306" s="1">
        <v>9</v>
      </c>
      <c r="AA306" s="1">
        <v>0</v>
      </c>
      <c r="AB306" s="1">
        <v>0</v>
      </c>
    </row>
    <row r="307" spans="1:29" outlineLevel="1">
      <c r="A307" s="476" t="s">
        <v>2963</v>
      </c>
      <c r="B307" s="230" t="s">
        <v>1768</v>
      </c>
      <c r="C307" s="227" t="s">
        <v>4046</v>
      </c>
      <c r="D307" s="129">
        <f t="shared" si="8"/>
        <v>459</v>
      </c>
      <c r="E307" s="62" t="s">
        <v>1745</v>
      </c>
      <c r="G307" s="216">
        <v>0</v>
      </c>
      <c r="I307" s="500" t="str">
        <f>IF(Spek!$D$17="UPVC","UPVC","Ply")</f>
        <v>Ply</v>
      </c>
      <c r="J307" s="217">
        <v>15</v>
      </c>
      <c r="W307" s="1">
        <v>1</v>
      </c>
      <c r="X307" s="507">
        <f>IF(Spek!$B$42="paper",W307,11)</f>
        <v>11</v>
      </c>
      <c r="Y307" s="1">
        <v>1</v>
      </c>
      <c r="Z307" s="1">
        <v>1</v>
      </c>
      <c r="AA307" s="1">
        <v>0</v>
      </c>
      <c r="AB307" s="1">
        <v>0</v>
      </c>
    </row>
    <row r="308" spans="1:29" outlineLevel="1">
      <c r="A308" s="476" t="s">
        <v>2963</v>
      </c>
      <c r="B308" s="230" t="s">
        <v>1768</v>
      </c>
      <c r="C308" s="227" t="s">
        <v>2891</v>
      </c>
      <c r="D308" s="129">
        <f t="shared" si="8"/>
        <v>460</v>
      </c>
      <c r="E308" s="62" t="s">
        <v>1745</v>
      </c>
      <c r="G308" s="216">
        <v>0</v>
      </c>
      <c r="I308" s="500" t="str">
        <f>IF(Spek!$D$17="UPVC","UPVC","Ply")</f>
        <v>Ply</v>
      </c>
      <c r="J308" s="217">
        <v>15</v>
      </c>
      <c r="W308" s="1">
        <v>3</v>
      </c>
      <c r="X308" s="507">
        <f>IF(Spek!$B$42="paper",W308,11)</f>
        <v>11</v>
      </c>
      <c r="Y308" s="1">
        <v>3</v>
      </c>
      <c r="Z308" s="1">
        <v>3</v>
      </c>
      <c r="AA308" s="1">
        <v>0</v>
      </c>
      <c r="AB308" s="1">
        <v>0</v>
      </c>
    </row>
    <row r="309" spans="1:29" outlineLevel="1">
      <c r="A309" s="476" t="s">
        <v>2963</v>
      </c>
      <c r="B309" s="230" t="s">
        <v>1768</v>
      </c>
      <c r="C309" s="227" t="s">
        <v>1848</v>
      </c>
      <c r="D309" s="129">
        <f t="shared" si="8"/>
        <v>461</v>
      </c>
      <c r="E309" s="62" t="s">
        <v>1745</v>
      </c>
      <c r="G309" s="216">
        <v>0</v>
      </c>
      <c r="I309" s="500" t="str">
        <f>IF(Spek!$D$17="UPVC","UPVC","Ply")</f>
        <v>Ply</v>
      </c>
      <c r="W309" s="1">
        <v>11</v>
      </c>
      <c r="X309" s="507">
        <f>IF(Spek!$B$42="paper",W309,11)</f>
        <v>11</v>
      </c>
      <c r="Y309" s="1">
        <v>11</v>
      </c>
      <c r="Z309" s="1">
        <v>11</v>
      </c>
      <c r="AA309" s="1">
        <v>0</v>
      </c>
      <c r="AB309" s="1">
        <v>0</v>
      </c>
    </row>
    <row r="310" spans="1:29" outlineLevel="1">
      <c r="A310" s="476" t="s">
        <v>2963</v>
      </c>
      <c r="B310" s="230" t="s">
        <v>1768</v>
      </c>
      <c r="C310" s="227" t="s">
        <v>2535</v>
      </c>
      <c r="D310" s="129">
        <f t="shared" si="8"/>
        <v>462</v>
      </c>
      <c r="E310" s="62" t="s">
        <v>1745</v>
      </c>
      <c r="G310" s="216">
        <v>0</v>
      </c>
      <c r="I310" s="500" t="str">
        <f>IF(Spek!$D$17="UPVC","UPVC","Ply")</f>
        <v>Ply</v>
      </c>
      <c r="J310" s="217">
        <v>18</v>
      </c>
      <c r="W310" s="1">
        <v>1</v>
      </c>
      <c r="X310" s="166">
        <v>0</v>
      </c>
      <c r="Y310" s="1">
        <v>1</v>
      </c>
      <c r="Z310" s="1">
        <v>0</v>
      </c>
      <c r="AA310" s="1">
        <v>0</v>
      </c>
      <c r="AB310" s="1">
        <v>0</v>
      </c>
    </row>
    <row r="311" spans="1:29" outlineLevel="1">
      <c r="A311" s="476" t="s">
        <v>2963</v>
      </c>
      <c r="B311" s="230" t="s">
        <v>1768</v>
      </c>
      <c r="C311" s="227" t="s">
        <v>3110</v>
      </c>
      <c r="D311" s="129">
        <f t="shared" si="8"/>
        <v>463</v>
      </c>
      <c r="E311" s="62" t="s">
        <v>1745</v>
      </c>
      <c r="G311" s="216">
        <v>0</v>
      </c>
      <c r="I311" s="500" t="str">
        <f>IF(Spek!$D$17="UPVC","UPVC","Ply")</f>
        <v>Ply</v>
      </c>
      <c r="J311" s="217">
        <v>18</v>
      </c>
      <c r="W311" s="1">
        <v>3</v>
      </c>
      <c r="X311" s="166">
        <v>0</v>
      </c>
      <c r="Y311" s="1">
        <v>3</v>
      </c>
      <c r="Z311" s="1">
        <v>0</v>
      </c>
      <c r="AA311" s="1">
        <v>0</v>
      </c>
      <c r="AB311" s="1">
        <v>0</v>
      </c>
    </row>
    <row r="312" spans="1:29" outlineLevel="1">
      <c r="A312" s="476" t="s">
        <v>2963</v>
      </c>
      <c r="B312" s="230" t="s">
        <v>1768</v>
      </c>
      <c r="C312" s="227" t="s">
        <v>3111</v>
      </c>
      <c r="D312" s="129">
        <f t="shared" si="8"/>
        <v>464</v>
      </c>
      <c r="E312" s="62" t="s">
        <v>1745</v>
      </c>
      <c r="G312" s="216">
        <v>0</v>
      </c>
      <c r="I312" s="500" t="str">
        <f>IF(Spek!$D$17="UPVC","UPVC","Ply")</f>
        <v>Ply</v>
      </c>
      <c r="J312" s="217">
        <v>18</v>
      </c>
      <c r="W312" s="1">
        <v>5</v>
      </c>
      <c r="X312" s="166">
        <v>0</v>
      </c>
      <c r="Y312" s="1">
        <v>5</v>
      </c>
      <c r="Z312" s="1">
        <v>0</v>
      </c>
      <c r="AA312" s="1">
        <v>0</v>
      </c>
      <c r="AB312" s="1">
        <v>0</v>
      </c>
    </row>
    <row r="313" spans="1:29" outlineLevel="1">
      <c r="A313" s="476" t="s">
        <v>2963</v>
      </c>
      <c r="B313" s="230" t="s">
        <v>1768</v>
      </c>
      <c r="C313" s="227" t="s">
        <v>2313</v>
      </c>
      <c r="D313" s="129">
        <f t="shared" ref="D313:D338" si="25">ROW()+152</f>
        <v>465</v>
      </c>
      <c r="E313" s="62" t="s">
        <v>1745</v>
      </c>
      <c r="G313" s="216">
        <v>0</v>
      </c>
      <c r="H313" s="216">
        <v>1</v>
      </c>
      <c r="I313" s="500" t="str">
        <f>IF(Spek!$D$17="UPVC","UPVC","Ply")</f>
        <v>Ply</v>
      </c>
      <c r="J313" s="217">
        <v>18</v>
      </c>
      <c r="O313" t="str">
        <f>m_grill_01</f>
        <v>M-GRILL 01 COKLAT DOFF</v>
      </c>
      <c r="W313" s="1">
        <v>7</v>
      </c>
      <c r="X313" s="1">
        <v>11</v>
      </c>
      <c r="Y313" s="55">
        <v>9</v>
      </c>
      <c r="Z313" s="55">
        <v>9</v>
      </c>
      <c r="AA313" s="55">
        <v>9</v>
      </c>
      <c r="AB313" s="55">
        <v>9</v>
      </c>
      <c r="AC313" t="s">
        <v>1506</v>
      </c>
    </row>
    <row r="314" spans="1:29" outlineLevel="1">
      <c r="A314" s="476" t="s">
        <v>2963</v>
      </c>
      <c r="B314" s="230" t="s">
        <v>1768</v>
      </c>
      <c r="C314" s="227" t="s">
        <v>4258</v>
      </c>
      <c r="D314" s="129">
        <f t="shared" si="25"/>
        <v>466</v>
      </c>
      <c r="E314" s="62" t="s">
        <v>1745</v>
      </c>
      <c r="G314" s="216">
        <v>0</v>
      </c>
      <c r="H314" s="216">
        <v>1</v>
      </c>
      <c r="I314" s="500" t="str">
        <f>IF(Spek!$D$17="UPVC","UPVC","Ply")</f>
        <v>Ply</v>
      </c>
      <c r="J314" s="217">
        <v>18</v>
      </c>
      <c r="O314" t="str">
        <f>m_grill_01</f>
        <v>M-GRILL 01 COKLAT DOFF</v>
      </c>
      <c r="W314" s="1">
        <v>1</v>
      </c>
      <c r="X314" s="1">
        <v>11</v>
      </c>
      <c r="Y314" s="55">
        <v>1</v>
      </c>
      <c r="Z314" s="55">
        <v>1</v>
      </c>
      <c r="AA314" s="55">
        <v>1</v>
      </c>
      <c r="AB314" s="55">
        <v>1</v>
      </c>
      <c r="AC314" t="s">
        <v>1506</v>
      </c>
    </row>
    <row r="315" spans="1:29" outlineLevel="1">
      <c r="A315" s="476" t="s">
        <v>2963</v>
      </c>
      <c r="B315" s="230" t="s">
        <v>1768</v>
      </c>
      <c r="C315" s="227" t="s">
        <v>4259</v>
      </c>
      <c r="D315" s="129">
        <f t="shared" si="25"/>
        <v>467</v>
      </c>
      <c r="E315" s="62" t="s">
        <v>1745</v>
      </c>
      <c r="G315" s="216">
        <v>0</v>
      </c>
      <c r="H315" s="216">
        <v>1</v>
      </c>
      <c r="I315" s="500" t="str">
        <f>IF(Spek!$D$17="UPVC","UPVC","Ply")</f>
        <v>Ply</v>
      </c>
      <c r="J315" s="217">
        <v>18</v>
      </c>
      <c r="O315" t="str">
        <f>m_grill_01</f>
        <v>M-GRILL 01 COKLAT DOFF</v>
      </c>
      <c r="W315" s="1">
        <v>3</v>
      </c>
      <c r="X315" s="1">
        <v>11</v>
      </c>
      <c r="Y315" s="55">
        <v>3</v>
      </c>
      <c r="Z315" s="55">
        <v>3</v>
      </c>
      <c r="AA315" s="55">
        <v>3</v>
      </c>
      <c r="AB315" s="55">
        <v>3</v>
      </c>
      <c r="AC315" t="s">
        <v>1506</v>
      </c>
    </row>
    <row r="316" spans="1:29" outlineLevel="1">
      <c r="A316" s="476" t="s">
        <v>2963</v>
      </c>
      <c r="B316" s="230" t="s">
        <v>1768</v>
      </c>
      <c r="C316" s="227" t="s">
        <v>2623</v>
      </c>
      <c r="D316" s="129">
        <f t="shared" si="25"/>
        <v>468</v>
      </c>
      <c r="E316" s="62" t="s">
        <v>1745</v>
      </c>
      <c r="G316" s="216">
        <v>1</v>
      </c>
      <c r="H316" s="216">
        <v>1</v>
      </c>
      <c r="I316" s="500" t="str">
        <f>IF(Spek!$D$17="UPVC","UPVC","Ply")</f>
        <v>Ply</v>
      </c>
      <c r="J316" s="217">
        <v>18</v>
      </c>
      <c r="W316" s="1">
        <v>0</v>
      </c>
      <c r="X316" s="1">
        <v>22</v>
      </c>
      <c r="Y316" s="55">
        <v>9</v>
      </c>
      <c r="Z316" s="1">
        <v>0</v>
      </c>
      <c r="AA316" s="1">
        <v>0</v>
      </c>
      <c r="AB316" s="1">
        <v>0</v>
      </c>
      <c r="AC316" t="s">
        <v>1506</v>
      </c>
    </row>
    <row r="317" spans="1:29" outlineLevel="1">
      <c r="A317" s="476" t="s">
        <v>2963</v>
      </c>
      <c r="B317" s="230" t="s">
        <v>1768</v>
      </c>
      <c r="C317" s="227" t="s">
        <v>3597</v>
      </c>
      <c r="D317" s="129">
        <f t="shared" si="25"/>
        <v>469</v>
      </c>
      <c r="E317" s="62" t="s">
        <v>1745</v>
      </c>
      <c r="G317" s="216">
        <v>0</v>
      </c>
      <c r="H317" s="216">
        <v>1</v>
      </c>
      <c r="I317" s="500" t="str">
        <f>IF(Spek!$D$17="UPVC","UPVC","Ply")</f>
        <v>Ply</v>
      </c>
      <c r="J317" s="217">
        <v>12</v>
      </c>
      <c r="W317" s="1">
        <v>1</v>
      </c>
      <c r="X317" s="1">
        <v>1</v>
      </c>
      <c r="Y317" s="1">
        <v>1</v>
      </c>
      <c r="Z317" s="1">
        <v>1</v>
      </c>
      <c r="AA317" s="1">
        <v>1</v>
      </c>
      <c r="AB317" s="1">
        <v>1</v>
      </c>
      <c r="AC317" t="s">
        <v>1506</v>
      </c>
    </row>
    <row r="318" spans="1:29" outlineLevel="1">
      <c r="A318" s="476" t="s">
        <v>3129</v>
      </c>
      <c r="B318" s="230" t="s">
        <v>1768</v>
      </c>
      <c r="C318" s="227" t="s">
        <v>3100</v>
      </c>
      <c r="D318" s="129">
        <f t="shared" si="25"/>
        <v>470</v>
      </c>
      <c r="E318" s="62" t="s">
        <v>3238</v>
      </c>
      <c r="G318" s="216">
        <v>1</v>
      </c>
      <c r="H318" s="216">
        <v>1</v>
      </c>
      <c r="I318" s="537" t="str">
        <f>IF(Spek!$D$17="MDF",bahan4,bahan5)</f>
        <v>Ply</v>
      </c>
      <c r="J318" s="217">
        <v>5.5</v>
      </c>
      <c r="W318" s="474">
        <f>Spek!$A$37</f>
        <v>0</v>
      </c>
      <c r="X318" s="1">
        <v>0</v>
      </c>
      <c r="Y318" s="1">
        <v>0</v>
      </c>
      <c r="Z318" s="1">
        <v>0</v>
      </c>
      <c r="AA318" s="1">
        <v>0</v>
      </c>
      <c r="AB318" s="1">
        <v>0</v>
      </c>
    </row>
    <row r="319" spans="1:29" outlineLevel="1">
      <c r="A319" s="476" t="s">
        <v>3129</v>
      </c>
      <c r="B319" s="230" t="s">
        <v>1768</v>
      </c>
      <c r="C319" s="227" t="s">
        <v>3859</v>
      </c>
      <c r="D319" s="129">
        <f t="shared" si="25"/>
        <v>471</v>
      </c>
      <c r="E319" s="62" t="s">
        <v>3238</v>
      </c>
      <c r="G319" s="216">
        <v>1</v>
      </c>
      <c r="H319" s="216">
        <v>1</v>
      </c>
      <c r="I319" s="537" t="str">
        <f>IF(Spek!$D$17="MDF",bahan4,bahan5)</f>
        <v>Ply</v>
      </c>
      <c r="J319" s="217">
        <v>9</v>
      </c>
      <c r="W319" s="474">
        <f>Spek!$A$37</f>
        <v>0</v>
      </c>
      <c r="X319" s="1">
        <v>0</v>
      </c>
      <c r="Y319" s="1">
        <v>0</v>
      </c>
      <c r="Z319" s="1">
        <v>0</v>
      </c>
      <c r="AA319" s="1">
        <v>0</v>
      </c>
      <c r="AB319" s="1">
        <v>0</v>
      </c>
    </row>
    <row r="320" spans="1:29" outlineLevel="1">
      <c r="A320" s="476" t="s">
        <v>3129</v>
      </c>
      <c r="B320" s="230" t="s">
        <v>1768</v>
      </c>
      <c r="C320" s="227" t="s">
        <v>1849</v>
      </c>
      <c r="D320" s="129">
        <f t="shared" si="25"/>
        <v>472</v>
      </c>
      <c r="E320" s="62" t="s">
        <v>3238</v>
      </c>
      <c r="G320" s="216">
        <v>0</v>
      </c>
      <c r="H320" s="216">
        <v>1</v>
      </c>
      <c r="I320" s="372" t="str">
        <f>bahan5</f>
        <v>Ply</v>
      </c>
      <c r="J320" s="242">
        <f>Spek!D30</f>
        <v>6</v>
      </c>
      <c r="W320" s="1">
        <v>1</v>
      </c>
      <c r="X320" s="1">
        <v>0</v>
      </c>
      <c r="Y320" s="1">
        <v>0</v>
      </c>
      <c r="Z320" s="1">
        <v>0</v>
      </c>
      <c r="AA320" s="1">
        <v>0</v>
      </c>
      <c r="AB320" s="1">
        <v>0</v>
      </c>
    </row>
    <row r="321" spans="1:28" outlineLevel="1">
      <c r="A321" s="476" t="s">
        <v>3129</v>
      </c>
      <c r="B321" s="230" t="s">
        <v>1768</v>
      </c>
      <c r="C321" s="227" t="s">
        <v>2773</v>
      </c>
      <c r="D321" s="129">
        <f t="shared" si="25"/>
        <v>473</v>
      </c>
      <c r="E321" s="62" t="s">
        <v>3238</v>
      </c>
      <c r="G321" s="216">
        <v>0</v>
      </c>
      <c r="H321" s="216">
        <v>1</v>
      </c>
      <c r="I321" s="372" t="str">
        <f>bahan5</f>
        <v>Ply</v>
      </c>
      <c r="J321" s="242">
        <f>Spek!D30</f>
        <v>6</v>
      </c>
      <c r="W321" s="1">
        <v>3</v>
      </c>
      <c r="X321" s="1">
        <v>0</v>
      </c>
      <c r="Y321" s="1">
        <v>0</v>
      </c>
      <c r="Z321" s="1">
        <v>0</v>
      </c>
      <c r="AA321" s="1">
        <v>0</v>
      </c>
      <c r="AB321" s="1">
        <v>0</v>
      </c>
    </row>
    <row r="322" spans="1:28" outlineLevel="1">
      <c r="A322" s="476" t="s">
        <v>3129</v>
      </c>
      <c r="B322" s="230" t="s">
        <v>1768</v>
      </c>
      <c r="C322" s="227" t="s">
        <v>2387</v>
      </c>
      <c r="D322" s="129">
        <f t="shared" si="25"/>
        <v>474</v>
      </c>
      <c r="E322" s="62" t="s">
        <v>1745</v>
      </c>
      <c r="G322" s="216">
        <v>0</v>
      </c>
      <c r="H322" s="216">
        <v>1</v>
      </c>
      <c r="I322" s="372" t="str">
        <f>bahan4</f>
        <v>Mdf hijau</v>
      </c>
      <c r="J322" s="217">
        <v>16</v>
      </c>
      <c r="W322" s="1">
        <v>0</v>
      </c>
      <c r="X322" s="1">
        <v>0</v>
      </c>
      <c r="Y322" s="1">
        <v>0</v>
      </c>
      <c r="Z322" s="1">
        <v>0</v>
      </c>
      <c r="AA322" s="1">
        <v>0</v>
      </c>
      <c r="AB322" s="1">
        <v>0</v>
      </c>
    </row>
    <row r="323" spans="1:28" outlineLevel="1">
      <c r="A323" s="476" t="s">
        <v>3129</v>
      </c>
      <c r="B323" s="230" t="s">
        <v>1768</v>
      </c>
      <c r="C323" s="227" t="s">
        <v>3841</v>
      </c>
      <c r="D323" s="129">
        <f t="shared" si="25"/>
        <v>475</v>
      </c>
      <c r="E323" s="62" t="s">
        <v>1745</v>
      </c>
      <c r="G323" s="216">
        <v>1</v>
      </c>
      <c r="H323" s="216">
        <v>1</v>
      </c>
      <c r="I323" s="372" t="str">
        <f>bahan5</f>
        <v>Ply</v>
      </c>
      <c r="J323" s="217">
        <v>6</v>
      </c>
      <c r="W323" s="1">
        <v>0</v>
      </c>
      <c r="X323" s="1">
        <v>22</v>
      </c>
      <c r="Y323" s="1">
        <v>0</v>
      </c>
      <c r="Z323" s="1">
        <v>0</v>
      </c>
      <c r="AA323" s="1">
        <v>0</v>
      </c>
      <c r="AB323" s="1">
        <v>0</v>
      </c>
    </row>
    <row r="324" spans="1:28" outlineLevel="1">
      <c r="A324" s="476" t="s">
        <v>3129</v>
      </c>
      <c r="B324" s="230" t="s">
        <v>1768</v>
      </c>
      <c r="C324" s="227" t="s">
        <v>3842</v>
      </c>
      <c r="D324" s="129">
        <f t="shared" si="25"/>
        <v>476</v>
      </c>
      <c r="E324" s="62" t="s">
        <v>1745</v>
      </c>
      <c r="G324" s="216">
        <v>0</v>
      </c>
      <c r="H324" s="216">
        <v>1</v>
      </c>
      <c r="I324" s="372" t="str">
        <f>bahan5</f>
        <v>Ply</v>
      </c>
      <c r="J324" s="217">
        <v>3</v>
      </c>
      <c r="W324" s="1">
        <v>1</v>
      </c>
      <c r="X324" s="1">
        <v>0</v>
      </c>
      <c r="Y324" s="1">
        <v>0</v>
      </c>
      <c r="Z324" s="1">
        <v>0</v>
      </c>
      <c r="AA324" s="1">
        <v>0</v>
      </c>
      <c r="AB324" s="1">
        <v>0</v>
      </c>
    </row>
    <row r="325" spans="1:28" outlineLevel="1">
      <c r="A325" s="476" t="s">
        <v>2963</v>
      </c>
      <c r="B325" s="230" t="s">
        <v>1768</v>
      </c>
      <c r="C325" s="227" t="s">
        <v>4563</v>
      </c>
      <c r="D325" s="129">
        <f t="shared" si="25"/>
        <v>477</v>
      </c>
      <c r="E325" s="62" t="s">
        <v>1745</v>
      </c>
      <c r="G325" s="216">
        <v>0</v>
      </c>
      <c r="I325" s="500" t="str">
        <f>IF(Spek!$D$17="UPVC","UPVC","Ply")</f>
        <v>Ply</v>
      </c>
      <c r="J325" s="217">
        <v>18</v>
      </c>
      <c r="W325" s="1">
        <v>0</v>
      </c>
      <c r="X325" s="507">
        <v>0</v>
      </c>
      <c r="Y325" s="1">
        <v>0</v>
      </c>
      <c r="Z325" s="1">
        <v>0</v>
      </c>
      <c r="AA325" s="1">
        <v>0</v>
      </c>
      <c r="AB325" s="1">
        <v>0</v>
      </c>
    </row>
    <row r="326" spans="1:28" outlineLevel="1">
      <c r="A326" s="476" t="s">
        <v>2963</v>
      </c>
      <c r="B326" s="230" t="s">
        <v>1768</v>
      </c>
      <c r="C326" s="227" t="s">
        <v>4564</v>
      </c>
      <c r="D326" s="129">
        <f t="shared" si="25"/>
        <v>478</v>
      </c>
      <c r="E326" s="62" t="s">
        <v>1745</v>
      </c>
      <c r="G326" s="216">
        <v>0</v>
      </c>
      <c r="I326" s="500" t="str">
        <f>IF(Spek!$D$17="UPVC","UPVC","Ply")</f>
        <v>Ply</v>
      </c>
      <c r="J326" s="217">
        <v>18</v>
      </c>
      <c r="W326" s="1">
        <v>22</v>
      </c>
      <c r="X326" s="507">
        <v>22</v>
      </c>
      <c r="Y326" s="1">
        <v>9</v>
      </c>
      <c r="Z326" s="1">
        <v>9</v>
      </c>
      <c r="AA326" s="1">
        <v>0</v>
      </c>
      <c r="AB326" s="1">
        <v>0</v>
      </c>
    </row>
    <row r="327" spans="1:28" outlineLevel="1">
      <c r="A327" s="476" t="s">
        <v>2963</v>
      </c>
      <c r="B327" s="230" t="s">
        <v>1768</v>
      </c>
      <c r="C327" s="227" t="s">
        <v>4565</v>
      </c>
      <c r="D327" s="129">
        <f t="shared" si="25"/>
        <v>479</v>
      </c>
      <c r="E327" s="62" t="s">
        <v>1745</v>
      </c>
      <c r="G327" s="216">
        <v>0</v>
      </c>
      <c r="I327" s="500" t="str">
        <f>IF(Spek!$D$17="UPVC","UPVC","Ply")</f>
        <v>Ply</v>
      </c>
      <c r="J327" s="217">
        <v>18</v>
      </c>
      <c r="W327" s="1">
        <v>22</v>
      </c>
      <c r="X327" s="507">
        <v>22</v>
      </c>
      <c r="Y327" s="1">
        <v>9</v>
      </c>
      <c r="Z327" s="1">
        <v>9</v>
      </c>
      <c r="AA327" s="1">
        <v>9</v>
      </c>
      <c r="AB327" s="1">
        <v>9</v>
      </c>
    </row>
    <row r="328" spans="1:28" outlineLevel="1">
      <c r="A328" s="476" t="s">
        <v>2963</v>
      </c>
      <c r="B328" s="230" t="s">
        <v>1768</v>
      </c>
      <c r="C328" s="227" t="s">
        <v>4567</v>
      </c>
      <c r="D328" s="129">
        <f t="shared" si="25"/>
        <v>480</v>
      </c>
      <c r="E328" s="62" t="s">
        <v>1745</v>
      </c>
      <c r="G328" s="216">
        <v>0</v>
      </c>
      <c r="I328" s="500" t="str">
        <f>IF(Spek!$D$17="UPVC","UPVC","Ply")</f>
        <v>Ply</v>
      </c>
      <c r="J328" s="217">
        <v>36</v>
      </c>
      <c r="W328" s="1">
        <v>22</v>
      </c>
      <c r="X328" s="507">
        <v>22</v>
      </c>
      <c r="Y328" s="1">
        <v>9</v>
      </c>
      <c r="Z328" s="1">
        <v>9</v>
      </c>
      <c r="AA328" s="1">
        <v>9</v>
      </c>
      <c r="AB328" s="1">
        <v>9</v>
      </c>
    </row>
    <row r="329" spans="1:28" outlineLevel="1">
      <c r="A329" s="476" t="s">
        <v>2963</v>
      </c>
      <c r="B329" s="230" t="s">
        <v>1768</v>
      </c>
      <c r="C329" s="227" t="s">
        <v>4566</v>
      </c>
      <c r="D329" s="129">
        <f t="shared" si="25"/>
        <v>481</v>
      </c>
      <c r="E329" s="62" t="s">
        <v>1745</v>
      </c>
      <c r="G329" s="216">
        <v>0</v>
      </c>
      <c r="I329" s="500" t="str">
        <f>IF(Spek!$D$17="UPVC","UPVC","Ply")</f>
        <v>Ply</v>
      </c>
      <c r="J329" s="217">
        <v>18</v>
      </c>
      <c r="W329" s="1">
        <v>22</v>
      </c>
      <c r="X329" s="507">
        <v>22</v>
      </c>
      <c r="Y329" s="1">
        <v>9</v>
      </c>
      <c r="Z329" s="1">
        <v>0</v>
      </c>
      <c r="AA329" s="1">
        <v>9</v>
      </c>
      <c r="AB329" s="1">
        <v>9</v>
      </c>
    </row>
    <row r="330" spans="1:28" outlineLevel="1">
      <c r="A330" s="476" t="s">
        <v>2963</v>
      </c>
      <c r="B330" s="230" t="s">
        <v>1768</v>
      </c>
      <c r="C330" s="227" t="s">
        <v>4571</v>
      </c>
      <c r="D330" s="129">
        <f t="shared" si="25"/>
        <v>482</v>
      </c>
      <c r="E330" s="62" t="s">
        <v>1745</v>
      </c>
      <c r="G330" s="216">
        <v>0</v>
      </c>
      <c r="I330" s="500" t="str">
        <f>IF(Spek!$D$17="UPVC","UPVC","Ply")</f>
        <v>Ply</v>
      </c>
      <c r="J330" s="217">
        <v>13</v>
      </c>
      <c r="W330" s="1">
        <v>2</v>
      </c>
      <c r="X330" s="507">
        <v>22</v>
      </c>
      <c r="Y330" s="1">
        <v>0</v>
      </c>
      <c r="Z330" s="1">
        <v>0</v>
      </c>
      <c r="AA330" s="1">
        <v>0</v>
      </c>
      <c r="AB330" s="1">
        <v>0</v>
      </c>
    </row>
    <row r="331" spans="1:28" outlineLevel="1">
      <c r="A331" s="476" t="s">
        <v>3129</v>
      </c>
      <c r="B331" s="230" t="s">
        <v>1768</v>
      </c>
      <c r="C331" s="227" t="s">
        <v>1850</v>
      </c>
      <c r="D331" s="129">
        <f t="shared" si="25"/>
        <v>483</v>
      </c>
      <c r="E331" s="62" t="s">
        <v>3238</v>
      </c>
      <c r="G331" s="216">
        <v>1</v>
      </c>
      <c r="H331" s="216">
        <v>1</v>
      </c>
      <c r="I331" s="372" t="str">
        <f>lapisan1</f>
        <v>WY_5216_D(V)</v>
      </c>
      <c r="J331" s="242">
        <f>Spek!$E$48</f>
        <v>1</v>
      </c>
      <c r="W331" s="1">
        <v>0</v>
      </c>
      <c r="X331" s="1">
        <v>0</v>
      </c>
      <c r="Y331" s="1">
        <v>0</v>
      </c>
      <c r="Z331" s="1">
        <v>0</v>
      </c>
      <c r="AA331" s="1">
        <v>0</v>
      </c>
      <c r="AB331" s="1">
        <v>0</v>
      </c>
    </row>
    <row r="332" spans="1:28" outlineLevel="1">
      <c r="A332" s="476" t="s">
        <v>3129</v>
      </c>
      <c r="B332" s="230" t="s">
        <v>1768</v>
      </c>
      <c r="C332" s="227" t="s">
        <v>2772</v>
      </c>
      <c r="D332" s="129">
        <f t="shared" si="25"/>
        <v>484</v>
      </c>
      <c r="E332" s="62" t="s">
        <v>3238</v>
      </c>
      <c r="G332" s="216">
        <v>1</v>
      </c>
      <c r="H332" s="216">
        <v>1</v>
      </c>
      <c r="I332" s="372" t="str">
        <f>lapisan3</f>
        <v>L-FA_0206_AP</v>
      </c>
      <c r="J332" s="242">
        <f>Spek!$E$52</f>
        <v>1</v>
      </c>
      <c r="W332" s="1">
        <v>0</v>
      </c>
      <c r="X332" s="1">
        <v>0</v>
      </c>
      <c r="Y332" s="1">
        <v>0</v>
      </c>
      <c r="Z332" s="1">
        <v>0</v>
      </c>
      <c r="AA332" s="1">
        <v>0</v>
      </c>
      <c r="AB332" s="1">
        <v>0</v>
      </c>
    </row>
    <row r="333" spans="1:28" outlineLevel="1">
      <c r="A333" s="476" t="s">
        <v>3129</v>
      </c>
      <c r="B333" s="230" t="s">
        <v>1768</v>
      </c>
      <c r="C333" s="227" t="s">
        <v>3065</v>
      </c>
      <c r="D333" s="129">
        <f t="shared" si="25"/>
        <v>485</v>
      </c>
      <c r="E333" s="62" t="s">
        <v>3238</v>
      </c>
      <c r="G333" s="216">
        <v>1</v>
      </c>
      <c r="H333" s="216">
        <v>1</v>
      </c>
      <c r="I333" s="372" t="str">
        <f>lapisan5</f>
        <v>DXO_1338_D</v>
      </c>
      <c r="J333" s="242">
        <f>Spek!$E$56</f>
        <v>1</v>
      </c>
      <c r="W333" s="1">
        <v>0</v>
      </c>
      <c r="X333" s="1">
        <v>0</v>
      </c>
      <c r="Y333" s="1">
        <v>0</v>
      </c>
      <c r="Z333" s="1">
        <v>0</v>
      </c>
      <c r="AA333" s="1">
        <v>0</v>
      </c>
      <c r="AB333" s="1">
        <v>0</v>
      </c>
    </row>
    <row r="334" spans="1:28" outlineLevel="1">
      <c r="A334" s="476" t="s">
        <v>3129</v>
      </c>
      <c r="B334" s="230" t="s">
        <v>1768</v>
      </c>
      <c r="C334" s="227" t="s">
        <v>4390</v>
      </c>
      <c r="D334" s="129">
        <f t="shared" si="25"/>
        <v>486</v>
      </c>
      <c r="E334" s="62" t="s">
        <v>3238</v>
      </c>
      <c r="G334" s="216">
        <v>1</v>
      </c>
      <c r="H334" s="216">
        <v>1</v>
      </c>
      <c r="I334" s="372" t="str">
        <f>kabinet2</f>
        <v>Aica</v>
      </c>
      <c r="J334" s="242">
        <v>0.5</v>
      </c>
      <c r="W334" s="1">
        <v>0</v>
      </c>
      <c r="X334" s="1">
        <v>0</v>
      </c>
      <c r="Y334" s="1">
        <v>0</v>
      </c>
      <c r="Z334" s="1">
        <v>0</v>
      </c>
      <c r="AA334" s="1">
        <v>0</v>
      </c>
      <c r="AB334" s="1">
        <v>0</v>
      </c>
    </row>
    <row r="335" spans="1:28" outlineLevel="1">
      <c r="A335" s="476" t="s">
        <v>3129</v>
      </c>
      <c r="B335" s="230" t="s">
        <v>1768</v>
      </c>
      <c r="C335" s="227" t="s">
        <v>1851</v>
      </c>
      <c r="D335" s="129">
        <f t="shared" si="25"/>
        <v>487</v>
      </c>
      <c r="E335" s="62" t="s">
        <v>1745</v>
      </c>
      <c r="G335" s="216">
        <v>0</v>
      </c>
      <c r="H335" s="216">
        <v>1</v>
      </c>
      <c r="I335" s="372" t="str">
        <f>bahan2</f>
        <v>Ply+mdf hijau 1mk</v>
      </c>
      <c r="J335" s="217">
        <v>3</v>
      </c>
      <c r="W335" s="1">
        <v>3</v>
      </c>
      <c r="X335" s="1">
        <v>0</v>
      </c>
      <c r="Y335" s="1">
        <v>0</v>
      </c>
      <c r="Z335" s="1">
        <v>0</v>
      </c>
      <c r="AA335" s="1">
        <v>0</v>
      </c>
      <c r="AB335" s="1">
        <v>0</v>
      </c>
    </row>
    <row r="336" spans="1:28" outlineLevel="1">
      <c r="A336" s="476" t="s">
        <v>2963</v>
      </c>
      <c r="B336" s="230" t="s">
        <v>1768</v>
      </c>
      <c r="C336" s="227" t="s">
        <v>1852</v>
      </c>
      <c r="D336" s="129">
        <f t="shared" si="25"/>
        <v>488</v>
      </c>
      <c r="E336" s="62" t="s">
        <v>3238</v>
      </c>
      <c r="G336" s="216">
        <v>1</v>
      </c>
      <c r="H336" s="216">
        <v>1</v>
      </c>
      <c r="I336" s="500" t="str">
        <f>IF(Spek!$D$17="UPVC","UPVC","Ply")</f>
        <v>Ply</v>
      </c>
      <c r="J336" s="217">
        <v>9</v>
      </c>
      <c r="W336" s="1">
        <v>0</v>
      </c>
      <c r="X336" s="1">
        <v>0</v>
      </c>
      <c r="Y336" s="1">
        <v>0</v>
      </c>
      <c r="Z336" s="1">
        <v>0</v>
      </c>
      <c r="AA336" s="1">
        <v>0</v>
      </c>
      <c r="AB336" s="1">
        <v>0</v>
      </c>
    </row>
    <row r="337" spans="1:37" outlineLevel="1">
      <c r="A337" s="476" t="s">
        <v>2963</v>
      </c>
      <c r="B337" s="230" t="s">
        <v>1768</v>
      </c>
      <c r="C337" s="227" t="s">
        <v>1853</v>
      </c>
      <c r="D337" s="129">
        <f t="shared" si="25"/>
        <v>489</v>
      </c>
      <c r="E337" s="62" t="s">
        <v>3238</v>
      </c>
      <c r="G337" s="216">
        <v>1</v>
      </c>
      <c r="H337" s="216">
        <v>1</v>
      </c>
      <c r="I337" s="500" t="str">
        <f>IF(Spek!$D$17="UPVC","UPVC","Ply")</f>
        <v>Ply</v>
      </c>
      <c r="J337" s="505">
        <f>IF(Spek!$D$17="UPVC",12,3)</f>
        <v>3</v>
      </c>
      <c r="W337" s="215">
        <f>Spek!$A$35</f>
        <v>11</v>
      </c>
      <c r="X337" s="1">
        <v>0</v>
      </c>
      <c r="Y337" s="1">
        <v>0</v>
      </c>
      <c r="Z337" s="1">
        <v>0</v>
      </c>
      <c r="AA337" s="1">
        <v>0</v>
      </c>
      <c r="AB337" s="1">
        <v>0</v>
      </c>
    </row>
    <row r="338" spans="1:37" outlineLevel="1">
      <c r="A338" s="476" t="s">
        <v>2963</v>
      </c>
      <c r="B338" s="230" t="s">
        <v>1768</v>
      </c>
      <c r="C338" s="227" t="s">
        <v>3096</v>
      </c>
      <c r="D338" s="129">
        <f t="shared" si="25"/>
        <v>490</v>
      </c>
      <c r="E338" s="62" t="s">
        <v>3238</v>
      </c>
      <c r="G338" s="216">
        <v>1</v>
      </c>
      <c r="H338" s="216">
        <v>1</v>
      </c>
      <c r="I338" s="500" t="str">
        <f>IF(Spek!$D$17="UPVC","UPVC","Ply")</f>
        <v>Ply</v>
      </c>
      <c r="J338" s="217">
        <v>12</v>
      </c>
      <c r="W338" s="215">
        <f>Spek!$A$35</f>
        <v>11</v>
      </c>
      <c r="X338" s="1">
        <v>0</v>
      </c>
      <c r="Y338" s="1">
        <v>0</v>
      </c>
      <c r="Z338" s="1">
        <v>0</v>
      </c>
      <c r="AA338" s="1">
        <v>0</v>
      </c>
      <c r="AB338" s="1">
        <v>0</v>
      </c>
    </row>
    <row r="339" spans="1:37" outlineLevel="1">
      <c r="A339" s="476" t="s">
        <v>2965</v>
      </c>
      <c r="B339" s="230" t="s">
        <v>1768</v>
      </c>
      <c r="C339" s="234" t="s">
        <v>3497</v>
      </c>
      <c r="D339" s="129">
        <f t="shared" ref="D339:D344" si="26">ROW()+180</f>
        <v>519</v>
      </c>
      <c r="E339" s="62" t="s">
        <v>3003</v>
      </c>
      <c r="G339" s="216">
        <v>0</v>
      </c>
      <c r="H339" s="216">
        <v>1</v>
      </c>
      <c r="I339" s="216" t="str">
        <f>fr_1</f>
        <v>M-FRM Body Brown Doff ( Alm. 75226 ) P3</v>
      </c>
      <c r="J339" s="217">
        <v>20</v>
      </c>
      <c r="N339" s="1"/>
      <c r="O339" s="34" t="str">
        <f t="shared" ref="O339:O345" si="27">siku_fr</f>
        <v>PLAT BESI SIKU 2 MM (U/FRAME AL)</v>
      </c>
      <c r="P339" s="1" t="str">
        <f t="shared" ref="P339:P345" si="28">scr_fr</f>
        <v>SCREW JF 4X6</v>
      </c>
      <c r="T339" s="34" t="str">
        <f t="shared" ref="T339:T344" si="29">fr_0</f>
        <v>M-FRM Tutup Belakang Brown Doff ( Alm. 75225 ) P3</v>
      </c>
      <c r="Y339" s="1">
        <v>1</v>
      </c>
      <c r="Z339" s="1">
        <v>1</v>
      </c>
      <c r="AA339" s="1">
        <v>1</v>
      </c>
      <c r="AB339" s="1">
        <v>1</v>
      </c>
      <c r="AE339" t="str">
        <f t="shared" ref="AE339:AE345" si="30">engsel1</f>
        <v>ENGSEL CLIP TOP  107 DEG INTEGRATED 75 B 1550 + 173 L 6100</v>
      </c>
      <c r="AJ339" s="1">
        <v>4</v>
      </c>
      <c r="AK339" s="1">
        <f t="shared" ref="AK339:AK348" si="31">+AJ339*4</f>
        <v>16</v>
      </c>
    </row>
    <row r="340" spans="1:37" outlineLevel="1">
      <c r="A340" s="476" t="s">
        <v>2965</v>
      </c>
      <c r="B340" s="230" t="s">
        <v>1768</v>
      </c>
      <c r="C340" s="234" t="s">
        <v>3498</v>
      </c>
      <c r="D340" s="129">
        <f t="shared" si="26"/>
        <v>520</v>
      </c>
      <c r="E340" s="62" t="s">
        <v>3003</v>
      </c>
      <c r="G340" s="216">
        <v>0</v>
      </c>
      <c r="H340" s="216">
        <v>1</v>
      </c>
      <c r="I340" s="216" t="str">
        <f>fr_3</f>
        <v>M-FRM-02 Black Doff ( Alm. 75227 ) P3</v>
      </c>
      <c r="J340" s="217">
        <v>20</v>
      </c>
      <c r="K340" s="34"/>
      <c r="N340" s="1"/>
      <c r="O340" s="34" t="str">
        <f t="shared" si="27"/>
        <v>PLAT BESI SIKU 2 MM (U/FRAME AL)</v>
      </c>
      <c r="P340" s="1" t="str">
        <f t="shared" si="28"/>
        <v>SCREW JF 4X6</v>
      </c>
      <c r="T340" s="34" t="str">
        <f t="shared" si="29"/>
        <v>M-FRM Tutup Belakang Brown Doff ( Alm. 75225 ) P3</v>
      </c>
      <c r="Y340" s="1">
        <v>1</v>
      </c>
      <c r="Z340" s="1">
        <v>1</v>
      </c>
      <c r="AA340" s="1">
        <v>3</v>
      </c>
      <c r="AB340" s="1">
        <v>1</v>
      </c>
      <c r="AE340" t="str">
        <f t="shared" si="30"/>
        <v>ENGSEL CLIP TOP  107 DEG INTEGRATED 75 B 1550 + 173 L 6100</v>
      </c>
      <c r="AJ340" s="1">
        <v>4</v>
      </c>
      <c r="AK340" s="1">
        <f t="shared" si="31"/>
        <v>16</v>
      </c>
    </row>
    <row r="341" spans="1:37" outlineLevel="1">
      <c r="A341" s="476" t="s">
        <v>2965</v>
      </c>
      <c r="B341" s="230" t="s">
        <v>1768</v>
      </c>
      <c r="C341" s="234" t="s">
        <v>3499</v>
      </c>
      <c r="D341" s="129">
        <f t="shared" si="26"/>
        <v>521</v>
      </c>
      <c r="E341" s="62" t="s">
        <v>3003</v>
      </c>
      <c r="G341" s="216">
        <v>0</v>
      </c>
      <c r="H341" s="216">
        <v>1</v>
      </c>
      <c r="I341" s="216" t="str">
        <f>fr_3</f>
        <v>M-FRM-02 Black Doff ( Alm. 75227 ) P3</v>
      </c>
      <c r="J341" s="217">
        <v>20</v>
      </c>
      <c r="N341" s="1"/>
      <c r="O341" s="34" t="str">
        <f t="shared" si="27"/>
        <v>PLAT BESI SIKU 2 MM (U/FRAME AL)</v>
      </c>
      <c r="P341" s="1" t="str">
        <f t="shared" si="28"/>
        <v>SCREW JF 4X6</v>
      </c>
      <c r="T341" s="34" t="str">
        <f t="shared" si="29"/>
        <v>M-FRM Tutup Belakang Brown Doff ( Alm. 75225 ) P3</v>
      </c>
      <c r="Y341" s="1">
        <v>3</v>
      </c>
      <c r="Z341" s="1">
        <v>1</v>
      </c>
      <c r="AA341" s="1">
        <v>1</v>
      </c>
      <c r="AB341" s="1">
        <v>1</v>
      </c>
      <c r="AE341" t="str">
        <f t="shared" si="30"/>
        <v>ENGSEL CLIP TOP  107 DEG INTEGRATED 75 B 1550 + 173 L 6100</v>
      </c>
      <c r="AJ341" s="1">
        <v>4</v>
      </c>
      <c r="AK341" s="1">
        <f t="shared" si="31"/>
        <v>16</v>
      </c>
    </row>
    <row r="342" spans="1:37" outlineLevel="1">
      <c r="A342" s="476" t="s">
        <v>2965</v>
      </c>
      <c r="B342" s="230" t="s">
        <v>1768</v>
      </c>
      <c r="C342" s="234" t="s">
        <v>3500</v>
      </c>
      <c r="D342" s="129">
        <f t="shared" si="26"/>
        <v>522</v>
      </c>
      <c r="E342" s="62" t="s">
        <v>3003</v>
      </c>
      <c r="G342" s="216">
        <v>0</v>
      </c>
      <c r="H342" s="216">
        <v>1</v>
      </c>
      <c r="I342" s="216" t="str">
        <f>fr_4</f>
        <v>M-FRM-03 Black Doff ( Alm. 75229 ) P3</v>
      </c>
      <c r="J342" s="217">
        <v>20</v>
      </c>
      <c r="K342" s="34"/>
      <c r="N342" s="1"/>
      <c r="O342" s="34" t="str">
        <f t="shared" si="27"/>
        <v>PLAT BESI SIKU 2 MM (U/FRAME AL)</v>
      </c>
      <c r="P342" s="1" t="str">
        <f t="shared" si="28"/>
        <v>SCREW JF 4X6</v>
      </c>
      <c r="T342" s="34" t="str">
        <f t="shared" si="29"/>
        <v>M-FRM Tutup Belakang Brown Doff ( Alm. 75225 ) P3</v>
      </c>
      <c r="Y342" s="1">
        <v>1</v>
      </c>
      <c r="Z342" s="1">
        <v>1</v>
      </c>
      <c r="AA342" s="1">
        <v>4</v>
      </c>
      <c r="AB342" s="1">
        <v>1</v>
      </c>
      <c r="AE342" t="str">
        <f t="shared" si="30"/>
        <v>ENGSEL CLIP TOP  107 DEG INTEGRATED 75 B 1550 + 173 L 6100</v>
      </c>
      <c r="AJ342" s="1">
        <v>4</v>
      </c>
      <c r="AK342" s="1">
        <f t="shared" si="31"/>
        <v>16</v>
      </c>
    </row>
    <row r="343" spans="1:37" outlineLevel="1">
      <c r="A343" s="476" t="s">
        <v>2965</v>
      </c>
      <c r="B343" s="230" t="s">
        <v>1768</v>
      </c>
      <c r="C343" s="234" t="s">
        <v>3501</v>
      </c>
      <c r="D343" s="129">
        <f t="shared" si="26"/>
        <v>523</v>
      </c>
      <c r="E343" s="62" t="s">
        <v>3003</v>
      </c>
      <c r="G343" s="216">
        <v>0</v>
      </c>
      <c r="H343" s="216">
        <v>1</v>
      </c>
      <c r="I343" s="216" t="str">
        <f>fr_4</f>
        <v>M-FRM-03 Black Doff ( Alm. 75229 ) P3</v>
      </c>
      <c r="J343" s="217">
        <v>20</v>
      </c>
      <c r="N343" s="1"/>
      <c r="O343" s="34" t="str">
        <f t="shared" si="27"/>
        <v>PLAT BESI SIKU 2 MM (U/FRAME AL)</v>
      </c>
      <c r="P343" s="1" t="str">
        <f t="shared" si="28"/>
        <v>SCREW JF 4X6</v>
      </c>
      <c r="T343" s="34" t="str">
        <f t="shared" si="29"/>
        <v>M-FRM Tutup Belakang Brown Doff ( Alm. 75225 ) P3</v>
      </c>
      <c r="Y343" s="1">
        <v>4</v>
      </c>
      <c r="Z343" s="1">
        <v>1</v>
      </c>
      <c r="AA343" s="1">
        <v>1</v>
      </c>
      <c r="AB343" s="1">
        <v>1</v>
      </c>
      <c r="AE343" t="str">
        <f t="shared" si="30"/>
        <v>ENGSEL CLIP TOP  107 DEG INTEGRATED 75 B 1550 + 173 L 6100</v>
      </c>
      <c r="AJ343" s="1">
        <v>4</v>
      </c>
      <c r="AK343" s="1">
        <f t="shared" si="31"/>
        <v>16</v>
      </c>
    </row>
    <row r="344" spans="1:37" outlineLevel="1">
      <c r="A344" s="476" t="s">
        <v>2965</v>
      </c>
      <c r="B344" s="230" t="s">
        <v>1768</v>
      </c>
      <c r="C344" s="234" t="s">
        <v>4576</v>
      </c>
      <c r="D344" s="129">
        <f t="shared" si="26"/>
        <v>524</v>
      </c>
      <c r="E344" s="62" t="s">
        <v>3003</v>
      </c>
      <c r="G344" s="216">
        <v>0</v>
      </c>
      <c r="H344" s="216">
        <v>1</v>
      </c>
      <c r="I344" s="216" t="str">
        <f>fr_4</f>
        <v>M-FRM-03 Black Doff ( Alm. 75229 ) P3</v>
      </c>
      <c r="J344" s="217">
        <v>20</v>
      </c>
      <c r="N344" s="1"/>
      <c r="O344" s="34" t="str">
        <f t="shared" si="27"/>
        <v>PLAT BESI SIKU 2 MM (U/FRAME AL)</v>
      </c>
      <c r="P344" s="1" t="str">
        <f t="shared" si="28"/>
        <v>SCREW JF 4X6</v>
      </c>
      <c r="T344" s="34" t="str">
        <f t="shared" si="29"/>
        <v>M-FRM Tutup Belakang Brown Doff ( Alm. 75225 ) P3</v>
      </c>
      <c r="Y344" s="1">
        <v>4</v>
      </c>
      <c r="Z344" s="1">
        <v>4</v>
      </c>
      <c r="AA344" s="1">
        <v>1</v>
      </c>
      <c r="AB344" s="1">
        <v>1</v>
      </c>
      <c r="AE344" t="str">
        <f t="shared" si="30"/>
        <v>ENGSEL CLIP TOP  107 DEG INTEGRATED 75 B 1550 + 173 L 6100</v>
      </c>
      <c r="AJ344" s="1">
        <v>4</v>
      </c>
      <c r="AK344" s="1">
        <f>+AJ344*4</f>
        <v>16</v>
      </c>
    </row>
    <row r="345" spans="1:37" outlineLevel="1">
      <c r="A345" s="476" t="s">
        <v>2965</v>
      </c>
      <c r="B345" s="230" t="s">
        <v>1768</v>
      </c>
      <c r="C345" s="234" t="s">
        <v>3502</v>
      </c>
      <c r="D345" s="129">
        <f t="shared" ref="D345:D384" si="32">ROW()+180</f>
        <v>525</v>
      </c>
      <c r="E345" s="62" t="s">
        <v>3003</v>
      </c>
      <c r="G345" s="216">
        <v>0</v>
      </c>
      <c r="H345" s="216">
        <v>1</v>
      </c>
      <c r="I345" s="372" t="str">
        <f>fr_2</f>
        <v>M-FRM-07 Brown Doff ( Alm. 75355 ) P3</v>
      </c>
      <c r="J345" s="217">
        <v>20</v>
      </c>
      <c r="N345" s="1"/>
      <c r="O345" s="34" t="str">
        <f t="shared" si="27"/>
        <v>PLAT BESI SIKU 2 MM (U/FRAME AL)</v>
      </c>
      <c r="P345" s="1" t="str">
        <f t="shared" si="28"/>
        <v>SCREW JF 4X6</v>
      </c>
      <c r="T345" s="34" t="str">
        <f>seal_maxbond</f>
        <v>SILICONE MAX BOND</v>
      </c>
      <c r="Y345" s="1">
        <v>2</v>
      </c>
      <c r="Z345" s="1">
        <v>2</v>
      </c>
      <c r="AA345" s="1">
        <v>2</v>
      </c>
      <c r="AB345" s="1">
        <v>2</v>
      </c>
      <c r="AE345" t="str">
        <f t="shared" si="30"/>
        <v>ENGSEL CLIP TOP  107 DEG INTEGRATED 75 B 1550 + 173 L 6100</v>
      </c>
      <c r="AF345" t="str">
        <f>fr_11</f>
        <v>Alm. 75354 ( Mulion M-FRM-07 ) CA1 P6</v>
      </c>
      <c r="AG345" s="1">
        <v>1</v>
      </c>
      <c r="AJ345" s="1">
        <v>4</v>
      </c>
      <c r="AK345" s="1">
        <f t="shared" si="31"/>
        <v>16</v>
      </c>
    </row>
    <row r="346" spans="1:37" outlineLevel="1">
      <c r="A346" s="476" t="s">
        <v>2965</v>
      </c>
      <c r="B346" s="230" t="s">
        <v>1768</v>
      </c>
      <c r="C346" s="234" t="s">
        <v>3503</v>
      </c>
      <c r="D346" s="129">
        <f t="shared" si="32"/>
        <v>526</v>
      </c>
      <c r="E346" s="62" t="s">
        <v>3003</v>
      </c>
      <c r="G346" s="216">
        <v>0</v>
      </c>
      <c r="H346" s="216">
        <v>1</v>
      </c>
      <c r="I346" s="372" t="str">
        <f>fr_8</f>
        <v>Alm. 75284 ( M-FRM-05 ) MENTAH P6</v>
      </c>
      <c r="J346" s="217">
        <v>26</v>
      </c>
      <c r="N346" s="1"/>
      <c r="O346" s="1" t="str">
        <f>siku_fr05</f>
        <v>PLAT BESI bracket (U/FRAME AL 05)</v>
      </c>
      <c r="P346" s="1" t="str">
        <f>scr_fr05</f>
        <v>SCREW JF 4X10</v>
      </c>
      <c r="Y346" s="1">
        <v>7</v>
      </c>
      <c r="Z346" s="1">
        <v>7</v>
      </c>
      <c r="AA346" s="1">
        <v>8</v>
      </c>
      <c r="AB346" s="1">
        <v>8</v>
      </c>
      <c r="AJ346" s="1">
        <v>4</v>
      </c>
      <c r="AK346" s="1">
        <f>+AJ346*4</f>
        <v>16</v>
      </c>
    </row>
    <row r="347" spans="1:37" outlineLevel="1">
      <c r="A347" s="476" t="s">
        <v>2965</v>
      </c>
      <c r="B347" s="230" t="s">
        <v>1768</v>
      </c>
      <c r="C347" s="234" t="s">
        <v>2437</v>
      </c>
      <c r="D347" s="129">
        <f t="shared" si="32"/>
        <v>527</v>
      </c>
      <c r="E347" s="62" t="s">
        <v>3003</v>
      </c>
      <c r="G347" s="216">
        <v>0</v>
      </c>
      <c r="H347" s="216">
        <v>1</v>
      </c>
      <c r="I347" s="372" t="s">
        <v>1787</v>
      </c>
      <c r="J347" s="217">
        <v>26</v>
      </c>
      <c r="N347" s="1"/>
      <c r="O347" s="1"/>
      <c r="P347" s="1"/>
      <c r="Y347" s="1">
        <v>0</v>
      </c>
      <c r="Z347" s="1">
        <v>0</v>
      </c>
      <c r="AA347" s="1">
        <v>0</v>
      </c>
      <c r="AB347" s="1">
        <v>0</v>
      </c>
      <c r="AJ347" s="1">
        <v>4</v>
      </c>
      <c r="AK347" s="1">
        <f t="shared" si="31"/>
        <v>16</v>
      </c>
    </row>
    <row r="348" spans="1:37" outlineLevel="1">
      <c r="A348" s="476" t="s">
        <v>2965</v>
      </c>
      <c r="B348" s="230" t="s">
        <v>1768</v>
      </c>
      <c r="C348" s="234" t="s">
        <v>3504</v>
      </c>
      <c r="D348" s="129">
        <f t="shared" si="32"/>
        <v>528</v>
      </c>
      <c r="E348" s="62" t="s">
        <v>3003</v>
      </c>
      <c r="G348" s="216">
        <v>0</v>
      </c>
      <c r="H348" s="216">
        <v>1</v>
      </c>
      <c r="I348" s="372" t="str">
        <f>fr_2</f>
        <v>M-FRM-07 Brown Doff ( Alm. 75355 ) P3</v>
      </c>
      <c r="J348" s="217">
        <v>20</v>
      </c>
      <c r="N348" s="1"/>
      <c r="O348" s="34" t="str">
        <f>siku_fr</f>
        <v>PLAT BESI SIKU 2 MM (U/FRAME AL)</v>
      </c>
      <c r="P348" s="1" t="str">
        <f>scr_fr</f>
        <v>SCREW JF 4X6</v>
      </c>
      <c r="T348" s="34" t="str">
        <f>seal_maxbond</f>
        <v>SILICONE MAX BOND</v>
      </c>
      <c r="Y348" s="1">
        <v>2</v>
      </c>
      <c r="Z348" s="1">
        <v>2</v>
      </c>
      <c r="AA348" s="1">
        <v>2</v>
      </c>
      <c r="AB348" s="1">
        <v>2</v>
      </c>
      <c r="AF348" t="str">
        <f>fr_11</f>
        <v>Alm. 75354 ( Mulion M-FRM-07 ) CA1 P6</v>
      </c>
      <c r="AG348" s="1">
        <v>1</v>
      </c>
      <c r="AJ348" s="1">
        <v>4</v>
      </c>
      <c r="AK348" s="1">
        <f t="shared" si="31"/>
        <v>16</v>
      </c>
    </row>
    <row r="349" spans="1:37" outlineLevel="1">
      <c r="A349" s="476" t="s">
        <v>2965</v>
      </c>
      <c r="B349" s="230" t="s">
        <v>1768</v>
      </c>
      <c r="C349" s="234" t="s">
        <v>2366</v>
      </c>
      <c r="D349" s="129">
        <f t="shared" si="32"/>
        <v>529</v>
      </c>
      <c r="E349" s="62" t="s">
        <v>3496</v>
      </c>
      <c r="G349" s="216">
        <v>0</v>
      </c>
      <c r="H349" s="216">
        <v>1</v>
      </c>
      <c r="I349" s="372" t="str">
        <f>+fr_5</f>
        <v>M-SHF-01/02 Brown Doff ( Alm. 75109 ) P3</v>
      </c>
      <c r="J349" s="217">
        <v>20</v>
      </c>
      <c r="N349" s="1"/>
      <c r="O349" s="34" t="str">
        <f>siku_mshf04</f>
        <v xml:space="preserve">BRACKET ALM 25X25X4.7 + SCRUP          </v>
      </c>
      <c r="P349" s="1" t="str">
        <f>scr_mshf04</f>
        <v>SCREW 6X3/8</v>
      </c>
      <c r="Y349" s="1">
        <v>5</v>
      </c>
      <c r="Z349" s="1">
        <v>5</v>
      </c>
      <c r="AA349" s="1">
        <v>5</v>
      </c>
      <c r="AB349" s="1">
        <v>5</v>
      </c>
      <c r="AJ349" s="1">
        <v>4</v>
      </c>
      <c r="AK349" s="1">
        <v>8</v>
      </c>
    </row>
    <row r="350" spans="1:37" outlineLevel="1">
      <c r="A350" s="476" t="s">
        <v>2965</v>
      </c>
      <c r="B350" s="230" t="s">
        <v>1768</v>
      </c>
      <c r="C350" s="234" t="s">
        <v>1493</v>
      </c>
      <c r="D350" s="129">
        <f t="shared" si="32"/>
        <v>530</v>
      </c>
      <c r="E350" s="62" t="s">
        <v>3496</v>
      </c>
      <c r="G350" s="216">
        <v>0</v>
      </c>
      <c r="H350" s="216">
        <v>1</v>
      </c>
      <c r="I350" s="372" t="str">
        <f>+fr_6</f>
        <v>LS-01 Brown Doff ( Alm. 86599 ) P3</v>
      </c>
      <c r="J350" s="217">
        <v>40</v>
      </c>
      <c r="N350" s="1"/>
      <c r="O350" s="34" t="str">
        <f>siku_ls01</f>
        <v xml:space="preserve">SIKU JOINT LIGHTING SHELF 35 MM           </v>
      </c>
      <c r="P350" s="1" t="str">
        <f>scr_ls01</f>
        <v>SCREW JF 5X10</v>
      </c>
      <c r="T350" s="34" t="s">
        <v>3393</v>
      </c>
      <c r="Y350" s="1">
        <v>6</v>
      </c>
      <c r="Z350" s="1">
        <v>6</v>
      </c>
      <c r="AA350" s="1">
        <v>6</v>
      </c>
      <c r="AB350" s="1">
        <v>6</v>
      </c>
      <c r="AJ350" s="1">
        <v>4</v>
      </c>
      <c r="AK350" s="1">
        <v>8</v>
      </c>
    </row>
    <row r="351" spans="1:37" outlineLevel="1">
      <c r="A351" s="476" t="s">
        <v>2966</v>
      </c>
      <c r="B351" s="230" t="s">
        <v>1768</v>
      </c>
      <c r="C351" s="234" t="s">
        <v>3214</v>
      </c>
      <c r="D351" s="129">
        <f t="shared" si="32"/>
        <v>531</v>
      </c>
      <c r="E351" s="62" t="s">
        <v>3495</v>
      </c>
      <c r="G351" s="216">
        <v>0</v>
      </c>
      <c r="H351" s="216">
        <v>1</v>
      </c>
      <c r="I351" s="372" t="str">
        <f>kaca3</f>
        <v>Polos</v>
      </c>
      <c r="J351" s="217">
        <v>6</v>
      </c>
      <c r="N351" s="1"/>
      <c r="O351" s="1"/>
      <c r="P351" s="1"/>
      <c r="Y351" s="1">
        <v>0</v>
      </c>
      <c r="Z351" s="1">
        <v>0</v>
      </c>
      <c r="AA351" s="1">
        <v>0</v>
      </c>
      <c r="AB351" s="1">
        <v>0</v>
      </c>
      <c r="AE351" t="str">
        <f>engsel9</f>
        <v>ENGSEL MEPLA FLAP DOOR</v>
      </c>
    </row>
    <row r="352" spans="1:37" outlineLevel="1">
      <c r="A352" s="476" t="s">
        <v>2966</v>
      </c>
      <c r="B352" s="230" t="s">
        <v>1768</v>
      </c>
      <c r="C352" s="234" t="s">
        <v>2363</v>
      </c>
      <c r="D352" s="129">
        <f t="shared" si="32"/>
        <v>532</v>
      </c>
      <c r="E352" s="62" t="s">
        <v>3495</v>
      </c>
      <c r="G352" s="216">
        <v>1</v>
      </c>
      <c r="H352" s="216">
        <v>1</v>
      </c>
      <c r="I352" s="372" t="str">
        <f>kaca3</f>
        <v>Polos</v>
      </c>
      <c r="J352" s="217">
        <v>8</v>
      </c>
      <c r="N352" s="1"/>
      <c r="O352" s="1"/>
      <c r="P352" s="1"/>
    </row>
    <row r="353" spans="1:33" outlineLevel="1">
      <c r="A353" s="476" t="s">
        <v>2966</v>
      </c>
      <c r="B353" s="230" t="s">
        <v>1768</v>
      </c>
      <c r="C353" s="234" t="s">
        <v>4624</v>
      </c>
      <c r="D353" s="129">
        <f t="shared" si="32"/>
        <v>533</v>
      </c>
      <c r="E353" s="62" t="s">
        <v>3495</v>
      </c>
      <c r="G353" s="216">
        <v>1</v>
      </c>
      <c r="H353" s="216">
        <v>1</v>
      </c>
      <c r="I353" s="372" t="str">
        <f>kaca3</f>
        <v>Polos</v>
      </c>
      <c r="J353" s="217">
        <v>8</v>
      </c>
      <c r="N353" s="1"/>
      <c r="O353" s="1"/>
      <c r="P353" s="1"/>
    </row>
    <row r="354" spans="1:33" outlineLevel="1">
      <c r="A354" s="476" t="s">
        <v>2966</v>
      </c>
      <c r="B354" s="230" t="s">
        <v>1768</v>
      </c>
      <c r="C354" s="234" t="s">
        <v>2422</v>
      </c>
      <c r="D354" s="129">
        <f t="shared" si="32"/>
        <v>534</v>
      </c>
      <c r="E354" s="62" t="s">
        <v>3495</v>
      </c>
      <c r="G354" s="216">
        <v>1</v>
      </c>
      <c r="H354" s="216">
        <v>1</v>
      </c>
      <c r="I354" s="372" t="str">
        <f>kaca3</f>
        <v>Polos</v>
      </c>
      <c r="J354" s="217">
        <v>8</v>
      </c>
      <c r="N354" s="1"/>
      <c r="O354" s="1"/>
      <c r="P354" s="1"/>
      <c r="AF354" t="str">
        <f>fr_5</f>
        <v>M-SHF-01/02 Brown Doff ( Alm. 75109 ) P3</v>
      </c>
      <c r="AG354" s="1">
        <v>1</v>
      </c>
    </row>
    <row r="355" spans="1:33" outlineLevel="1">
      <c r="A355" s="476" t="s">
        <v>2966</v>
      </c>
      <c r="B355" s="230" t="s">
        <v>1768</v>
      </c>
      <c r="C355" s="234" t="s">
        <v>3490</v>
      </c>
      <c r="D355" s="129">
        <f t="shared" si="32"/>
        <v>535</v>
      </c>
      <c r="E355" s="62" t="s">
        <v>3495</v>
      </c>
      <c r="G355" s="216">
        <v>1</v>
      </c>
      <c r="H355" s="216">
        <v>1</v>
      </c>
      <c r="I355" s="372" t="str">
        <f>kaca1</f>
        <v>MG_Purewhite</v>
      </c>
      <c r="J355" s="217">
        <v>5</v>
      </c>
      <c r="L355" s="34"/>
    </row>
    <row r="356" spans="1:33" outlineLevel="1">
      <c r="A356" s="476" t="s">
        <v>2966</v>
      </c>
      <c r="B356" s="230" t="s">
        <v>1768</v>
      </c>
      <c r="C356" s="234" t="s">
        <v>3493</v>
      </c>
      <c r="D356" s="129">
        <f t="shared" si="32"/>
        <v>536</v>
      </c>
      <c r="E356" s="62" t="s">
        <v>3495</v>
      </c>
      <c r="G356" s="216">
        <v>1</v>
      </c>
      <c r="H356" s="216">
        <v>1</v>
      </c>
      <c r="I356" s="372" t="str">
        <f>kaca2</f>
        <v>Euro Grey</v>
      </c>
      <c r="J356" s="217">
        <v>5</v>
      </c>
      <c r="L356" s="34"/>
    </row>
    <row r="357" spans="1:33" outlineLevel="1">
      <c r="A357" s="476" t="s">
        <v>2966</v>
      </c>
      <c r="B357" s="230" t="s">
        <v>1768</v>
      </c>
      <c r="C357" s="234" t="s">
        <v>3512</v>
      </c>
      <c r="D357" s="129">
        <f t="shared" si="32"/>
        <v>537</v>
      </c>
      <c r="E357" s="62" t="s">
        <v>3495</v>
      </c>
      <c r="G357" s="216">
        <v>1</v>
      </c>
      <c r="H357" s="216">
        <v>1</v>
      </c>
      <c r="I357" s="372" t="str">
        <f>kaca3</f>
        <v>Polos</v>
      </c>
      <c r="J357" s="217">
        <v>5</v>
      </c>
      <c r="L357" s="34"/>
    </row>
    <row r="358" spans="1:33" outlineLevel="1">
      <c r="A358" s="476" t="s">
        <v>2966</v>
      </c>
      <c r="B358" s="230" t="s">
        <v>1768</v>
      </c>
      <c r="C358" s="234" t="s">
        <v>4375</v>
      </c>
      <c r="D358" s="129">
        <f t="shared" si="32"/>
        <v>538</v>
      </c>
      <c r="E358" s="62" t="s">
        <v>3495</v>
      </c>
      <c r="G358" s="216">
        <v>1</v>
      </c>
      <c r="H358" s="216">
        <v>1</v>
      </c>
      <c r="I358" s="372" t="str">
        <f>kaca3</f>
        <v>Polos</v>
      </c>
      <c r="J358" s="217">
        <v>5</v>
      </c>
      <c r="L358" s="34"/>
    </row>
    <row r="359" spans="1:33" outlineLevel="1">
      <c r="A359" s="476" t="s">
        <v>2966</v>
      </c>
      <c r="B359" s="230" t="s">
        <v>1768</v>
      </c>
      <c r="C359" s="234" t="s">
        <v>3491</v>
      </c>
      <c r="D359" s="129">
        <f t="shared" si="32"/>
        <v>539</v>
      </c>
      <c r="E359" s="62" t="s">
        <v>3495</v>
      </c>
      <c r="G359" s="216">
        <v>1</v>
      </c>
      <c r="H359" s="216">
        <v>1</v>
      </c>
      <c r="I359" s="372" t="str">
        <f>kaca4</f>
        <v>MG_Mocca</v>
      </c>
      <c r="J359" s="217">
        <v>5</v>
      </c>
      <c r="L359" s="34"/>
    </row>
    <row r="360" spans="1:33" outlineLevel="1">
      <c r="A360" s="476" t="s">
        <v>2966</v>
      </c>
      <c r="B360" s="230" t="s">
        <v>1768</v>
      </c>
      <c r="C360" s="234" t="s">
        <v>3545</v>
      </c>
      <c r="D360" s="129">
        <f t="shared" si="32"/>
        <v>540</v>
      </c>
      <c r="E360" s="62" t="s">
        <v>3495</v>
      </c>
      <c r="G360" s="216">
        <v>1</v>
      </c>
      <c r="H360" s="216">
        <v>1</v>
      </c>
      <c r="I360" s="372" t="str">
        <f>kaca5</f>
        <v>Bronze</v>
      </c>
      <c r="J360" s="217">
        <v>5</v>
      </c>
      <c r="L360" s="34"/>
    </row>
    <row r="361" spans="1:33" outlineLevel="1">
      <c r="A361" s="476" t="s">
        <v>2966</v>
      </c>
      <c r="B361" s="230" t="s">
        <v>1768</v>
      </c>
      <c r="C361" s="234" t="s">
        <v>4187</v>
      </c>
      <c r="D361" s="129">
        <f t="shared" si="32"/>
        <v>541</v>
      </c>
      <c r="E361" s="62" t="s">
        <v>3495</v>
      </c>
      <c r="G361" s="216">
        <v>1</v>
      </c>
      <c r="H361" s="216">
        <v>1</v>
      </c>
      <c r="I361" s="372" t="str">
        <f>kaca9</f>
        <v>Acid_Clear</v>
      </c>
      <c r="J361" s="217">
        <v>5</v>
      </c>
      <c r="L361" s="34"/>
    </row>
    <row r="362" spans="1:33" outlineLevel="1">
      <c r="A362" s="476" t="s">
        <v>2966</v>
      </c>
      <c r="B362" s="230" t="s">
        <v>1768</v>
      </c>
      <c r="C362" s="234" t="s">
        <v>3583</v>
      </c>
      <c r="D362" s="129">
        <f t="shared" si="32"/>
        <v>542</v>
      </c>
      <c r="E362" s="62" t="s">
        <v>3495</v>
      </c>
      <c r="G362" s="216">
        <v>1</v>
      </c>
      <c r="H362" s="216">
        <v>1</v>
      </c>
      <c r="I362" s="372" t="str">
        <f>kaca5</f>
        <v>Bronze</v>
      </c>
      <c r="J362" s="217">
        <v>5</v>
      </c>
    </row>
    <row r="363" spans="1:33" outlineLevel="1">
      <c r="A363" s="476" t="s">
        <v>2966</v>
      </c>
      <c r="B363" s="230" t="s">
        <v>1768</v>
      </c>
      <c r="C363" s="234" t="s">
        <v>3511</v>
      </c>
      <c r="D363" s="129">
        <f t="shared" si="32"/>
        <v>543</v>
      </c>
      <c r="E363" s="62" t="s">
        <v>3495</v>
      </c>
      <c r="G363" s="216">
        <v>1</v>
      </c>
      <c r="H363" s="216">
        <v>1</v>
      </c>
      <c r="I363" s="372" t="str">
        <f>kaca6</f>
        <v>Grey_Tinted</v>
      </c>
      <c r="J363" s="217">
        <v>5</v>
      </c>
    </row>
    <row r="364" spans="1:33" outlineLevel="1">
      <c r="A364" s="476" t="s">
        <v>2966</v>
      </c>
      <c r="B364" s="230" t="s">
        <v>1768</v>
      </c>
      <c r="C364" s="234" t="s">
        <v>3510</v>
      </c>
      <c r="D364" s="129">
        <f t="shared" si="32"/>
        <v>544</v>
      </c>
      <c r="E364" s="62" t="s">
        <v>3495</v>
      </c>
      <c r="G364" s="216">
        <v>1</v>
      </c>
      <c r="H364" s="216">
        <v>1</v>
      </c>
      <c r="I364" s="372" t="str">
        <f>kaca7</f>
        <v>Polos</v>
      </c>
      <c r="J364" s="217">
        <v>5</v>
      </c>
    </row>
    <row r="365" spans="1:33" outlineLevel="1">
      <c r="A365" s="476" t="s">
        <v>2966</v>
      </c>
      <c r="B365" s="230" t="s">
        <v>1768</v>
      </c>
      <c r="C365" s="234" t="s">
        <v>3513</v>
      </c>
      <c r="D365" s="129">
        <f t="shared" si="32"/>
        <v>545</v>
      </c>
      <c r="E365" s="62" t="s">
        <v>3495</v>
      </c>
      <c r="G365" s="216">
        <v>1</v>
      </c>
      <c r="H365" s="216">
        <v>1</v>
      </c>
      <c r="I365" s="372" t="str">
        <f>kaca2</f>
        <v>Euro Grey</v>
      </c>
      <c r="J365" s="217">
        <v>5</v>
      </c>
      <c r="L365" s="34"/>
    </row>
    <row r="366" spans="1:33" outlineLevel="1">
      <c r="A366" s="476" t="s">
        <v>2966</v>
      </c>
      <c r="B366" s="230" t="s">
        <v>1768</v>
      </c>
      <c r="C366" s="234" t="s">
        <v>3514</v>
      </c>
      <c r="D366" s="129">
        <f t="shared" si="32"/>
        <v>546</v>
      </c>
      <c r="E366" s="62" t="s">
        <v>3495</v>
      </c>
      <c r="G366" s="216">
        <v>1</v>
      </c>
      <c r="H366" s="216">
        <v>1</v>
      </c>
      <c r="I366" s="372" t="str">
        <f>kaca3</f>
        <v>Polos</v>
      </c>
      <c r="J366" s="217">
        <v>5</v>
      </c>
      <c r="L366" s="34"/>
    </row>
    <row r="367" spans="1:33" outlineLevel="1">
      <c r="A367" s="476" t="s">
        <v>2966</v>
      </c>
      <c r="B367" s="230" t="s">
        <v>1768</v>
      </c>
      <c r="C367" s="234" t="s">
        <v>4376</v>
      </c>
      <c r="D367" s="129">
        <f t="shared" si="32"/>
        <v>547</v>
      </c>
      <c r="E367" s="62" t="s">
        <v>3495</v>
      </c>
      <c r="G367" s="216">
        <v>1</v>
      </c>
      <c r="H367" s="216">
        <v>1</v>
      </c>
      <c r="I367" s="372" t="str">
        <f>kaca3</f>
        <v>Polos</v>
      </c>
      <c r="J367" s="217">
        <v>5</v>
      </c>
      <c r="L367" s="34"/>
    </row>
    <row r="368" spans="1:33" outlineLevel="1">
      <c r="A368" s="476" t="s">
        <v>2966</v>
      </c>
      <c r="B368" s="230" t="s">
        <v>1768</v>
      </c>
      <c r="C368" s="234" t="s">
        <v>3515</v>
      </c>
      <c r="D368" s="129">
        <f t="shared" si="32"/>
        <v>548</v>
      </c>
      <c r="E368" s="62" t="s">
        <v>3495</v>
      </c>
      <c r="G368" s="216">
        <v>1</v>
      </c>
      <c r="H368" s="216">
        <v>1</v>
      </c>
      <c r="I368" s="372" t="str">
        <f>kaca7</f>
        <v>Polos</v>
      </c>
      <c r="J368" s="217">
        <v>5</v>
      </c>
    </row>
    <row r="369" spans="1:33" outlineLevel="1">
      <c r="A369" s="215" t="s">
        <v>2964</v>
      </c>
      <c r="B369" s="230" t="s">
        <v>1768</v>
      </c>
      <c r="C369" s="234" t="s">
        <v>1855</v>
      </c>
      <c r="D369" s="129">
        <f t="shared" si="32"/>
        <v>549</v>
      </c>
      <c r="E369" s="62" t="s">
        <v>1787</v>
      </c>
      <c r="G369" s="216">
        <v>0</v>
      </c>
      <c r="H369" s="216">
        <v>1</v>
      </c>
      <c r="I369" s="372" t="s">
        <v>2275</v>
      </c>
      <c r="J369" s="217">
        <v>1.2</v>
      </c>
    </row>
    <row r="370" spans="1:33" outlineLevel="1">
      <c r="A370" s="215" t="s">
        <v>2964</v>
      </c>
      <c r="B370" s="230" t="s">
        <v>1768</v>
      </c>
      <c r="C370" s="234" t="s">
        <v>1856</v>
      </c>
      <c r="D370" s="129">
        <f t="shared" si="32"/>
        <v>550</v>
      </c>
      <c r="E370" s="62" t="s">
        <v>1787</v>
      </c>
      <c r="G370" s="216">
        <v>0</v>
      </c>
      <c r="H370" s="216">
        <v>1</v>
      </c>
      <c r="I370" s="372" t="s">
        <v>2275</v>
      </c>
      <c r="J370" s="217">
        <v>1.2</v>
      </c>
    </row>
    <row r="371" spans="1:33" outlineLevel="1">
      <c r="A371" s="476" t="s">
        <v>2965</v>
      </c>
      <c r="B371" s="230" t="s">
        <v>1768</v>
      </c>
      <c r="C371" s="234" t="str">
        <f>Hand1</f>
        <v>MH-02 Brown Doff ( Alm. 86706 ) P3</v>
      </c>
      <c r="D371" s="129">
        <f t="shared" si="32"/>
        <v>551</v>
      </c>
      <c r="E371" s="62" t="s">
        <v>1787</v>
      </c>
      <c r="G371" s="216">
        <v>0</v>
      </c>
      <c r="H371" s="216">
        <v>1</v>
      </c>
      <c r="I371" s="372" t="s">
        <v>1409</v>
      </c>
      <c r="AF371" t="str">
        <f>Hand1</f>
        <v>MH-02 Brown Doff ( Alm. 86706 ) P3</v>
      </c>
      <c r="AG371" s="1">
        <v>1</v>
      </c>
    </row>
    <row r="372" spans="1:33" outlineLevel="1">
      <c r="A372" s="476" t="s">
        <v>2965</v>
      </c>
      <c r="B372" s="230" t="s">
        <v>1768</v>
      </c>
      <c r="C372" s="234" t="str">
        <f>Hand2</f>
        <v>MH-02 Brown Doff ( Alm. 86706 ) P3 coak standart</v>
      </c>
      <c r="D372" s="129">
        <f t="shared" si="32"/>
        <v>552</v>
      </c>
      <c r="E372" s="62" t="s">
        <v>1787</v>
      </c>
      <c r="G372" s="216">
        <v>0</v>
      </c>
      <c r="H372" s="216">
        <v>1</v>
      </c>
      <c r="I372" s="372" t="s">
        <v>1409</v>
      </c>
      <c r="AF372" t="str">
        <f>Hand2</f>
        <v>MH-02 Brown Doff ( Alm. 86706 ) P3 coak standart</v>
      </c>
      <c r="AG372" s="1">
        <v>1</v>
      </c>
    </row>
    <row r="373" spans="1:33" outlineLevel="1">
      <c r="A373" s="476" t="s">
        <v>2965</v>
      </c>
      <c r="B373" s="230" t="s">
        <v>1768</v>
      </c>
      <c r="C373" s="234" t="str">
        <f>hand3</f>
        <v>MH-02 Brown Doff ( Alm. 86706 ) P3 coak khusus</v>
      </c>
      <c r="D373" s="129">
        <f t="shared" si="32"/>
        <v>553</v>
      </c>
      <c r="E373" s="62" t="s">
        <v>1787</v>
      </c>
      <c r="G373" s="216">
        <v>0</v>
      </c>
      <c r="H373" s="216">
        <v>1</v>
      </c>
      <c r="I373" s="372" t="s">
        <v>1409</v>
      </c>
      <c r="AF373" t="str">
        <f>hand3</f>
        <v>MH-02 Brown Doff ( Alm. 86706 ) P3 coak khusus</v>
      </c>
      <c r="AG373" s="1">
        <v>1</v>
      </c>
    </row>
    <row r="374" spans="1:33" outlineLevel="1">
      <c r="A374" s="476" t="s">
        <v>2965</v>
      </c>
      <c r="B374" s="230" t="s">
        <v>1768</v>
      </c>
      <c r="C374" s="234" t="str">
        <f>hand6</f>
        <v>MH-04 Black ( Alm. 86705 ) P3</v>
      </c>
      <c r="D374" s="129">
        <f t="shared" si="32"/>
        <v>554</v>
      </c>
      <c r="E374" s="62" t="s">
        <v>1787</v>
      </c>
      <c r="G374" s="216">
        <v>0</v>
      </c>
      <c r="H374" s="216">
        <v>1</v>
      </c>
      <c r="I374" s="372" t="s">
        <v>1409</v>
      </c>
      <c r="AF374" t="str">
        <f>hand6</f>
        <v>MH-04 Black ( Alm. 86705 ) P3</v>
      </c>
      <c r="AG374" s="1">
        <v>1</v>
      </c>
    </row>
    <row r="375" spans="1:33" outlineLevel="1">
      <c r="A375" s="476" t="s">
        <v>2965</v>
      </c>
      <c r="B375" s="230" t="s">
        <v>1768</v>
      </c>
      <c r="C375" s="234" t="str">
        <f>hand7</f>
        <v>MH-04 Black ( Alm. 86705 ) P3 coak standart</v>
      </c>
      <c r="D375" s="129">
        <f t="shared" si="32"/>
        <v>555</v>
      </c>
      <c r="E375" s="62" t="s">
        <v>1787</v>
      </c>
      <c r="G375" s="216">
        <v>0</v>
      </c>
      <c r="H375" s="216">
        <v>1</v>
      </c>
      <c r="I375" s="372" t="s">
        <v>1409</v>
      </c>
      <c r="AF375" t="str">
        <f>hand7</f>
        <v>MH-04 Black ( Alm. 86705 ) P3 coak standart</v>
      </c>
      <c r="AG375" s="1">
        <v>1</v>
      </c>
    </row>
    <row r="376" spans="1:33" outlineLevel="1">
      <c r="A376" s="476" t="s">
        <v>2965</v>
      </c>
      <c r="B376" s="230" t="s">
        <v>1768</v>
      </c>
      <c r="C376" s="234" t="str">
        <f>hand8</f>
        <v>MH-04 Black ( Alm. 86705 ) P3 coak khusus</v>
      </c>
      <c r="D376" s="129">
        <f t="shared" si="32"/>
        <v>556</v>
      </c>
      <c r="E376" s="62" t="s">
        <v>1787</v>
      </c>
      <c r="G376" s="216">
        <v>0</v>
      </c>
      <c r="H376" s="216">
        <v>1</v>
      </c>
      <c r="I376" s="372" t="s">
        <v>1409</v>
      </c>
      <c r="AF376" t="str">
        <f>hand8</f>
        <v>MH-04 Black ( Alm. 86705 ) P3 coak khusus</v>
      </c>
      <c r="AG376" s="1">
        <v>1</v>
      </c>
    </row>
    <row r="377" spans="1:33" outlineLevel="1">
      <c r="A377" s="476" t="s">
        <v>2965</v>
      </c>
      <c r="B377" s="230" t="s">
        <v>1768</v>
      </c>
      <c r="C377" s="234" t="str">
        <f>hand9</f>
        <v>MH-09 A Brown Doff ( Alm. 75301 ) P3</v>
      </c>
      <c r="D377" s="129">
        <f t="shared" si="32"/>
        <v>557</v>
      </c>
      <c r="E377" s="62" t="s">
        <v>1787</v>
      </c>
      <c r="G377" s="216">
        <v>0</v>
      </c>
      <c r="H377" s="216">
        <v>1</v>
      </c>
      <c r="I377" s="372">
        <v>24</v>
      </c>
      <c r="AF377" t="str">
        <f>hand9</f>
        <v>MH-09 A Brown Doff ( Alm. 75301 ) P3</v>
      </c>
      <c r="AG377" s="1">
        <v>1</v>
      </c>
    </row>
    <row r="378" spans="1:33" outlineLevel="1">
      <c r="A378" s="476" t="s">
        <v>2965</v>
      </c>
      <c r="B378" s="230" t="s">
        <v>1768</v>
      </c>
      <c r="C378" s="234" t="str">
        <f>hand10</f>
        <v>MH-09 B Brown Doff ( Alm. MF 75303 R ) P3</v>
      </c>
      <c r="D378" s="129">
        <f t="shared" si="32"/>
        <v>558</v>
      </c>
      <c r="E378" s="62" t="s">
        <v>1787</v>
      </c>
      <c r="G378" s="216">
        <v>0</v>
      </c>
      <c r="H378" s="216">
        <v>1</v>
      </c>
      <c r="I378" s="372">
        <v>24</v>
      </c>
      <c r="AF378" t="str">
        <f>hand10</f>
        <v>MH-09 B Brown Doff ( Alm. MF 75303 R ) P3</v>
      </c>
      <c r="AG378" s="1">
        <v>1</v>
      </c>
    </row>
    <row r="379" spans="1:33" outlineLevel="1">
      <c r="A379" s="476" t="s">
        <v>2965</v>
      </c>
      <c r="B379" s="230" t="s">
        <v>1768</v>
      </c>
      <c r="C379" s="234" t="str">
        <f>mplt1</f>
        <v>M-PLT-01 Brown Doff ( Alm. 75256 ) P3</v>
      </c>
      <c r="D379" s="129">
        <f t="shared" si="32"/>
        <v>559</v>
      </c>
      <c r="E379" s="62" t="s">
        <v>1787</v>
      </c>
      <c r="G379" s="216">
        <v>0</v>
      </c>
      <c r="H379" s="216">
        <v>1</v>
      </c>
      <c r="I379" s="372">
        <v>9</v>
      </c>
      <c r="AF379" t="str">
        <f>mplt1</f>
        <v>M-PLT-01 Brown Doff ( Alm. 75256 ) P3</v>
      </c>
      <c r="AG379" s="1">
        <v>1</v>
      </c>
    </row>
    <row r="380" spans="1:33" outlineLevel="1">
      <c r="A380" s="476" t="s">
        <v>2965</v>
      </c>
      <c r="B380" s="230" t="s">
        <v>1768</v>
      </c>
      <c r="C380" s="234" t="str">
        <f>mplt2</f>
        <v>M-PLT-02 Brown Doff ( Alm. 85830 ) P3</v>
      </c>
      <c r="D380" s="129">
        <f t="shared" si="32"/>
        <v>560</v>
      </c>
      <c r="E380" s="62" t="s">
        <v>1787</v>
      </c>
      <c r="G380" s="216">
        <v>0</v>
      </c>
      <c r="H380" s="216">
        <v>1</v>
      </c>
      <c r="I380" s="372">
        <v>9</v>
      </c>
      <c r="AF380" t="str">
        <f>mplt2</f>
        <v>M-PLT-02 Brown Doff ( Alm. 85830 ) P3</v>
      </c>
      <c r="AG380" s="1">
        <v>1</v>
      </c>
    </row>
    <row r="381" spans="1:33" outlineLevel="1">
      <c r="A381" s="476" t="s">
        <v>2965</v>
      </c>
      <c r="B381" s="230" t="s">
        <v>1768</v>
      </c>
      <c r="C381" s="234"/>
      <c r="D381" s="129">
        <f t="shared" si="32"/>
        <v>561</v>
      </c>
      <c r="G381" s="216">
        <v>0</v>
      </c>
    </row>
    <row r="382" spans="1:33" outlineLevel="1">
      <c r="A382" s="476" t="s">
        <v>2965</v>
      </c>
      <c r="B382" s="230" t="s">
        <v>1768</v>
      </c>
      <c r="C382" s="234"/>
      <c r="D382" s="129">
        <f t="shared" si="32"/>
        <v>562</v>
      </c>
      <c r="G382" s="216">
        <v>0</v>
      </c>
    </row>
    <row r="383" spans="1:33" outlineLevel="1">
      <c r="A383" s="215" t="s">
        <v>2964</v>
      </c>
      <c r="B383" s="230" t="s">
        <v>1768</v>
      </c>
      <c r="C383" s="234" t="s">
        <v>1857</v>
      </c>
      <c r="D383" s="129">
        <f t="shared" si="32"/>
        <v>563</v>
      </c>
      <c r="E383" s="62" t="s">
        <v>1787</v>
      </c>
      <c r="G383" s="216">
        <v>0</v>
      </c>
    </row>
    <row r="384" spans="1:33" outlineLevel="1">
      <c r="B384" s="230" t="s">
        <v>1768</v>
      </c>
      <c r="C384" s="36"/>
      <c r="D384" s="129">
        <f t="shared" si="32"/>
        <v>564</v>
      </c>
      <c r="G384" s="216">
        <v>0</v>
      </c>
    </row>
    <row r="385" spans="2:10">
      <c r="B385" s="34" t="s">
        <v>1858</v>
      </c>
      <c r="C385" s="165" t="s">
        <v>1859</v>
      </c>
    </row>
    <row r="386" spans="2:10" outlineLevel="1">
      <c r="B386" s="230" t="s">
        <v>1859</v>
      </c>
      <c r="C386" s="36" t="str">
        <f>Spek!$D$17</f>
        <v>Ply</v>
      </c>
      <c r="D386" s="129">
        <v>1</v>
      </c>
      <c r="F386" s="235" t="s">
        <v>1860</v>
      </c>
      <c r="G386" s="235"/>
      <c r="H386" s="235"/>
      <c r="I386" s="374"/>
      <c r="J386" s="236"/>
    </row>
    <row r="387" spans="2:10" outlineLevel="1">
      <c r="B387" s="230" t="s">
        <v>1859</v>
      </c>
      <c r="C387" s="36" t="str">
        <f>Spek!$D$18</f>
        <v>Ply+mdf hijau 1mk</v>
      </c>
      <c r="D387" s="129">
        <v>2</v>
      </c>
      <c r="F387" s="235" t="s">
        <v>1861</v>
      </c>
      <c r="G387" s="235"/>
      <c r="H387" s="235"/>
      <c r="I387" s="374"/>
      <c r="J387" s="236"/>
    </row>
    <row r="388" spans="2:10" outlineLevel="1">
      <c r="B388" s="230" t="s">
        <v>1859</v>
      </c>
      <c r="C388" s="36" t="str">
        <f>Spek!$D$19</f>
        <v>Ply+mdf hijau 2mk</v>
      </c>
      <c r="D388" s="129">
        <v>3</v>
      </c>
    </row>
    <row r="389" spans="2:10" outlineLevel="1">
      <c r="B389" s="230" t="s">
        <v>1859</v>
      </c>
      <c r="C389" s="36" t="str">
        <f>Spek!$D$20</f>
        <v>Mdf hijau</v>
      </c>
      <c r="D389" s="129">
        <v>4</v>
      </c>
    </row>
    <row r="390" spans="2:10" outlineLevel="1">
      <c r="B390" s="230" t="s">
        <v>1859</v>
      </c>
      <c r="C390" s="432" t="str">
        <f>Spek!$D$21</f>
        <v>Ply</v>
      </c>
      <c r="D390" s="485">
        <v>5</v>
      </c>
    </row>
    <row r="391" spans="2:10" outlineLevel="1">
      <c r="B391" s="433" t="s">
        <v>1859</v>
      </c>
      <c r="C391" s="36" t="str">
        <f>Spek!$D$22</f>
        <v>UPVC</v>
      </c>
      <c r="D391" s="129">
        <v>6</v>
      </c>
    </row>
    <row r="392" spans="2:10" outlineLevel="1">
      <c r="B392" s="433" t="s">
        <v>1859</v>
      </c>
      <c r="C392" s="36" t="str">
        <f>Spek!$D$23</f>
        <v>Ply Bending</v>
      </c>
      <c r="D392" s="129">
        <v>7</v>
      </c>
    </row>
    <row r="393" spans="2:10" outlineLevel="1">
      <c r="B393" s="433" t="s">
        <v>1859</v>
      </c>
      <c r="C393" s="36" t="str">
        <f>Spek!$D$24</f>
        <v>Blockboard</v>
      </c>
      <c r="D393" s="129">
        <v>8</v>
      </c>
    </row>
    <row r="394" spans="2:10" outlineLevel="1">
      <c r="B394" s="230"/>
    </row>
    <row r="395" spans="2:10">
      <c r="B395" s="34" t="s">
        <v>1862</v>
      </c>
      <c r="C395" s="165" t="s">
        <v>1863</v>
      </c>
    </row>
    <row r="396" spans="2:10" outlineLevel="1">
      <c r="B396" s="230" t="s">
        <v>1863</v>
      </c>
      <c r="C396" s="140">
        <v>18</v>
      </c>
      <c r="D396" s="129">
        <v>1</v>
      </c>
    </row>
    <row r="397" spans="2:10" outlineLevel="1">
      <c r="B397" s="230" t="s">
        <v>1863</v>
      </c>
      <c r="C397" s="140">
        <v>15</v>
      </c>
      <c r="D397" s="129">
        <v>2</v>
      </c>
    </row>
    <row r="398" spans="2:10" outlineLevel="1">
      <c r="B398" s="230" t="s">
        <v>1863</v>
      </c>
      <c r="C398" s="140">
        <v>12</v>
      </c>
      <c r="D398" s="129">
        <v>3</v>
      </c>
    </row>
    <row r="399" spans="2:10" outlineLevel="1">
      <c r="B399" s="230" t="s">
        <v>1863</v>
      </c>
      <c r="C399" s="140">
        <v>6</v>
      </c>
      <c r="D399" s="129">
        <v>4</v>
      </c>
    </row>
    <row r="400" spans="2:10" outlineLevel="1">
      <c r="B400" s="230" t="s">
        <v>1863</v>
      </c>
      <c r="C400" s="140">
        <v>9</v>
      </c>
      <c r="D400" s="129">
        <v>5</v>
      </c>
    </row>
    <row r="401" spans="1:10" outlineLevel="1">
      <c r="B401" s="230" t="s">
        <v>1863</v>
      </c>
      <c r="C401" s="140" t="s">
        <v>1409</v>
      </c>
      <c r="D401" s="129">
        <v>6</v>
      </c>
    </row>
    <row r="402" spans="1:10" outlineLevel="1">
      <c r="B402" s="230" t="s">
        <v>1863</v>
      </c>
      <c r="C402" s="140"/>
      <c r="D402" s="129">
        <v>7</v>
      </c>
    </row>
    <row r="403" spans="1:10">
      <c r="B403" s="34" t="s">
        <v>1864</v>
      </c>
      <c r="C403" s="165" t="s">
        <v>1865</v>
      </c>
      <c r="E403" s="1"/>
      <c r="F403" s="1"/>
      <c r="G403" s="1"/>
      <c r="H403" s="1"/>
      <c r="I403" s="34"/>
      <c r="J403" s="1"/>
    </row>
    <row r="404" spans="1:10" outlineLevel="1">
      <c r="A404" s="215">
        <v>1</v>
      </c>
      <c r="B404" s="230" t="s">
        <v>1865</v>
      </c>
      <c r="C404" s="237" t="str">
        <f>Spek!$D$48</f>
        <v>WY_5216_D(V)</v>
      </c>
      <c r="D404" s="238">
        <v>1</v>
      </c>
      <c r="E404" s="62">
        <f>Spek!E48</f>
        <v>1</v>
      </c>
      <c r="F404" s="235" t="s">
        <v>1866</v>
      </c>
      <c r="G404" s="235"/>
      <c r="H404" s="235"/>
      <c r="I404" s="374"/>
      <c r="J404" s="236"/>
    </row>
    <row r="405" spans="1:10" outlineLevel="1">
      <c r="A405" s="398">
        <v>11</v>
      </c>
      <c r="B405" s="230" t="s">
        <v>1865</v>
      </c>
      <c r="C405" s="237" t="str">
        <f>Spek!$D$42</f>
        <v>HB_41130</v>
      </c>
      <c r="D405" s="238">
        <v>2</v>
      </c>
      <c r="E405" s="62">
        <f>Spek!E42</f>
        <v>0.5</v>
      </c>
      <c r="F405" s="235" t="s">
        <v>1867</v>
      </c>
      <c r="G405" s="235"/>
      <c r="H405" s="235"/>
      <c r="I405" s="374"/>
      <c r="J405" s="236"/>
    </row>
    <row r="406" spans="1:10" outlineLevel="1">
      <c r="A406" s="215">
        <v>0</v>
      </c>
      <c r="B406" s="230" t="s">
        <v>1865</v>
      </c>
      <c r="C406" s="239" t="s">
        <v>1868</v>
      </c>
      <c r="D406" s="238">
        <v>3</v>
      </c>
      <c r="E406" s="62">
        <v>0</v>
      </c>
      <c r="F406" s="216" t="s">
        <v>1869</v>
      </c>
    </row>
    <row r="407" spans="1:10" outlineLevel="1">
      <c r="A407" s="215">
        <v>2</v>
      </c>
      <c r="B407" s="230" t="s">
        <v>1865</v>
      </c>
      <c r="C407" s="237" t="str">
        <f>Spek!$D$50</f>
        <v>(WY_5216_D(V) rangka……+Aica)</v>
      </c>
      <c r="D407" s="238">
        <v>4</v>
      </c>
      <c r="E407" s="62">
        <f>Spek!E50</f>
        <v>1</v>
      </c>
      <c r="F407" s="235" t="s">
        <v>1870</v>
      </c>
      <c r="G407" s="235"/>
      <c r="H407" s="235"/>
      <c r="I407" s="374"/>
      <c r="J407" s="236"/>
    </row>
    <row r="408" spans="1:10" outlineLevel="1">
      <c r="A408" s="215">
        <v>9</v>
      </c>
      <c r="B408" s="230" t="s">
        <v>1865</v>
      </c>
      <c r="C408" s="239" t="str">
        <f>Spek!$D$40</f>
        <v>[Aica]</v>
      </c>
      <c r="D408" s="238">
        <v>5</v>
      </c>
      <c r="E408" s="62">
        <f>Spek!$E$40</f>
        <v>0.5</v>
      </c>
      <c r="F408" s="235" t="s">
        <v>3052</v>
      </c>
      <c r="G408" s="235"/>
    </row>
    <row r="409" spans="1:10" outlineLevel="1">
      <c r="A409" s="215">
        <v>3</v>
      </c>
      <c r="B409" s="230" t="s">
        <v>1865</v>
      </c>
      <c r="C409" s="237" t="str">
        <f>Spek!$D$52</f>
        <v>L-FA_0206_AP</v>
      </c>
      <c r="D409" s="238">
        <v>6</v>
      </c>
      <c r="E409" s="62">
        <f>Spek!E52</f>
        <v>1</v>
      </c>
      <c r="F409" s="235" t="s">
        <v>1871</v>
      </c>
      <c r="G409" s="235"/>
      <c r="H409" s="235"/>
      <c r="I409" s="374"/>
      <c r="J409" s="236"/>
    </row>
    <row r="410" spans="1:10" outlineLevel="1">
      <c r="A410" s="398">
        <v>22</v>
      </c>
      <c r="B410" s="230" t="s">
        <v>1865</v>
      </c>
      <c r="C410" s="237" t="str">
        <f>Spek!$D$44</f>
        <v>Aica</v>
      </c>
      <c r="D410" s="238">
        <v>7</v>
      </c>
      <c r="E410" s="62">
        <f>Spek!E44</f>
        <v>0.5</v>
      </c>
      <c r="F410" s="235" t="s">
        <v>1872</v>
      </c>
      <c r="G410" s="235"/>
      <c r="H410" s="235"/>
      <c r="I410" s="374"/>
      <c r="J410" s="236"/>
    </row>
    <row r="411" spans="1:10" outlineLevel="1">
      <c r="A411" s="215">
        <v>4</v>
      </c>
      <c r="B411" s="230" t="s">
        <v>1865</v>
      </c>
      <c r="C411" s="237" t="str">
        <f>Spek!$D$54</f>
        <v>(L-FA_0206_AP rangka……+Aica)</v>
      </c>
      <c r="D411" s="238">
        <v>8</v>
      </c>
      <c r="E411" s="62">
        <f>Spek!E54</f>
        <v>1</v>
      </c>
      <c r="F411" s="235" t="s">
        <v>1873</v>
      </c>
      <c r="G411" s="235"/>
      <c r="H411" s="235"/>
      <c r="I411" s="374"/>
      <c r="J411" s="236"/>
    </row>
    <row r="412" spans="1:10" ht="15" customHeight="1" outlineLevel="1">
      <c r="A412" s="215">
        <v>5</v>
      </c>
      <c r="B412" s="230" t="s">
        <v>1865</v>
      </c>
      <c r="C412" s="237" t="str">
        <f>Spek!$D$56</f>
        <v>DXO_1338_D</v>
      </c>
      <c r="D412" s="238">
        <v>9</v>
      </c>
      <c r="E412" s="62">
        <f>Spek!E56</f>
        <v>1</v>
      </c>
      <c r="F412" s="235" t="s">
        <v>1874</v>
      </c>
      <c r="G412" s="235"/>
      <c r="H412" s="235"/>
      <c r="I412" s="374"/>
      <c r="J412" s="236"/>
    </row>
    <row r="413" spans="1:10" ht="15" customHeight="1" outlineLevel="1">
      <c r="A413" s="215">
        <v>6</v>
      </c>
      <c r="B413" s="230" t="s">
        <v>1865</v>
      </c>
      <c r="C413" s="237">
        <f>Spek!$D$58</f>
        <v>0</v>
      </c>
      <c r="D413" s="238">
        <v>10</v>
      </c>
      <c r="E413" s="62" t="e">
        <f>Spek!E58</f>
        <v>#N/A</v>
      </c>
    </row>
    <row r="414" spans="1:10" ht="15" customHeight="1" outlineLevel="1">
      <c r="A414" s="398">
        <v>33</v>
      </c>
      <c r="B414" s="230" t="s">
        <v>1865</v>
      </c>
      <c r="C414" s="237" t="str">
        <f>Spek!$D$46</f>
        <v>Aica</v>
      </c>
      <c r="D414" s="238">
        <v>11</v>
      </c>
      <c r="E414" s="62">
        <f>Spek!E46</f>
        <v>0.5</v>
      </c>
    </row>
    <row r="415" spans="1:10" ht="15" customHeight="1" outlineLevel="1">
      <c r="A415" s="215">
        <v>7</v>
      </c>
      <c r="B415" s="230" t="s">
        <v>1865</v>
      </c>
      <c r="C415" s="237" t="str">
        <f>Spek!$D$60</f>
        <v>Duco</v>
      </c>
      <c r="D415" s="238">
        <v>12</v>
      </c>
      <c r="E415" s="62">
        <f>Spek!E60</f>
        <v>0.5</v>
      </c>
    </row>
    <row r="416" spans="1:10" ht="15" customHeight="1" outlineLevel="1"/>
    <row r="417" spans="2:16" ht="15" customHeight="1"/>
    <row r="418" spans="2:16" ht="15" customHeight="1" outlineLevel="1">
      <c r="B418" s="34" t="str">
        <f>CONCATENATE($D$404,$D$404)</f>
        <v>11</v>
      </c>
      <c r="C418" t="str">
        <f>CONCATENATE(lapisan1,"_","2mk")</f>
        <v>WY_5216_D(V)_2mk</v>
      </c>
      <c r="N418" s="1"/>
      <c r="O418" s="1"/>
      <c r="P418" s="1"/>
    </row>
    <row r="419" spans="2:16" ht="15" customHeight="1" outlineLevel="1">
      <c r="B419" s="34" t="str">
        <f>CONCATENATE($D$404,$D$405)</f>
        <v>12</v>
      </c>
      <c r="C419" t="str">
        <f>CONCATENATE(lapisan1,"_","+","_",kabinet1)</f>
        <v>WY_5216_D(V)_+_HB_41130</v>
      </c>
    </row>
    <row r="420" spans="2:16" ht="15" customHeight="1" outlineLevel="1">
      <c r="B420" s="34" t="str">
        <f>CONCATENATE($D$404,$D$406)</f>
        <v>13</v>
      </c>
      <c r="C420" t="str">
        <f>CONCATENATE(lapisan1,"_","1mk","_",polos)</f>
        <v>WY_5216_D(V)_1mk_Polos</v>
      </c>
    </row>
    <row r="421" spans="2:16" ht="15" customHeight="1" outlineLevel="1">
      <c r="B421" s="34" t="str">
        <f>CONCATENATE($D$404,$D$407)</f>
        <v>14</v>
      </c>
      <c r="C421" t="str">
        <f>CONCATENATE(lapisan1,"_","Full 1mk"," ",lapisan2)</f>
        <v>WY_5216_D(V)_Full 1mk (WY_5216_D(V) rangka……+Aica)</v>
      </c>
    </row>
    <row r="422" spans="2:16" ht="15" customHeight="1" outlineLevel="1">
      <c r="B422" s="34" t="str">
        <f>CONCATENATE($D$404,$D$408)</f>
        <v>15</v>
      </c>
      <c r="C422" t="str">
        <f>CONCATENATE(lapisan1,"+",lapisan0)</f>
        <v>WY_5216_D(V)+[Aica]</v>
      </c>
    </row>
    <row r="423" spans="2:16" ht="15" customHeight="1" outlineLevel="1">
      <c r="B423" s="34" t="str">
        <f>CONCATENATE($D$404,$D$409)</f>
        <v>16</v>
      </c>
      <c r="C423" t="str">
        <f>CONCATENATE(lapisan1,"+",lapisan3)</f>
        <v>WY_5216_D(V)+L-FA_0206_AP</v>
      </c>
    </row>
    <row r="424" spans="2:16" ht="15" customHeight="1" outlineLevel="1">
      <c r="B424" s="34" t="str">
        <f>CONCATENATE($D$404,$D$410)</f>
        <v>17</v>
      </c>
      <c r="C424" t="str">
        <f>CONCATENATE(lapisan1,"+",kabinet2)</f>
        <v>WY_5216_D(V)+Aica</v>
      </c>
    </row>
    <row r="425" spans="2:16" ht="15" customHeight="1" outlineLevel="1">
      <c r="B425" s="34" t="str">
        <f>CONCATENATE($D$405,$D$405)</f>
        <v>22</v>
      </c>
      <c r="C425" t="str">
        <f>CONCATENATE(kabinet1,"_","2mk")</f>
        <v>HB_41130_2mk</v>
      </c>
    </row>
    <row r="426" spans="2:16" ht="15" customHeight="1" outlineLevel="1">
      <c r="B426" s="34" t="str">
        <f>CONCATENATE($D$405,$D$406)</f>
        <v>23</v>
      </c>
      <c r="C426" t="str">
        <f>CONCATENATE(kabinet1,"_","1mk","_",polos)</f>
        <v>HB_41130_1mk_Polos</v>
      </c>
    </row>
    <row r="427" spans="2:16" ht="15" customHeight="1" outlineLevel="1">
      <c r="B427" s="34" t="str">
        <f>CONCATENATE($D$405,$D$407)</f>
        <v>24</v>
      </c>
      <c r="C427" t="str">
        <f>CONCATENATE(kabinet1,"_","Full 1mk","_",lapisan2)</f>
        <v>HB_41130_Full 1mk_(WY_5216_D(V) rangka……+Aica)</v>
      </c>
    </row>
    <row r="428" spans="2:16" ht="15" customHeight="1" outlineLevel="1">
      <c r="B428" s="34" t="str">
        <f>CONCATENATE($D$405,$D$408)</f>
        <v>25</v>
      </c>
      <c r="C428" t="str">
        <f>CONCATENATE(kabinet1,"+",lapisan0)</f>
        <v>HB_41130+[Aica]</v>
      </c>
    </row>
    <row r="429" spans="2:16" ht="15" customHeight="1" outlineLevel="1">
      <c r="B429" s="34" t="str">
        <f>CONCATENATE($D$405,$D$410)</f>
        <v>27</v>
      </c>
      <c r="C429" t="str">
        <f>CONCATENATE(kabinet1,"+",kabinet2)</f>
        <v>HB_41130+Aica</v>
      </c>
    </row>
    <row r="430" spans="2:16" ht="15" customHeight="1" outlineLevel="1">
      <c r="B430" s="34" t="str">
        <f>CONCATENATE($D$406,$D$404)</f>
        <v>31</v>
      </c>
      <c r="C430" t="str">
        <f>CONCATENATE(lapisan1,"_","1mk","_",polos)</f>
        <v>WY_5216_D(V)_1mk_Polos</v>
      </c>
    </row>
    <row r="431" spans="2:16" ht="15" customHeight="1" outlineLevel="1">
      <c r="B431" s="34" t="str">
        <f>CONCATENATE($D$406,$D$405)</f>
        <v>32</v>
      </c>
      <c r="C431" t="str">
        <f>CONCATENATE(kabinet1,"_","1mk","_",polos)</f>
        <v>HB_41130_1mk_Polos</v>
      </c>
    </row>
    <row r="432" spans="2:16" ht="15" customHeight="1" outlineLevel="1">
      <c r="B432" s="34" t="str">
        <f>CONCATENATE($D$406,$D$406)</f>
        <v>33</v>
      </c>
      <c r="C432" t="s">
        <v>1868</v>
      </c>
    </row>
    <row r="433" spans="2:3" ht="15" customHeight="1" outlineLevel="1">
      <c r="B433" s="34" t="str">
        <f>CONCATENATE($D$406,$D$407)</f>
        <v>34</v>
      </c>
      <c r="C433" t="str">
        <f>CONCATENATE(lapisan2,"_","1mk","_",polos)</f>
        <v>(WY_5216_D(V) rangka……+Aica)_1mk_Polos</v>
      </c>
    </row>
    <row r="434" spans="2:3" ht="15" customHeight="1" outlineLevel="1">
      <c r="B434" s="34" t="str">
        <f>CONCATENATE($D$406,$D$408)</f>
        <v>35</v>
      </c>
      <c r="C434" t="str">
        <f>CONCATENATE(lapisan0,"_","1mk")</f>
        <v>[Aica]_1mk</v>
      </c>
    </row>
    <row r="435" spans="2:3" ht="15" customHeight="1" outlineLevel="1">
      <c r="B435" s="34" t="str">
        <f>CONCATENATE($D$406,$D$409)</f>
        <v>36</v>
      </c>
      <c r="C435" t="str">
        <f>CONCATENATE(lapisan3,"_","1mk","_",polos)</f>
        <v>L-FA_0206_AP_1mk_Polos</v>
      </c>
    </row>
    <row r="436" spans="2:3" ht="15" customHeight="1" outlineLevel="1">
      <c r="B436" s="34" t="str">
        <f>CONCATENATE($D$406,$D$410)</f>
        <v>37</v>
      </c>
      <c r="C436" t="str">
        <f>CONCATENATE(kabinet2,"_","1mk","_",polos)</f>
        <v>Aica_1mk_Polos</v>
      </c>
    </row>
    <row r="437" spans="2:3" ht="15" customHeight="1" outlineLevel="1">
      <c r="B437" s="34" t="str">
        <f>CONCATENATE($D$406,$D$414)</f>
        <v>311</v>
      </c>
      <c r="C437" t="str">
        <f>CONCATENATE(kabinet3,"_","1mk","_",polos)</f>
        <v>Aica_1mk_Polos</v>
      </c>
    </row>
    <row r="438" spans="2:3" ht="15" customHeight="1" outlineLevel="1">
      <c r="B438" s="34" t="str">
        <f>CONCATENATE($D$406,$D$415)</f>
        <v>312</v>
      </c>
      <c r="C438" t="str">
        <f>CONCATENATE(lapisan7,"_","1mk","_",polos)</f>
        <v>Duco_1mk_Polos</v>
      </c>
    </row>
    <row r="439" spans="2:3" ht="15" customHeight="1" outlineLevel="1">
      <c r="B439" s="34" t="str">
        <f>CONCATENATE($D$410,$D$406)</f>
        <v>73</v>
      </c>
      <c r="C439" t="str">
        <f>CONCATENATE(kabinet2,"_","1mk","_",polos)</f>
        <v>Aica_1mk_Polos</v>
      </c>
    </row>
    <row r="440" spans="2:3" ht="15" customHeight="1" outlineLevel="1">
      <c r="B440" s="34" t="str">
        <f>CONCATENATE($D$410,$D$407)</f>
        <v>74</v>
      </c>
      <c r="C440" t="str">
        <f>CONCATENATE(lapisan2,"_","1mk Full","_",kabinet2)</f>
        <v>(WY_5216_D(V) rangka……+Aica)_1mk Full_Aica</v>
      </c>
    </row>
    <row r="441" spans="2:3" ht="15" customHeight="1" outlineLevel="1">
      <c r="B441" s="34" t="str">
        <f>CONCATENATE($D$407,$D$410)</f>
        <v>47</v>
      </c>
      <c r="C441" t="str">
        <f>CONCATENATE(lapisan2,"_","1mk Full","_",kabinet2)</f>
        <v>(WY_5216_D(V) rangka……+Aica)_1mk Full_Aica</v>
      </c>
    </row>
    <row r="442" spans="2:3" ht="15" customHeight="1" outlineLevel="1">
      <c r="B442" s="34" t="str">
        <f>CONCATENATE($D$407,$D$404)</f>
        <v>41</v>
      </c>
      <c r="C442" t="str">
        <f>CONCATENATE(lapisan2," ","1mk Full"," ",lapisan1)</f>
        <v>(WY_5216_D(V) rangka……+Aica) 1mk Full WY_5216_D(V)</v>
      </c>
    </row>
    <row r="443" spans="2:3" ht="15" customHeight="1" outlineLevel="1">
      <c r="B443" s="34" t="str">
        <f>CONCATENATE($D$407,$D$405)</f>
        <v>42</v>
      </c>
      <c r="C443" t="str">
        <f>CONCATENATE(lapisan2,"_","1mk Full","_",kabinet1)</f>
        <v>(WY_5216_D(V) rangka……+Aica)_1mk Full_HB_41130</v>
      </c>
    </row>
    <row r="444" spans="2:3" ht="15" customHeight="1" outlineLevel="1">
      <c r="B444" s="34" t="str">
        <f>CONCATENATE($D$407,$D$407)</f>
        <v>44</v>
      </c>
      <c r="C444" t="str">
        <f>CONCATENATE(lapisan2,"_","2mk")</f>
        <v>(WY_5216_D(V) rangka……+Aica)_2mk</v>
      </c>
    </row>
    <row r="445" spans="2:3" ht="15" customHeight="1" outlineLevel="1">
      <c r="B445" s="34" t="str">
        <f>CONCATENATE($D$408,$D$404)</f>
        <v>51</v>
      </c>
      <c r="C445" t="str">
        <f>CONCATENATE(lapisan1,"+",lapisan0)</f>
        <v>WY_5216_D(V)+[Aica]</v>
      </c>
    </row>
    <row r="446" spans="2:3" ht="15" customHeight="1" outlineLevel="1">
      <c r="B446" s="34" t="str">
        <f>CONCATENATE($D$408,$D$405)</f>
        <v>52</v>
      </c>
      <c r="C446" t="str">
        <f>CONCATENATE(kabinet1,"+",lapisan0)</f>
        <v>HB_41130+[Aica]</v>
      </c>
    </row>
    <row r="447" spans="2:3" ht="15" customHeight="1" outlineLevel="1">
      <c r="B447" s="34" t="str">
        <f>CONCATENATE($D$408,$D$406)</f>
        <v>53</v>
      </c>
      <c r="C447" t="str">
        <f>CONCATENATE(lapisan0,"_","1mk")</f>
        <v>[Aica]_1mk</v>
      </c>
    </row>
    <row r="448" spans="2:3" ht="15" customHeight="1" outlineLevel="1">
      <c r="B448" s="34" t="str">
        <f>CONCATENATE($D$408,$D$408)</f>
        <v>55</v>
      </c>
      <c r="C448" t="str">
        <f>CONCATENATE(lapisan0,"_","2mk")</f>
        <v>[Aica]_2mk</v>
      </c>
    </row>
    <row r="449" spans="2:3" ht="15" customHeight="1" outlineLevel="1">
      <c r="B449" s="34" t="str">
        <f>CONCATENATE($D$408,$D$409)</f>
        <v>56</v>
      </c>
      <c r="C449" t="str">
        <f>CONCATENATE(lapisan3," ","+"," ",lapisan0)</f>
        <v>L-FA_0206_AP + [Aica]</v>
      </c>
    </row>
    <row r="450" spans="2:3" ht="15" customHeight="1" outlineLevel="1">
      <c r="B450" s="34" t="str">
        <f>CONCATENATE($D$408,$D$410)</f>
        <v>57</v>
      </c>
      <c r="C450" t="str">
        <f>CONCATENATE(kabinet2,"+",lapisan0)</f>
        <v>Aica+[Aica]</v>
      </c>
    </row>
    <row r="451" spans="2:3" ht="15" customHeight="1" outlineLevel="1">
      <c r="B451" s="34" t="str">
        <f>CONCATENATE($D$409,$D$404)</f>
        <v>61</v>
      </c>
      <c r="C451" t="str">
        <f>CONCATENATE(lapisan3," ","+"," ",lapisan1)</f>
        <v>L-FA_0206_AP + WY_5216_D(V)</v>
      </c>
    </row>
    <row r="452" spans="2:3" ht="15" customHeight="1" outlineLevel="1">
      <c r="B452" s="34" t="str">
        <f>CONCATENATE($D$409,$D$407)</f>
        <v>64</v>
      </c>
      <c r="C452" t="str">
        <f>CONCATENATE(lapisan3," ","+"," ",lapisan2)</f>
        <v>L-FA_0206_AP + (WY_5216_D(V) rangka……+Aica)</v>
      </c>
    </row>
    <row r="453" spans="2:3" ht="15" customHeight="1" outlineLevel="1">
      <c r="B453" s="34" t="str">
        <f>CONCATENATE($D$409,$D$408)</f>
        <v>65</v>
      </c>
      <c r="C453" t="str">
        <f>CONCATENATE(lapisan3," ","+"," ",lapisan0)</f>
        <v>L-FA_0206_AP + [Aica]</v>
      </c>
    </row>
    <row r="454" spans="2:3" ht="15" customHeight="1" outlineLevel="1">
      <c r="B454" s="34" t="str">
        <f>CONCATENATE($D$409,$D$410)</f>
        <v>67</v>
      </c>
      <c r="C454" t="str">
        <f>CONCATENATE(lapisan3," ","+"," ",kabinet2)</f>
        <v>L-FA_0206_AP + Aica</v>
      </c>
    </row>
    <row r="455" spans="2:3" ht="15" customHeight="1" outlineLevel="1">
      <c r="B455" s="34" t="str">
        <f>CONCATENATE($D$410,$D$409)</f>
        <v>76</v>
      </c>
      <c r="C455" t="str">
        <f>CONCATENATE(lapisan3," ","+"," ",kabinet2)</f>
        <v>L-FA_0206_AP + Aica</v>
      </c>
    </row>
    <row r="456" spans="2:3" ht="15" customHeight="1" outlineLevel="1">
      <c r="B456" s="34" t="str">
        <f>CONCATENATE($D$410,$D$404)</f>
        <v>71</v>
      </c>
      <c r="C456" t="str">
        <f>CONCATENATE(lapisan1," ","+"," ",kabinet2)</f>
        <v>WY_5216_D(V) + Aica</v>
      </c>
    </row>
    <row r="457" spans="2:3" ht="15" customHeight="1" outlineLevel="1">
      <c r="B457" s="34" t="str">
        <f>CONCATENATE($D$410,$D$405)</f>
        <v>72</v>
      </c>
      <c r="C457" t="str">
        <f>CONCATENATE(kabinet1,"+",kabinet2)</f>
        <v>HB_41130+Aica</v>
      </c>
    </row>
    <row r="458" spans="2:3" ht="15" customHeight="1" outlineLevel="1">
      <c r="B458" s="34" t="str">
        <f>CONCATENATE($D$410,$D$410)</f>
        <v>77</v>
      </c>
      <c r="C458" t="str">
        <f>CONCATENATE(kabinet2,"_","2mk")</f>
        <v>Aica_2mk</v>
      </c>
    </row>
    <row r="459" spans="2:3" ht="15" customHeight="1" outlineLevel="1">
      <c r="B459" s="34" t="str">
        <f>CONCATENATE($D$410,$D$408)</f>
        <v>75</v>
      </c>
      <c r="C459" t="str">
        <f>CONCATENATE(kabinet2,"_","1mk","_",lapisan0)</f>
        <v>Aica_1mk_[Aica]</v>
      </c>
    </row>
    <row r="460" spans="2:3" ht="15" customHeight="1" outlineLevel="1">
      <c r="B460" s="34" t="str">
        <f>CONCATENATE($D$411,$D$404)</f>
        <v>81</v>
      </c>
      <c r="C460" t="str">
        <f>CONCATENATE(lapisan4,"_","1mk Full","_",lapisan1)</f>
        <v>(L-FA_0206_AP rangka……+Aica)_1mk Full_WY_5216_D(V)</v>
      </c>
    </row>
    <row r="461" spans="2:3" ht="15" customHeight="1" outlineLevel="1">
      <c r="B461" s="34" t="str">
        <f>CONCATENATE($D$411,$D$405)</f>
        <v>82</v>
      </c>
      <c r="C461" t="str">
        <f>CONCATENATE(lapisan4,"_","1mk Full","_",kabinet1)</f>
        <v>(L-FA_0206_AP rangka……+Aica)_1mk Full_HB_41130</v>
      </c>
    </row>
    <row r="462" spans="2:3" ht="15" customHeight="1" outlineLevel="1">
      <c r="B462" s="34" t="str">
        <f>CONCATENATE($D$411,$D$410)</f>
        <v>87</v>
      </c>
      <c r="C462" t="str">
        <f>CONCATENATE(lapisan4,"_","1mk Full","_",kabinet2)</f>
        <v>(L-FA_0206_AP rangka……+Aica)_1mk Full_Aica</v>
      </c>
    </row>
    <row r="463" spans="2:3" ht="15" customHeight="1" outlineLevel="1">
      <c r="B463" s="34" t="str">
        <f>CONCATENATE($D$411,$D$408)</f>
        <v>85</v>
      </c>
      <c r="C463" t="str">
        <f>CONCATENATE(lapisan4,"_","1mk Full","_",lapisan0)</f>
        <v>(L-FA_0206_AP rangka……+Aica)_1mk Full_[Aica]</v>
      </c>
    </row>
    <row r="464" spans="2:3" ht="15" customHeight="1" outlineLevel="1">
      <c r="B464" s="34" t="str">
        <f>CONCATENATE($D$412,$D$404)</f>
        <v>91</v>
      </c>
      <c r="C464" t="str">
        <f>CONCATENATE(lapisan5,"+",lapisan1)</f>
        <v>DXO_1338_D+WY_5216_D(V)</v>
      </c>
    </row>
    <row r="465" spans="2:3" ht="15" customHeight="1" outlineLevel="1">
      <c r="B465" s="34" t="str">
        <f>CONCATENATE($D$412,$D$405)</f>
        <v>92</v>
      </c>
      <c r="C465" t="str">
        <f>CONCATENATE(lapisan5,"+",kabinet1)</f>
        <v>DXO_1338_D+HB_41130</v>
      </c>
    </row>
    <row r="466" spans="2:3" ht="15" customHeight="1" outlineLevel="1">
      <c r="B466" s="34" t="str">
        <f>CONCATENATE($D$412,$D$406)</f>
        <v>93</v>
      </c>
      <c r="C466" t="str">
        <f>CONCATENATE(lapisan5,"_","1mk","_",polos)</f>
        <v>DXO_1338_D_1mk_Polos</v>
      </c>
    </row>
    <row r="467" spans="2:3" ht="15" customHeight="1" outlineLevel="1">
      <c r="B467" s="34" t="str">
        <f>CONCATENATE($D$412,$D$410)</f>
        <v>97</v>
      </c>
      <c r="C467" t="str">
        <f>CONCATENATE(lapisan5,"+",kabinet2)</f>
        <v>DXO_1338_D+Aica</v>
      </c>
    </row>
    <row r="468" spans="2:3" ht="15" customHeight="1" outlineLevel="1">
      <c r="B468" s="34" t="str">
        <f>CONCATENATE($D$412,$D$412)</f>
        <v>99</v>
      </c>
      <c r="C468" t="str">
        <f>CONCATENATE(lapisan5,"_","2mk")</f>
        <v>DXO_1338_D_2mk</v>
      </c>
    </row>
    <row r="469" spans="2:3" ht="15" customHeight="1" outlineLevel="1">
      <c r="B469" s="34" t="str">
        <f>CONCATENATE($D$412,$D$408)</f>
        <v>95</v>
      </c>
      <c r="C469" t="str">
        <f>CONCATENATE(lapisan5,"+",lapisan0)</f>
        <v>DXO_1338_D+[Aica]</v>
      </c>
    </row>
    <row r="470" spans="2:3" ht="15" customHeight="1" outlineLevel="1">
      <c r="B470" s="34" t="str">
        <f>CONCATENATE($D$404,$D$411)</f>
        <v>18</v>
      </c>
      <c r="C470" t="str">
        <f>CONCATENATE(lapisan4,"_","1mk Full","_",lapisan1)</f>
        <v>(L-FA_0206_AP rangka……+Aica)_1mk Full_WY_5216_D(V)</v>
      </c>
    </row>
    <row r="471" spans="2:3" ht="15" customHeight="1" outlineLevel="1">
      <c r="B471" s="34" t="str">
        <f>CONCATENATE($D$405,$D$411)</f>
        <v>28</v>
      </c>
      <c r="C471" t="str">
        <f>CONCATENATE(lapisan4,"_","1mk Full","_",kabinet1)</f>
        <v>(L-FA_0206_AP rangka……+Aica)_1mk Full_HB_41130</v>
      </c>
    </row>
    <row r="472" spans="2:3" ht="15" customHeight="1" outlineLevel="1">
      <c r="B472" s="34" t="str">
        <f>CONCATENATE($D$410,$D$411)</f>
        <v>78</v>
      </c>
      <c r="C472" t="str">
        <f>CONCATENATE(lapisan4,"_","1mk","_",kabinet2)</f>
        <v>(L-FA_0206_AP rangka……+Aica)_1mk_Aica</v>
      </c>
    </row>
    <row r="473" spans="2:3" ht="15" customHeight="1" outlineLevel="1">
      <c r="B473" s="34" t="str">
        <f>CONCATENATE($D$408,$D$411)</f>
        <v>58</v>
      </c>
      <c r="C473" t="str">
        <f>CONCATENATE(lapisan4,"_","1mk Full","_",lapisan0)</f>
        <v>(L-FA_0206_AP rangka……+Aica)_1mk Full_[Aica]</v>
      </c>
    </row>
    <row r="474" spans="2:3" ht="15" customHeight="1" outlineLevel="1">
      <c r="B474" s="34" t="str">
        <f>CONCATENATE($D$404,$D$412)</f>
        <v>19</v>
      </c>
      <c r="C474" t="str">
        <f>CONCATENATE(lapisan5,"+",lapisan1)</f>
        <v>DXO_1338_D+WY_5216_D(V)</v>
      </c>
    </row>
    <row r="475" spans="2:3" ht="15" customHeight="1" outlineLevel="1">
      <c r="B475" s="34" t="str">
        <f>CONCATENATE($D$405,$D$412)</f>
        <v>29</v>
      </c>
      <c r="C475" t="str">
        <f>CONCATENATE(lapisan5,"+",kabinet1)</f>
        <v>DXO_1338_D+HB_41130</v>
      </c>
    </row>
    <row r="476" spans="2:3" ht="15" customHeight="1" outlineLevel="1">
      <c r="B476" s="34" t="str">
        <f>CONCATENATE($D$410,$D$412)</f>
        <v>79</v>
      </c>
      <c r="C476" t="str">
        <f>CONCATENATE(lapisan5,"+",kabinet2)</f>
        <v>DXO_1338_D+Aica</v>
      </c>
    </row>
    <row r="477" spans="2:3" ht="15" customHeight="1" outlineLevel="1">
      <c r="B477" s="34" t="str">
        <f>CONCATENATE($D$408,$D$412)</f>
        <v>59</v>
      </c>
      <c r="C477" t="str">
        <f>CONCATENATE(lapisan5,"+",lapisan0)</f>
        <v>DXO_1338_D+[Aica]</v>
      </c>
    </row>
    <row r="478" spans="2:3" ht="15" customHeight="1" outlineLevel="1">
      <c r="B478" s="34" t="str">
        <f>CONCATENATE($D$409,$D$409)</f>
        <v>66</v>
      </c>
      <c r="C478" t="str">
        <f>CONCATENATE(lapisan3,"_","2mk")</f>
        <v>L-FA_0206_AP_2mk</v>
      </c>
    </row>
    <row r="479" spans="2:3" ht="15" customHeight="1" outlineLevel="1">
      <c r="B479" s="34" t="str">
        <f>CONCATENATE($D$409,$D$411)</f>
        <v>68</v>
      </c>
      <c r="C479" t="str">
        <f>CONCATENATE(lapisan3,"_","Full 1mk","_",lapisan4)</f>
        <v>L-FA_0206_AP_Full 1mk_(L-FA_0206_AP rangka……+Aica)</v>
      </c>
    </row>
    <row r="480" spans="2:3" ht="15" customHeight="1" outlineLevel="1">
      <c r="B480" s="34" t="str">
        <f>CONCATENATE($D$409,$D$412)</f>
        <v>69</v>
      </c>
      <c r="C480" t="str">
        <f>CONCATENATE(lapisan3,"_","1mk","_",lapisan5)</f>
        <v>L-FA_0206_AP_1mk_DXO_1338_D</v>
      </c>
    </row>
    <row r="481" spans="2:3" ht="15" customHeight="1" outlineLevel="1">
      <c r="B481" s="34" t="str">
        <f>CONCATENATE($D$409,$D$405)</f>
        <v>62</v>
      </c>
      <c r="C481" t="str">
        <f>CONCATENATE(lapisan3,"+",kabinet1)</f>
        <v>L-FA_0206_AP+HB_41130</v>
      </c>
    </row>
    <row r="482" spans="2:3" ht="15" customHeight="1" outlineLevel="1">
      <c r="B482" s="34" t="str">
        <f>CONCATENATE($D$409,$D$406)</f>
        <v>63</v>
      </c>
      <c r="C482" t="str">
        <f>CONCATENATE(lapisan3,"_","1mk","_",polos)</f>
        <v>L-FA_0206_AP_1mk_Polos</v>
      </c>
    </row>
    <row r="483" spans="2:3" ht="15.75" customHeight="1" outlineLevel="1">
      <c r="B483" s="34" t="str">
        <f>CONCATENATE($D$411,$D$409)</f>
        <v>86</v>
      </c>
      <c r="C483" t="str">
        <f>CONCATENATE(lapisan3,"_","Full 1mk","_",lapisan4)</f>
        <v>L-FA_0206_AP_Full 1mk_(L-FA_0206_AP rangka……+Aica)</v>
      </c>
    </row>
    <row r="484" spans="2:3" ht="15.75" customHeight="1" outlineLevel="1">
      <c r="B484" s="34" t="str">
        <f>CONCATENATE($D$411,$D$411)</f>
        <v>88</v>
      </c>
      <c r="C484" t="str">
        <f>CONCATENATE(lapisan4,"_","2mk")</f>
        <v>(L-FA_0206_AP rangka……+Aica)_2mk</v>
      </c>
    </row>
    <row r="485" spans="2:3" ht="15.75" customHeight="1" outlineLevel="1">
      <c r="B485" s="34" t="str">
        <f>CONCATENATE($D$411,$D$412)</f>
        <v>89</v>
      </c>
      <c r="C485" t="str">
        <f>CONCATENATE(lapisan4,"+",lapisan5)</f>
        <v>(L-FA_0206_AP rangka……+Aica)+DXO_1338_D</v>
      </c>
    </row>
    <row r="486" spans="2:3" ht="15" customHeight="1" outlineLevel="1">
      <c r="B486" s="34" t="str">
        <f>CONCATENATE($D$413,$D$405)</f>
        <v>102</v>
      </c>
      <c r="C486" t="str">
        <f>CONCATENATE(lapisan6,"+",kabinet1)</f>
        <v>0+HB_41130</v>
      </c>
    </row>
    <row r="487" spans="2:3" ht="15" customHeight="1" outlineLevel="1">
      <c r="B487" s="34" t="str">
        <f>CONCATENATE($D$413,$D$406)</f>
        <v>103</v>
      </c>
      <c r="C487" t="str">
        <f>CONCATENATE(lapisan6,"_","1mk","_",polos)</f>
        <v>0_1mk_Polos</v>
      </c>
    </row>
    <row r="488" spans="2:3" ht="15" customHeight="1" outlineLevel="1">
      <c r="B488" s="34" t="str">
        <f>CONCATENATE($D$415,$D$404)</f>
        <v>121</v>
      </c>
      <c r="C488" t="str">
        <f>CONCATENATE(lapisan7,"+",lapisan1)</f>
        <v>Duco+WY_5216_D(V)</v>
      </c>
    </row>
    <row r="489" spans="2:3" ht="15" customHeight="1" outlineLevel="1">
      <c r="B489" s="34" t="str">
        <f>CONCATENATE($D$415,$D$405)</f>
        <v>122</v>
      </c>
      <c r="C489" t="str">
        <f>CONCATENATE(lapisan7,"+",kabinet1)</f>
        <v>Duco+HB_41130</v>
      </c>
    </row>
    <row r="490" spans="2:3" ht="15" customHeight="1" outlineLevel="1">
      <c r="B490" s="34" t="str">
        <f>CONCATENATE($D$415,$D$406)</f>
        <v>123</v>
      </c>
      <c r="C490" t="str">
        <f>CONCATENATE(lapisan7,"_","1mk","_",polos)</f>
        <v>Duco_1mk_Polos</v>
      </c>
    </row>
    <row r="491" spans="2:3" ht="15" customHeight="1" outlineLevel="1">
      <c r="B491" s="34" t="str">
        <f>CONCATENATE($D$413,$D$410)</f>
        <v>107</v>
      </c>
      <c r="C491" t="str">
        <f>CONCATENATE(lapisan6,"_","+","_",kabinet2)</f>
        <v>0_+_Aica</v>
      </c>
    </row>
    <row r="492" spans="2:3" ht="15" customHeight="1" outlineLevel="1">
      <c r="B492" s="34" t="str">
        <f>CONCATENATE($D$415,$D$409)</f>
        <v>126</v>
      </c>
      <c r="C492" t="str">
        <f>CONCATENATE(lapisan7,"+",lapisan3)</f>
        <v>Duco+L-FA_0206_AP</v>
      </c>
    </row>
    <row r="493" spans="2:3" ht="15" customHeight="1" outlineLevel="1">
      <c r="B493" s="34" t="str">
        <f>CONCATENATE($D$415,$D$410)</f>
        <v>127</v>
      </c>
      <c r="C493" t="str">
        <f>CONCATENATE(lapisan7,"+",kabinet2)</f>
        <v>Duco+Aica</v>
      </c>
    </row>
    <row r="494" spans="2:3" ht="15" customHeight="1" outlineLevel="1">
      <c r="B494" s="34" t="str">
        <f>CONCATENATE($D$415,$D$411)</f>
        <v>128</v>
      </c>
      <c r="C494" t="str">
        <f>CONCATENATE(lapisan7,"_","Full 1mk","_",lapisan4)</f>
        <v>Duco_Full 1mk_(L-FA_0206_AP rangka……+Aica)</v>
      </c>
    </row>
    <row r="495" spans="2:3" ht="15" customHeight="1" outlineLevel="1">
      <c r="B495" s="34" t="str">
        <f>CONCATENATE($D$415,$D$412)</f>
        <v>129</v>
      </c>
      <c r="C495" t="str">
        <f>CONCATENATE(lapisan7,"+",lapisan5)</f>
        <v>Duco+DXO_1338_D</v>
      </c>
    </row>
    <row r="496" spans="2:3" ht="15" customHeight="1" outlineLevel="1">
      <c r="B496" s="34" t="str">
        <f>CONCATENATE($D$413,$D$413)</f>
        <v>1010</v>
      </c>
      <c r="C496" t="str">
        <f>CONCATENATE(lapisan6,"_","2mk")</f>
        <v>0_2mk</v>
      </c>
    </row>
    <row r="497" spans="2:4" ht="15" customHeight="1" outlineLevel="1">
      <c r="B497" s="34" t="str">
        <f>CONCATENATE($D$415,$D$415)</f>
        <v>1212</v>
      </c>
      <c r="C497" t="str">
        <f>CONCATENATE(lapisan7,"_","2mk")</f>
        <v>Duco_2mk</v>
      </c>
    </row>
    <row r="498" spans="2:4" ht="15" customHeight="1" outlineLevel="1">
      <c r="B498" s="34" t="str">
        <f>CONCATENATE($D$407,$D$414)</f>
        <v>411</v>
      </c>
      <c r="C498" t="str">
        <f>CONCATENATE(lapisan2," ","1mk Full"," ",kabinet3)</f>
        <v>(WY_5216_D(V) rangka……+Aica) 1mk Full Aica</v>
      </c>
    </row>
    <row r="499" spans="2:4" ht="15" customHeight="1" outlineLevel="1">
      <c r="B499" s="34" t="str">
        <f>CONCATENATE($D$410,$D$414)</f>
        <v>711</v>
      </c>
      <c r="C499" t="str">
        <f>CONCATENATE(kabinet3,"+",kabinet2)</f>
        <v>Aica+Aica</v>
      </c>
    </row>
    <row r="500" spans="2:4" ht="15" customHeight="1" outlineLevel="1">
      <c r="B500" s="34" t="str">
        <f>CONCATENATE($D$414,$D$410)</f>
        <v>117</v>
      </c>
      <c r="C500" t="str">
        <f>CONCATENATE(kabinet3,"+",kabinet2)</f>
        <v>Aica+Aica</v>
      </c>
    </row>
    <row r="501" spans="2:4" ht="15" customHeight="1" outlineLevel="1">
      <c r="B501" s="34" t="str">
        <f>CONCATENATE($D$414,$D$414)</f>
        <v>1111</v>
      </c>
      <c r="C501" t="str">
        <f>CONCATENATE(kabinet3,"_","2mk")</f>
        <v>Aica_2mk</v>
      </c>
    </row>
    <row r="502" spans="2:4" ht="15" customHeight="1" outlineLevel="1">
      <c r="B502" s="34" t="str">
        <f>CONCATENATE($D$414,$D$404)</f>
        <v>111</v>
      </c>
      <c r="C502" t="str">
        <f>CONCATENATE(lapisan1,"+",kabinet3)</f>
        <v>WY_5216_D(V)+Aica</v>
      </c>
    </row>
    <row r="503" spans="2:4" ht="15" customHeight="1" outlineLevel="1"/>
    <row r="504" spans="2:4" ht="15" customHeight="1"/>
    <row r="505" spans="2:4">
      <c r="B505" s="34" t="s">
        <v>1875</v>
      </c>
      <c r="C505" s="165" t="s">
        <v>1876</v>
      </c>
    </row>
    <row r="506" spans="2:4" hidden="1" outlineLevel="1">
      <c r="C506" s="36" t="s">
        <v>1877</v>
      </c>
      <c r="D506" s="129">
        <v>1</v>
      </c>
    </row>
    <row r="507" spans="2:4" hidden="1" outlineLevel="1">
      <c r="C507" s="36" t="s">
        <v>1878</v>
      </c>
      <c r="D507" s="129">
        <v>2</v>
      </c>
    </row>
    <row r="508" spans="2:4" hidden="1" outlineLevel="1">
      <c r="C508" s="36" t="s">
        <v>1879</v>
      </c>
      <c r="D508" s="129">
        <v>3</v>
      </c>
    </row>
    <row r="509" spans="2:4" hidden="1" outlineLevel="1">
      <c r="C509" s="36" t="s">
        <v>1880</v>
      </c>
      <c r="D509" s="129">
        <v>4</v>
      </c>
    </row>
    <row r="510" spans="2:4" hidden="1" outlineLevel="1">
      <c r="C510" s="36" t="s">
        <v>1409</v>
      </c>
      <c r="D510" s="129">
        <v>5</v>
      </c>
    </row>
    <row r="511" spans="2:4" hidden="1" outlineLevel="1">
      <c r="C511" s="36"/>
      <c r="D511" s="129">
        <v>6</v>
      </c>
    </row>
    <row r="512" spans="2:4" collapsed="1">
      <c r="B512" s="34" t="s">
        <v>1881</v>
      </c>
      <c r="C512" s="165" t="s">
        <v>1882</v>
      </c>
    </row>
    <row r="513" spans="1:13" hidden="1" outlineLevel="1">
      <c r="C513" s="36" t="s">
        <v>1883</v>
      </c>
      <c r="D513" s="129">
        <v>1</v>
      </c>
    </row>
    <row r="514" spans="1:13" hidden="1" outlineLevel="1">
      <c r="C514" s="36" t="s">
        <v>1884</v>
      </c>
      <c r="D514" s="129">
        <v>2</v>
      </c>
    </row>
    <row r="515" spans="1:13" hidden="1" outlineLevel="1">
      <c r="C515" s="36" t="s">
        <v>1885</v>
      </c>
      <c r="D515" s="129">
        <v>3</v>
      </c>
    </row>
    <row r="516" spans="1:13" hidden="1" outlineLevel="1">
      <c r="C516" s="36" t="s">
        <v>1886</v>
      </c>
      <c r="D516" s="129">
        <v>4</v>
      </c>
    </row>
    <row r="517" spans="1:13" hidden="1" outlineLevel="1">
      <c r="C517" s="36" t="s">
        <v>1409</v>
      </c>
      <c r="D517" s="129">
        <v>5</v>
      </c>
    </row>
    <row r="518" spans="1:13" hidden="1" outlineLevel="1">
      <c r="C518" s="36"/>
      <c r="D518" s="129">
        <v>6</v>
      </c>
    </row>
    <row r="519" spans="1:13" collapsed="1">
      <c r="A519" s="215" t="s">
        <v>1887</v>
      </c>
      <c r="B519" s="34" t="s">
        <v>1888</v>
      </c>
      <c r="C519" s="165" t="s">
        <v>1889</v>
      </c>
    </row>
    <row r="520" spans="1:13" outlineLevel="1">
      <c r="A520" s="215">
        <v>11</v>
      </c>
      <c r="B520" s="230" t="s">
        <v>1889</v>
      </c>
      <c r="C520" s="240" t="str">
        <f>Spek!$D$43</f>
        <v>Edg_Décor_1723_B</v>
      </c>
      <c r="D520" s="238">
        <v>1</v>
      </c>
      <c r="E520" s="726">
        <f t="shared" ref="E520:E540" si="33">IFERROR(INDEX((tbl_edg),MATCH($C520,Edg,0)),"")</f>
        <v>1</v>
      </c>
      <c r="F520" s="241" t="s">
        <v>1890</v>
      </c>
      <c r="G520" s="241"/>
      <c r="H520" s="241"/>
      <c r="I520" s="375"/>
      <c r="J520" s="242"/>
    </row>
    <row r="521" spans="1:13" outlineLevel="1">
      <c r="A521" s="215">
        <v>9</v>
      </c>
      <c r="B521" s="230" t="s">
        <v>1889</v>
      </c>
      <c r="C521" s="240" t="str">
        <f>Spek!$D$39</f>
        <v>Melanor</v>
      </c>
      <c r="D521" s="238">
        <v>2</v>
      </c>
      <c r="E521" s="726">
        <f t="shared" si="33"/>
        <v>0.5</v>
      </c>
      <c r="F521" s="216" t="s">
        <v>1869</v>
      </c>
    </row>
    <row r="522" spans="1:13" outlineLevel="1">
      <c r="A522" s="215">
        <v>0</v>
      </c>
      <c r="B522" s="230" t="s">
        <v>1889</v>
      </c>
      <c r="C522" s="239" t="s">
        <v>1658</v>
      </c>
      <c r="D522" s="238">
        <v>3</v>
      </c>
      <c r="E522" s="726" t="str">
        <f t="shared" si="33"/>
        <v/>
      </c>
      <c r="F522" s="216" t="s">
        <v>1869</v>
      </c>
      <c r="K522" s="246" t="s">
        <v>1892</v>
      </c>
    </row>
    <row r="523" spans="1:13" outlineLevel="1">
      <c r="A523" s="215">
        <v>1</v>
      </c>
      <c r="B523" s="230" t="s">
        <v>1889</v>
      </c>
      <c r="C523" s="240" t="str">
        <f>Spek!$D$49</f>
        <v>Edg_EAW_5216D1</v>
      </c>
      <c r="D523" s="238">
        <v>4</v>
      </c>
      <c r="E523" s="726" t="str">
        <f t="shared" si="33"/>
        <v/>
      </c>
      <c r="F523" s="241" t="s">
        <v>1893</v>
      </c>
      <c r="G523" s="241"/>
      <c r="H523" s="241"/>
      <c r="I523" s="375"/>
      <c r="J523" s="242"/>
    </row>
    <row r="524" spans="1:13" outlineLevel="1">
      <c r="A524" s="215">
        <v>7</v>
      </c>
      <c r="B524" s="230" t="s">
        <v>1889</v>
      </c>
      <c r="C524" s="243" t="str">
        <f>Spek!D65</f>
        <v>Trim 21 S2/S4 Brown Doff ( Alm. 75181 ) P3</v>
      </c>
      <c r="D524" s="244">
        <v>5</v>
      </c>
      <c r="E524" s="726" t="str">
        <f t="shared" si="33"/>
        <v/>
      </c>
      <c r="F524" s="216" t="s">
        <v>1894</v>
      </c>
      <c r="K524" s="34" t="s">
        <v>1895</v>
      </c>
      <c r="M524" s="71"/>
    </row>
    <row r="525" spans="1:13" outlineLevel="1">
      <c r="A525" s="215">
        <v>8</v>
      </c>
      <c r="B525" s="230" t="s">
        <v>1889</v>
      </c>
      <c r="C525" s="243" t="str">
        <f>Spek!D66</f>
        <v>Trim 22 S2/S4 Brown Doff ( Alm. 75270 ) P3</v>
      </c>
      <c r="D525" s="244">
        <v>6</v>
      </c>
      <c r="E525" s="726" t="str">
        <f t="shared" si="33"/>
        <v/>
      </c>
      <c r="F525" s="216" t="s">
        <v>1896</v>
      </c>
      <c r="K525" s="34" t="s">
        <v>1897</v>
      </c>
    </row>
    <row r="526" spans="1:13" outlineLevel="1">
      <c r="A526" s="215">
        <v>6</v>
      </c>
      <c r="B526" s="230" t="s">
        <v>1889</v>
      </c>
      <c r="C526" s="243" t="str">
        <f>Spek!D67</f>
        <v>ST-36 Brown Doff ( Alm. 2351 ) P3 P3</v>
      </c>
      <c r="D526" s="244">
        <v>7</v>
      </c>
      <c r="E526" s="726" t="str">
        <f t="shared" si="33"/>
        <v/>
      </c>
      <c r="F526" s="216" t="s">
        <v>1898</v>
      </c>
      <c r="K526" s="34" t="s">
        <v>1899</v>
      </c>
      <c r="M526" s="71"/>
    </row>
    <row r="527" spans="1:13" outlineLevel="1">
      <c r="B527" s="230" t="s">
        <v>1889</v>
      </c>
      <c r="C527" s="243" t="str">
        <f>Spek!D68</f>
        <v>M-GRILL 01 COKLAT DOFF</v>
      </c>
      <c r="D527" s="244">
        <v>8</v>
      </c>
      <c r="E527" s="726" t="str">
        <f t="shared" si="33"/>
        <v/>
      </c>
      <c r="K527" s="34" t="s">
        <v>1900</v>
      </c>
    </row>
    <row r="528" spans="1:13" outlineLevel="1">
      <c r="A528" s="215">
        <v>2</v>
      </c>
      <c r="B528" s="230" t="s">
        <v>1889</v>
      </c>
      <c r="C528" s="240" t="str">
        <f>Spek!$D$51</f>
        <v>Edg_EAW_5216_D1(44x1)</v>
      </c>
      <c r="D528" s="238">
        <v>9</v>
      </c>
      <c r="E528" s="726">
        <f t="shared" si="33"/>
        <v>1</v>
      </c>
      <c r="F528" s="241" t="s">
        <v>1901</v>
      </c>
      <c r="G528" s="241"/>
      <c r="H528" s="241"/>
      <c r="I528" s="375"/>
      <c r="J528" s="242"/>
    </row>
    <row r="529" spans="1:10" outlineLevel="1">
      <c r="A529" s="215">
        <v>3</v>
      </c>
      <c r="B529" s="230" t="s">
        <v>1889</v>
      </c>
      <c r="C529" s="239" t="str">
        <f>Spek!D53</f>
        <v>Edg_DSS_00206_SM</v>
      </c>
      <c r="D529" s="238">
        <v>10</v>
      </c>
      <c r="E529" s="726">
        <f t="shared" si="33"/>
        <v>1</v>
      </c>
      <c r="F529" s="241" t="s">
        <v>1902</v>
      </c>
      <c r="G529" s="241"/>
      <c r="H529" s="241"/>
      <c r="I529" s="375"/>
      <c r="J529" s="242"/>
    </row>
    <row r="530" spans="1:10" outlineLevel="1">
      <c r="A530" s="215">
        <v>4</v>
      </c>
      <c r="B530" s="230" t="s">
        <v>1889</v>
      </c>
      <c r="C530" s="239" t="str">
        <f>Spek!D55</f>
        <v>Edg_DSS_00206_SM(45X1)</v>
      </c>
      <c r="D530" s="238">
        <v>11</v>
      </c>
      <c r="E530" s="726">
        <f t="shared" si="33"/>
        <v>0</v>
      </c>
      <c r="F530" s="241" t="s">
        <v>1903</v>
      </c>
      <c r="G530" s="241"/>
      <c r="H530" s="241"/>
      <c r="I530" s="375"/>
      <c r="J530" s="242"/>
    </row>
    <row r="531" spans="1:10" outlineLevel="1">
      <c r="A531" s="215">
        <v>22</v>
      </c>
      <c r="B531" s="230" t="s">
        <v>1889</v>
      </c>
      <c r="C531" s="240" t="str">
        <f>Spek!$D$45</f>
        <v>Edg_Decor_1723_B_(55x1)</v>
      </c>
      <c r="D531" s="238">
        <v>12</v>
      </c>
      <c r="E531" s="726" t="str">
        <f t="shared" si="33"/>
        <v/>
      </c>
      <c r="F531" s="241" t="s">
        <v>1904</v>
      </c>
      <c r="G531" s="241"/>
      <c r="H531" s="241"/>
      <c r="I531" s="375"/>
      <c r="J531" s="242"/>
    </row>
    <row r="532" spans="1:10" outlineLevel="1">
      <c r="A532" s="215">
        <v>5</v>
      </c>
      <c r="B532" s="230" t="s">
        <v>1889</v>
      </c>
      <c r="C532" s="239" t="str">
        <f>Spek!D57</f>
        <v>Edg_EAP_1338_DO</v>
      </c>
      <c r="D532" s="238">
        <v>13</v>
      </c>
      <c r="E532" s="726">
        <f t="shared" si="33"/>
        <v>1</v>
      </c>
      <c r="F532" s="241" t="s">
        <v>1905</v>
      </c>
      <c r="G532" s="241"/>
      <c r="H532" s="241"/>
      <c r="I532" s="375"/>
      <c r="J532" s="242"/>
    </row>
    <row r="533" spans="1:10" outlineLevel="1">
      <c r="A533" s="215">
        <v>33</v>
      </c>
      <c r="B533" s="230" t="s">
        <v>1889</v>
      </c>
      <c r="C533" s="240">
        <f>Spek!D47</f>
        <v>0</v>
      </c>
      <c r="D533" s="238">
        <v>14</v>
      </c>
      <c r="E533" s="726" t="str">
        <f t="shared" si="33"/>
        <v/>
      </c>
    </row>
    <row r="534" spans="1:10" outlineLevel="1">
      <c r="A534" s="215">
        <v>66</v>
      </c>
      <c r="B534" s="230" t="s">
        <v>1889</v>
      </c>
      <c r="C534" s="239" t="str">
        <f>Spek!D59</f>
        <v>Edg_Decor_2023_B</v>
      </c>
      <c r="D534" s="238">
        <v>15</v>
      </c>
      <c r="E534" s="726">
        <f t="shared" si="33"/>
        <v>1</v>
      </c>
    </row>
    <row r="535" spans="1:10" outlineLevel="1">
      <c r="B535" s="230" t="s">
        <v>1889</v>
      </c>
      <c r="C535" s="239"/>
      <c r="D535" s="238"/>
      <c r="E535" s="726" t="str">
        <f t="shared" si="33"/>
        <v/>
      </c>
    </row>
    <row r="536" spans="1:10" outlineLevel="1">
      <c r="B536" s="230" t="s">
        <v>1889</v>
      </c>
      <c r="C536" s="239"/>
      <c r="D536" s="238"/>
      <c r="E536" s="726" t="str">
        <f t="shared" si="33"/>
        <v/>
      </c>
    </row>
    <row r="537" spans="1:10" outlineLevel="1">
      <c r="B537" s="230" t="s">
        <v>1889</v>
      </c>
      <c r="C537" s="239"/>
      <c r="D537" s="238"/>
      <c r="E537" s="726" t="str">
        <f t="shared" si="33"/>
        <v/>
      </c>
    </row>
    <row r="538" spans="1:10" outlineLevel="1">
      <c r="B538" s="230" t="s">
        <v>1889</v>
      </c>
      <c r="C538" s="239"/>
      <c r="D538" s="238"/>
      <c r="E538" s="726" t="str">
        <f t="shared" si="33"/>
        <v/>
      </c>
    </row>
    <row r="539" spans="1:10" outlineLevel="1">
      <c r="B539" s="230" t="s">
        <v>1889</v>
      </c>
      <c r="C539" s="239"/>
      <c r="D539" s="238"/>
      <c r="E539" s="726" t="str">
        <f t="shared" si="33"/>
        <v/>
      </c>
    </row>
    <row r="540" spans="1:10" outlineLevel="1">
      <c r="B540" s="230" t="s">
        <v>1889</v>
      </c>
      <c r="C540" s="239"/>
      <c r="D540" s="238"/>
      <c r="E540" s="726" t="str">
        <f t="shared" si="33"/>
        <v/>
      </c>
    </row>
    <row r="542" spans="1:10" ht="17" thickBot="1"/>
    <row r="543" spans="1:10" outlineLevel="1">
      <c r="B543" s="380" t="str">
        <f>CONCATENATE($D$520,$D$520,$D$520,$D$520)</f>
        <v>1111</v>
      </c>
      <c r="C543" s="245" t="str">
        <f>CONCATENATE(edgingkab1,"_",kll)</f>
        <v>Edg_Décor_1723_B_Keliling</v>
      </c>
    </row>
    <row r="544" spans="1:10" outlineLevel="1">
      <c r="B544" s="381" t="str">
        <f>CONCATENATE($D$520,$D$520,$D$520,$D$521)</f>
        <v>1112</v>
      </c>
      <c r="C544" s="63" t="str">
        <f>CONCATENATE(edgingkab1,"_",_2P,",",_1L," ","+"," ",edging0,"_",_1L)</f>
        <v>Edg_Décor_1723_B_2sisi_pjg,1sisi_lbr + Melanor_1sisi_lbr</v>
      </c>
    </row>
    <row r="545" spans="2:5" outlineLevel="1">
      <c r="B545" s="381" t="str">
        <f>CONCATENATE($D$520,$D$520,$D$520,$D$522)</f>
        <v>1113</v>
      </c>
      <c r="C545" s="63" t="str">
        <f>CONCATENATE(edgingkab1,"_",_2P,",",_1L)</f>
        <v>Edg_Décor_1723_B_2sisi_pjg,1sisi_lbr</v>
      </c>
    </row>
    <row r="546" spans="2:5" outlineLevel="1">
      <c r="B546" s="381" t="str">
        <f>CONCATENATE($D$522,$D$520,$D$520,$D$520)</f>
        <v>3111</v>
      </c>
      <c r="C546" s="63" t="str">
        <f>CONCATENATE(edgingkab1,"_",_1P,",",_2L)</f>
        <v>Edg_Décor_1723_B_1sisi_pjg,2sisi_lbr</v>
      </c>
    </row>
    <row r="547" spans="2:5" outlineLevel="1">
      <c r="B547" s="381" t="str">
        <f>CONCATENATE($D$522,$D$522,$D$520,$D$520)</f>
        <v>3311</v>
      </c>
      <c r="C547" s="63" t="str">
        <f>CONCATENATE(edgingkab1,"_",_2L)</f>
        <v>Edg_Décor_1723_B_2sisi_lbr</v>
      </c>
    </row>
    <row r="548" spans="2:5" outlineLevel="1">
      <c r="B548" s="381" t="str">
        <f>CONCATENATE($D$520,$D$522,$D$520,$D$520)</f>
        <v>1311</v>
      </c>
      <c r="C548" s="63" t="str">
        <f>CONCATENATE(edgingkab1,"_",_1P,",",_2L)</f>
        <v>Edg_Décor_1723_B_1sisi_pjg,2sisi_lbr</v>
      </c>
    </row>
    <row r="549" spans="2:5" outlineLevel="1">
      <c r="B549" s="381" t="str">
        <f>CONCATENATE($D$520,$D$520,$D$521,$D$521)</f>
        <v>1122</v>
      </c>
      <c r="C549" s="63" t="str">
        <f>CONCATENATE(edgingkab1,"_",_2P," ","+"," ",edging0,"_",_2L)</f>
        <v>Edg_Décor_1723_B_2sisi_pjg + Melanor_2sisi_lbr</v>
      </c>
    </row>
    <row r="550" spans="2:5" outlineLevel="1">
      <c r="B550" s="381" t="str">
        <f>CONCATENATE($D$520,$D$520,$D$522,$D$522)</f>
        <v>1133</v>
      </c>
      <c r="C550" s="63" t="str">
        <f>CONCATENATE(edgingkab1,"_",_2P)</f>
        <v>Edg_Décor_1723_B_2sisi_pjg</v>
      </c>
      <c r="E550" s="58"/>
    </row>
    <row r="551" spans="2:5" outlineLevel="1">
      <c r="B551" s="381" t="str">
        <f>CONCATENATE($D$521,$D$521,$D$522,$D$522)</f>
        <v>2233</v>
      </c>
      <c r="C551" s="63" t="str">
        <f>CONCATENATE(edging0,"_",_2P)</f>
        <v>Melanor_2sisi_pjg</v>
      </c>
      <c r="E551" s="58"/>
    </row>
    <row r="552" spans="2:5" outlineLevel="1">
      <c r="B552" s="381" t="str">
        <f>CONCATENATE($D$521,$D$521,$D$521,$D$522)</f>
        <v>2223</v>
      </c>
      <c r="C552" s="63" t="str">
        <f>CONCATENATE(edging1,"_",_2P,",",_1L)</f>
        <v>Edg_EAW_5216D1_2sisi_pjg,1sisi_lbr</v>
      </c>
      <c r="E552" s="58"/>
    </row>
    <row r="553" spans="2:5" outlineLevel="1">
      <c r="B553" s="381" t="str">
        <f>CONCATENATE($D$520,$D$521,$D$521,$D$521)</f>
        <v>1222</v>
      </c>
      <c r="C553" s="63" t="s">
        <v>2352</v>
      </c>
    </row>
    <row r="554" spans="2:5" outlineLevel="1">
      <c r="B554" s="381" t="str">
        <f>CONCATENATE($D$520,$D$521,$D$522,$D$522)</f>
        <v>1233</v>
      </c>
      <c r="C554" s="63" t="s">
        <v>2353</v>
      </c>
    </row>
    <row r="555" spans="2:5" outlineLevel="1">
      <c r="B555" s="381" t="str">
        <f>CONCATENATE($D$520,$D$520,$D$523,$D$523)</f>
        <v>1144</v>
      </c>
      <c r="C555" s="63" t="str">
        <f>CONCATENATE(edgingkab1,"_",_2P," + ",edging1,"_",_2L)</f>
        <v>Edg_Décor_1723_B_2sisi_pjg + Edg_EAW_5216D1_2sisi_lbr</v>
      </c>
    </row>
    <row r="556" spans="2:5" outlineLevel="1">
      <c r="B556" s="381" t="str">
        <f>CONCATENATE($D$520,$D$522,$D$522,$D$522)</f>
        <v>1333</v>
      </c>
      <c r="C556" s="63" t="str">
        <f>CONCATENATE(edgingkab1,"_",_1P)</f>
        <v>Edg_Décor_1723_B_1sisi_pjg</v>
      </c>
    </row>
    <row r="557" spans="2:5" outlineLevel="1">
      <c r="B557" s="381" t="str">
        <f>CONCATENATE($D$522,$D$520,$D$522,$D$522)</f>
        <v>3133</v>
      </c>
      <c r="C557" s="63" t="str">
        <f>CONCATENATE(edgingkab1,"_",_1P)</f>
        <v>Edg_Décor_1723_B_1sisi_pjg</v>
      </c>
    </row>
    <row r="558" spans="2:5" outlineLevel="1">
      <c r="B558" s="381" t="str">
        <f>CONCATENATE($D$520,$D$522,$D$520,$D$522)</f>
        <v>1313</v>
      </c>
      <c r="C558" s="63" t="str">
        <f>CONCATENATE(edgingkab1,"_",_1P,",",_1L)</f>
        <v>Edg_Décor_1723_B_1sisi_pjg,1sisi_lbr</v>
      </c>
    </row>
    <row r="559" spans="2:5" outlineLevel="1">
      <c r="B559" s="381" t="str">
        <f>CONCATENATE($D$521,$D$521,$D$521,$D$521)</f>
        <v>2222</v>
      </c>
      <c r="C559" s="63" t="str">
        <f>CONCATENATE(edging0,"_",kll)</f>
        <v>Melanor_Keliling</v>
      </c>
    </row>
    <row r="560" spans="2:5" outlineLevel="1">
      <c r="B560" s="381" t="str">
        <f>CONCATENATE($D$521,$D$522,$D$521,$D$521)</f>
        <v>2322</v>
      </c>
      <c r="C560" s="63" t="str">
        <f>CONCATENATE(edging0,"_",_1P,",",_2L)</f>
        <v>Melanor_1sisi_pjg,2sisi_lbr</v>
      </c>
    </row>
    <row r="561" spans="2:3" outlineLevel="1">
      <c r="B561" s="381" t="str">
        <f>CONCATENATE($D$521,$D$522,$D$521,$D$522)</f>
        <v>2323</v>
      </c>
      <c r="C561" s="63" t="str">
        <f>CONCATENATE(edging0,"_",_1P,",",_1L)</f>
        <v>Melanor_1sisi_pjg,1sisi_lbr</v>
      </c>
    </row>
    <row r="562" spans="2:3" outlineLevel="1">
      <c r="B562" s="381" t="str">
        <f>CONCATENATE($D$521,$D$522,$D$522,$D$522)</f>
        <v>2333</v>
      </c>
      <c r="C562" s="63" t="str">
        <f>CONCATENATE(edging0,"_",_1P)</f>
        <v>Melanor_1sisi_pjg</v>
      </c>
    </row>
    <row r="563" spans="2:3" outlineLevel="1">
      <c r="B563" s="381" t="str">
        <f>CONCATENATE($D$522,$D$521,$D$522,$D$521)</f>
        <v>3232</v>
      </c>
      <c r="C563" s="63" t="str">
        <f>CONCATENATE(edging0,"_",_1P,",",_1L)</f>
        <v>Melanor_1sisi_pjg,1sisi_lbr</v>
      </c>
    </row>
    <row r="564" spans="2:3" outlineLevel="1">
      <c r="B564" s="381" t="str">
        <f>CONCATENATE($D$522,$D$523,$D$522,$D$523)</f>
        <v>3434</v>
      </c>
      <c r="C564" s="63" t="str">
        <f>CONCATENATE(edging1,"_",_1P,",",_1L)</f>
        <v>Edg_EAW_5216D1_1sisi_pjg,1sisi_lbr</v>
      </c>
    </row>
    <row r="565" spans="2:3" outlineLevel="1">
      <c r="B565" s="381" t="str">
        <f>CONCATENATE($D$525,$D$523,$D$525,$D$523)</f>
        <v>6464</v>
      </c>
      <c r="C565" s="63" t="str">
        <f>CONCATENATE(edging1,"_",_1P,",",_1L)</f>
        <v>Edg_EAW_5216D1_1sisi_pjg,1sisi_lbr</v>
      </c>
    </row>
    <row r="566" spans="2:3" outlineLevel="1">
      <c r="B566" s="381" t="str">
        <f>CONCATENATE($D$522,$D$520,$D$522,$D$520)</f>
        <v>3131</v>
      </c>
      <c r="C566" s="63" t="str">
        <f>CONCATENATE(edgingkab1,"_",_1P,",",_1L)</f>
        <v>Edg_Décor_1723_B_1sisi_pjg,1sisi_lbr</v>
      </c>
    </row>
    <row r="567" spans="2:3" outlineLevel="1">
      <c r="B567" s="381" t="str">
        <f>CONCATENATE($D$522,$D$522,$D$520,$D$522)</f>
        <v>3313</v>
      </c>
      <c r="C567" s="63" t="str">
        <f>CONCATENATE(edgingkab1,"_",_1L)</f>
        <v>Edg_Décor_1723_B_1sisi_lbr</v>
      </c>
    </row>
    <row r="568" spans="2:3" outlineLevel="1">
      <c r="B568" s="381" t="str">
        <f>CONCATENATE($D$522,$D$522,$D$520,$D$522)</f>
        <v>3313</v>
      </c>
      <c r="C568" s="63" t="str">
        <f>CONCATENATE(edgingkab1,"_",_1L)</f>
        <v>Edg_Décor_1723_B_1sisi_lbr</v>
      </c>
    </row>
    <row r="569" spans="2:3" outlineLevel="1">
      <c r="B569" s="381" t="str">
        <f>CONCATENATE($D$522,$D$522,$D$521,$D$521)</f>
        <v>3322</v>
      </c>
      <c r="C569" s="63" t="str">
        <f>CONCATENATE(edging1,"_",_2L)</f>
        <v>Edg_EAW_5216D1_2sisi_lbr</v>
      </c>
    </row>
    <row r="570" spans="2:3" outlineLevel="1">
      <c r="B570" s="381" t="str">
        <f>CONCATENATE($D$522,$D$522,$D$525,$D$522)</f>
        <v>3363</v>
      </c>
      <c r="C570" s="63" t="s">
        <v>1409</v>
      </c>
    </row>
    <row r="571" spans="2:3" outlineLevel="1">
      <c r="B571" s="381" t="str">
        <f>CONCATENATE($D$522,$D$522,$D$525,$D$525)</f>
        <v>3366</v>
      </c>
      <c r="C571" s="63" t="s">
        <v>1409</v>
      </c>
    </row>
    <row r="572" spans="2:3" outlineLevel="1">
      <c r="B572" s="381" t="str">
        <f>CONCATENATE($D$525,$D$522,$D$525,$D$522)</f>
        <v>6363</v>
      </c>
      <c r="C572" s="63" t="s">
        <v>1409</v>
      </c>
    </row>
    <row r="573" spans="2:3" outlineLevel="1">
      <c r="B573" s="381" t="str">
        <f>CONCATENATE($D$525,$D$522,$D$522,$D$522)</f>
        <v>6333</v>
      </c>
      <c r="C573" s="63" t="s">
        <v>1409</v>
      </c>
    </row>
    <row r="574" spans="2:3" outlineLevel="1">
      <c r="B574" s="381" t="str">
        <f>CONCATENATE($D$522,$D$522,$D$522,$D$522)</f>
        <v>3333</v>
      </c>
      <c r="C574" s="63" t="s">
        <v>1409</v>
      </c>
    </row>
    <row r="575" spans="2:3" outlineLevel="1">
      <c r="B575" s="381" t="str">
        <f>CONCATENATE($D$522,$D$522,$D$522,$D$523)</f>
        <v>3334</v>
      </c>
      <c r="C575" s="63" t="str">
        <f>CONCATENATE(edging1,"_",_1L)</f>
        <v>Edg_EAW_5216D1_1sisi_lbr</v>
      </c>
    </row>
    <row r="576" spans="2:3" outlineLevel="1">
      <c r="B576" s="381" t="str">
        <f>CONCATENATE($D$522,$D$522,$D$523,$D$522)</f>
        <v>3343</v>
      </c>
      <c r="C576" s="63" t="str">
        <f>CONCATENATE(edging1,"_",_1L)</f>
        <v>Edg_EAW_5216D1_1sisi_lbr</v>
      </c>
    </row>
    <row r="577" spans="2:5" outlineLevel="1">
      <c r="B577" s="381" t="str">
        <f>CONCATENATE($D$522,$D$522,$D$523,$D$523)</f>
        <v>3344</v>
      </c>
      <c r="C577" s="63" t="str">
        <f>CONCATENATE(edging1,"_",_2L)</f>
        <v>Edg_EAW_5216D1_2sisi_lbr</v>
      </c>
    </row>
    <row r="578" spans="2:5" outlineLevel="1">
      <c r="B578" s="381" t="str">
        <f>CONCATENATE($D$524,$D$522,$D$522,$D$522)</f>
        <v>5333</v>
      </c>
      <c r="C578" s="63" t="s">
        <v>1409</v>
      </c>
    </row>
    <row r="579" spans="2:5" outlineLevel="1">
      <c r="B579" s="381" t="str">
        <f>CONCATENATE($D$525,$D$521,$D$521,$D$521)</f>
        <v>6222</v>
      </c>
      <c r="C579" s="63" t="str">
        <f>CONCATENATE(edging0,"_",_1P,",",_2L)</f>
        <v>Melanor_1sisi_pjg,2sisi_lbr</v>
      </c>
    </row>
    <row r="580" spans="2:5" outlineLevel="1">
      <c r="B580" s="381" t="str">
        <f>CONCATENATE($D$523,$D$521,$D$521,$D$521)</f>
        <v>4222</v>
      </c>
      <c r="C580" s="63" t="str">
        <f>CONCATENATE(edging1,"_",_1P," + ",edging0,"_",_1P,",",_2L)</f>
        <v>Edg_EAW_5216D1_1sisi_pjg + Melanor_1sisi_pjg,2sisi_lbr</v>
      </c>
    </row>
    <row r="581" spans="2:5" outlineLevel="1">
      <c r="B581" s="381" t="str">
        <f>CONCATENATE($D$523,$D$521,$D$522,$D$522)</f>
        <v>4233</v>
      </c>
      <c r="C581" s="63" t="str">
        <f>CONCATENATE(edging1,"_",_1P," + ",edging0,"_",_1P)</f>
        <v>Edg_EAW_5216D1_1sisi_pjg + Melanor_1sisi_pjg</v>
      </c>
    </row>
    <row r="582" spans="2:5" outlineLevel="1">
      <c r="B582" s="381" t="str">
        <f>CONCATENATE($D$526,$D$521,$D$522,$D$522)</f>
        <v>7233</v>
      </c>
      <c r="C582" s="63" t="str">
        <f>CONCATENATE(edging0,"_",_1P)</f>
        <v>Melanor_1sisi_pjg</v>
      </c>
    </row>
    <row r="583" spans="2:5" outlineLevel="1">
      <c r="B583" s="381" t="str">
        <f>CONCATENATE($D$523,$D$522,$D$522,$D$522)</f>
        <v>4333</v>
      </c>
      <c r="C583" s="63" t="str">
        <f>CONCATENATE(edging1,"_",_1P)</f>
        <v>Edg_EAW_5216D1_1sisi_pjg</v>
      </c>
      <c r="E583" s="58"/>
    </row>
    <row r="584" spans="2:5" outlineLevel="1">
      <c r="B584" s="381" t="str">
        <f>CONCATENATE($D$523,$D$523,$D$522,$D$522)</f>
        <v>4433</v>
      </c>
      <c r="C584" s="63" t="str">
        <f>CONCATENATE(edging1,"_",_2P)</f>
        <v>Edg_EAW_5216D1_2sisi_pjg</v>
      </c>
      <c r="E584" s="58"/>
    </row>
    <row r="585" spans="2:5" outlineLevel="1">
      <c r="B585" s="381" t="str">
        <f>CONCATENATE($D$523,$D$523,$D$522,$D$523)</f>
        <v>4434</v>
      </c>
      <c r="C585" s="63" t="str">
        <f>CONCATENATE(edging1,"_",_2P,",",_1L)</f>
        <v>Edg_EAW_5216D1_2sisi_pjg,1sisi_lbr</v>
      </c>
      <c r="E585" s="58"/>
    </row>
    <row r="586" spans="2:5" outlineLevel="1">
      <c r="B586" s="381" t="str">
        <f>CONCATENATE($D$523,$D$522,$D$523,$D$523)</f>
        <v>4344</v>
      </c>
      <c r="C586" s="63" t="str">
        <f>CONCATENATE(edging1,"_",_1P,",",_2L)</f>
        <v>Edg_EAW_5216D1_1sisi_pjg,2sisi_lbr</v>
      </c>
      <c r="E586" s="58"/>
    </row>
    <row r="587" spans="2:5" outlineLevel="1">
      <c r="B587" s="381" t="str">
        <f>CONCATENATE($D$522,$D$523,$D$523,$D$523)</f>
        <v>3444</v>
      </c>
      <c r="C587" s="63" t="str">
        <f>CONCATENATE(edging1,"_",_1P,",",_2L)</f>
        <v>Edg_EAW_5216D1_1sisi_pjg,2sisi_lbr</v>
      </c>
      <c r="E587" s="58"/>
    </row>
    <row r="588" spans="2:5" outlineLevel="1">
      <c r="B588" s="381" t="str">
        <f>CONCATENATE($D$523,$D$522,$D$523,$D$522)</f>
        <v>4343</v>
      </c>
      <c r="C588" s="63" t="str">
        <f>CONCATENATE(edging1,"_",_1P,",",_1L)</f>
        <v>Edg_EAW_5216D1_1sisi_pjg,1sisi_lbr</v>
      </c>
      <c r="E588" s="58"/>
    </row>
    <row r="589" spans="2:5" outlineLevel="1">
      <c r="B589" s="381" t="str">
        <f>CONCATENATE($D$523,$D$523,$D$523,$D$522)</f>
        <v>4443</v>
      </c>
      <c r="C589" s="63" t="str">
        <f>CONCATENATE(edging1,"_",_2P,",",_1L)</f>
        <v>Edg_EAW_5216D1_2sisi_pjg,1sisi_lbr</v>
      </c>
      <c r="E589" s="58"/>
    </row>
    <row r="590" spans="2:5" outlineLevel="1">
      <c r="B590" s="381" t="str">
        <f>CONCATENATE($D$523,$D$523,$D$523,$D$523)</f>
        <v>4444</v>
      </c>
      <c r="C590" s="63" t="str">
        <f>CONCATENATE(C$523,"_",kll)</f>
        <v>Edg_EAW_5216D1_Keliling</v>
      </c>
      <c r="E590" s="58"/>
    </row>
    <row r="591" spans="2:5" outlineLevel="1">
      <c r="B591" s="381" t="str">
        <f>CONCATENATE($D$523,$D$523,$D$524,$D$524)</f>
        <v>4455</v>
      </c>
      <c r="C591" s="63" t="str">
        <f>CONCATENATE(edging1,"_",_2P,"/(S2)")</f>
        <v>Edg_EAW_5216D1_2sisi_pjg/(S2)</v>
      </c>
    </row>
    <row r="592" spans="2:5" outlineLevel="1">
      <c r="B592" s="34" t="str">
        <f>CONCATENATE($D$524,$D$524,$D$524,$D$524)</f>
        <v>5555</v>
      </c>
      <c r="C592" s="63" t="s">
        <v>1409</v>
      </c>
    </row>
    <row r="593" spans="2:5" outlineLevel="1">
      <c r="B593" s="34" t="str">
        <f>CONCATENATE($D$524,$D$524,$D$524,$D$522)</f>
        <v>5553</v>
      </c>
      <c r="C593" s="63" t="s">
        <v>1409</v>
      </c>
    </row>
    <row r="594" spans="2:5" outlineLevel="1">
      <c r="B594" s="34" t="str">
        <f>CONCATENATE($D$522,$D$524,$D$524,$D$524)</f>
        <v>3555</v>
      </c>
      <c r="C594" s="63" t="s">
        <v>1409</v>
      </c>
    </row>
    <row r="595" spans="2:5" outlineLevel="1">
      <c r="B595" s="34" t="str">
        <f>CONCATENATE($D$524,$D$521,$D$522,$D$522)</f>
        <v>5233</v>
      </c>
      <c r="C595" s="63" t="str">
        <f>CONCATENATE(edging0,"_",_1P)</f>
        <v>Melanor_1sisi_pjg</v>
      </c>
    </row>
    <row r="596" spans="2:5" outlineLevel="1">
      <c r="B596" s="34" t="str">
        <f>CONCATENATE($D$524,$D$522,$D$524,$D$522)</f>
        <v>5353</v>
      </c>
      <c r="C596" s="63" t="s">
        <v>1409</v>
      </c>
    </row>
    <row r="597" spans="2:5" outlineLevel="1">
      <c r="B597" s="34" t="str">
        <f>CONCATENATE($D$524,$D$522,$D$524,$D$524)</f>
        <v>5355</v>
      </c>
      <c r="C597" s="63" t="s">
        <v>1409</v>
      </c>
    </row>
    <row r="598" spans="2:5" outlineLevel="1">
      <c r="B598" s="34" t="str">
        <f>CONCATENATE($D$524,$D$524,$D$522,$D$524)</f>
        <v>5535</v>
      </c>
      <c r="C598" s="63" t="s">
        <v>1409</v>
      </c>
    </row>
    <row r="599" spans="2:5" outlineLevel="1">
      <c r="B599" s="34" t="str">
        <f>CONCATENATE($D$524,$D$524,$D$524,$D$522)</f>
        <v>5553</v>
      </c>
      <c r="C599" s="63" t="s">
        <v>1409</v>
      </c>
    </row>
    <row r="600" spans="2:5" outlineLevel="1">
      <c r="B600" s="381" t="str">
        <f>CONCATENATE($D$524,$D$523,$D$522,$D$522)</f>
        <v>5433</v>
      </c>
      <c r="C600" s="63" t="str">
        <f>CONCATENATE(edging1,"_",_1P)</f>
        <v>Edg_EAW_5216D1_1sisi_pjg</v>
      </c>
      <c r="E600" s="58"/>
    </row>
    <row r="601" spans="2:5" outlineLevel="1">
      <c r="B601" s="381" t="str">
        <f>CONCATENATE($D$524,$D$523,$D$523,$D$523)</f>
        <v>5444</v>
      </c>
      <c r="C601" s="63" t="str">
        <f>CONCATENATE(edging1,"_",_1P,",",_2L)</f>
        <v>Edg_EAW_5216D1_1sisi_pjg,2sisi_lbr</v>
      </c>
      <c r="E601" s="58"/>
    </row>
    <row r="602" spans="2:5" outlineLevel="1">
      <c r="B602" s="34" t="str">
        <f>CONCATENATE($D$528,$D$522,$D$522,$D$522)</f>
        <v>9333</v>
      </c>
      <c r="C602" s="63" t="str">
        <f>CONCATENATE(edging2,"_",_1P)</f>
        <v>Edg_EAW_5216_D1(44x1)_1sisi_pjg</v>
      </c>
    </row>
    <row r="603" spans="2:5" outlineLevel="1">
      <c r="B603" s="381" t="str">
        <f>CONCATENATE($D$528,$D$528,$D$522,$D$528)</f>
        <v>9939</v>
      </c>
      <c r="C603" s="63" t="str">
        <f>CONCATENATE(edging2,"_",_2P,",",_1L)</f>
        <v>Edg_EAW_5216_D1(44x1)_2sisi_pjg,1sisi_lbr</v>
      </c>
      <c r="E603" s="58"/>
    </row>
    <row r="604" spans="2:5" outlineLevel="1">
      <c r="B604" s="381" t="str">
        <f>CONCATENATE($D$528,$D$528,$D$528,$D$522)</f>
        <v>9993</v>
      </c>
      <c r="C604" s="63" t="str">
        <f>CONCATENATE(edging2,"_",_2P,",",_1L)</f>
        <v>Edg_EAW_5216_D1(44x1)_2sisi_pjg,1sisi_lbr</v>
      </c>
      <c r="E604" s="58"/>
    </row>
    <row r="605" spans="2:5" outlineLevel="1">
      <c r="B605" s="381" t="str">
        <f>CONCATENATE($D$528,$D$528,$D$522,$D$522)</f>
        <v>9933</v>
      </c>
      <c r="C605" s="63" t="str">
        <f>CONCATENATE(edging2,"_",_2P)</f>
        <v>Edg_EAW_5216_D1(44x1)_2sisi_pjg</v>
      </c>
      <c r="E605" s="58"/>
    </row>
    <row r="606" spans="2:5" outlineLevel="1">
      <c r="B606" s="381" t="str">
        <f>CONCATENATE($D$522,$D$528,$D$528,$D$528)</f>
        <v>3999</v>
      </c>
      <c r="C606" s="63" t="str">
        <f>CONCATENATE(edging2,"_",_1P,",",_2L)</f>
        <v>Edg_EAW_5216_D1(44x1)_1sisi_pjg,2sisi_lbr</v>
      </c>
      <c r="E606" s="58"/>
    </row>
    <row r="607" spans="2:5" outlineLevel="1">
      <c r="B607" s="381" t="str">
        <f>CONCATENATE($D$528,$D$522,$D$528,$D$528)</f>
        <v>9399</v>
      </c>
      <c r="C607" s="63" t="str">
        <f>CONCATENATE(edging2,"_",_1P,",",_2L)</f>
        <v>Edg_EAW_5216_D1(44x1)_1sisi_pjg,2sisi_lbr</v>
      </c>
      <c r="E607" s="58"/>
    </row>
    <row r="608" spans="2:5" outlineLevel="1">
      <c r="B608" s="381" t="str">
        <f>CONCATENATE($D$528,$D$522,$D$528,$D$522)</f>
        <v>9393</v>
      </c>
      <c r="C608" s="63" t="str">
        <f>CONCATENATE(edging2,"_",_1P,",",_1L)</f>
        <v>Edg_EAW_5216_D1(44x1)_1sisi_pjg,1sisi_lbr</v>
      </c>
      <c r="E608" s="58"/>
    </row>
    <row r="609" spans="2:5" outlineLevel="1">
      <c r="B609" s="381" t="str">
        <f>CONCATENATE($D$526,$D$526,$D$528,$D$528)</f>
        <v>7799</v>
      </c>
      <c r="C609" s="63" t="str">
        <f>CONCATENATE(edging2,"_",_2L)</f>
        <v>Edg_EAW_5216_D1(44x1)_2sisi_lbr</v>
      </c>
      <c r="E609" s="58"/>
    </row>
    <row r="610" spans="2:5" outlineLevel="1">
      <c r="B610" s="381" t="str">
        <f>CONCATENATE($D$526,$D$528,$D$528,$D$528)</f>
        <v>7999</v>
      </c>
      <c r="C610" s="63" t="str">
        <f>CONCATENATE(edging2,"_",_1P,",",_2L)</f>
        <v>Edg_EAW_5216_D1(44x1)_1sisi_pjg,2sisi_lbr</v>
      </c>
      <c r="E610" s="58"/>
    </row>
    <row r="611" spans="2:5" outlineLevel="1">
      <c r="B611" s="34" t="str">
        <f>CONCATENATE($D$526,$D$528,$D$522,$D$522)</f>
        <v>7933</v>
      </c>
      <c r="C611" s="63" t="str">
        <f>CONCATENATE(edging2,"_",_1P)</f>
        <v>Edg_EAW_5216_D1(44x1)_1sisi_pjg</v>
      </c>
      <c r="E611" s="58"/>
    </row>
    <row r="612" spans="2:5" outlineLevel="1">
      <c r="B612" s="34" t="str">
        <f>CONCATENATE($D$522,$D$522,$D$522,$D$521)</f>
        <v>3332</v>
      </c>
      <c r="C612" s="63" t="str">
        <f>CONCATENATE(edging0,"_",_1L)</f>
        <v>Melanor_1sisi_lbr</v>
      </c>
    </row>
    <row r="613" spans="2:5" outlineLevel="1">
      <c r="B613" s="34" t="str">
        <f>CONCATENATE($D$522,$D$521,$D$522,$D$522)</f>
        <v>3233</v>
      </c>
      <c r="C613" s="63" t="str">
        <f>CONCATENATE(edging0,"_",_1P)</f>
        <v>Melanor_1sisi_pjg</v>
      </c>
    </row>
    <row r="614" spans="2:5" outlineLevel="1">
      <c r="B614" s="34" t="str">
        <f>CONCATENATE($D$522,$D$528,$D$522,$D$522)</f>
        <v>3933</v>
      </c>
      <c r="C614" s="63" t="str">
        <f>CONCATENATE(edging2,"_",_1P)</f>
        <v>Edg_EAW_5216_D1(44x1)_1sisi_pjg</v>
      </c>
    </row>
    <row r="615" spans="2:5" outlineLevel="1">
      <c r="B615" s="34" t="str">
        <f>CONCATENATE($D$522,$D$528,$D$522,$D$528)</f>
        <v>3939</v>
      </c>
      <c r="C615" s="63" t="str">
        <f>CONCATENATE(edging2,"_",_1P,",",_1L)</f>
        <v>Edg_EAW_5216_D1(44x1)_1sisi_pjg,1sisi_lbr</v>
      </c>
    </row>
    <row r="616" spans="2:5" outlineLevel="1">
      <c r="B616" s="34" t="str">
        <f>CONCATENATE($D$525,$D$525,$D$525,$D$525)</f>
        <v>6666</v>
      </c>
      <c r="C616" s="63" t="s">
        <v>1409</v>
      </c>
      <c r="E616" s="58"/>
    </row>
    <row r="617" spans="2:5" outlineLevel="1">
      <c r="B617" s="381" t="str">
        <f>CONCATENATE($D$525,$D$523,$D$523,$D$523)</f>
        <v>6444</v>
      </c>
      <c r="C617" s="63" t="str">
        <f>CONCATENATE(edging1,"_",_1P,",",_2L)</f>
        <v>Edg_EAW_5216D1_1sisi_pjg,2sisi_lbr</v>
      </c>
      <c r="E617" s="58"/>
    </row>
    <row r="618" spans="2:5" outlineLevel="1">
      <c r="B618" s="381" t="str">
        <f>CONCATENATE($D$526,$D$523,$D$523,$D$523)</f>
        <v>7444</v>
      </c>
      <c r="C618" s="63" t="str">
        <f>CONCATENATE(edging1,"_",_1P,",",_2L)</f>
        <v>Edg_EAW_5216D1_1sisi_pjg,2sisi_lbr</v>
      </c>
      <c r="E618" s="58"/>
    </row>
    <row r="619" spans="2:5" outlineLevel="1">
      <c r="B619" s="34" t="str">
        <f>CONCATENATE($D$522,$D$525,$D$525,$D$525)</f>
        <v>3666</v>
      </c>
      <c r="C619" s="63" t="s">
        <v>1409</v>
      </c>
      <c r="E619" s="58"/>
    </row>
    <row r="620" spans="2:5" outlineLevel="1">
      <c r="B620" s="34" t="str">
        <f>CONCATENATE($D$525,$D$522,$D$525,$D$525)</f>
        <v>6366</v>
      </c>
      <c r="C620" s="63" t="s">
        <v>1409</v>
      </c>
      <c r="E620" s="58"/>
    </row>
    <row r="621" spans="2:5" outlineLevel="1">
      <c r="B621" s="34" t="str">
        <f>CONCATENATE($D$525,$D$525,$D$522,$D$522)</f>
        <v>6633</v>
      </c>
      <c r="C621" s="63" t="s">
        <v>1409</v>
      </c>
      <c r="E621" s="58"/>
    </row>
    <row r="622" spans="2:5" outlineLevel="1">
      <c r="B622" s="34" t="str">
        <f>CONCATENATE($D$525,$D$525,$D$522,$D$525)</f>
        <v>6636</v>
      </c>
      <c r="C622" s="63" t="s">
        <v>1409</v>
      </c>
      <c r="E622" s="58"/>
    </row>
    <row r="623" spans="2:5" outlineLevel="1">
      <c r="B623" s="34" t="str">
        <f>CONCATENATE($D$525,$D$525,$D$525,$D$522)</f>
        <v>6663</v>
      </c>
      <c r="C623" s="63" t="s">
        <v>1409</v>
      </c>
      <c r="E623" s="58"/>
    </row>
    <row r="624" spans="2:5" outlineLevel="1">
      <c r="B624" s="34" t="str">
        <f>CONCATENATE($D$526,$D$526,$D$526,$D$526)</f>
        <v>7777</v>
      </c>
      <c r="C624" s="63" t="s">
        <v>1409</v>
      </c>
      <c r="E624" s="58"/>
    </row>
    <row r="625" spans="2:5" outlineLevel="1">
      <c r="B625" s="34" t="str">
        <f>CONCATENATE($D$522,$D$526,$D$526,$D$526)</f>
        <v>3777</v>
      </c>
      <c r="C625" s="63" t="s">
        <v>1409</v>
      </c>
      <c r="E625" s="58"/>
    </row>
    <row r="626" spans="2:5" outlineLevel="1">
      <c r="B626" s="34" t="str">
        <f>CONCATENATE($D$526,$D$522,$D$526,$D$526)</f>
        <v>7377</v>
      </c>
      <c r="C626" s="63" t="s">
        <v>1409</v>
      </c>
      <c r="E626" s="58"/>
    </row>
    <row r="627" spans="2:5" outlineLevel="1">
      <c r="B627" s="34" t="str">
        <f>CONCATENATE($D$526,$D$526,$D$522,$D$526)</f>
        <v>7737</v>
      </c>
      <c r="C627" s="63" t="s">
        <v>1409</v>
      </c>
      <c r="E627" s="58"/>
    </row>
    <row r="628" spans="2:5" outlineLevel="1">
      <c r="B628" s="34" t="str">
        <f>CONCATENATE($D$526,$D$526,$D$526,$D$522)</f>
        <v>7773</v>
      </c>
      <c r="C628" s="63" t="s">
        <v>1409</v>
      </c>
    </row>
    <row r="629" spans="2:5" outlineLevel="1">
      <c r="B629" s="381" t="str">
        <f>CONCATENATE($D$525,$D$528,$D$528,$D$528)</f>
        <v>6999</v>
      </c>
      <c r="C629" s="63" t="str">
        <f>CONCATENATE(edging2,"_",_1P,",",_2L)</f>
        <v>Edg_EAW_5216_D1(44x1)_1sisi_pjg,2sisi_lbr</v>
      </c>
      <c r="E629" s="58"/>
    </row>
    <row r="630" spans="2:5" outlineLevel="1">
      <c r="B630" s="381" t="str">
        <f>CONCATENATE($D$525,$D$528,$D$522,$D$522)</f>
        <v>6933</v>
      </c>
      <c r="C630" s="63" t="str">
        <f>CONCATENATE(edging2,"_",_1P)</f>
        <v>Edg_EAW_5216_D1(44x1)_1sisi_pjg</v>
      </c>
      <c r="E630" s="58"/>
    </row>
    <row r="631" spans="2:5" outlineLevel="1">
      <c r="B631" s="34" t="str">
        <f>CONCATENATE($D$520,$D$524,$D$520,$D$524)</f>
        <v>1515</v>
      </c>
      <c r="C631" s="63" t="str">
        <f>CONCATENATE(edgingkab1,"_",_1P,",",_1L)</f>
        <v>Edg_Décor_1723_B_1sisi_pjg,1sisi_lbr</v>
      </c>
    </row>
    <row r="632" spans="2:5" outlineLevel="1">
      <c r="B632" s="34" t="str">
        <f>CONCATENATE($D$520,$D$524,$D$520,$D$520)</f>
        <v>1511</v>
      </c>
      <c r="C632" s="63" t="str">
        <f>CONCATENATE(edgingkab1,"_",_1P,",",_2L)</f>
        <v>Edg_Décor_1723_B_1sisi_pjg,2sisi_lbr</v>
      </c>
    </row>
    <row r="633" spans="2:5" outlineLevel="1">
      <c r="B633" s="381" t="str">
        <f>CONCATENATE($D$528,$D$528,$D$528,$D$528)</f>
        <v>9999</v>
      </c>
      <c r="C633" s="63" t="str">
        <f>CONCATENATE(edging2,"_",kll)</f>
        <v>Edg_EAW_5216_D1(44x1)_Keliling</v>
      </c>
      <c r="E633" s="58"/>
    </row>
    <row r="634" spans="2:5" outlineLevel="1">
      <c r="B634" s="381" t="str">
        <f>CONCATENATE($D$524,$D$520,$D$520,$D$520)</f>
        <v>5111</v>
      </c>
      <c r="C634" s="63" t="str">
        <f>CONCATENATE(edgingkab1,"_",_1P,",",_2L)</f>
        <v>Edg_Décor_1723_B_1sisi_pjg,2sisi_lbr</v>
      </c>
    </row>
    <row r="635" spans="2:5" outlineLevel="1">
      <c r="B635" s="34" t="str">
        <f>CONCATENATE($D$524,$D$529,$D$529,$D$529)</f>
        <v>5101010</v>
      </c>
      <c r="C635" s="63" t="str">
        <f>CONCATENATE(edging3,"_",_2P,",",_1L)</f>
        <v>Edg_DSS_00206_SM_2sisi_pjg,1sisi_lbr</v>
      </c>
    </row>
    <row r="636" spans="2:5" outlineLevel="1">
      <c r="B636" s="34" t="str">
        <f>CONCATENATE($D$529,$D$529,$D$529,$D$529)</f>
        <v>10101010</v>
      </c>
      <c r="C636" s="63" t="str">
        <f>CONCATENATE(edging3,"_",kll)</f>
        <v>Edg_DSS_00206_SM_Keliling</v>
      </c>
      <c r="E636" s="58"/>
    </row>
    <row r="637" spans="2:5" outlineLevel="1">
      <c r="B637" s="381" t="str">
        <f>CONCATENATE($D$529,$D$529,$D$522,$D$522)</f>
        <v>101033</v>
      </c>
      <c r="C637" s="63" t="str">
        <f>CONCATENATE(edging3,"_",_2P)</f>
        <v>Edg_DSS_00206_SM_2sisi_pjg</v>
      </c>
      <c r="E637" s="58"/>
    </row>
    <row r="638" spans="2:5" outlineLevel="1">
      <c r="B638" s="381" t="str">
        <f>CONCATENATE($D$524,$D$529,$D$522,$D$522)</f>
        <v>51033</v>
      </c>
      <c r="C638" s="63" t="str">
        <f>CONCATENATE(edging3,"_",_1P)</f>
        <v>Edg_DSS_00206_SM_1sisi_pjg</v>
      </c>
      <c r="E638" s="58"/>
    </row>
    <row r="639" spans="2:5" outlineLevel="1">
      <c r="B639" s="381" t="str">
        <f>CONCATENATE($D$529,$D$522,$D$522,$D$522)</f>
        <v>10333</v>
      </c>
      <c r="C639" s="63" t="str">
        <f>CONCATENATE(edging3,"_",_1P)</f>
        <v>Edg_DSS_00206_SM_1sisi_pjg</v>
      </c>
      <c r="E639" s="58"/>
    </row>
    <row r="640" spans="2:5" outlineLevel="1">
      <c r="B640" s="381" t="str">
        <f>CONCATENATE($D$529,$D$521,$D$522,$D$522)</f>
        <v>10233</v>
      </c>
      <c r="C640" s="63" t="str">
        <f>CONCATENATE(edging3,"_",_1P," + ",edging0,"_",_1P)</f>
        <v>Edg_DSS_00206_SM_1sisi_pjg + Melanor_1sisi_pjg</v>
      </c>
      <c r="E640" s="58"/>
    </row>
    <row r="641" spans="2:5" outlineLevel="1">
      <c r="B641" s="381" t="str">
        <f>CONCATENATE($D$529,$D$522,$D$529,$D$529)</f>
        <v>1031010</v>
      </c>
      <c r="C641" s="63" t="str">
        <f>CONCATENATE(edging3,"_",_1P,",",_2L)</f>
        <v>Edg_DSS_00206_SM_1sisi_pjg,2sisi_lbr</v>
      </c>
      <c r="E641" s="58"/>
    </row>
    <row r="642" spans="2:5" outlineLevel="1">
      <c r="B642" s="34" t="str">
        <f>CONCATENATE($D$530,$D$530,$D$530,$D$530)</f>
        <v>11111111</v>
      </c>
      <c r="C642" s="63" t="str">
        <f>CONCATENATE(edging4,"_",kll)</f>
        <v>Edg_DSS_00206_SM(45X1)_Keliling</v>
      </c>
      <c r="E642" s="58"/>
    </row>
    <row r="643" spans="2:5" outlineLevel="1">
      <c r="B643" s="381" t="str">
        <f>CONCATENATE($D$530,$D$530,$D$522,$D$522)</f>
        <v>111133</v>
      </c>
      <c r="C643" s="63" t="str">
        <f>CONCATENATE(edging4,"_",_2P)</f>
        <v>Edg_DSS_00206_SM(45X1)_2sisi_pjg</v>
      </c>
      <c r="E643" s="58"/>
    </row>
    <row r="644" spans="2:5" outlineLevel="1">
      <c r="B644" s="381" t="str">
        <f>CONCATENATE($D$530,$D$522,$D$522,$D$522)</f>
        <v>11333</v>
      </c>
      <c r="C644" s="63" t="str">
        <f>CONCATENATE(edging4,"_",_1P)</f>
        <v>Edg_DSS_00206_SM(45X1)_1sisi_pjg</v>
      </c>
      <c r="E644" s="58"/>
    </row>
    <row r="645" spans="2:5" outlineLevel="1">
      <c r="B645" s="381" t="str">
        <f>CONCATENATE($D$531,$D$522,$D$522,$D$522)</f>
        <v>12333</v>
      </c>
      <c r="C645" s="63" t="str">
        <f>CONCATENATE(edgingkab2,"_",_1P)</f>
        <v>Edg_Decor_1723_B_(55x1)_1sisi_pjg</v>
      </c>
      <c r="E645" s="58"/>
    </row>
    <row r="646" spans="2:5" outlineLevel="1">
      <c r="B646" s="381" t="str">
        <f>CONCATENATE($D$531,$D$522,$D$531,$D$522)</f>
        <v>123123</v>
      </c>
      <c r="C646" s="63" t="str">
        <f>CONCATENATE(edgingkab2,"_",_1P,",",_1L)</f>
        <v>Edg_Decor_1723_B_(55x1)_1sisi_pjg,1sisi_lbr</v>
      </c>
      <c r="E646" s="58"/>
    </row>
    <row r="647" spans="2:5" outlineLevel="1">
      <c r="B647" s="381" t="str">
        <f>CONCATENATE($D$531,$D$531,$D$522,$D$522)</f>
        <v>121233</v>
      </c>
      <c r="C647" s="63" t="str">
        <f>CONCATENATE(edgingkab2,"_",_2P)</f>
        <v>Edg_Decor_1723_B_(55x1)_2sisi_pjg</v>
      </c>
      <c r="E647" s="58"/>
    </row>
    <row r="648" spans="2:5" outlineLevel="1">
      <c r="B648" s="34" t="str">
        <f>CONCATENATE($D$531,$D$531,$D$531,$D$531)</f>
        <v>12121212</v>
      </c>
      <c r="C648" s="63" t="str">
        <f>CONCATENATE(edgingkab2,"_",kll)</f>
        <v>Edg_Decor_1723_B_(55x1)_Keliling</v>
      </c>
      <c r="E648" s="58"/>
    </row>
    <row r="649" spans="2:5" outlineLevel="1">
      <c r="B649" s="34" t="str">
        <f>CONCATENATE($D$532,$D$532,$D$532,$D$532)</f>
        <v>13131313</v>
      </c>
      <c r="C649" s="63" t="str">
        <f>CONCATENATE(edging5,"_",kll)</f>
        <v>Edg_EAP_1338_DO_Keliling</v>
      </c>
      <c r="E649" s="58"/>
    </row>
    <row r="650" spans="2:5" outlineLevel="1">
      <c r="B650" s="381" t="str">
        <f>CONCATENATE($D$532,$D$532,$D$522,$D$522)</f>
        <v>131333</v>
      </c>
      <c r="C650" s="63" t="str">
        <f>CONCATENATE(edging5,"_",_2P)</f>
        <v>Edg_EAP_1338_DO_2sisi_pjg</v>
      </c>
      <c r="E650" s="58"/>
    </row>
    <row r="651" spans="2:5" outlineLevel="1">
      <c r="B651" s="381" t="str">
        <f>CONCATENATE($D$532,$D$522,$D$522,$D$522)</f>
        <v>13333</v>
      </c>
      <c r="C651" s="63" t="str">
        <f>CONCATENATE(edging5,"_",_1P)</f>
        <v>Edg_EAP_1338_DO_1sisi_pjg</v>
      </c>
      <c r="E651" s="58"/>
    </row>
    <row r="652" spans="2:5" outlineLevel="1">
      <c r="B652" s="381" t="str">
        <f>CONCATENATE($D$529,$D$529,$D$529,$D$522)</f>
        <v>1010103</v>
      </c>
      <c r="C652" s="63" t="str">
        <f>CONCATENATE(edging3,"_",_2P,",",_1L)</f>
        <v>Edg_DSS_00206_SM_2sisi_pjg,1sisi_lbr</v>
      </c>
      <c r="E652" s="58"/>
    </row>
    <row r="653" spans="2:5" outlineLevel="1">
      <c r="B653" s="34" t="str">
        <f>CONCATENATE($D$522,$D$530,$D$530,$D$530)</f>
        <v>3111111</v>
      </c>
      <c r="C653" s="63" t="str">
        <f>CONCATENATE(edging4,"_",_1P,",",_2L)</f>
        <v>Edg_DSS_00206_SM(45X1)_1sisi_pjg,2sisi_lbr</v>
      </c>
      <c r="E653" s="58"/>
    </row>
    <row r="654" spans="2:5" outlineLevel="1">
      <c r="B654" s="34" t="str">
        <f>CONCATENATE($D$532,$D$532,$D$532,$D$522)</f>
        <v>1313133</v>
      </c>
      <c r="C654" s="63" t="str">
        <f>CONCATENATE(edging5,"_",_2P,",",_1L)</f>
        <v>Edg_EAP_1338_DO_2sisi_pjg,1sisi_lbr</v>
      </c>
      <c r="E654" s="58"/>
    </row>
    <row r="655" spans="2:5" outlineLevel="1">
      <c r="B655" s="34" t="str">
        <f>CONCATENATE($D$532,$D$522,$D$532,$D$522)</f>
        <v>133133</v>
      </c>
      <c r="C655" s="63" t="str">
        <f>CONCATENATE(edging5,"_",_1P,",",_1L)</f>
        <v>Edg_EAP_1338_DO_1sisi_pjg,1sisi_lbr</v>
      </c>
      <c r="E655" s="58"/>
    </row>
    <row r="656" spans="2:5" outlineLevel="1">
      <c r="B656" s="34" t="str">
        <f>CONCATENATE($D$532,$D$522,$D$532,$D$532)</f>
        <v>1331313</v>
      </c>
      <c r="C656" s="63" t="str">
        <f>CONCATENATE(edging5,"_",_1P,",",_2L)</f>
        <v>Edg_EAP_1338_DO_1sisi_pjg,2sisi_lbr</v>
      </c>
      <c r="E656" s="58"/>
    </row>
    <row r="657" spans="2:5" outlineLevel="1">
      <c r="B657" s="381" t="str">
        <f>CONCATENATE($D$533,$D$522,$D$522,$D$522)</f>
        <v>14333</v>
      </c>
      <c r="C657" s="63" t="str">
        <f>CONCATENATE(edgingkab3,"_",_1P)</f>
        <v>0_1sisi_pjg</v>
      </c>
      <c r="E657" s="58"/>
    </row>
    <row r="658" spans="2:5" outlineLevel="1">
      <c r="B658" s="34" t="str">
        <f>CONCATENATE($D$534,$D$534,$D$534,$D$534)</f>
        <v>15151515</v>
      </c>
      <c r="C658" s="63" t="str">
        <f>CONCATENATE(edging6,"_",kll)</f>
        <v>Edg_Decor_2023_B_Keliling</v>
      </c>
      <c r="E658" s="58"/>
    </row>
    <row r="659" spans="2:5" outlineLevel="1">
      <c r="B659" s="381" t="str">
        <f>CONCATENATE($D$534,$D$534,$D$522,$D$522)</f>
        <v>151533</v>
      </c>
      <c r="C659" s="63" t="str">
        <f>CONCATENATE(edging6,"_",_2P)</f>
        <v>Edg_Decor_2023_B_2sisi_pjg</v>
      </c>
      <c r="E659" s="58"/>
    </row>
    <row r="660" spans="2:5" outlineLevel="1">
      <c r="B660" s="381" t="str">
        <f>CONCATENATE($D$522,$D$522,$D$529,$D$522)</f>
        <v>33103</v>
      </c>
      <c r="C660" s="63" t="str">
        <f>CONCATENATE(edging3,"_",_1L)</f>
        <v>Edg_DSS_00206_SM_1sisi_lbr</v>
      </c>
      <c r="E660" s="58"/>
    </row>
    <row r="661" spans="2:5" outlineLevel="1">
      <c r="B661" s="381" t="str">
        <f>CONCATENATE($D$522,$D$522,$D$522,$D$529)</f>
        <v>33310</v>
      </c>
      <c r="C661" s="63" t="str">
        <f>CONCATENATE(edging3,"_",_1L)</f>
        <v>Edg_DSS_00206_SM_1sisi_lbr</v>
      </c>
      <c r="E661" s="58"/>
    </row>
    <row r="662" spans="2:5" outlineLevel="1">
      <c r="B662" s="381" t="str">
        <f>CONCATENATE($D$522,$D$522,$D$529,$D$529)</f>
        <v>331010</v>
      </c>
      <c r="C662" s="63" t="str">
        <f>CONCATENATE(edging3,"_",_2L)</f>
        <v>Edg_DSS_00206_SM_2sisi_lbr</v>
      </c>
      <c r="E662" s="58"/>
    </row>
    <row r="663" spans="2:5" outlineLevel="1">
      <c r="B663" s="381" t="str">
        <f>CONCATENATE($D$522,$D$529,$D$522,$D$529)</f>
        <v>310310</v>
      </c>
      <c r="C663" s="63" t="str">
        <f>CONCATENATE(edging3,"_",_1P,",",_1L)</f>
        <v>Edg_DSS_00206_SM_1sisi_pjg,1sisi_lbr</v>
      </c>
      <c r="E663" s="58"/>
    </row>
    <row r="664" spans="2:5" outlineLevel="1">
      <c r="B664" s="381" t="str">
        <f>CONCATENATE($D$522,$D$529,$D$529,$D$522)</f>
        <v>310103</v>
      </c>
      <c r="C664" s="63" t="str">
        <f>CONCATENATE(edging3,"_",_1P,",",_1L)</f>
        <v>Edg_DSS_00206_SM_1sisi_pjg,1sisi_lbr</v>
      </c>
      <c r="E664" s="58"/>
    </row>
    <row r="665" spans="2:5" outlineLevel="1">
      <c r="B665" s="381" t="str">
        <f>CONCATENATE($D$529,$D$522,$D$522,$D$529)</f>
        <v>103310</v>
      </c>
      <c r="C665" s="63" t="str">
        <f>CONCATENATE(edging3,"_",_1P,",",_1L)</f>
        <v>Edg_DSS_00206_SM_1sisi_pjg,1sisi_lbr</v>
      </c>
      <c r="E665" s="58"/>
    </row>
    <row r="666" spans="2:5" outlineLevel="1">
      <c r="B666" s="381" t="str">
        <f>CONCATENATE($D$529,$D$522,$D$529,$D$522)</f>
        <v>103103</v>
      </c>
      <c r="C666" s="63" t="str">
        <f>CONCATENATE(edging3,"_",_1P,",",_1L)</f>
        <v>Edg_DSS_00206_SM_1sisi_pjg,1sisi_lbr</v>
      </c>
      <c r="E666" s="58"/>
    </row>
    <row r="667" spans="2:5" outlineLevel="1">
      <c r="B667" s="381" t="str">
        <f>CONCATENATE($D$522,$D$522,$D$522,$D$532)</f>
        <v>33313</v>
      </c>
      <c r="C667" s="63" t="str">
        <f>CONCATENATE(edging5,"_",_1L)</f>
        <v>Edg_EAP_1338_DO_1sisi_lbr</v>
      </c>
      <c r="E667" s="58"/>
    </row>
    <row r="668" spans="2:5" outlineLevel="1">
      <c r="B668" s="384" t="str">
        <f>CONCATENATE($D$526,$D$529,$D$529,$D$529)</f>
        <v>7101010</v>
      </c>
      <c r="C668" s="63" t="str">
        <f>CONCATENATE(edging3,"_",_1P,",",_2L)</f>
        <v>Edg_DSS_00206_SM_1sisi_pjg,2sisi_lbr</v>
      </c>
      <c r="E668" s="58"/>
    </row>
    <row r="669" spans="2:5" outlineLevel="1">
      <c r="B669" s="381" t="str">
        <f>CONCATENATE($D$526,$D$529,$D$522,$D$522)</f>
        <v>71033</v>
      </c>
      <c r="C669" s="63" t="str">
        <f>CONCATENATE(edging3,"_",_1P)</f>
        <v>Edg_DSS_00206_SM_1sisi_pjg</v>
      </c>
      <c r="E669" s="58"/>
    </row>
    <row r="670" spans="2:5" outlineLevel="1">
      <c r="B670" s="381"/>
      <c r="C670" s="63"/>
      <c r="E670" s="58"/>
    </row>
    <row r="671" spans="2:5" outlineLevel="1">
      <c r="B671" s="381"/>
      <c r="C671" s="63"/>
      <c r="E671" s="58"/>
    </row>
    <row r="672" spans="2:5" outlineLevel="1">
      <c r="B672" s="381"/>
      <c r="C672" s="63"/>
      <c r="E672" s="58"/>
    </row>
    <row r="673" spans="2:5" outlineLevel="1">
      <c r="B673" s="381"/>
      <c r="C673" s="63"/>
      <c r="E673" s="58"/>
    </row>
    <row r="674" spans="2:5" outlineLevel="1">
      <c r="B674" s="381"/>
      <c r="C674" s="63"/>
      <c r="E674" s="58"/>
    </row>
    <row r="675" spans="2:5" outlineLevel="1">
      <c r="B675" s="381"/>
      <c r="C675" s="63"/>
      <c r="E675" s="58"/>
    </row>
    <row r="676" spans="2:5" outlineLevel="1">
      <c r="B676" s="381"/>
      <c r="C676" s="63"/>
      <c r="E676" s="58"/>
    </row>
    <row r="677" spans="2:5" outlineLevel="1">
      <c r="B677" s="381"/>
      <c r="C677" s="63"/>
      <c r="E677" s="58"/>
    </row>
    <row r="678" spans="2:5" outlineLevel="1">
      <c r="B678" s="381"/>
      <c r="C678" s="63"/>
      <c r="E678" s="58"/>
    </row>
    <row r="679" spans="2:5" outlineLevel="1">
      <c r="B679" s="381"/>
      <c r="C679" s="63"/>
      <c r="E679" s="58"/>
    </row>
    <row r="680" spans="2:5" outlineLevel="1">
      <c r="B680" s="381"/>
      <c r="C680" s="63"/>
      <c r="E680" s="58"/>
    </row>
    <row r="681" spans="2:5" outlineLevel="1">
      <c r="B681" s="381"/>
      <c r="C681" s="63"/>
      <c r="E681" s="58"/>
    </row>
    <row r="682" spans="2:5" outlineLevel="1">
      <c r="B682" s="381"/>
      <c r="C682" s="63"/>
      <c r="E682" s="58"/>
    </row>
    <row r="683" spans="2:5" outlineLevel="1">
      <c r="B683" s="381"/>
      <c r="C683" s="63"/>
      <c r="E683" s="58"/>
    </row>
    <row r="684" spans="2:5" outlineLevel="1">
      <c r="B684" s="381"/>
      <c r="C684" s="63"/>
      <c r="E684" s="58"/>
    </row>
    <row r="685" spans="2:5" outlineLevel="1">
      <c r="B685" s="381"/>
      <c r="C685" s="63"/>
      <c r="E685" s="58"/>
    </row>
    <row r="686" spans="2:5" outlineLevel="1">
      <c r="B686" s="381"/>
      <c r="C686" s="63"/>
      <c r="E686" s="58"/>
    </row>
    <row r="687" spans="2:5" outlineLevel="1">
      <c r="B687" s="381"/>
      <c r="C687" s="63"/>
      <c r="E687" s="58"/>
    </row>
    <row r="688" spans="2:5" outlineLevel="1">
      <c r="B688" s="381"/>
      <c r="C688" s="63"/>
      <c r="E688" s="58"/>
    </row>
    <row r="689" spans="2:5" outlineLevel="1">
      <c r="B689" s="381"/>
      <c r="C689" s="63"/>
      <c r="E689" s="58"/>
    </row>
    <row r="690" spans="2:5" outlineLevel="1">
      <c r="B690" s="381"/>
      <c r="C690" s="63"/>
      <c r="E690" s="58"/>
    </row>
    <row r="691" spans="2:5" outlineLevel="1">
      <c r="B691" s="381"/>
      <c r="C691" s="63"/>
      <c r="E691" s="58"/>
    </row>
    <row r="692" spans="2:5" outlineLevel="1">
      <c r="B692" s="381"/>
      <c r="C692" s="63"/>
      <c r="E692" s="58"/>
    </row>
    <row r="693" spans="2:5" outlineLevel="1">
      <c r="B693" s="381"/>
      <c r="C693" s="63"/>
      <c r="E693" s="58"/>
    </row>
    <row r="694" spans="2:5" outlineLevel="1">
      <c r="B694" s="381"/>
      <c r="C694" s="63"/>
      <c r="E694" s="58"/>
    </row>
    <row r="695" spans="2:5" outlineLevel="1">
      <c r="B695" s="381"/>
      <c r="C695" s="63"/>
      <c r="E695" s="58"/>
    </row>
    <row r="696" spans="2:5" outlineLevel="1">
      <c r="B696" s="381"/>
      <c r="C696" s="63"/>
      <c r="E696" s="58"/>
    </row>
    <row r="697" spans="2:5" outlineLevel="1">
      <c r="B697" s="381"/>
      <c r="C697" s="63"/>
      <c r="E697" s="58"/>
    </row>
    <row r="698" spans="2:5" outlineLevel="1">
      <c r="B698" s="381"/>
      <c r="C698" s="63"/>
      <c r="E698" s="58"/>
    </row>
    <row r="699" spans="2:5" outlineLevel="1">
      <c r="B699" s="381"/>
      <c r="C699" s="63"/>
      <c r="E699" s="58"/>
    </row>
    <row r="700" spans="2:5" outlineLevel="1">
      <c r="B700" s="381"/>
      <c r="C700" s="63"/>
      <c r="E700" s="58"/>
    </row>
    <row r="701" spans="2:5" outlineLevel="1">
      <c r="B701" s="381"/>
      <c r="C701" s="63"/>
      <c r="E701" s="58"/>
    </row>
    <row r="702" spans="2:5" outlineLevel="1">
      <c r="B702" s="381"/>
      <c r="C702" s="63"/>
      <c r="E702" s="58"/>
    </row>
    <row r="703" spans="2:5" outlineLevel="1">
      <c r="B703" s="381"/>
      <c r="C703" s="63"/>
      <c r="E703" s="58"/>
    </row>
    <row r="704" spans="2:5" outlineLevel="1">
      <c r="B704" s="381"/>
      <c r="C704" s="63"/>
      <c r="E704" s="58"/>
    </row>
    <row r="705" spans="2:5" outlineLevel="1">
      <c r="B705" s="381"/>
      <c r="C705" s="63"/>
      <c r="E705" s="58"/>
    </row>
    <row r="706" spans="2:5" outlineLevel="1">
      <c r="B706" s="381"/>
      <c r="C706" s="63"/>
      <c r="E706" s="58"/>
    </row>
    <row r="707" spans="2:5" outlineLevel="1">
      <c r="B707" s="381"/>
      <c r="C707" s="63"/>
      <c r="E707" s="58"/>
    </row>
    <row r="708" spans="2:5" outlineLevel="1">
      <c r="B708" s="381"/>
      <c r="C708" s="63"/>
      <c r="E708" s="58"/>
    </row>
    <row r="709" spans="2:5" outlineLevel="1">
      <c r="B709" s="381"/>
      <c r="C709" s="63"/>
      <c r="E709" s="58"/>
    </row>
    <row r="710" spans="2:5" outlineLevel="1">
      <c r="B710" s="381"/>
      <c r="C710" s="63"/>
      <c r="E710" s="58"/>
    </row>
    <row r="711" spans="2:5" outlineLevel="1">
      <c r="B711" s="381"/>
      <c r="C711" s="63"/>
      <c r="E711" s="58"/>
    </row>
    <row r="712" spans="2:5" outlineLevel="1">
      <c r="B712" s="381"/>
      <c r="C712" s="63"/>
      <c r="E712" s="58"/>
    </row>
    <row r="713" spans="2:5" outlineLevel="1">
      <c r="B713" s="381"/>
      <c r="C713" s="63"/>
      <c r="E713" s="58"/>
    </row>
    <row r="714" spans="2:5" outlineLevel="1">
      <c r="B714" s="381"/>
      <c r="C714" s="63"/>
      <c r="E714" s="58"/>
    </row>
    <row r="715" spans="2:5" outlineLevel="1">
      <c r="B715" s="381"/>
      <c r="C715" s="63"/>
      <c r="E715" s="58"/>
    </row>
    <row r="716" spans="2:5" outlineLevel="1">
      <c r="B716" s="381"/>
      <c r="C716" s="63"/>
      <c r="E716" s="58"/>
    </row>
    <row r="717" spans="2:5" outlineLevel="1">
      <c r="B717" s="381"/>
      <c r="C717" s="63"/>
      <c r="E717" s="58"/>
    </row>
    <row r="718" spans="2:5" outlineLevel="1">
      <c r="B718" s="381"/>
      <c r="C718" s="63"/>
      <c r="E718" s="58"/>
    </row>
    <row r="719" spans="2:5" outlineLevel="1">
      <c r="B719" s="381"/>
      <c r="C719" s="63"/>
      <c r="E719" s="58"/>
    </row>
    <row r="720" spans="2:5" outlineLevel="1">
      <c r="B720" s="381"/>
      <c r="C720" s="63"/>
      <c r="E720" s="58"/>
    </row>
    <row r="721" spans="2:5" outlineLevel="1">
      <c r="B721" s="381"/>
      <c r="C721" s="63"/>
      <c r="E721" s="58"/>
    </row>
    <row r="722" spans="2:5" outlineLevel="1">
      <c r="B722" s="381"/>
      <c r="C722" s="63"/>
      <c r="E722" s="58"/>
    </row>
    <row r="723" spans="2:5" outlineLevel="1">
      <c r="B723" s="381"/>
      <c r="C723" s="63"/>
      <c r="E723" s="58"/>
    </row>
    <row r="724" spans="2:5" outlineLevel="1">
      <c r="B724" s="381"/>
      <c r="C724" s="63"/>
      <c r="E724" s="58"/>
    </row>
    <row r="725" spans="2:5" outlineLevel="1">
      <c r="B725" s="381"/>
      <c r="C725" s="63"/>
      <c r="E725" s="58"/>
    </row>
    <row r="726" spans="2:5" outlineLevel="1">
      <c r="B726" s="381"/>
      <c r="C726" s="63"/>
      <c r="E726" s="58"/>
    </row>
    <row r="727" spans="2:5" outlineLevel="1">
      <c r="B727" s="381"/>
      <c r="C727" s="63"/>
      <c r="E727" s="58"/>
    </row>
    <row r="728" spans="2:5" outlineLevel="1">
      <c r="B728" s="381"/>
      <c r="C728" s="63"/>
      <c r="E728" s="58"/>
    </row>
    <row r="729" spans="2:5" outlineLevel="1">
      <c r="B729" s="381"/>
      <c r="C729" s="63"/>
      <c r="E729" s="58"/>
    </row>
    <row r="730" spans="2:5" outlineLevel="1">
      <c r="B730" s="381"/>
      <c r="C730" s="63"/>
      <c r="E730" s="58"/>
    </row>
    <row r="731" spans="2:5" outlineLevel="1">
      <c r="B731" s="381"/>
      <c r="C731" s="63"/>
      <c r="E731" s="58"/>
    </row>
    <row r="732" spans="2:5" outlineLevel="1">
      <c r="B732" s="381"/>
      <c r="C732" s="63"/>
      <c r="E732" s="58"/>
    </row>
    <row r="733" spans="2:5" outlineLevel="1">
      <c r="B733" s="381"/>
      <c r="C733" s="63"/>
      <c r="E733" s="58"/>
    </row>
    <row r="734" spans="2:5" outlineLevel="1">
      <c r="B734" s="381"/>
      <c r="C734" s="63"/>
      <c r="E734" s="58"/>
    </row>
    <row r="735" spans="2:5" outlineLevel="1">
      <c r="B735" s="381"/>
      <c r="C735" s="63"/>
      <c r="E735" s="58"/>
    </row>
    <row r="736" spans="2:5" outlineLevel="1">
      <c r="B736" s="381"/>
      <c r="C736" s="63"/>
      <c r="E736" s="58"/>
    </row>
    <row r="737" spans="2:5" outlineLevel="1">
      <c r="B737" s="381"/>
      <c r="C737" s="63"/>
      <c r="E737" s="58"/>
    </row>
    <row r="738" spans="2:5" outlineLevel="1">
      <c r="B738" s="381"/>
      <c r="C738" s="63"/>
      <c r="E738" s="58"/>
    </row>
    <row r="739" spans="2:5" outlineLevel="1">
      <c r="B739" s="381"/>
      <c r="C739" s="63"/>
      <c r="E739" s="58"/>
    </row>
    <row r="740" spans="2:5" outlineLevel="1">
      <c r="B740" s="381"/>
      <c r="C740" s="63"/>
      <c r="E740" s="58"/>
    </row>
    <row r="741" spans="2:5" outlineLevel="1">
      <c r="B741" s="381"/>
      <c r="C741" s="63"/>
      <c r="E741" s="58"/>
    </row>
    <row r="742" spans="2:5" outlineLevel="1">
      <c r="B742" s="381"/>
      <c r="C742" s="63"/>
      <c r="E742" s="58"/>
    </row>
    <row r="743" spans="2:5" outlineLevel="1">
      <c r="B743" s="381"/>
      <c r="C743" s="63"/>
      <c r="E743" s="58"/>
    </row>
    <row r="744" spans="2:5" ht="17" outlineLevel="1" thickBot="1">
      <c r="B744" s="382"/>
      <c r="C744" s="247"/>
    </row>
    <row r="747" spans="2:5">
      <c r="B747" s="34" t="s">
        <v>1906</v>
      </c>
      <c r="C747" s="165" t="s">
        <v>1907</v>
      </c>
    </row>
    <row r="748" spans="2:5" hidden="1" outlineLevel="1">
      <c r="C748" s="36" t="s">
        <v>1908</v>
      </c>
      <c r="D748" s="129">
        <v>1</v>
      </c>
    </row>
    <row r="749" spans="2:5" hidden="1" outlineLevel="1">
      <c r="C749" s="36" t="s">
        <v>1909</v>
      </c>
      <c r="D749" s="129">
        <v>2</v>
      </c>
    </row>
    <row r="750" spans="2:5" hidden="1" outlineLevel="1">
      <c r="C750" s="36" t="s">
        <v>1910</v>
      </c>
      <c r="D750" s="129">
        <v>3</v>
      </c>
    </row>
    <row r="751" spans="2:5" hidden="1" outlineLevel="1">
      <c r="C751" s="36" t="s">
        <v>1911</v>
      </c>
      <c r="D751" s="129">
        <v>4</v>
      </c>
    </row>
    <row r="752" spans="2:5" hidden="1" outlineLevel="1">
      <c r="C752" s="36" t="s">
        <v>1912</v>
      </c>
      <c r="D752" s="129">
        <v>5</v>
      </c>
    </row>
    <row r="753" spans="2:4" hidden="1" outlineLevel="1">
      <c r="C753" s="36" t="s">
        <v>1913</v>
      </c>
      <c r="D753" s="129">
        <v>6</v>
      </c>
    </row>
    <row r="754" spans="2:4" hidden="1" outlineLevel="1">
      <c r="C754" s="36" t="s">
        <v>1914</v>
      </c>
      <c r="D754" s="129">
        <v>7</v>
      </c>
    </row>
    <row r="755" spans="2:4" hidden="1" outlineLevel="1">
      <c r="C755" s="36" t="s">
        <v>1409</v>
      </c>
      <c r="D755" s="129">
        <v>8</v>
      </c>
    </row>
    <row r="756" spans="2:4" hidden="1" outlineLevel="1">
      <c r="C756" s="36"/>
      <c r="D756" s="129">
        <v>9</v>
      </c>
    </row>
    <row r="757" spans="2:4" collapsed="1">
      <c r="B757" s="34" t="s">
        <v>1470</v>
      </c>
      <c r="C757" s="165" t="s">
        <v>1915</v>
      </c>
    </row>
    <row r="758" spans="2:4" hidden="1" outlineLevel="1">
      <c r="B758" s="230" t="s">
        <v>1915</v>
      </c>
      <c r="C758" s="140" t="s">
        <v>1916</v>
      </c>
      <c r="D758" s="129">
        <f>ROW()-265</f>
        <v>493</v>
      </c>
    </row>
    <row r="759" spans="2:4" hidden="1" outlineLevel="1">
      <c r="B759" s="230" t="s">
        <v>1915</v>
      </c>
      <c r="C759" s="140" t="s">
        <v>1917</v>
      </c>
      <c r="D759" s="129">
        <f t="shared" ref="D759:D791" si="34">ROW()-265</f>
        <v>494</v>
      </c>
    </row>
    <row r="760" spans="2:4" hidden="1" outlineLevel="1">
      <c r="B760" s="230" t="s">
        <v>1915</v>
      </c>
      <c r="C760" s="140" t="s">
        <v>1918</v>
      </c>
      <c r="D760" s="129">
        <f t="shared" si="34"/>
        <v>495</v>
      </c>
    </row>
    <row r="761" spans="2:4" hidden="1" outlineLevel="1">
      <c r="B761" s="230" t="s">
        <v>1915</v>
      </c>
      <c r="C761" s="140" t="s">
        <v>1919</v>
      </c>
      <c r="D761" s="129">
        <f t="shared" si="34"/>
        <v>496</v>
      </c>
    </row>
    <row r="762" spans="2:4" hidden="1" outlineLevel="1">
      <c r="B762" s="230" t="s">
        <v>1915</v>
      </c>
      <c r="C762" s="140" t="s">
        <v>2452</v>
      </c>
      <c r="D762" s="129">
        <f t="shared" si="34"/>
        <v>497</v>
      </c>
    </row>
    <row r="763" spans="2:4" hidden="1" outlineLevel="1">
      <c r="B763" s="230" t="s">
        <v>1915</v>
      </c>
      <c r="C763" s="140" t="s">
        <v>1920</v>
      </c>
      <c r="D763" s="129">
        <f t="shared" si="34"/>
        <v>498</v>
      </c>
    </row>
    <row r="764" spans="2:4" hidden="1" outlineLevel="1">
      <c r="B764" s="230" t="s">
        <v>1915</v>
      </c>
      <c r="C764" s="140" t="s">
        <v>2453</v>
      </c>
      <c r="D764" s="129">
        <f t="shared" si="34"/>
        <v>499</v>
      </c>
    </row>
    <row r="765" spans="2:4" hidden="1" outlineLevel="1">
      <c r="B765" s="230" t="s">
        <v>1915</v>
      </c>
      <c r="C765" s="140" t="s">
        <v>2454</v>
      </c>
      <c r="D765" s="129">
        <f t="shared" si="34"/>
        <v>500</v>
      </c>
    </row>
    <row r="766" spans="2:4" hidden="1" outlineLevel="1">
      <c r="B766" s="230" t="s">
        <v>1915</v>
      </c>
      <c r="C766" s="140" t="s">
        <v>2455</v>
      </c>
      <c r="D766" s="129">
        <f t="shared" si="34"/>
        <v>501</v>
      </c>
    </row>
    <row r="767" spans="2:4" hidden="1" outlineLevel="1">
      <c r="B767" s="230" t="s">
        <v>1915</v>
      </c>
      <c r="C767" s="140" t="s">
        <v>2456</v>
      </c>
      <c r="D767" s="129">
        <f t="shared" si="34"/>
        <v>502</v>
      </c>
    </row>
    <row r="768" spans="2:4" hidden="1" outlineLevel="1">
      <c r="B768" s="230" t="s">
        <v>1915</v>
      </c>
      <c r="C768" s="140" t="s">
        <v>2457</v>
      </c>
      <c r="D768" s="129">
        <f t="shared" si="34"/>
        <v>503</v>
      </c>
    </row>
    <row r="769" spans="2:4" hidden="1" outlineLevel="1">
      <c r="B769" s="230" t="s">
        <v>1915</v>
      </c>
      <c r="C769" s="140" t="s">
        <v>2458</v>
      </c>
      <c r="D769" s="129">
        <f t="shared" si="34"/>
        <v>504</v>
      </c>
    </row>
    <row r="770" spans="2:4" hidden="1" outlineLevel="1">
      <c r="B770" s="230" t="s">
        <v>1915</v>
      </c>
      <c r="C770" s="140" t="s">
        <v>2459</v>
      </c>
      <c r="D770" s="129">
        <f t="shared" si="34"/>
        <v>505</v>
      </c>
    </row>
    <row r="771" spans="2:4" hidden="1" outlineLevel="1">
      <c r="B771" s="230" t="s">
        <v>1915</v>
      </c>
      <c r="C771" s="140" t="s">
        <v>1921</v>
      </c>
      <c r="D771" s="129">
        <f t="shared" si="34"/>
        <v>506</v>
      </c>
    </row>
    <row r="772" spans="2:4" hidden="1" outlineLevel="1">
      <c r="B772" s="230" t="s">
        <v>1915</v>
      </c>
      <c r="C772" s="140" t="s">
        <v>2450</v>
      </c>
      <c r="D772" s="129">
        <f t="shared" si="34"/>
        <v>507</v>
      </c>
    </row>
    <row r="773" spans="2:4" hidden="1" outlineLevel="1">
      <c r="B773" s="230" t="s">
        <v>1915</v>
      </c>
      <c r="C773" s="140" t="s">
        <v>2460</v>
      </c>
      <c r="D773" s="129">
        <f t="shared" si="34"/>
        <v>508</v>
      </c>
    </row>
    <row r="774" spans="2:4" hidden="1" outlineLevel="1">
      <c r="B774" s="230" t="s">
        <v>1915</v>
      </c>
      <c r="C774" s="140" t="s">
        <v>1922</v>
      </c>
      <c r="D774" s="129">
        <f t="shared" si="34"/>
        <v>509</v>
      </c>
    </row>
    <row r="775" spans="2:4" hidden="1" outlineLevel="1">
      <c r="B775" s="230" t="s">
        <v>1915</v>
      </c>
      <c r="C775" s="140" t="s">
        <v>1923</v>
      </c>
      <c r="D775" s="129">
        <f t="shared" si="34"/>
        <v>510</v>
      </c>
    </row>
    <row r="776" spans="2:4" hidden="1" outlineLevel="1">
      <c r="B776" s="230" t="s">
        <v>1915</v>
      </c>
      <c r="C776" s="140" t="s">
        <v>1924</v>
      </c>
      <c r="D776" s="129">
        <f t="shared" si="34"/>
        <v>511</v>
      </c>
    </row>
    <row r="777" spans="2:4" hidden="1" outlineLevel="1">
      <c r="B777" s="230" t="s">
        <v>1915</v>
      </c>
      <c r="C777" s="140" t="s">
        <v>1925</v>
      </c>
      <c r="D777" s="129">
        <f t="shared" si="34"/>
        <v>512</v>
      </c>
    </row>
    <row r="778" spans="2:4" hidden="1" outlineLevel="1">
      <c r="B778" s="230" t="s">
        <v>1915</v>
      </c>
      <c r="C778" s="140" t="s">
        <v>2461</v>
      </c>
      <c r="D778" s="129">
        <f t="shared" si="34"/>
        <v>513</v>
      </c>
    </row>
    <row r="779" spans="2:4" hidden="1" outlineLevel="1">
      <c r="B779" s="230" t="s">
        <v>1915</v>
      </c>
      <c r="C779" s="140" t="s">
        <v>1926</v>
      </c>
      <c r="D779" s="129">
        <f t="shared" si="34"/>
        <v>514</v>
      </c>
    </row>
    <row r="780" spans="2:4" hidden="1" outlineLevel="1">
      <c r="B780" s="230" t="s">
        <v>1915</v>
      </c>
      <c r="C780" s="140" t="s">
        <v>1927</v>
      </c>
      <c r="D780" s="129">
        <f t="shared" si="34"/>
        <v>515</v>
      </c>
    </row>
    <row r="781" spans="2:4" hidden="1" outlineLevel="1">
      <c r="B781" s="230" t="s">
        <v>1915</v>
      </c>
      <c r="C781" s="140" t="s">
        <v>1928</v>
      </c>
      <c r="D781" s="129">
        <f t="shared" si="34"/>
        <v>516</v>
      </c>
    </row>
    <row r="782" spans="2:4" hidden="1" outlineLevel="1">
      <c r="B782" s="230" t="s">
        <v>1915</v>
      </c>
      <c r="C782" s="140" t="s">
        <v>1929</v>
      </c>
      <c r="D782" s="129">
        <f t="shared" si="34"/>
        <v>517</v>
      </c>
    </row>
    <row r="783" spans="2:4" hidden="1" outlineLevel="1">
      <c r="B783" s="230" t="s">
        <v>1915</v>
      </c>
      <c r="C783" s="140" t="s">
        <v>1930</v>
      </c>
      <c r="D783" s="129">
        <f t="shared" si="34"/>
        <v>518</v>
      </c>
    </row>
    <row r="784" spans="2:4" hidden="1" outlineLevel="1">
      <c r="B784" s="230" t="s">
        <v>1915</v>
      </c>
      <c r="C784" s="140" t="s">
        <v>1931</v>
      </c>
      <c r="D784" s="129">
        <f t="shared" si="34"/>
        <v>519</v>
      </c>
    </row>
    <row r="785" spans="2:4" hidden="1" outlineLevel="1">
      <c r="B785" s="230" t="s">
        <v>1915</v>
      </c>
      <c r="C785" s="140" t="s">
        <v>2462</v>
      </c>
      <c r="D785" s="129">
        <f t="shared" si="34"/>
        <v>520</v>
      </c>
    </row>
    <row r="786" spans="2:4" hidden="1" outlineLevel="1">
      <c r="B786" s="230" t="s">
        <v>1915</v>
      </c>
      <c r="C786" s="140" t="s">
        <v>2463</v>
      </c>
      <c r="D786" s="129">
        <f t="shared" si="34"/>
        <v>521</v>
      </c>
    </row>
    <row r="787" spans="2:4" hidden="1" outlineLevel="1">
      <c r="B787" s="230" t="s">
        <v>1915</v>
      </c>
      <c r="C787" s="140" t="s">
        <v>2451</v>
      </c>
      <c r="D787" s="129">
        <f t="shared" si="34"/>
        <v>522</v>
      </c>
    </row>
    <row r="788" spans="2:4" hidden="1" outlineLevel="1">
      <c r="B788" s="230" t="s">
        <v>1915</v>
      </c>
      <c r="C788" s="140" t="s">
        <v>2464</v>
      </c>
      <c r="D788" s="129">
        <f t="shared" si="34"/>
        <v>523</v>
      </c>
    </row>
    <row r="789" spans="2:4" hidden="1" outlineLevel="1">
      <c r="B789" s="230" t="s">
        <v>1915</v>
      </c>
      <c r="C789" s="140" t="s">
        <v>2465</v>
      </c>
      <c r="D789" s="129">
        <f t="shared" si="34"/>
        <v>524</v>
      </c>
    </row>
    <row r="790" spans="2:4" hidden="1" outlineLevel="1">
      <c r="B790" s="230" t="s">
        <v>1915</v>
      </c>
      <c r="C790" s="140"/>
      <c r="D790" s="129">
        <f t="shared" si="34"/>
        <v>525</v>
      </c>
    </row>
    <row r="791" spans="2:4" hidden="1" outlineLevel="1">
      <c r="B791" s="230" t="s">
        <v>1915</v>
      </c>
      <c r="C791" s="140"/>
      <c r="D791" s="129">
        <f t="shared" si="34"/>
        <v>526</v>
      </c>
    </row>
    <row r="792" spans="2:4" collapsed="1">
      <c r="B792" s="230"/>
    </row>
    <row r="793" spans="2:4" hidden="1" outlineLevel="1">
      <c r="B793" s="34" t="s">
        <v>1933</v>
      </c>
      <c r="C793" s="165" t="s">
        <v>1934</v>
      </c>
    </row>
    <row r="794" spans="2:4" hidden="1" outlineLevel="1">
      <c r="B794" s="230" t="s">
        <v>1934</v>
      </c>
      <c r="C794" s="36" t="s">
        <v>828</v>
      </c>
      <c r="D794" s="129">
        <v>1</v>
      </c>
    </row>
    <row r="795" spans="2:4" hidden="1" outlineLevel="1">
      <c r="B795" s="230" t="s">
        <v>1934</v>
      </c>
      <c r="C795" s="36" t="s">
        <v>841</v>
      </c>
      <c r="D795" s="129">
        <v>2</v>
      </c>
    </row>
    <row r="796" spans="2:4" hidden="1" outlineLevel="1">
      <c r="B796" s="230" t="s">
        <v>1934</v>
      </c>
      <c r="C796" s="36" t="s">
        <v>1193</v>
      </c>
      <c r="D796" s="129">
        <v>3</v>
      </c>
    </row>
    <row r="797" spans="2:4" hidden="1" outlineLevel="1">
      <c r="B797" s="230" t="s">
        <v>1934</v>
      </c>
      <c r="C797" s="36" t="s">
        <v>1205</v>
      </c>
      <c r="D797" s="129">
        <v>4</v>
      </c>
    </row>
    <row r="798" spans="2:4" hidden="1" outlineLevel="1">
      <c r="B798" s="230" t="s">
        <v>1934</v>
      </c>
      <c r="C798" s="36" t="s">
        <v>1216</v>
      </c>
      <c r="D798" s="129">
        <v>5</v>
      </c>
    </row>
    <row r="799" spans="2:4" hidden="1" outlineLevel="1">
      <c r="B799" s="230" t="s">
        <v>1934</v>
      </c>
      <c r="C799" s="36" t="s">
        <v>1935</v>
      </c>
      <c r="D799" s="129">
        <v>6</v>
      </c>
    </row>
    <row r="800" spans="2:4" hidden="1" outlineLevel="1">
      <c r="B800" s="230" t="s">
        <v>1934</v>
      </c>
      <c r="C800" s="36"/>
      <c r="D800" s="129">
        <v>7</v>
      </c>
    </row>
    <row r="801" spans="2:10" hidden="1" outlineLevel="1">
      <c r="B801" s="230" t="s">
        <v>1934</v>
      </c>
      <c r="C801" s="36"/>
      <c r="D801" s="129"/>
    </row>
    <row r="802" spans="2:10" collapsed="1">
      <c r="B802" s="230"/>
    </row>
    <row r="803" spans="2:10">
      <c r="B803" s="230"/>
    </row>
    <row r="804" spans="2:10">
      <c r="B804" s="34" t="s">
        <v>1936</v>
      </c>
      <c r="C804" s="165" t="s">
        <v>1937</v>
      </c>
    </row>
    <row r="805" spans="2:10" outlineLevel="1">
      <c r="B805" s="230" t="s">
        <v>1937</v>
      </c>
      <c r="C805" s="36" t="str">
        <f>Spek!D76</f>
        <v>MH-02 Brown Doff ( Alm. 86706 ) P3</v>
      </c>
      <c r="D805" s="129">
        <v>1</v>
      </c>
      <c r="F805" s="241" t="s">
        <v>1938</v>
      </c>
      <c r="G805" s="241"/>
      <c r="H805" s="241"/>
      <c r="I805" s="375"/>
      <c r="J805" s="242"/>
    </row>
    <row r="806" spans="2:10" outlineLevel="1">
      <c r="B806" s="230" t="s">
        <v>1937</v>
      </c>
      <c r="C806" s="36" t="str">
        <f>Spek!D77</f>
        <v>MH-02 Brown Doff ( Alm. 86706 ) P3 coak standart</v>
      </c>
      <c r="D806" s="129">
        <v>2</v>
      </c>
      <c r="F806" s="241" t="s">
        <v>1938</v>
      </c>
      <c r="G806" s="241"/>
      <c r="H806" s="241"/>
      <c r="I806" s="375"/>
      <c r="J806" s="242"/>
    </row>
    <row r="807" spans="2:10" outlineLevel="1">
      <c r="B807" s="230" t="s">
        <v>1937</v>
      </c>
      <c r="C807" s="36" t="str">
        <f>Spek!D78</f>
        <v>MH-02 Brown Doff ( Alm. 86706 ) P3 coak khusus</v>
      </c>
      <c r="D807" s="129">
        <v>3</v>
      </c>
      <c r="F807" s="241" t="s">
        <v>1938</v>
      </c>
      <c r="G807" s="241"/>
      <c r="H807" s="241"/>
      <c r="I807" s="375"/>
      <c r="J807" s="242"/>
    </row>
    <row r="808" spans="2:10" outlineLevel="1">
      <c r="B808" s="230" t="s">
        <v>1937</v>
      </c>
      <c r="C808" s="36" t="str">
        <f>Spek!D79</f>
        <v>MH-08 Brown Doff ( Alm. 75289 ) P3</v>
      </c>
      <c r="D808" s="129">
        <v>4</v>
      </c>
      <c r="F808" s="241" t="s">
        <v>1938</v>
      </c>
      <c r="G808" s="241"/>
      <c r="H808" s="241"/>
      <c r="I808" s="375"/>
      <c r="J808" s="242"/>
    </row>
    <row r="809" spans="2:10" outlineLevel="1">
      <c r="B809" s="230" t="s">
        <v>1937</v>
      </c>
      <c r="C809" s="36" t="str">
        <f>Spek!D80</f>
        <v>MH-07 Brown Doff ( Alm. 75272 ) P3</v>
      </c>
      <c r="D809" s="129">
        <v>5</v>
      </c>
    </row>
    <row r="810" spans="2:10" outlineLevel="1">
      <c r="B810" s="230" t="s">
        <v>1937</v>
      </c>
      <c r="C810" s="36" t="str">
        <f>Spek!D81</f>
        <v>MH-04 Black ( Alm. 86705 ) P3</v>
      </c>
      <c r="D810" s="129">
        <v>6</v>
      </c>
    </row>
    <row r="811" spans="2:10" outlineLevel="1">
      <c r="B811" s="230" t="s">
        <v>1937</v>
      </c>
      <c r="C811" s="36" t="str">
        <f>Spek!D82</f>
        <v>MH-04 Black ( Alm. 86705 ) P3 coak standart</v>
      </c>
      <c r="D811" s="129">
        <v>7</v>
      </c>
    </row>
    <row r="812" spans="2:10" outlineLevel="1">
      <c r="B812" s="230" t="s">
        <v>1937</v>
      </c>
      <c r="C812" s="36" t="str">
        <f>Spek!D83</f>
        <v>MH-04 Black ( Alm. 86705 ) P3 coak khusus</v>
      </c>
      <c r="D812" s="129">
        <v>8</v>
      </c>
    </row>
    <row r="813" spans="2:10" outlineLevel="1">
      <c r="B813" s="230" t="s">
        <v>1937</v>
      </c>
      <c r="C813" s="36" t="str">
        <f>Spek!D84</f>
        <v>MH-09 A Brown Doff ( Alm. 75301 ) P3</v>
      </c>
      <c r="D813" s="129">
        <v>9</v>
      </c>
    </row>
    <row r="814" spans="2:10" outlineLevel="1">
      <c r="B814" s="230" t="s">
        <v>1937</v>
      </c>
      <c r="C814" s="36" t="str">
        <f>Spek!D85</f>
        <v>MH-09 B Brown Doff ( Alm. MF 75303 R ) P3</v>
      </c>
      <c r="D814" s="129">
        <v>10</v>
      </c>
    </row>
    <row r="815" spans="2:10" outlineLevel="1">
      <c r="B815" s="230" t="s">
        <v>1937</v>
      </c>
      <c r="C815" s="36"/>
      <c r="D815" s="129">
        <v>11</v>
      </c>
    </row>
    <row r="816" spans="2:10">
      <c r="B816" s="230"/>
    </row>
    <row r="817" spans="1:6">
      <c r="B817" s="34" t="s">
        <v>1939</v>
      </c>
      <c r="C817" s="165" t="s">
        <v>1940</v>
      </c>
    </row>
    <row r="818" spans="1:6" hidden="1" outlineLevel="1">
      <c r="B818" s="230" t="s">
        <v>1940</v>
      </c>
      <c r="C818" s="36" t="s">
        <v>869</v>
      </c>
      <c r="D818" s="129">
        <v>1</v>
      </c>
    </row>
    <row r="819" spans="1:6" hidden="1" outlineLevel="1">
      <c r="B819" s="230" t="s">
        <v>1940</v>
      </c>
      <c r="C819" s="36" t="s">
        <v>1941</v>
      </c>
      <c r="D819" s="129">
        <v>2</v>
      </c>
    </row>
    <row r="820" spans="1:6" hidden="1" outlineLevel="1">
      <c r="B820" s="230" t="s">
        <v>1940</v>
      </c>
      <c r="C820" s="36" t="s">
        <v>1942</v>
      </c>
      <c r="D820" s="129">
        <v>3</v>
      </c>
    </row>
    <row r="821" spans="1:6" hidden="1" outlineLevel="1">
      <c r="B821" s="230" t="s">
        <v>1940</v>
      </c>
      <c r="C821" s="36"/>
      <c r="D821" s="129">
        <v>4</v>
      </c>
    </row>
    <row r="822" spans="1:6" hidden="1" outlineLevel="1">
      <c r="B822" s="230" t="s">
        <v>1940</v>
      </c>
      <c r="C822" s="36"/>
      <c r="D822" s="129"/>
    </row>
    <row r="823" spans="1:6" collapsed="1">
      <c r="B823" s="230"/>
    </row>
    <row r="824" spans="1:6">
      <c r="B824" s="230"/>
    </row>
    <row r="825" spans="1:6">
      <c r="A825" s="215" t="s">
        <v>1943</v>
      </c>
      <c r="B825" s="34" t="s">
        <v>1944</v>
      </c>
      <c r="C825" s="165" t="s">
        <v>1945</v>
      </c>
    </row>
    <row r="826" spans="1:6" outlineLevel="1">
      <c r="A826" s="215">
        <v>0</v>
      </c>
      <c r="B826" s="230" t="s">
        <v>1945</v>
      </c>
      <c r="C826" s="36" t="str">
        <f>Spek!D88</f>
        <v>M-FRM Tutup Belakang Brown Doff ( Alm. 75225 ) P3</v>
      </c>
      <c r="D826" s="129">
        <v>1</v>
      </c>
      <c r="F826" s="216" t="s">
        <v>1946</v>
      </c>
    </row>
    <row r="827" spans="1:6" outlineLevel="1">
      <c r="A827" s="215">
        <v>1</v>
      </c>
      <c r="B827" s="230" t="s">
        <v>1945</v>
      </c>
      <c r="C827" s="36" t="str">
        <f>Spek!D89</f>
        <v>M-FRM Body Brown Doff ( Alm. 75226 ) P3</v>
      </c>
      <c r="D827" s="129">
        <v>2</v>
      </c>
      <c r="F827" s="216" t="s">
        <v>1947</v>
      </c>
    </row>
    <row r="828" spans="1:6" outlineLevel="1">
      <c r="A828" s="215">
        <v>2</v>
      </c>
      <c r="B828" s="230" t="s">
        <v>1945</v>
      </c>
      <c r="C828" s="36" t="str">
        <f>Spek!D90</f>
        <v>M-FRM-07 Brown Doff ( Alm. 75355 ) P3</v>
      </c>
      <c r="D828" s="129">
        <v>3</v>
      </c>
      <c r="F828" s="216" t="s">
        <v>1948</v>
      </c>
    </row>
    <row r="829" spans="1:6" outlineLevel="1">
      <c r="A829" s="215">
        <v>3</v>
      </c>
      <c r="B829" s="230" t="s">
        <v>1945</v>
      </c>
      <c r="C829" s="36" t="str">
        <f>Spek!D91</f>
        <v>M-FRM-02 Black Doff ( Alm. 75227 ) P3</v>
      </c>
      <c r="D829" s="129">
        <v>4</v>
      </c>
      <c r="F829" s="216" t="s">
        <v>1949</v>
      </c>
    </row>
    <row r="830" spans="1:6" outlineLevel="1">
      <c r="A830" s="215">
        <v>4</v>
      </c>
      <c r="B830" s="230" t="s">
        <v>1945</v>
      </c>
      <c r="C830" s="36" t="str">
        <f>Spek!D92</f>
        <v>M-FRM-03 Black Doff ( Alm. 75229 ) P3</v>
      </c>
      <c r="D830" s="129">
        <v>5</v>
      </c>
      <c r="F830" s="216" t="s">
        <v>1950</v>
      </c>
    </row>
    <row r="831" spans="1:6" outlineLevel="1">
      <c r="A831" s="215">
        <v>5</v>
      </c>
      <c r="B831" s="230" t="s">
        <v>1945</v>
      </c>
      <c r="C831" s="36" t="str">
        <f>Spek!D93</f>
        <v>M-SHF-01/02 Brown Doff ( Alm. 75109 ) P3</v>
      </c>
      <c r="D831" s="129">
        <v>6</v>
      </c>
      <c r="F831" s="216" t="s">
        <v>1951</v>
      </c>
    </row>
    <row r="832" spans="1:6" outlineLevel="1">
      <c r="A832" s="215">
        <v>6</v>
      </c>
      <c r="B832" s="230" t="s">
        <v>1945</v>
      </c>
      <c r="C832" s="36" t="str">
        <f>Spek!D94</f>
        <v>LS-01 Brown Doff ( Alm. 86599 ) P3</v>
      </c>
      <c r="D832" s="129">
        <v>7</v>
      </c>
      <c r="F832" s="216" t="s">
        <v>1952</v>
      </c>
    </row>
    <row r="833" spans="1:6" outlineLevel="1">
      <c r="A833" s="215">
        <v>7</v>
      </c>
      <c r="B833" s="230" t="s">
        <v>1945</v>
      </c>
      <c r="C833" s="36" t="str">
        <f>Spek!D95</f>
        <v>Alm. 75283 ( M-FRM-05 ) MENTAH P6</v>
      </c>
      <c r="D833" s="129">
        <v>8</v>
      </c>
      <c r="F833" s="216" t="s">
        <v>1953</v>
      </c>
    </row>
    <row r="834" spans="1:6" outlineLevel="1">
      <c r="A834" s="215">
        <v>8</v>
      </c>
      <c r="B834" s="230" t="s">
        <v>1945</v>
      </c>
      <c r="C834" s="36" t="str">
        <f>Spek!D96</f>
        <v>Alm. 75284 ( M-FRM-05 ) MENTAH P6</v>
      </c>
      <c r="D834" s="129">
        <v>9</v>
      </c>
      <c r="F834" s="216" t="s">
        <v>1954</v>
      </c>
    </row>
    <row r="835" spans="1:6" outlineLevel="1">
      <c r="A835" s="215">
        <v>9</v>
      </c>
      <c r="B835" s="230" t="s">
        <v>1945</v>
      </c>
      <c r="C835" s="36" t="str">
        <f>Spek!D97</f>
        <v>Mullion Luar Black Doff ( Alm. 75114 ) P3</v>
      </c>
      <c r="D835" s="129">
        <v>10</v>
      </c>
      <c r="F835" s="216" t="s">
        <v>1955</v>
      </c>
    </row>
    <row r="836" spans="1:6" outlineLevel="1">
      <c r="A836" s="215">
        <v>10</v>
      </c>
      <c r="B836" s="230" t="s">
        <v>1945</v>
      </c>
      <c r="C836" s="36" t="str">
        <f>Spek!D98</f>
        <v>Mullion Dalam Black Doff ( Alm. 41316 ) P3</v>
      </c>
      <c r="D836" s="129">
        <v>11</v>
      </c>
      <c r="F836" s="216" t="s">
        <v>1956</v>
      </c>
    </row>
    <row r="837" spans="1:6" outlineLevel="1">
      <c r="A837" s="215">
        <v>11</v>
      </c>
      <c r="B837" s="230" t="s">
        <v>1945</v>
      </c>
      <c r="C837" s="36" t="str">
        <f>Spek!D99</f>
        <v>Alm. 75354 ( Mulion M-FRM-07 ) CA1 P6</v>
      </c>
      <c r="D837" s="129">
        <v>12</v>
      </c>
      <c r="F837" s="216" t="s">
        <v>3454</v>
      </c>
    </row>
    <row r="838" spans="1:6" outlineLevel="1">
      <c r="A838" s="215">
        <v>12</v>
      </c>
      <c r="B838" s="230" t="s">
        <v>1945</v>
      </c>
      <c r="C838" s="36" t="str">
        <f>Spek!D100</f>
        <v>LS-02 Black Gloss ( Alm. 10321 ) P3</v>
      </c>
      <c r="D838" s="129">
        <v>13</v>
      </c>
      <c r="F838" s="216" t="s">
        <v>3455</v>
      </c>
    </row>
    <row r="839" spans="1:6" outlineLevel="1">
      <c r="A839" s="215">
        <v>13</v>
      </c>
      <c r="B839" s="230" t="s">
        <v>1945</v>
      </c>
      <c r="C839" s="36" t="str">
        <f>Spek!D101</f>
        <v>Mullion Dalam Black Doff ( Alm. 41316 ) P3</v>
      </c>
      <c r="D839" s="129">
        <v>14</v>
      </c>
      <c r="F839" s="216" t="s">
        <v>3456</v>
      </c>
    </row>
    <row r="840" spans="1:6" outlineLevel="1">
      <c r="A840" s="215">
        <v>14</v>
      </c>
      <c r="B840" s="230" t="s">
        <v>1945</v>
      </c>
      <c r="C840" s="36" t="str">
        <f>Spek!D102</f>
        <v>Mullion Dalam Mocha Gloss ( Alm. 41316 ) P3</v>
      </c>
      <c r="D840" s="129">
        <v>15</v>
      </c>
      <c r="F840" s="216" t="s">
        <v>3457</v>
      </c>
    </row>
    <row r="841" spans="1:6" outlineLevel="1">
      <c r="B841" s="230" t="s">
        <v>1945</v>
      </c>
      <c r="C841" s="36"/>
      <c r="D841" s="129">
        <v>16</v>
      </c>
    </row>
    <row r="844" spans="1:6" outlineLevel="1">
      <c r="B844" s="383" t="str">
        <f>CONCATENATE($D$827,$D$827,$D$827,$D$827)</f>
        <v>2222</v>
      </c>
      <c r="C844" s="147" t="s">
        <v>1957</v>
      </c>
    </row>
    <row r="845" spans="1:6" outlineLevel="1">
      <c r="B845" s="384" t="str">
        <f>CONCATENATE($D$828,$D$827,$D$827,$D$827)</f>
        <v>3222</v>
      </c>
      <c r="C845" s="248" t="s">
        <v>1958</v>
      </c>
    </row>
    <row r="846" spans="1:6" outlineLevel="1">
      <c r="B846" s="384" t="str">
        <f>CONCATENATE($D$827,$D$828,$D$827,$D$827)</f>
        <v>2322</v>
      </c>
      <c r="C846" s="248" t="s">
        <v>1958</v>
      </c>
    </row>
    <row r="847" spans="1:6" outlineLevel="1">
      <c r="B847" s="384" t="str">
        <f>CONCATENATE($D$828,$D$828,$D$827,$D$827)</f>
        <v>3322</v>
      </c>
      <c r="C847" s="248" t="s">
        <v>1959</v>
      </c>
    </row>
    <row r="848" spans="1:6" outlineLevel="1">
      <c r="B848" s="384" t="str">
        <f>CONCATENATE($D$827,$D$827,$D$828,$D$827)</f>
        <v>2232</v>
      </c>
      <c r="C848" s="248" t="s">
        <v>1960</v>
      </c>
    </row>
    <row r="849" spans="2:3" outlineLevel="1">
      <c r="B849" s="384" t="str">
        <f>CONCATENATE($D$827,$D$827,$D$827,$D$828)</f>
        <v>2223</v>
      </c>
      <c r="C849" s="248" t="s">
        <v>1960</v>
      </c>
    </row>
    <row r="850" spans="2:3" outlineLevel="1">
      <c r="B850" s="34" t="str">
        <f>CONCATENATE($D$827,$D$827,$D$828,$D$828)</f>
        <v>2233</v>
      </c>
      <c r="C850" t="s">
        <v>1961</v>
      </c>
    </row>
    <row r="851" spans="2:3" outlineLevel="1">
      <c r="B851" s="34" t="str">
        <f>CONCATENATE($D$828,$D$828,$D$828,$D$828)</f>
        <v>3333</v>
      </c>
      <c r="C851" t="s">
        <v>1957</v>
      </c>
    </row>
    <row r="852" spans="2:3" outlineLevel="1">
      <c r="B852" s="384" t="str">
        <f>CONCATENATE($D$827,$D$829,$D$827,$D$827)</f>
        <v>2422</v>
      </c>
      <c r="C852" s="248" t="s">
        <v>1958</v>
      </c>
    </row>
    <row r="853" spans="2:3" outlineLevel="1">
      <c r="B853" s="384" t="str">
        <f>CONCATENATE($D$829,$D$827,$D$827,$D$827)</f>
        <v>4222</v>
      </c>
      <c r="C853" s="248" t="s">
        <v>1958</v>
      </c>
    </row>
    <row r="854" spans="2:3" outlineLevel="1">
      <c r="B854" s="384" t="str">
        <f>CONCATENATE($D$827,$D$827,$D$829,$D$827)</f>
        <v>2242</v>
      </c>
      <c r="C854" s="248" t="s">
        <v>1960</v>
      </c>
    </row>
    <row r="855" spans="2:3" outlineLevel="1">
      <c r="B855" s="384" t="str">
        <f>CONCATENATE($D$827,$D$827,$D$827,$D$829)</f>
        <v>2224</v>
      </c>
      <c r="C855" s="248" t="s">
        <v>1960</v>
      </c>
    </row>
    <row r="856" spans="2:3" outlineLevel="1">
      <c r="B856" s="384" t="str">
        <f>CONCATENATE($D$827,$D$830,$D$827,$D$827)</f>
        <v>2522</v>
      </c>
      <c r="C856" s="248" t="s">
        <v>1958</v>
      </c>
    </row>
    <row r="857" spans="2:3" outlineLevel="1">
      <c r="B857" s="384" t="str">
        <f>CONCATENATE($D$830,$D$827,$D$827,$D$827)</f>
        <v>5222</v>
      </c>
      <c r="C857" s="248" t="s">
        <v>1958</v>
      </c>
    </row>
    <row r="858" spans="2:3" outlineLevel="1">
      <c r="B858" s="384" t="str">
        <f>CONCATENATE($D$830,$D$830,$D$827,$D$827)</f>
        <v>5522</v>
      </c>
      <c r="C858" s="248" t="s">
        <v>1959</v>
      </c>
    </row>
    <row r="859" spans="2:3" outlineLevel="1">
      <c r="B859" s="384" t="str">
        <f>CONCATENATE($D$827,$D$827,$D$830,$D$827)</f>
        <v>2252</v>
      </c>
      <c r="C859" s="248" t="s">
        <v>1960</v>
      </c>
    </row>
    <row r="860" spans="2:3" outlineLevel="1">
      <c r="B860" s="384" t="str">
        <f>CONCATENATE($D$827,$D$827,$D$827,$D$830)</f>
        <v>2225</v>
      </c>
      <c r="C860" s="248" t="s">
        <v>1960</v>
      </c>
    </row>
    <row r="861" spans="2:3" outlineLevel="1">
      <c r="B861" s="384" t="str">
        <f>CONCATENATE($D$827,$D$827,$D$827,$D$830)</f>
        <v>2225</v>
      </c>
      <c r="C861" s="248" t="s">
        <v>1960</v>
      </c>
    </row>
    <row r="862" spans="2:3" outlineLevel="1">
      <c r="B862" s="384" t="str">
        <f>CONCATENATE($D$831,$D$831,$D$831,$D$831)</f>
        <v>6666</v>
      </c>
      <c r="C862" s="63" t="s">
        <v>1409</v>
      </c>
    </row>
    <row r="863" spans="2:3" outlineLevel="1">
      <c r="B863" s="384" t="str">
        <f>CONCATENATE($D$832,$D$832,$D$832,$D$832)</f>
        <v>7777</v>
      </c>
      <c r="C863" s="63" t="s">
        <v>1409</v>
      </c>
    </row>
    <row r="864" spans="2:3" outlineLevel="1">
      <c r="B864" s="384" t="str">
        <f>CONCATENATE($D$833,$D$833,$D$834,$D$834)</f>
        <v>8899</v>
      </c>
      <c r="C864" s="248" t="s">
        <v>1959</v>
      </c>
    </row>
    <row r="865" spans="2:11" outlineLevel="1">
      <c r="B865" s="384"/>
      <c r="C865" s="248"/>
    </row>
    <row r="866" spans="2:11" outlineLevel="1">
      <c r="B866" s="385"/>
      <c r="C866" s="249"/>
    </row>
    <row r="869" spans="2:11">
      <c r="B869" s="230" t="s">
        <v>1962</v>
      </c>
      <c r="C869" s="250" t="s">
        <v>1963</v>
      </c>
    </row>
    <row r="870" spans="2:11" outlineLevel="1">
      <c r="B870" s="373" t="s">
        <v>1963</v>
      </c>
      <c r="C870" s="465" t="str">
        <f>Spek!D105</f>
        <v>ENGSEL CLIP TOP  107 DEG INTEGRATED 75 B 1550 + 173 L 6100</v>
      </c>
      <c r="D870" s="1">
        <v>1</v>
      </c>
      <c r="F870" s="34" t="s">
        <v>1964</v>
      </c>
      <c r="G870" s="34"/>
      <c r="H870" s="34"/>
      <c r="I870" s="34"/>
      <c r="J870" s="1"/>
      <c r="K870" s="241" t="s">
        <v>1938</v>
      </c>
    </row>
    <row r="871" spans="2:11" outlineLevel="1">
      <c r="B871" s="373" t="s">
        <v>1963</v>
      </c>
      <c r="C871" s="466" t="str">
        <f>Spek!D106</f>
        <v>ENGSEL SALICE PUSH.TIP ON FOR DOOR</v>
      </c>
      <c r="D871" s="1">
        <v>2</v>
      </c>
      <c r="F871" s="34" t="s">
        <v>1965</v>
      </c>
      <c r="G871" s="34"/>
      <c r="H871" s="34"/>
      <c r="I871" s="34"/>
      <c r="J871" s="1"/>
      <c r="K871" s="241" t="s">
        <v>1938</v>
      </c>
    </row>
    <row r="872" spans="2:11" outlineLevel="1">
      <c r="B872" s="373" t="s">
        <v>1963</v>
      </c>
      <c r="C872" s="466" t="str">
        <f>Spek!D107</f>
        <v xml:space="preserve">ENGSEL 155 DRAJAT  71 B 7550   </v>
      </c>
      <c r="D872" s="1">
        <v>3</v>
      </c>
      <c r="F872" s="34" t="s">
        <v>1966</v>
      </c>
      <c r="G872" s="34"/>
      <c r="H872" s="34"/>
      <c r="I872" s="34"/>
      <c r="J872" s="1"/>
      <c r="K872" s="241" t="s">
        <v>1938</v>
      </c>
    </row>
    <row r="873" spans="2:11" outlineLevel="1">
      <c r="B873" s="373" t="s">
        <v>1963</v>
      </c>
      <c r="C873" s="466" t="str">
        <f>Spek!D108</f>
        <v>ENGSEL BIFOLD</v>
      </c>
      <c r="D873" s="1">
        <v>4</v>
      </c>
      <c r="F873" s="34" t="s">
        <v>1967</v>
      </c>
      <c r="G873" s="34"/>
      <c r="H873" s="34"/>
      <c r="I873" s="34"/>
      <c r="J873" s="1"/>
      <c r="K873" s="241" t="s">
        <v>1938</v>
      </c>
    </row>
    <row r="874" spans="2:11" outlineLevel="1">
      <c r="B874" s="373" t="s">
        <v>1963</v>
      </c>
      <c r="C874" s="466" t="str">
        <f>Spek!D109</f>
        <v>ENGSEL 79M9550 BLIND CORNER</v>
      </c>
      <c r="D874" s="1">
        <v>5</v>
      </c>
      <c r="F874" s="34" t="s">
        <v>1968</v>
      </c>
      <c r="G874" s="34"/>
      <c r="H874" s="34"/>
      <c r="I874" s="34"/>
      <c r="J874" s="1"/>
      <c r="K874" s="241" t="s">
        <v>1938</v>
      </c>
    </row>
    <row r="875" spans="2:11" outlineLevel="1">
      <c r="B875" s="373" t="s">
        <v>1963</v>
      </c>
      <c r="C875" s="466" t="str">
        <f>Spek!D110</f>
        <v>ENGSEL  S 8657i B12 TH52</v>
      </c>
      <c r="D875" s="1">
        <v>6</v>
      </c>
      <c r="F875" s="34" t="s">
        <v>1969</v>
      </c>
      <c r="G875" s="34"/>
      <c r="H875" s="34"/>
      <c r="I875" s="34"/>
      <c r="J875" s="1"/>
      <c r="K875" s="241" t="s">
        <v>1938</v>
      </c>
    </row>
    <row r="876" spans="2:11" outlineLevel="1">
      <c r="B876" s="373" t="s">
        <v>1963</v>
      </c>
      <c r="C876" s="466" t="str">
        <f>Spek!D111</f>
        <v>ENGSEL 9936 W45 C6</v>
      </c>
      <c r="D876" s="1">
        <v>7</v>
      </c>
      <c r="F876" s="34" t="s">
        <v>2423</v>
      </c>
      <c r="G876" s="34"/>
      <c r="H876" s="34"/>
      <c r="I876" s="34"/>
      <c r="J876" s="1"/>
      <c r="K876" s="241" t="s">
        <v>1938</v>
      </c>
    </row>
    <row r="877" spans="2:11" outlineLevel="1">
      <c r="B877" s="373" t="s">
        <v>1963</v>
      </c>
      <c r="C877" s="466" t="str">
        <f>Spek!D112</f>
        <v>Engsel Sensys Full Bengkok C 16-110 DERAJAT 907 1207</v>
      </c>
      <c r="D877" s="1">
        <v>8</v>
      </c>
      <c r="F877" s="34" t="s">
        <v>2424</v>
      </c>
      <c r="G877" s="34"/>
      <c r="H877" s="34"/>
      <c r="I877" s="34"/>
      <c r="J877" s="1"/>
      <c r="K877" s="241" t="s">
        <v>1938</v>
      </c>
    </row>
    <row r="878" spans="2:11" outlineLevel="1">
      <c r="B878" s="373" t="s">
        <v>1963</v>
      </c>
      <c r="C878" s="466" t="str">
        <f>Spek!D113</f>
        <v>ENGSEL MEPLA FLAP DOOR</v>
      </c>
      <c r="D878" s="1">
        <v>9</v>
      </c>
      <c r="F878" s="34" t="s">
        <v>2425</v>
      </c>
      <c r="G878" s="34"/>
      <c r="H878" s="34"/>
      <c r="I878" s="34"/>
      <c r="J878" s="1"/>
      <c r="K878" s="241" t="s">
        <v>1938</v>
      </c>
    </row>
    <row r="879" spans="2:11" outlineLevel="1">
      <c r="B879" s="373" t="s">
        <v>1963</v>
      </c>
      <c r="C879" s="466" t="str">
        <f>Spek!D114</f>
        <v>RDK-52A FOLDING HINGE</v>
      </c>
      <c r="D879" s="1">
        <v>10</v>
      </c>
      <c r="F879" s="34" t="s">
        <v>2426</v>
      </c>
      <c r="G879" s="34"/>
      <c r="H879" s="34"/>
      <c r="I879" s="34"/>
      <c r="J879" s="1"/>
      <c r="K879" s="241" t="s">
        <v>1938</v>
      </c>
    </row>
    <row r="880" spans="2:11" outlineLevel="1">
      <c r="B880" s="373" t="s">
        <v>1963</v>
      </c>
      <c r="C880" s="466"/>
      <c r="D880" s="1">
        <v>11</v>
      </c>
      <c r="F880" s="34"/>
      <c r="G880" s="34"/>
      <c r="H880" s="34"/>
      <c r="I880" s="34"/>
      <c r="J880" s="1"/>
      <c r="K880" s="241"/>
    </row>
    <row r="881" spans="2:11" outlineLevel="1">
      <c r="B881" s="373" t="s">
        <v>1963</v>
      </c>
      <c r="C881" s="466"/>
      <c r="D881" s="1">
        <v>12</v>
      </c>
      <c r="F881" s="34"/>
      <c r="G881" s="34"/>
      <c r="H881" s="34"/>
      <c r="I881" s="34"/>
      <c r="J881" s="1"/>
      <c r="K881" s="241"/>
    </row>
    <row r="882" spans="2:11" outlineLevel="1">
      <c r="B882" s="373" t="s">
        <v>1963</v>
      </c>
      <c r="C882" s="397"/>
      <c r="D882" s="1">
        <v>13</v>
      </c>
      <c r="K882" s="34"/>
    </row>
    <row r="884" spans="2:11">
      <c r="B884" s="34" t="s">
        <v>1970</v>
      </c>
      <c r="C884" s="250" t="s">
        <v>1971</v>
      </c>
    </row>
    <row r="885" spans="2:11" outlineLevel="1">
      <c r="B885" s="373" t="s">
        <v>1971</v>
      </c>
      <c r="C885" s="251" t="str">
        <f>Spek!D116</f>
        <v>LEGRA S1 ORION GREY (OG</v>
      </c>
      <c r="D885" s="1">
        <v>1</v>
      </c>
      <c r="F885" t="s">
        <v>1972</v>
      </c>
      <c r="G885"/>
      <c r="H885"/>
      <c r="I885" s="34"/>
      <c r="J885" s="1"/>
      <c r="K885" s="241" t="s">
        <v>1938</v>
      </c>
    </row>
    <row r="886" spans="2:11" outlineLevel="1">
      <c r="B886" s="373" t="s">
        <v>1971</v>
      </c>
      <c r="C886" s="251" t="str">
        <f>Spek!D117</f>
        <v>LEGRABOX S4 OG (ORION GREY)</v>
      </c>
      <c r="D886" s="1">
        <v>2</v>
      </c>
      <c r="F886" t="s">
        <v>1973</v>
      </c>
      <c r="G886"/>
      <c r="H886"/>
      <c r="I886" s="34"/>
      <c r="J886" s="1"/>
      <c r="K886" s="241" t="s">
        <v>1938</v>
      </c>
    </row>
    <row r="887" spans="2:11" outlineLevel="1">
      <c r="B887" s="373" t="s">
        <v>1971</v>
      </c>
      <c r="C887" s="251" t="str">
        <f>Spek!D118</f>
        <v>REL TANDEM BLUM SINGLE EXT INTG P.500</v>
      </c>
      <c r="D887" s="1">
        <v>3</v>
      </c>
      <c r="F887" t="s">
        <v>1974</v>
      </c>
      <c r="G887"/>
      <c r="H887"/>
      <c r="I887" s="34"/>
      <c r="J887" s="1"/>
      <c r="K887" s="241" t="s">
        <v>1938</v>
      </c>
    </row>
    <row r="888" spans="2:11" outlineLevel="1">
      <c r="B888" s="373" t="s">
        <v>1971</v>
      </c>
      <c r="C888" s="251" t="str">
        <f>Spek!D119</f>
        <v>REL TANDEM BLUM FULL EXT INTG P.500</v>
      </c>
      <c r="D888" s="1">
        <v>4</v>
      </c>
      <c r="F888" t="s">
        <v>1975</v>
      </c>
      <c r="G888"/>
      <c r="H888"/>
      <c r="I888" s="34"/>
      <c r="J888" s="1"/>
      <c r="K888" s="241" t="s">
        <v>1938</v>
      </c>
    </row>
    <row r="889" spans="2:11" outlineLevel="1">
      <c r="B889" s="373" t="s">
        <v>1971</v>
      </c>
      <c r="C889" s="251" t="str">
        <f>Spek!D120</f>
        <v>REL TANDEM BLUM FULL EXT INTG P.400</v>
      </c>
      <c r="D889" s="1">
        <v>5</v>
      </c>
      <c r="F889" t="s">
        <v>2401</v>
      </c>
      <c r="G889"/>
      <c r="H889"/>
      <c r="I889" s="34"/>
      <c r="J889" s="1"/>
      <c r="K889" s="241" t="s">
        <v>1938</v>
      </c>
    </row>
    <row r="890" spans="2:11" outlineLevel="1">
      <c r="B890" s="373" t="s">
        <v>1971</v>
      </c>
      <c r="C890" s="251" t="str">
        <f>Spek!D121</f>
        <v>LACI B1S1 INTE BLUMO</v>
      </c>
      <c r="D890" s="1">
        <v>6</v>
      </c>
      <c r="F890" t="s">
        <v>2402</v>
      </c>
      <c r="G890"/>
      <c r="H890"/>
      <c r="I890" s="34"/>
      <c r="J890" s="1"/>
      <c r="K890" s="241" t="s">
        <v>1938</v>
      </c>
    </row>
    <row r="891" spans="2:11" outlineLevel="1">
      <c r="B891" s="373" t="s">
        <v>1971</v>
      </c>
      <c r="C891" s="251" t="str">
        <f>Spek!D122</f>
        <v>B1S2 GREY INTEG.BM</v>
      </c>
      <c r="D891" s="1">
        <v>7</v>
      </c>
      <c r="F891" t="s">
        <v>2403</v>
      </c>
      <c r="G891"/>
      <c r="H891"/>
      <c r="I891" s="34"/>
      <c r="J891" s="1"/>
      <c r="K891" s="241" t="s">
        <v>1938</v>
      </c>
    </row>
    <row r="892" spans="2:11" outlineLevel="1">
      <c r="B892" s="373" t="s">
        <v>1971</v>
      </c>
      <c r="C892" s="251" t="str">
        <f>Spek!D123</f>
        <v>REL TANDEM BLUM SINGLE EXT INTG P.450</v>
      </c>
      <c r="D892" s="1">
        <v>8</v>
      </c>
      <c r="F892" t="s">
        <v>2404</v>
      </c>
      <c r="G892"/>
      <c r="H892"/>
      <c r="I892" s="34"/>
      <c r="J892" s="1"/>
      <c r="K892" s="241" t="s">
        <v>1938</v>
      </c>
    </row>
    <row r="893" spans="2:11" outlineLevel="1">
      <c r="B893" s="373" t="s">
        <v>1971</v>
      </c>
      <c r="C893" s="251" t="str">
        <f>Spek!D124</f>
        <v>MERIVOBOX MVX S1 SW 500 40 BM</v>
      </c>
      <c r="D893" s="1">
        <v>9</v>
      </c>
      <c r="F893" t="s">
        <v>2411</v>
      </c>
      <c r="G893"/>
      <c r="H893"/>
      <c r="I893" s="34"/>
      <c r="J893" s="1"/>
      <c r="K893" s="241" t="s">
        <v>1938</v>
      </c>
    </row>
    <row r="894" spans="2:11" outlineLevel="1">
      <c r="B894" s="373" t="s">
        <v>1971</v>
      </c>
      <c r="C894" s="251" t="str">
        <f>Spek!D125</f>
        <v>MERIVOBOX MVX S4 SW 500 70 BM</v>
      </c>
      <c r="D894" s="1">
        <v>10</v>
      </c>
      <c r="F894" t="s">
        <v>2412</v>
      </c>
      <c r="G894"/>
      <c r="H894"/>
      <c r="I894" s="34"/>
      <c r="J894" s="1"/>
      <c r="K894" s="241" t="s">
        <v>1938</v>
      </c>
    </row>
    <row r="895" spans="2:11" outlineLevel="1">
      <c r="B895" s="373" t="s">
        <v>1971</v>
      </c>
      <c r="C895" s="251" t="str">
        <f>Spek!D126</f>
        <v>LACI MERIVOBOX S2 + KACA ORION GREY</v>
      </c>
      <c r="D895" s="1">
        <v>11</v>
      </c>
      <c r="F895"/>
      <c r="G895"/>
      <c r="H895"/>
      <c r="I895" s="34"/>
      <c r="J895" s="1"/>
      <c r="K895" s="241"/>
    </row>
    <row r="896" spans="2:11" outlineLevel="1">
      <c r="B896" s="373" t="s">
        <v>1971</v>
      </c>
      <c r="C896" s="251" t="str">
        <f>Spek!D127</f>
        <v>QUADRO V6 SFP FL 500 EB 20 TIP ON HETTICH L/R</v>
      </c>
      <c r="D896" s="1">
        <v>12</v>
      </c>
      <c r="F896"/>
      <c r="G896"/>
      <c r="H896"/>
      <c r="I896" s="34"/>
      <c r="J896" s="1"/>
      <c r="K896" s="241"/>
    </row>
    <row r="897" spans="2:11" outlineLevel="1">
      <c r="B897" s="373" t="s">
        <v>1971</v>
      </c>
      <c r="C897" s="251" t="str">
        <f>Spek!D128</f>
        <v>Avantech You 101 P.500mm</v>
      </c>
      <c r="D897" s="1">
        <v>13</v>
      </c>
      <c r="F897"/>
      <c r="G897"/>
      <c r="H897"/>
      <c r="I897" s="34"/>
      <c r="J897" s="1"/>
      <c r="K897" s="241"/>
    </row>
    <row r="898" spans="2:11" outlineLevel="1">
      <c r="B898" s="373" t="s">
        <v>1971</v>
      </c>
      <c r="C898" s="251" t="str">
        <f>Spek!D129</f>
        <v>Avantech You 251 P.500mm</v>
      </c>
      <c r="D898" s="1">
        <v>14</v>
      </c>
      <c r="F898"/>
      <c r="G898"/>
      <c r="H898"/>
      <c r="I898" s="34"/>
      <c r="J898" s="1"/>
      <c r="K898" s="241"/>
    </row>
    <row r="899" spans="2:11" outlineLevel="1"/>
    <row r="901" spans="2:11">
      <c r="C901" s="252" t="s">
        <v>1976</v>
      </c>
    </row>
    <row r="902" spans="2:11" outlineLevel="1">
      <c r="B902" s="246" t="s">
        <v>1976</v>
      </c>
      <c r="C902" t="str">
        <f>Spek!D69</f>
        <v>M-LED-02 Brown Doff ( Alm. 75111 ) P3</v>
      </c>
      <c r="D902" s="1">
        <v>1</v>
      </c>
    </row>
    <row r="903" spans="2:11" outlineLevel="1">
      <c r="B903" s="246" t="s">
        <v>1976</v>
      </c>
      <c r="C903" t="str">
        <f>Spek!D70</f>
        <v>M-PRF-01 Brown Doff ( Alm. 75110 ) P3</v>
      </c>
      <c r="D903" s="1">
        <v>2</v>
      </c>
    </row>
    <row r="904" spans="2:11" outlineLevel="1">
      <c r="B904" s="246" t="s">
        <v>1976</v>
      </c>
      <c r="C904" t="str">
        <f>Spek!D71</f>
        <v>M-LIST-01 Brown Doff ( Alm. 75112 ) P3</v>
      </c>
      <c r="D904" s="1">
        <v>3</v>
      </c>
    </row>
    <row r="905" spans="2:11" outlineLevel="1">
      <c r="B905" s="246" t="s">
        <v>1976</v>
      </c>
      <c r="C905" t="str">
        <f>Spek!D72</f>
        <v>List Kaca Black Doff ( Alm. 6600/6599 ) P2.8</v>
      </c>
      <c r="D905" s="1">
        <v>4</v>
      </c>
    </row>
    <row r="906" spans="2:11" outlineLevel="1">
      <c r="B906" s="246" t="s">
        <v>1976</v>
      </c>
      <c r="C906" t="str">
        <f>Spek!D73</f>
        <v>M-PLT-01 Brown Doff ( Alm. 75256 ) P3</v>
      </c>
      <c r="D906" s="1">
        <v>5</v>
      </c>
    </row>
    <row r="907" spans="2:11" outlineLevel="1">
      <c r="B907" s="246" t="s">
        <v>1976</v>
      </c>
      <c r="C907" t="str">
        <f>Spek!D74</f>
        <v>M-PLT-02 Brown Doff ( Alm. 85830 ) P3</v>
      </c>
      <c r="D907" s="1">
        <v>6</v>
      </c>
    </row>
    <row r="908" spans="2:11" outlineLevel="1">
      <c r="B908" s="246"/>
    </row>
    <row r="909" spans="2:11" outlineLevel="1"/>
    <row r="911" spans="2:11">
      <c r="C911" s="252" t="s">
        <v>1977</v>
      </c>
    </row>
    <row r="912" spans="2:11" outlineLevel="1">
      <c r="B912" s="246" t="s">
        <v>1977</v>
      </c>
      <c r="C912" s="251" t="str">
        <f>Spek!D132</f>
        <v>POCKET DOOR 55 CM</v>
      </c>
      <c r="D912" s="1">
        <v>1</v>
      </c>
    </row>
    <row r="913" spans="1:33" outlineLevel="1">
      <c r="B913" s="246" t="s">
        <v>1977</v>
      </c>
      <c r="C913" s="251" t="str">
        <f>Spek!D133</f>
        <v>-</v>
      </c>
      <c r="D913" s="1">
        <v>2</v>
      </c>
    </row>
    <row r="914" spans="1:33" outlineLevel="1">
      <c r="B914" s="246" t="s">
        <v>1977</v>
      </c>
      <c r="C914" s="251" t="str">
        <f>Spek!D134</f>
        <v>-</v>
      </c>
      <c r="D914" s="1">
        <v>3</v>
      </c>
    </row>
    <row r="915" spans="1:33" outlineLevel="1">
      <c r="B915" s="246" t="s">
        <v>1977</v>
      </c>
      <c r="C915" s="251" t="str">
        <f>Spek!D135</f>
        <v>-</v>
      </c>
      <c r="D915" s="1">
        <v>3</v>
      </c>
    </row>
    <row r="916" spans="1:33" outlineLevel="1"/>
    <row r="917" spans="1:33" s="165" customFormat="1">
      <c r="A917" s="215"/>
      <c r="B917" s="230"/>
      <c r="D917" s="55"/>
      <c r="E917" s="33"/>
      <c r="F917" s="252"/>
      <c r="G917" s="252"/>
      <c r="H917" s="252"/>
      <c r="I917" s="246"/>
      <c r="J917" s="160"/>
      <c r="K917" s="55"/>
      <c r="L917" s="55"/>
      <c r="M917" s="55"/>
      <c r="Q917" s="230"/>
      <c r="R917" s="230"/>
      <c r="S917" s="230"/>
      <c r="T917" s="230"/>
      <c r="U917" s="230"/>
      <c r="V917" s="230"/>
      <c r="W917" s="55"/>
      <c r="X917" s="55"/>
      <c r="Y917" s="55"/>
      <c r="Z917" s="55"/>
      <c r="AA917" s="55"/>
      <c r="AB917" s="55"/>
      <c r="AG917" s="55"/>
    </row>
    <row r="918" spans="1:33">
      <c r="C918" s="252" t="s">
        <v>1854</v>
      </c>
    </row>
    <row r="919" spans="1:33" outlineLevel="1">
      <c r="B919" s="246" t="s">
        <v>1854</v>
      </c>
      <c r="C919" s="253" t="str">
        <f>Spek!D137</f>
        <v>MG_Purewhite</v>
      </c>
      <c r="D919" s="1">
        <v>1</v>
      </c>
    </row>
    <row r="920" spans="1:33" outlineLevel="1">
      <c r="B920" s="246" t="s">
        <v>1854</v>
      </c>
      <c r="C920" s="253" t="str">
        <f>Spek!D138</f>
        <v>Euro Grey</v>
      </c>
      <c r="D920" s="1">
        <v>2</v>
      </c>
    </row>
    <row r="921" spans="1:33" outlineLevel="1">
      <c r="B921" s="246" t="s">
        <v>1854</v>
      </c>
      <c r="C921" s="253" t="str">
        <f>Spek!D139</f>
        <v>Polos</v>
      </c>
      <c r="D921" s="1">
        <v>3</v>
      </c>
    </row>
    <row r="922" spans="1:33" outlineLevel="1">
      <c r="B922" s="246" t="s">
        <v>1854</v>
      </c>
      <c r="C922" s="253" t="str">
        <f>Spek!D140</f>
        <v>MG_Mocca</v>
      </c>
      <c r="D922" s="1">
        <v>4</v>
      </c>
    </row>
    <row r="923" spans="1:33" outlineLevel="1">
      <c r="B923" s="246" t="s">
        <v>1854</v>
      </c>
      <c r="C923" s="253" t="str">
        <f>Spek!D141</f>
        <v>Bronze</v>
      </c>
      <c r="D923" s="1">
        <v>5</v>
      </c>
    </row>
    <row r="924" spans="1:33" outlineLevel="1">
      <c r="B924" s="246" t="s">
        <v>1854</v>
      </c>
      <c r="C924" s="253" t="str">
        <f>Spek!D142</f>
        <v>Grey_Tinted</v>
      </c>
      <c r="D924" s="1">
        <v>6</v>
      </c>
    </row>
    <row r="925" spans="1:33" outlineLevel="1">
      <c r="B925" s="246" t="s">
        <v>1854</v>
      </c>
      <c r="C925" s="253" t="str">
        <f>Spek!D143</f>
        <v>Polos</v>
      </c>
      <c r="D925" s="1">
        <v>7</v>
      </c>
    </row>
    <row r="926" spans="1:33" outlineLevel="1">
      <c r="B926" s="246" t="s">
        <v>1854</v>
      </c>
      <c r="C926" s="253" t="str">
        <f>Spek!D144</f>
        <v>Moru ↔</v>
      </c>
      <c r="D926" s="1">
        <v>8</v>
      </c>
    </row>
    <row r="927" spans="1:33" outlineLevel="1">
      <c r="B927" s="246" t="s">
        <v>1854</v>
      </c>
      <c r="C927" s="253" t="str">
        <f>Spek!D145</f>
        <v>Acid_Clear</v>
      </c>
      <c r="D927" s="1">
        <v>9</v>
      </c>
    </row>
    <row r="928" spans="1:33" outlineLevel="1">
      <c r="B928" s="246" t="s">
        <v>1854</v>
      </c>
      <c r="C928" s="253">
        <f>Spek!D146</f>
        <v>0</v>
      </c>
      <c r="D928" s="1">
        <v>10</v>
      </c>
    </row>
    <row r="929" spans="2:19" outlineLevel="1">
      <c r="B929" s="246" t="s">
        <v>1854</v>
      </c>
      <c r="C929" s="253">
        <f>Spek!D147</f>
        <v>0</v>
      </c>
      <c r="D929" s="1">
        <v>11</v>
      </c>
    </row>
    <row r="930" spans="2:19">
      <c r="C930" s="251"/>
    </row>
    <row r="931" spans="2:19">
      <c r="C931" s="252" t="s">
        <v>1978</v>
      </c>
    </row>
    <row r="932" spans="2:19" outlineLevel="1">
      <c r="C932" s="521" t="s">
        <v>1979</v>
      </c>
      <c r="Q932" s="34" t="str">
        <f>mled02</f>
        <v>M-LED-02 Brown Doff ( Alm. 75111 ) P3</v>
      </c>
    </row>
    <row r="933" spans="2:19" outlineLevel="1">
      <c r="C933" s="521" t="s">
        <v>3144</v>
      </c>
      <c r="Q933" s="34" t="str">
        <f>mlis1</f>
        <v>M-LIST-01 Brown Doff ( Alm. 75112 ) P3</v>
      </c>
    </row>
    <row r="934" spans="2:19" outlineLevel="1">
      <c r="C934" s="521" t="s">
        <v>2274</v>
      </c>
      <c r="S934" s="34" t="str">
        <f>mled02</f>
        <v>M-LED-02 Brown Doff ( Alm. 75111 ) P3</v>
      </c>
    </row>
    <row r="935" spans="2:19" outlineLevel="1">
      <c r="C935" s="521" t="s">
        <v>1980</v>
      </c>
      <c r="Q935" s="34" t="str">
        <f>mled02</f>
        <v>M-LED-02 Brown Doff ( Alm. 75111 ) P3</v>
      </c>
    </row>
    <row r="936" spans="2:19" outlineLevel="1">
      <c r="C936" s="521" t="s">
        <v>2384</v>
      </c>
      <c r="Q936" s="34" t="str">
        <f>mled02</f>
        <v>M-LED-02 Brown Doff ( Alm. 75111 ) P3</v>
      </c>
    </row>
    <row r="937" spans="2:19" outlineLevel="1">
      <c r="C937" s="521" t="s">
        <v>2499</v>
      </c>
      <c r="Q937" s="34" t="str">
        <f>mled02</f>
        <v>M-LED-02 Brown Doff ( Alm. 75111 ) P3</v>
      </c>
    </row>
    <row r="938" spans="2:19" outlineLevel="1">
      <c r="C938" s="521" t="s">
        <v>2385</v>
      </c>
      <c r="Q938" s="34" t="str">
        <f>mled02</f>
        <v>M-LED-02 Brown Doff ( Alm. 75111 ) P3</v>
      </c>
    </row>
    <row r="939" spans="2:19" outlineLevel="1">
      <c r="C939" s="521" t="s">
        <v>2517</v>
      </c>
    </row>
    <row r="940" spans="2:19" outlineLevel="1">
      <c r="C940" s="521" t="s">
        <v>1981</v>
      </c>
    </row>
    <row r="941" spans="2:19" outlineLevel="1">
      <c r="C941" s="521" t="s">
        <v>1982</v>
      </c>
    </row>
    <row r="942" spans="2:19" outlineLevel="1">
      <c r="C942" s="521" t="s">
        <v>2316</v>
      </c>
    </row>
    <row r="943" spans="2:19" outlineLevel="1">
      <c r="C943" s="521" t="s">
        <v>2317</v>
      </c>
    </row>
    <row r="944" spans="2:19" outlineLevel="1">
      <c r="C944" s="521" t="s">
        <v>2606</v>
      </c>
    </row>
    <row r="945" spans="3:17" outlineLevel="1">
      <c r="C945" s="521" t="s">
        <v>2607</v>
      </c>
    </row>
    <row r="946" spans="3:17" outlineLevel="1">
      <c r="C946" s="521" t="s">
        <v>2315</v>
      </c>
    </row>
    <row r="947" spans="3:17" outlineLevel="1">
      <c r="C947" s="521" t="s">
        <v>1983</v>
      </c>
    </row>
    <row r="948" spans="3:17" outlineLevel="1">
      <c r="C948" s="521" t="s">
        <v>2635</v>
      </c>
    </row>
    <row r="949" spans="3:17" outlineLevel="1">
      <c r="C949" s="521" t="s">
        <v>2637</v>
      </c>
    </row>
    <row r="950" spans="3:17" outlineLevel="1">
      <c r="C950" s="521" t="s">
        <v>2636</v>
      </c>
    </row>
    <row r="951" spans="3:17" outlineLevel="1">
      <c r="C951" s="521" t="s">
        <v>2638</v>
      </c>
    </row>
    <row r="952" spans="3:17" outlineLevel="1">
      <c r="C952" s="521" t="s">
        <v>1984</v>
      </c>
    </row>
    <row r="953" spans="3:17" outlineLevel="1">
      <c r="C953" s="521" t="s">
        <v>4347</v>
      </c>
    </row>
    <row r="954" spans="3:17" outlineLevel="1">
      <c r="C954" s="521" t="s">
        <v>4348</v>
      </c>
    </row>
    <row r="955" spans="3:17" outlineLevel="1">
      <c r="C955" s="521" t="s">
        <v>4346</v>
      </c>
    </row>
    <row r="956" spans="3:17" outlineLevel="1">
      <c r="C956" s="521" t="s">
        <v>4349</v>
      </c>
    </row>
    <row r="957" spans="3:17" outlineLevel="1">
      <c r="C957" s="521" t="s">
        <v>4350</v>
      </c>
    </row>
    <row r="958" spans="3:17" outlineLevel="1">
      <c r="C958" s="521" t="s">
        <v>4351</v>
      </c>
    </row>
    <row r="959" spans="3:17" outlineLevel="1">
      <c r="C959" s="521" t="s">
        <v>4352</v>
      </c>
    </row>
    <row r="960" spans="3:17" outlineLevel="1">
      <c r="C960" s="521" t="s">
        <v>1985</v>
      </c>
      <c r="Q960" s="34" t="str">
        <f>edging8</f>
        <v>Trim 22 S2/S4 Brown Doff ( Alm. 75270 ) P3</v>
      </c>
    </row>
    <row r="961" spans="3:18" outlineLevel="1">
      <c r="C961" s="521" t="s">
        <v>1986</v>
      </c>
      <c r="Q961" s="34" t="str">
        <f>edging8</f>
        <v>Trim 22 S2/S4 Brown Doff ( Alm. 75270 ) P3</v>
      </c>
      <c r="R961" s="34" t="str">
        <f>mlis1</f>
        <v>M-LIST-01 Brown Doff ( Alm. 75112 ) P3</v>
      </c>
    </row>
    <row r="962" spans="3:18" outlineLevel="1">
      <c r="C962" s="521" t="s">
        <v>1987</v>
      </c>
      <c r="Q962" s="34" t="str">
        <f>mprf1</f>
        <v>M-PRF-01 Brown Doff ( Alm. 75110 ) P3</v>
      </c>
    </row>
    <row r="963" spans="3:18" outlineLevel="1">
      <c r="C963" s="521" t="s">
        <v>1988</v>
      </c>
    </row>
    <row r="964" spans="3:18" outlineLevel="1">
      <c r="C964" s="521" t="s">
        <v>1989</v>
      </c>
    </row>
    <row r="965" spans="3:18" outlineLevel="1">
      <c r="C965" s="521" t="s">
        <v>2512</v>
      </c>
    </row>
    <row r="966" spans="3:18" outlineLevel="1">
      <c r="C966" s="521" t="s">
        <v>2513</v>
      </c>
    </row>
    <row r="967" spans="3:18" outlineLevel="1">
      <c r="C967" s="521" t="s">
        <v>2514</v>
      </c>
    </row>
    <row r="968" spans="3:18" outlineLevel="1">
      <c r="C968" s="521" t="s">
        <v>3125</v>
      </c>
    </row>
    <row r="969" spans="3:18" outlineLevel="1">
      <c r="C969" s="521" t="s">
        <v>3126</v>
      </c>
    </row>
    <row r="970" spans="3:18" outlineLevel="1">
      <c r="C970" s="521" t="s">
        <v>3004</v>
      </c>
    </row>
    <row r="971" spans="3:18" outlineLevel="1">
      <c r="C971" s="521" t="s">
        <v>3005</v>
      </c>
    </row>
    <row r="972" spans="3:18" outlineLevel="1">
      <c r="C972" s="521" t="s">
        <v>3006</v>
      </c>
    </row>
    <row r="973" spans="3:18" outlineLevel="1">
      <c r="C973" s="521" t="s">
        <v>3007</v>
      </c>
    </row>
    <row r="974" spans="3:18" outlineLevel="1">
      <c r="C974" s="521" t="s">
        <v>3008</v>
      </c>
    </row>
    <row r="975" spans="3:18" outlineLevel="1">
      <c r="C975" s="521" t="s">
        <v>3009</v>
      </c>
    </row>
    <row r="976" spans="3:18" outlineLevel="1">
      <c r="C976" s="521" t="s">
        <v>1990</v>
      </c>
      <c r="Q976" s="34" t="str">
        <f>edging1</f>
        <v>Edg_EAW_5216D1</v>
      </c>
    </row>
    <row r="977" spans="3:17" outlineLevel="1">
      <c r="C977" s="521" t="s">
        <v>2827</v>
      </c>
      <c r="Q977" s="34" t="str">
        <f>edging3</f>
        <v>Edg_DSS_00206_SM</v>
      </c>
    </row>
    <row r="978" spans="3:17" outlineLevel="1">
      <c r="C978" s="521" t="s">
        <v>2884</v>
      </c>
      <c r="Q978" s="540" t="str">
        <f>Spek!$F$35</f>
        <v>Edg_Décor_1723_B</v>
      </c>
    </row>
    <row r="979" spans="3:17" outlineLevel="1">
      <c r="C979" s="521" t="s">
        <v>1991</v>
      </c>
      <c r="Q979" s="34" t="str">
        <f>edging1</f>
        <v>Edg_EAW_5216D1</v>
      </c>
    </row>
    <row r="980" spans="3:17" outlineLevel="1">
      <c r="C980" s="521" t="s">
        <v>2828</v>
      </c>
      <c r="Q980" s="34" t="str">
        <f>edging3</f>
        <v>Edg_DSS_00206_SM</v>
      </c>
    </row>
    <row r="981" spans="3:17" outlineLevel="1">
      <c r="C981" s="521" t="s">
        <v>2885</v>
      </c>
      <c r="Q981" s="540" t="str">
        <f>Spek!$F$35</f>
        <v>Edg_Décor_1723_B</v>
      </c>
    </row>
    <row r="982" spans="3:17" outlineLevel="1">
      <c r="C982" s="521" t="s">
        <v>3134</v>
      </c>
      <c r="Q982" s="34" t="str">
        <f>edging1</f>
        <v>Edg_EAW_5216D1</v>
      </c>
    </row>
    <row r="983" spans="3:17" outlineLevel="1">
      <c r="C983" s="521" t="s">
        <v>3135</v>
      </c>
      <c r="Q983" s="34" t="str">
        <f>edging3</f>
        <v>Edg_DSS_00206_SM</v>
      </c>
    </row>
    <row r="984" spans="3:17" outlineLevel="1">
      <c r="C984" s="521" t="s">
        <v>3136</v>
      </c>
      <c r="Q984" s="540" t="str">
        <f>Spek!$F$35</f>
        <v>Edg_Décor_1723_B</v>
      </c>
    </row>
    <row r="985" spans="3:17" outlineLevel="1">
      <c r="C985" s="521" t="s">
        <v>1992</v>
      </c>
      <c r="Q985" s="34" t="str">
        <f>edging1</f>
        <v>Edg_EAW_5216D1</v>
      </c>
    </row>
    <row r="986" spans="3:17" outlineLevel="1">
      <c r="C986" s="521" t="s">
        <v>2829</v>
      </c>
      <c r="Q986" s="34" t="str">
        <f>edging3</f>
        <v>Edg_DSS_00206_SM</v>
      </c>
    </row>
    <row r="987" spans="3:17" outlineLevel="1">
      <c r="C987" s="521" t="s">
        <v>2886</v>
      </c>
      <c r="Q987" s="540" t="str">
        <f>Spek!$F$35</f>
        <v>Edg_Décor_1723_B</v>
      </c>
    </row>
    <row r="988" spans="3:17" outlineLevel="1">
      <c r="C988" s="521" t="s">
        <v>2830</v>
      </c>
      <c r="Q988" s="34" t="str">
        <f>edging1</f>
        <v>Edg_EAW_5216D1</v>
      </c>
    </row>
    <row r="989" spans="3:17" outlineLevel="1">
      <c r="C989" s="521" t="s">
        <v>2831</v>
      </c>
      <c r="Q989" s="34" t="str">
        <f>edging3</f>
        <v>Edg_DSS_00206_SM</v>
      </c>
    </row>
    <row r="990" spans="3:17" outlineLevel="1">
      <c r="C990" s="521" t="s">
        <v>2887</v>
      </c>
      <c r="Q990" s="540" t="str">
        <f>Spek!$F$35</f>
        <v>Edg_Décor_1723_B</v>
      </c>
    </row>
    <row r="991" spans="3:17" outlineLevel="1">
      <c r="C991" s="521" t="s">
        <v>1993</v>
      </c>
    </row>
    <row r="992" spans="3:17" outlineLevel="1">
      <c r="C992" s="521" t="s">
        <v>3492</v>
      </c>
      <c r="Q992" s="34" t="str">
        <f>liskaca</f>
        <v>List Kaca Black Doff ( Alm. 6600/6599 ) P2.8</v>
      </c>
    </row>
    <row r="993" spans="3:18" outlineLevel="1">
      <c r="C993" s="521" t="s">
        <v>1994</v>
      </c>
    </row>
    <row r="994" spans="3:18" outlineLevel="1">
      <c r="C994" s="521" t="s">
        <v>1995</v>
      </c>
    </row>
    <row r="995" spans="3:18" outlineLevel="1">
      <c r="C995" s="521" t="s">
        <v>1996</v>
      </c>
    </row>
    <row r="996" spans="3:18" outlineLevel="1">
      <c r="C996" s="521" t="s">
        <v>1997</v>
      </c>
    </row>
    <row r="997" spans="3:18" outlineLevel="1">
      <c r="C997" s="521" t="s">
        <v>1998</v>
      </c>
    </row>
    <row r="998" spans="3:18" outlineLevel="1">
      <c r="C998" s="521" t="s">
        <v>1999</v>
      </c>
    </row>
    <row r="999" spans="3:18" outlineLevel="1">
      <c r="C999" s="521" t="s">
        <v>2000</v>
      </c>
    </row>
    <row r="1000" spans="3:18" outlineLevel="1">
      <c r="C1000" s="521" t="s">
        <v>2001</v>
      </c>
    </row>
    <row r="1001" spans="3:18" outlineLevel="1">
      <c r="C1001" s="521" t="s">
        <v>2002</v>
      </c>
    </row>
    <row r="1002" spans="3:18" outlineLevel="1">
      <c r="C1002" s="521" t="s">
        <v>2003</v>
      </c>
      <c r="Q1002" s="34" t="str">
        <f>mprf1</f>
        <v>M-PRF-01 Brown Doff ( Alm. 75110 ) P3</v>
      </c>
      <c r="R1002" s="34" t="str">
        <f>mled02</f>
        <v>M-LED-02 Brown Doff ( Alm. 75111 ) P3</v>
      </c>
    </row>
    <row r="1003" spans="3:18" outlineLevel="1">
      <c r="C1003" s="521" t="s">
        <v>2478</v>
      </c>
      <c r="Q1003" s="34" t="str">
        <f>mprf1</f>
        <v>M-PRF-01 Brown Doff ( Alm. 75110 ) P3</v>
      </c>
      <c r="R1003" s="34" t="str">
        <f>mled02</f>
        <v>M-LED-02 Brown Doff ( Alm. 75111 ) P3</v>
      </c>
    </row>
    <row r="1004" spans="3:18" outlineLevel="1">
      <c r="C1004" s="521" t="s">
        <v>2720</v>
      </c>
      <c r="Q1004" s="34" t="str">
        <f>mprf1</f>
        <v>M-PRF-01 Brown Doff ( Alm. 75110 ) P3</v>
      </c>
      <c r="R1004" s="34" t="str">
        <f>mled02</f>
        <v>M-LED-02 Brown Doff ( Alm. 75111 ) P3</v>
      </c>
    </row>
    <row r="1005" spans="3:18" outlineLevel="1">
      <c r="C1005" s="521" t="s">
        <v>2004</v>
      </c>
      <c r="Q1005" s="34" t="str">
        <f>mprf1</f>
        <v>M-PRF-01 Brown Doff ( Alm. 75110 ) P3</v>
      </c>
      <c r="R1005" s="34" t="str">
        <f>mled02</f>
        <v>M-LED-02 Brown Doff ( Alm. 75111 ) P3</v>
      </c>
    </row>
    <row r="1006" spans="3:18" outlineLevel="1">
      <c r="C1006" s="521" t="s">
        <v>2005</v>
      </c>
    </row>
    <row r="1007" spans="3:18" outlineLevel="1">
      <c r="C1007" s="521" t="s">
        <v>2006</v>
      </c>
    </row>
    <row r="1008" spans="3:18" outlineLevel="1">
      <c r="C1008" s="521" t="s">
        <v>2354</v>
      </c>
    </row>
    <row r="1009" spans="3:3" outlineLevel="1">
      <c r="C1009" s="521" t="s">
        <v>2357</v>
      </c>
    </row>
    <row r="1010" spans="3:3" outlineLevel="1">
      <c r="C1010" s="521" t="s">
        <v>2355</v>
      </c>
    </row>
    <row r="1011" spans="3:3" outlineLevel="1">
      <c r="C1011" s="521" t="s">
        <v>2356</v>
      </c>
    </row>
    <row r="1012" spans="3:3" outlineLevel="1">
      <c r="C1012" s="521" t="s">
        <v>2520</v>
      </c>
    </row>
    <row r="1013" spans="3:3" outlineLevel="1">
      <c r="C1013" s="521" t="s">
        <v>2007</v>
      </c>
    </row>
    <row r="1014" spans="3:3" outlineLevel="1">
      <c r="C1014" s="521" t="s">
        <v>2008</v>
      </c>
    </row>
    <row r="1015" spans="3:3" outlineLevel="1">
      <c r="C1015" s="521" t="s">
        <v>2009</v>
      </c>
    </row>
    <row r="1016" spans="3:3" outlineLevel="1">
      <c r="C1016" s="521" t="s">
        <v>2010</v>
      </c>
    </row>
    <row r="1017" spans="3:3" outlineLevel="1">
      <c r="C1017" s="521" t="s">
        <v>2011</v>
      </c>
    </row>
    <row r="1018" spans="3:3" outlineLevel="1">
      <c r="C1018" s="521" t="s">
        <v>2619</v>
      </c>
    </row>
    <row r="1019" spans="3:3" outlineLevel="1">
      <c r="C1019" s="521" t="s">
        <v>2843</v>
      </c>
    </row>
    <row r="1020" spans="3:3" outlineLevel="1">
      <c r="C1020" s="521" t="s">
        <v>3591</v>
      </c>
    </row>
    <row r="1021" spans="3:3" outlineLevel="1">
      <c r="C1021" s="521" t="s">
        <v>3592</v>
      </c>
    </row>
    <row r="1022" spans="3:3" outlineLevel="1">
      <c r="C1022" s="521" t="s">
        <v>4190</v>
      </c>
    </row>
    <row r="1023" spans="3:3" outlineLevel="1">
      <c r="C1023" s="521" t="s">
        <v>3012</v>
      </c>
    </row>
    <row r="1024" spans="3:3" outlineLevel="1">
      <c r="C1024" s="521" t="s">
        <v>3593</v>
      </c>
    </row>
    <row r="1025" spans="3:19" outlineLevel="1">
      <c r="C1025" s="521" t="s">
        <v>3594</v>
      </c>
    </row>
    <row r="1026" spans="3:19" outlineLevel="1">
      <c r="C1026" s="521" t="s">
        <v>3494</v>
      </c>
    </row>
    <row r="1027" spans="3:19" outlineLevel="1">
      <c r="C1027" s="521" t="s">
        <v>4188</v>
      </c>
    </row>
    <row r="1028" spans="3:19" outlineLevel="1">
      <c r="C1028" s="521" t="s">
        <v>4189</v>
      </c>
    </row>
    <row r="1029" spans="3:19" outlineLevel="1">
      <c r="C1029" s="521" t="s">
        <v>4133</v>
      </c>
    </row>
    <row r="1030" spans="3:19" outlineLevel="1">
      <c r="C1030" s="521" t="s">
        <v>3011</v>
      </c>
    </row>
    <row r="1031" spans="3:19" outlineLevel="1">
      <c r="C1031" s="521"/>
    </row>
    <row r="1032" spans="3:19" outlineLevel="1">
      <c r="C1032" s="521"/>
    </row>
    <row r="1033" spans="3:19" outlineLevel="1">
      <c r="C1033" s="521"/>
    </row>
    <row r="1034" spans="3:19" outlineLevel="1">
      <c r="C1034" s="521"/>
    </row>
    <row r="1035" spans="3:19" outlineLevel="1">
      <c r="C1035" s="521" t="s">
        <v>3460</v>
      </c>
      <c r="Q1035" s="34" t="str">
        <f>fr_10</f>
        <v>Mullion Dalam Black Doff ( Alm. 41316 ) P3</v>
      </c>
    </row>
    <row r="1036" spans="3:19" outlineLevel="1">
      <c r="C1036" s="521" t="s">
        <v>3461</v>
      </c>
      <c r="Q1036" s="34" t="s">
        <v>2170</v>
      </c>
      <c r="S1036" s="34" t="str">
        <f>fr_10</f>
        <v>Mullion Dalam Black Doff ( Alm. 41316 ) P3</v>
      </c>
    </row>
    <row r="1037" spans="3:19" outlineLevel="1">
      <c r="C1037" s="521" t="s">
        <v>3462</v>
      </c>
      <c r="Q1037" s="34" t="str">
        <f>fr_10</f>
        <v>Mullion Dalam Black Doff ( Alm. 41316 ) P3</v>
      </c>
    </row>
    <row r="1038" spans="3:19" outlineLevel="1">
      <c r="C1038" s="521" t="s">
        <v>3463</v>
      </c>
      <c r="Q1038" s="34" t="str">
        <f>fr_11</f>
        <v>Alm. 75354 ( Mulion M-FRM-07 ) CA1 P6</v>
      </c>
    </row>
    <row r="1039" spans="3:19" outlineLevel="1">
      <c r="C1039" s="521" t="s">
        <v>3464</v>
      </c>
      <c r="S1039" s="34" t="str">
        <f>fr_11</f>
        <v>Alm. 75354 ( Mulion M-FRM-07 ) CA1 P6</v>
      </c>
    </row>
    <row r="1040" spans="3:19" outlineLevel="1">
      <c r="C1040" s="521" t="s">
        <v>3465</v>
      </c>
      <c r="Q1040" s="34" t="str">
        <f>fr_11</f>
        <v>Alm. 75354 ( Mulion M-FRM-07 ) CA1 P6</v>
      </c>
    </row>
    <row r="1041" spans="3:6" outlineLevel="1">
      <c r="C1041" s="521"/>
    </row>
    <row r="1042" spans="3:6" outlineLevel="1">
      <c r="C1042" s="521"/>
    </row>
    <row r="1043" spans="3:6" outlineLevel="1">
      <c r="C1043" s="522"/>
    </row>
    <row r="1044" spans="3:6">
      <c r="C1044" s="251"/>
    </row>
    <row r="1046" spans="3:6">
      <c r="C1046" s="252" t="s">
        <v>2012</v>
      </c>
    </row>
    <row r="1047" spans="3:6" outlineLevel="1">
      <c r="C1047">
        <f>Spek!D151</f>
        <v>0</v>
      </c>
      <c r="D1047" s="1">
        <v>1</v>
      </c>
      <c r="F1047" s="216" t="s">
        <v>2013</v>
      </c>
    </row>
    <row r="1048" spans="3:6" outlineLevel="1">
      <c r="C1048" t="str">
        <f>Spek!D152</f>
        <v>PROFIL MLP 04 MDF HIJAU UK 2350X14X14</v>
      </c>
      <c r="D1048" s="1">
        <v>2</v>
      </c>
      <c r="F1048" s="216" t="s">
        <v>2014</v>
      </c>
    </row>
    <row r="1049" spans="3:6" outlineLevel="1">
      <c r="C1049">
        <f>Spek!D153</f>
        <v>0</v>
      </c>
      <c r="D1049" s="1">
        <v>3</v>
      </c>
      <c r="F1049" s="216" t="s">
        <v>2015</v>
      </c>
    </row>
    <row r="1050" spans="3:6" outlineLevel="1">
      <c r="C1050" t="str">
        <f>Spek!D154</f>
        <v>PROFIL  PT-04 MDF HIJAU P.2440</v>
      </c>
      <c r="D1050" s="1">
        <v>4</v>
      </c>
      <c r="F1050" s="216" t="s">
        <v>2016</v>
      </c>
    </row>
    <row r="1051" spans="3:6" outlineLevel="1">
      <c r="C1051" t="str">
        <f>Spek!D155</f>
        <v>PROFIL KOTAK PIRAMID 4X4</v>
      </c>
      <c r="D1051" s="1">
        <v>5</v>
      </c>
      <c r="F1051" s="216" t="s">
        <v>2017</v>
      </c>
    </row>
    <row r="1052" spans="3:6" outlineLevel="1">
      <c r="C1052" t="str">
        <f>Spek!D156</f>
        <v>PROFIL MLP 02 MDF HIJAU UK 2350X16X17( Tidak coak)</v>
      </c>
      <c r="D1052" s="1">
        <v>6</v>
      </c>
      <c r="F1052" s="216" t="s">
        <v>2018</v>
      </c>
    </row>
    <row r="1053" spans="3:6" outlineLevel="1">
      <c r="C1053" t="str">
        <f>Spek!D157</f>
        <v>PROFIL MLT 01 MDF + PLY 2440X128X24</v>
      </c>
      <c r="D1053" s="1">
        <v>7</v>
      </c>
      <c r="F1053" s="216" t="s">
        <v>2019</v>
      </c>
    </row>
    <row r="1054" spans="3:6" outlineLevel="1">
      <c r="C1054" t="str">
        <f>Spek!D158</f>
        <v>PROFIL R5 MDF hijau 10X15X2350 (MR 02)</v>
      </c>
      <c r="D1054" s="1">
        <v>8</v>
      </c>
      <c r="F1054" s="216" t="s">
        <v>2020</v>
      </c>
    </row>
    <row r="1055" spans="3:6" outlineLevel="1">
      <c r="C1055" t="str">
        <f>Spek!D159</f>
        <v>PROFIL R5 MDF hijau 10X15X2350 (MR 02)</v>
      </c>
      <c r="D1055" s="1">
        <v>9</v>
      </c>
      <c r="F1055" s="216" t="s">
        <v>2021</v>
      </c>
    </row>
    <row r="1056" spans="3:6" outlineLevel="1">
      <c r="C1056" t="str">
        <f>Spek!D160</f>
        <v>PROFIL PLINT MPP-01 T.100  MDF HIJAU UK:2350x100x45</v>
      </c>
      <c r="D1056" s="1">
        <v>10</v>
      </c>
      <c r="F1056" s="216" t="s">
        <v>2022</v>
      </c>
    </row>
    <row r="1057" spans="3:6" outlineLevel="1">
      <c r="C1057" t="str">
        <f>Spek!D161</f>
        <v>PROFIL PLINT MPP-01 T.100  MDF HIJAU</v>
      </c>
      <c r="D1057" s="1">
        <v>11</v>
      </c>
      <c r="F1057" s="216" t="s">
        <v>2023</v>
      </c>
    </row>
    <row r="1058" spans="3:6" outlineLevel="1">
      <c r="C1058" t="str">
        <f>Spek!D162</f>
        <v>PROFIL PLINT MPP-01 T.100  MDF HIJAU</v>
      </c>
      <c r="D1058" s="1">
        <v>12</v>
      </c>
      <c r="F1058" s="216" t="s">
        <v>2024</v>
      </c>
    </row>
    <row r="1059" spans="3:6" outlineLevel="1"/>
    <row r="1060" spans="3:6">
      <c r="C1060" s="252"/>
    </row>
    <row r="1061" spans="3:6">
      <c r="C1061" s="252"/>
    </row>
    <row r="1062" spans="3:6">
      <c r="C1062" s="252"/>
    </row>
    <row r="1063" spans="3:6">
      <c r="C1063" s="252"/>
    </row>
    <row r="1064" spans="3:6">
      <c r="C1064" s="252"/>
    </row>
    <row r="1065" spans="3:6">
      <c r="C1065" s="252"/>
    </row>
    <row r="1066" spans="3:6">
      <c r="C1066" s="252"/>
    </row>
    <row r="1067" spans="3:6">
      <c r="C1067" s="252"/>
    </row>
    <row r="1068" spans="3:6">
      <c r="C1068" s="252"/>
    </row>
    <row r="1069" spans="3:6">
      <c r="C1069" s="252" t="str">
        <f>bahan1</f>
        <v>Ply</v>
      </c>
    </row>
    <row r="1070" spans="3:6">
      <c r="C1070" s="252"/>
    </row>
    <row r="1071" spans="3:6">
      <c r="C1071" s="252"/>
    </row>
    <row r="1072" spans="3:6">
      <c r="C1072" s="252"/>
    </row>
    <row r="1073" spans="2:6">
      <c r="C1073" s="252"/>
    </row>
    <row r="1074" spans="2:6">
      <c r="C1074" s="252"/>
    </row>
    <row r="1077" spans="2:6">
      <c r="B1077" s="246" t="s">
        <v>2328</v>
      </c>
      <c r="C1077" s="252"/>
    </row>
    <row r="1078" spans="2:6">
      <c r="C1078" s="250"/>
    </row>
    <row r="1079" spans="2:6" outlineLevel="1">
      <c r="B1079" s="34" t="s">
        <v>1515</v>
      </c>
      <c r="C1079" t="s">
        <v>2025</v>
      </c>
      <c r="D1079" s="1">
        <v>38</v>
      </c>
      <c r="F1079" s="254" t="s">
        <v>2026</v>
      </c>
    </row>
    <row r="1080" spans="2:6" outlineLevel="1">
      <c r="B1080" s="34" t="s">
        <v>2027</v>
      </c>
      <c r="C1080" t="s">
        <v>2028</v>
      </c>
      <c r="D1080" s="1">
        <v>39</v>
      </c>
      <c r="F1080" s="254" t="s">
        <v>2029</v>
      </c>
    </row>
    <row r="1081" spans="2:6" outlineLevel="1">
      <c r="B1081" s="34" t="s">
        <v>2030</v>
      </c>
      <c r="C1081" t="s">
        <v>2031</v>
      </c>
      <c r="D1081" s="1">
        <v>37</v>
      </c>
      <c r="F1081" s="254" t="s">
        <v>2032</v>
      </c>
    </row>
    <row r="1082" spans="2:6" outlineLevel="1">
      <c r="B1082" s="34" t="s">
        <v>2033</v>
      </c>
      <c r="C1082" t="s">
        <v>2034</v>
      </c>
      <c r="D1082" s="1">
        <v>38</v>
      </c>
      <c r="F1082" s="254" t="s">
        <v>2035</v>
      </c>
    </row>
    <row r="1083" spans="2:6" outlineLevel="1">
      <c r="B1083" s="34" t="s">
        <v>2036</v>
      </c>
      <c r="C1083" t="s">
        <v>2037</v>
      </c>
      <c r="D1083" s="1">
        <v>39</v>
      </c>
      <c r="F1083" s="254" t="s">
        <v>2038</v>
      </c>
    </row>
    <row r="1084" spans="2:6" outlineLevel="1">
      <c r="B1084" s="34" t="s">
        <v>2039</v>
      </c>
      <c r="C1084" t="s">
        <v>2040</v>
      </c>
      <c r="D1084" s="1">
        <v>42</v>
      </c>
      <c r="F1084" s="216" t="s">
        <v>2041</v>
      </c>
    </row>
    <row r="1085" spans="2:6" outlineLevel="1">
      <c r="B1085" s="34" t="s">
        <v>2042</v>
      </c>
      <c r="C1085" t="s">
        <v>2043</v>
      </c>
      <c r="D1085" s="1">
        <v>40</v>
      </c>
      <c r="F1085" s="216" t="s">
        <v>2044</v>
      </c>
    </row>
    <row r="1086" spans="2:6" outlineLevel="1">
      <c r="B1086" s="34" t="s">
        <v>4216</v>
      </c>
      <c r="C1086" t="s">
        <v>4230</v>
      </c>
      <c r="D1086" s="1">
        <v>42</v>
      </c>
      <c r="F1086" s="216" t="s">
        <v>4231</v>
      </c>
    </row>
    <row r="1087" spans="2:6" outlineLevel="1">
      <c r="B1087" s="34" t="s">
        <v>2365</v>
      </c>
      <c r="C1087" t="s">
        <v>2045</v>
      </c>
      <c r="D1087" s="1">
        <v>22</v>
      </c>
      <c r="F1087" s="216" t="s">
        <v>2046</v>
      </c>
    </row>
    <row r="1088" spans="2:6" ht="34" outlineLevel="1">
      <c r="B1088" s="34" t="s">
        <v>2737</v>
      </c>
      <c r="C1088" s="35" t="s">
        <v>2738</v>
      </c>
      <c r="D1088" s="215">
        <f>+Spek!$D$166</f>
        <v>19</v>
      </c>
    </row>
    <row r="1089" spans="2:4" outlineLevel="1">
      <c r="B1089" s="34" t="s">
        <v>2047</v>
      </c>
      <c r="C1089" t="s">
        <v>2048</v>
      </c>
      <c r="D1089" s="215">
        <f>Spek!$D$165</f>
        <v>1</v>
      </c>
    </row>
    <row r="1090" spans="2:4" outlineLevel="1">
      <c r="B1090" s="34" t="s">
        <v>2049</v>
      </c>
      <c r="C1090" t="s">
        <v>2050</v>
      </c>
      <c r="D1090" s="55">
        <v>6</v>
      </c>
    </row>
    <row r="1091" spans="2:4" outlineLevel="1">
      <c r="B1091" s="34" t="s">
        <v>2279</v>
      </c>
      <c r="C1091" t="s">
        <v>2280</v>
      </c>
      <c r="D1091" s="55">
        <v>2</v>
      </c>
    </row>
    <row r="1092" spans="2:4" outlineLevel="1">
      <c r="B1092" s="34" t="s">
        <v>2051</v>
      </c>
      <c r="C1092" t="s">
        <v>2052</v>
      </c>
      <c r="D1092" s="215">
        <f>Spek!$D$167</f>
        <v>30</v>
      </c>
    </row>
    <row r="1093" spans="2:4" outlineLevel="1">
      <c r="B1093" s="34" t="s">
        <v>2308</v>
      </c>
      <c r="C1093" t="s">
        <v>2309</v>
      </c>
      <c r="D1093" s="55">
        <v>20</v>
      </c>
    </row>
    <row r="1094" spans="2:4" outlineLevel="1"/>
    <row r="1095" spans="2:4" outlineLevel="1">
      <c r="B1095" s="34" t="s">
        <v>2438</v>
      </c>
      <c r="C1095" t="s">
        <v>2444</v>
      </c>
      <c r="D1095" s="1">
        <v>500</v>
      </c>
    </row>
    <row r="1096" spans="2:4" outlineLevel="1">
      <c r="B1096" s="34" t="s">
        <v>2439</v>
      </c>
      <c r="C1096" t="s">
        <v>2445</v>
      </c>
      <c r="D1096" s="1">
        <v>450</v>
      </c>
    </row>
    <row r="1097" spans="2:4" outlineLevel="1">
      <c r="B1097" s="34" t="s">
        <v>2440</v>
      </c>
      <c r="C1097" t="s">
        <v>2446</v>
      </c>
      <c r="D1097" s="1">
        <v>400</v>
      </c>
    </row>
    <row r="1098" spans="2:4" outlineLevel="1">
      <c r="B1098" s="34" t="s">
        <v>2441</v>
      </c>
      <c r="C1098" t="s">
        <v>2447</v>
      </c>
      <c r="D1098" s="1">
        <v>350</v>
      </c>
    </row>
    <row r="1099" spans="2:4" outlineLevel="1">
      <c r="B1099" s="34" t="s">
        <v>2443</v>
      </c>
      <c r="C1099" t="s">
        <v>2448</v>
      </c>
      <c r="D1099" s="1">
        <v>300</v>
      </c>
    </row>
    <row r="1100" spans="2:4" outlineLevel="1">
      <c r="B1100" s="34" t="s">
        <v>2442</v>
      </c>
      <c r="C1100" t="s">
        <v>2449</v>
      </c>
      <c r="D1100" s="1">
        <v>250</v>
      </c>
    </row>
    <row r="1101" spans="2:4" outlineLevel="1"/>
    <row r="1102" spans="2:4" outlineLevel="1">
      <c r="B1102" s="34" t="s">
        <v>2428</v>
      </c>
      <c r="C1102" t="s">
        <v>2427</v>
      </c>
      <c r="D1102" s="1">
        <v>490</v>
      </c>
    </row>
    <row r="1103" spans="2:4" outlineLevel="1">
      <c r="B1103" s="34" t="s">
        <v>2429</v>
      </c>
      <c r="C1103" t="s">
        <v>2431</v>
      </c>
      <c r="D1103" s="1">
        <v>440</v>
      </c>
    </row>
    <row r="1104" spans="2:4" outlineLevel="1">
      <c r="B1104" s="34" t="s">
        <v>2430</v>
      </c>
      <c r="C1104" t="s">
        <v>2432</v>
      </c>
      <c r="D1104" s="1">
        <v>390</v>
      </c>
    </row>
    <row r="1105" spans="2:4" outlineLevel="1">
      <c r="B1105" s="34" t="s">
        <v>2434</v>
      </c>
      <c r="C1105" t="s">
        <v>2433</v>
      </c>
      <c r="D1105" s="1">
        <v>340</v>
      </c>
    </row>
    <row r="1106" spans="2:4" outlineLevel="1">
      <c r="B1106" s="34" t="s">
        <v>3815</v>
      </c>
      <c r="C1106" t="s">
        <v>3814</v>
      </c>
      <c r="D1106" s="1">
        <v>290</v>
      </c>
    </row>
    <row r="1107" spans="2:4" outlineLevel="1">
      <c r="B1107" s="34" t="s">
        <v>2436</v>
      </c>
      <c r="C1107" t="s">
        <v>2435</v>
      </c>
      <c r="D1107" s="1">
        <v>260</v>
      </c>
    </row>
    <row r="1108" spans="2:4" outlineLevel="1"/>
    <row r="1109" spans="2:4" outlineLevel="1">
      <c r="B1109" s="34" t="s">
        <v>4215</v>
      </c>
      <c r="C1109" t="s">
        <v>4222</v>
      </c>
      <c r="D1109" s="1">
        <v>500</v>
      </c>
    </row>
    <row r="1110" spans="2:4" outlineLevel="1">
      <c r="B1110" s="34" t="s">
        <v>4217</v>
      </c>
      <c r="C1110" t="s">
        <v>4223</v>
      </c>
      <c r="D1110" s="1">
        <v>450</v>
      </c>
    </row>
    <row r="1111" spans="2:4" outlineLevel="1">
      <c r="B1111" s="34" t="s">
        <v>4218</v>
      </c>
      <c r="C1111" t="s">
        <v>4224</v>
      </c>
      <c r="D1111" s="1">
        <v>400</v>
      </c>
    </row>
    <row r="1112" spans="2:4" outlineLevel="1">
      <c r="B1112" s="34" t="s">
        <v>4219</v>
      </c>
      <c r="C1112" t="s">
        <v>4225</v>
      </c>
      <c r="D1112" s="1">
        <v>350</v>
      </c>
    </row>
    <row r="1113" spans="2:4" outlineLevel="1">
      <c r="B1113" s="34" t="s">
        <v>4220</v>
      </c>
      <c r="C1113" t="s">
        <v>4226</v>
      </c>
      <c r="D1113" s="1">
        <v>300</v>
      </c>
    </row>
    <row r="1114" spans="2:4" outlineLevel="1">
      <c r="B1114" s="34" t="s">
        <v>4228</v>
      </c>
      <c r="C1114" t="s">
        <v>4229</v>
      </c>
      <c r="D1114" s="1">
        <v>270</v>
      </c>
    </row>
    <row r="1115" spans="2:4" outlineLevel="1">
      <c r="B1115" s="34" t="s">
        <v>4221</v>
      </c>
      <c r="C1115" t="s">
        <v>4227</v>
      </c>
      <c r="D1115" s="1">
        <v>250</v>
      </c>
    </row>
    <row r="1116" spans="2:4" outlineLevel="1"/>
    <row r="1117" spans="2:4" outlineLevel="1">
      <c r="B1117" s="34" t="s">
        <v>2053</v>
      </c>
      <c r="C1117" t="s">
        <v>2054</v>
      </c>
      <c r="D1117" s="1">
        <v>83</v>
      </c>
    </row>
    <row r="1118" spans="2:4" outlineLevel="1">
      <c r="B1118" s="34" t="s">
        <v>2055</v>
      </c>
      <c r="C1118" t="s">
        <v>2056</v>
      </c>
      <c r="D1118" s="1">
        <v>83</v>
      </c>
    </row>
    <row r="1119" spans="2:4" outlineLevel="1">
      <c r="B1119" s="34" t="s">
        <v>2057</v>
      </c>
      <c r="C1119" t="s">
        <v>2058</v>
      </c>
      <c r="D1119" s="1">
        <v>167</v>
      </c>
    </row>
    <row r="1120" spans="2:4" outlineLevel="1">
      <c r="B1120" s="34" t="s">
        <v>2059</v>
      </c>
      <c r="C1120" t="s">
        <v>2060</v>
      </c>
      <c r="D1120" s="1">
        <v>167</v>
      </c>
    </row>
    <row r="1121" spans="2:4" outlineLevel="1">
      <c r="B1121" s="34" t="s">
        <v>2061</v>
      </c>
      <c r="C1121" t="s">
        <v>2062</v>
      </c>
      <c r="D1121" s="1">
        <v>204</v>
      </c>
    </row>
    <row r="1122" spans="2:4" outlineLevel="1">
      <c r="B1122" s="34" t="s">
        <v>2063</v>
      </c>
      <c r="C1122" t="s">
        <v>2064</v>
      </c>
      <c r="D1122" s="1">
        <v>204</v>
      </c>
    </row>
    <row r="1123" spans="2:4" outlineLevel="1">
      <c r="B1123" s="34" t="s">
        <v>2065</v>
      </c>
      <c r="C1123" t="s">
        <v>2066</v>
      </c>
      <c r="D1123" s="1">
        <v>204</v>
      </c>
    </row>
    <row r="1124" spans="2:4" outlineLevel="1">
      <c r="B1124" s="34" t="s">
        <v>2067</v>
      </c>
      <c r="C1124" t="s">
        <v>2068</v>
      </c>
      <c r="D1124" s="1">
        <v>204</v>
      </c>
    </row>
    <row r="1125" spans="2:4" outlineLevel="1">
      <c r="B1125" s="34" t="s">
        <v>2069</v>
      </c>
      <c r="C1125" t="s">
        <v>2070</v>
      </c>
      <c r="D1125" s="1">
        <v>477</v>
      </c>
    </row>
    <row r="1126" spans="2:4" outlineLevel="1">
      <c r="B1126" s="34" t="s">
        <v>2071</v>
      </c>
      <c r="C1126" t="s">
        <v>2072</v>
      </c>
      <c r="D1126" s="1">
        <v>87</v>
      </c>
    </row>
    <row r="1127" spans="2:4" outlineLevel="1">
      <c r="B1127" s="34" t="s">
        <v>2073</v>
      </c>
      <c r="C1127" t="s">
        <v>2074</v>
      </c>
      <c r="D1127" s="1">
        <v>75</v>
      </c>
    </row>
    <row r="1128" spans="2:4" outlineLevel="1">
      <c r="B1128" s="34" t="s">
        <v>2075</v>
      </c>
      <c r="C1128" t="s">
        <v>2076</v>
      </c>
      <c r="D1128" s="1">
        <v>83</v>
      </c>
    </row>
    <row r="1129" spans="2:4" outlineLevel="1">
      <c r="B1129" s="34" t="s">
        <v>2077</v>
      </c>
      <c r="C1129" t="s">
        <v>2078</v>
      </c>
      <c r="D1129" s="1">
        <v>199</v>
      </c>
    </row>
    <row r="1130" spans="2:4" outlineLevel="1">
      <c r="B1130" s="34" t="s">
        <v>2079</v>
      </c>
      <c r="C1130" t="s">
        <v>2080</v>
      </c>
      <c r="D1130" s="1">
        <v>199</v>
      </c>
    </row>
    <row r="1131" spans="2:4" outlineLevel="1"/>
    <row r="1132" spans="2:4" outlineLevel="1">
      <c r="B1132" s="34" t="s">
        <v>2081</v>
      </c>
      <c r="C1132" t="s">
        <v>2082</v>
      </c>
      <c r="D1132" s="1">
        <v>63</v>
      </c>
    </row>
    <row r="1133" spans="2:4" outlineLevel="1">
      <c r="B1133" s="34" t="s">
        <v>2083</v>
      </c>
      <c r="C1133" t="s">
        <v>2084</v>
      </c>
      <c r="D1133" s="1">
        <v>63</v>
      </c>
    </row>
    <row r="1134" spans="2:4" outlineLevel="1">
      <c r="B1134" s="34" t="s">
        <v>2085</v>
      </c>
      <c r="C1134" t="s">
        <v>2086</v>
      </c>
      <c r="D1134" s="1">
        <v>148</v>
      </c>
    </row>
    <row r="1135" spans="2:4" outlineLevel="1">
      <c r="B1135" s="34" t="s">
        <v>2087</v>
      </c>
      <c r="C1135" t="s">
        <v>2088</v>
      </c>
      <c r="D1135" s="1">
        <v>148</v>
      </c>
    </row>
    <row r="1136" spans="2:4" outlineLevel="1">
      <c r="B1136" s="34" t="s">
        <v>2089</v>
      </c>
      <c r="C1136" t="s">
        <v>2090</v>
      </c>
      <c r="D1136" s="1">
        <v>212</v>
      </c>
    </row>
    <row r="1137" spans="2:6" outlineLevel="1">
      <c r="B1137" s="34" t="s">
        <v>2091</v>
      </c>
      <c r="C1137" t="s">
        <v>2092</v>
      </c>
      <c r="D1137" s="1">
        <v>490</v>
      </c>
    </row>
    <row r="1138" spans="2:6" outlineLevel="1">
      <c r="B1138" s="34" t="s">
        <v>2093</v>
      </c>
      <c r="C1138" t="s">
        <v>2094</v>
      </c>
      <c r="D1138" s="1">
        <v>38</v>
      </c>
    </row>
    <row r="1139" spans="2:6" outlineLevel="1">
      <c r="B1139" s="34" t="s">
        <v>2095</v>
      </c>
      <c r="C1139" t="s">
        <v>2096</v>
      </c>
      <c r="D1139" s="1">
        <v>35</v>
      </c>
    </row>
    <row r="1140" spans="2:6" outlineLevel="1"/>
    <row r="1141" spans="2:6" outlineLevel="1">
      <c r="B1141" s="34" t="s">
        <v>3866</v>
      </c>
      <c r="C1141" t="s">
        <v>3864</v>
      </c>
      <c r="D1141" s="1">
        <v>51</v>
      </c>
      <c r="F1141" s="216" t="s">
        <v>3239</v>
      </c>
    </row>
    <row r="1142" spans="2:6" outlineLevel="1">
      <c r="B1142" s="34" t="s">
        <v>3867</v>
      </c>
      <c r="C1142" t="s">
        <v>3865</v>
      </c>
      <c r="D1142" s="1">
        <v>51</v>
      </c>
      <c r="F1142" s="216" t="s">
        <v>3239</v>
      </c>
    </row>
    <row r="1143" spans="2:6" outlineLevel="1">
      <c r="B1143" s="34" t="s">
        <v>3872</v>
      </c>
      <c r="C1143" t="s">
        <v>3868</v>
      </c>
      <c r="D1143" s="1">
        <f>54+57</f>
        <v>111</v>
      </c>
      <c r="F1143" s="216" t="s">
        <v>3875</v>
      </c>
    </row>
    <row r="1144" spans="2:6" outlineLevel="1">
      <c r="B1144" s="34" t="s">
        <v>3873</v>
      </c>
      <c r="C1144" t="s">
        <v>3871</v>
      </c>
      <c r="D1144" s="1">
        <v>209</v>
      </c>
      <c r="F1144" s="216" t="s">
        <v>3891</v>
      </c>
    </row>
    <row r="1145" spans="2:6" outlineLevel="1">
      <c r="B1145" s="34" t="s">
        <v>3874</v>
      </c>
      <c r="C1145" t="s">
        <v>3869</v>
      </c>
      <c r="D1145" s="1">
        <f>54+155</f>
        <v>209</v>
      </c>
      <c r="F1145" s="216" t="s">
        <v>2171</v>
      </c>
    </row>
    <row r="1146" spans="2:6" outlineLevel="1">
      <c r="B1146" s="34" t="s">
        <v>3876</v>
      </c>
      <c r="C1146" t="s">
        <v>3870</v>
      </c>
      <c r="D1146" s="1">
        <f>271+5</f>
        <v>276</v>
      </c>
      <c r="F1146" s="216" t="s">
        <v>2169</v>
      </c>
    </row>
    <row r="1147" spans="2:6" outlineLevel="1"/>
    <row r="1148" spans="2:6" outlineLevel="1">
      <c r="B1148" s="34" t="s">
        <v>3877</v>
      </c>
      <c r="C1148" t="s">
        <v>3878</v>
      </c>
      <c r="D1148" s="1">
        <f>500-25</f>
        <v>475</v>
      </c>
    </row>
    <row r="1149" spans="2:6" outlineLevel="1">
      <c r="B1149" s="34" t="s">
        <v>3879</v>
      </c>
      <c r="C1149" t="s">
        <v>3880</v>
      </c>
      <c r="D1149" s="1">
        <v>83</v>
      </c>
    </row>
    <row r="1150" spans="2:6" outlineLevel="1">
      <c r="B1150" s="34" t="s">
        <v>3881</v>
      </c>
      <c r="C1150" t="s">
        <v>3882</v>
      </c>
      <c r="D1150" s="1">
        <v>83</v>
      </c>
    </row>
    <row r="1151" spans="2:6" outlineLevel="1">
      <c r="B1151" s="34" t="s">
        <v>3883</v>
      </c>
      <c r="C1151" t="s">
        <v>3884</v>
      </c>
      <c r="D1151" s="1">
        <v>184</v>
      </c>
    </row>
    <row r="1152" spans="2:6" outlineLevel="1">
      <c r="B1152" s="34" t="s">
        <v>3885</v>
      </c>
      <c r="C1152" t="s">
        <v>3886</v>
      </c>
      <c r="D1152" s="1">
        <v>184</v>
      </c>
    </row>
    <row r="1153" spans="2:4" outlineLevel="1">
      <c r="B1153" s="34" t="s">
        <v>3887</v>
      </c>
      <c r="C1153" t="s">
        <v>3888</v>
      </c>
      <c r="D1153" s="1">
        <v>184</v>
      </c>
    </row>
    <row r="1154" spans="2:4" outlineLevel="1">
      <c r="B1154" s="34" t="s">
        <v>3889</v>
      </c>
      <c r="C1154" t="s">
        <v>3890</v>
      </c>
      <c r="D1154" s="1">
        <v>248</v>
      </c>
    </row>
    <row r="1155" spans="2:4" outlineLevel="1"/>
    <row r="1156" spans="2:4" outlineLevel="1"/>
    <row r="1157" spans="2:4" outlineLevel="1">
      <c r="B1157" s="34" t="s">
        <v>4269</v>
      </c>
      <c r="C1157" t="s">
        <v>4270</v>
      </c>
      <c r="D1157" s="1">
        <f>101-47</f>
        <v>54</v>
      </c>
    </row>
    <row r="1158" spans="2:4" outlineLevel="1">
      <c r="B1158" s="34" t="s">
        <v>4272</v>
      </c>
      <c r="C1158" t="s">
        <v>4271</v>
      </c>
      <c r="D1158" s="1">
        <f>139-47</f>
        <v>92</v>
      </c>
    </row>
    <row r="1159" spans="2:4" outlineLevel="1">
      <c r="B1159" s="34" t="s">
        <v>4273</v>
      </c>
      <c r="C1159" t="s">
        <v>4274</v>
      </c>
      <c r="D1159" s="1">
        <f>187-47</f>
        <v>140</v>
      </c>
    </row>
    <row r="1160" spans="2:4" outlineLevel="1">
      <c r="B1160" s="34" t="s">
        <v>4275</v>
      </c>
      <c r="C1160" t="s">
        <v>4276</v>
      </c>
      <c r="D1160" s="1">
        <f>251-47</f>
        <v>204</v>
      </c>
    </row>
    <row r="1161" spans="2:4" outlineLevel="1">
      <c r="B1161" s="34" t="s">
        <v>4280</v>
      </c>
      <c r="C1161" t="s">
        <v>4277</v>
      </c>
      <c r="D1161" s="1">
        <f>500-21</f>
        <v>479</v>
      </c>
    </row>
    <row r="1162" spans="2:4" outlineLevel="1">
      <c r="B1162" s="34" t="s">
        <v>4281</v>
      </c>
      <c r="C1162" t="s">
        <v>4278</v>
      </c>
      <c r="D1162" s="1">
        <f>450-21</f>
        <v>429</v>
      </c>
    </row>
    <row r="1163" spans="2:4" outlineLevel="1">
      <c r="B1163" s="34" t="s">
        <v>4312</v>
      </c>
      <c r="C1163" t="s">
        <v>4279</v>
      </c>
      <c r="D1163" s="1">
        <f>400-21</f>
        <v>379</v>
      </c>
    </row>
    <row r="1164" spans="2:4" outlineLevel="1">
      <c r="B1164" s="34" t="s">
        <v>4282</v>
      </c>
      <c r="C1164" t="s">
        <v>4284</v>
      </c>
      <c r="D1164" s="1">
        <v>24</v>
      </c>
    </row>
    <row r="1165" spans="2:4" outlineLevel="1">
      <c r="B1165" s="34" t="s">
        <v>4283</v>
      </c>
      <c r="C1165" t="s">
        <v>4285</v>
      </c>
      <c r="D1165" s="1">
        <v>24</v>
      </c>
    </row>
    <row r="1166" spans="2:4" outlineLevel="1">
      <c r="B1166" s="34" t="s">
        <v>4286</v>
      </c>
      <c r="C1166" t="s">
        <v>4287</v>
      </c>
      <c r="D1166" s="1">
        <f>101+6</f>
        <v>107</v>
      </c>
    </row>
    <row r="1167" spans="2:4" outlineLevel="1">
      <c r="B1167" s="34" t="s">
        <v>4288</v>
      </c>
      <c r="C1167" t="s">
        <v>4289</v>
      </c>
      <c r="D1167" s="1">
        <f>139+6</f>
        <v>145</v>
      </c>
    </row>
    <row r="1168" spans="2:4" outlineLevel="1">
      <c r="B1168" s="34" t="s">
        <v>4290</v>
      </c>
      <c r="C1168" t="s">
        <v>4291</v>
      </c>
      <c r="D1168" s="1">
        <f>187+6</f>
        <v>193</v>
      </c>
    </row>
    <row r="1169" spans="2:4" outlineLevel="1">
      <c r="B1169" s="34" t="s">
        <v>4292</v>
      </c>
      <c r="C1169" t="s">
        <v>4293</v>
      </c>
      <c r="D1169" s="1">
        <f>251+6</f>
        <v>257</v>
      </c>
    </row>
    <row r="1170" spans="2:4" outlineLevel="1"/>
    <row r="1171" spans="2:4" outlineLevel="1"/>
    <row r="1172" spans="2:4" outlineLevel="1">
      <c r="B1172" s="34" t="s">
        <v>2097</v>
      </c>
      <c r="C1172" t="s">
        <v>2098</v>
      </c>
      <c r="D1172" s="1">
        <v>2</v>
      </c>
    </row>
    <row r="1173" spans="2:4" outlineLevel="1">
      <c r="B1173" s="34" t="s">
        <v>2099</v>
      </c>
      <c r="C1173" t="s">
        <v>2100</v>
      </c>
      <c r="D1173" s="1">
        <v>224</v>
      </c>
    </row>
    <row r="1174" spans="2:4" outlineLevel="1">
      <c r="B1174" s="34" t="s">
        <v>2101</v>
      </c>
      <c r="C1174" t="s">
        <v>2102</v>
      </c>
      <c r="D1174" s="1">
        <v>97</v>
      </c>
    </row>
    <row r="1175" spans="2:4" outlineLevel="1">
      <c r="B1175" s="34" t="s">
        <v>2103</v>
      </c>
      <c r="C1175" t="s">
        <v>2104</v>
      </c>
      <c r="D1175" s="1">
        <f>167+20</f>
        <v>187</v>
      </c>
    </row>
    <row r="1176" spans="2:4" outlineLevel="1">
      <c r="B1176" s="34" t="s">
        <v>2105</v>
      </c>
      <c r="C1176" t="s">
        <v>2106</v>
      </c>
      <c r="D1176" s="1">
        <v>106</v>
      </c>
    </row>
    <row r="1177" spans="2:4" outlineLevel="1">
      <c r="B1177" s="34" t="s">
        <v>2107</v>
      </c>
      <c r="C1177" t="s">
        <v>2108</v>
      </c>
      <c r="D1177" s="1">
        <v>193</v>
      </c>
    </row>
    <row r="1178" spans="2:4" outlineLevel="1">
      <c r="B1178" s="34" t="s">
        <v>2109</v>
      </c>
      <c r="C1178" t="s">
        <v>2110</v>
      </c>
      <c r="D1178" s="1">
        <v>257</v>
      </c>
    </row>
    <row r="1179" spans="2:4" outlineLevel="1">
      <c r="B1179" s="34" t="s">
        <v>2111</v>
      </c>
      <c r="C1179" t="s">
        <v>2112</v>
      </c>
      <c r="D1179" s="1">
        <v>3</v>
      </c>
    </row>
    <row r="1180" spans="2:4" outlineLevel="1">
      <c r="B1180" s="34" t="s">
        <v>2304</v>
      </c>
      <c r="C1180" t="s">
        <v>2305</v>
      </c>
      <c r="D1180" s="1">
        <v>24</v>
      </c>
    </row>
    <row r="1181" spans="2:4" outlineLevel="1">
      <c r="B1181" s="34" t="s">
        <v>2113</v>
      </c>
      <c r="C1181" t="s">
        <v>2114</v>
      </c>
      <c r="D1181" s="215">
        <f>Spek!$D$168</f>
        <v>50</v>
      </c>
    </row>
    <row r="1182" spans="2:4" outlineLevel="1">
      <c r="B1182" s="34" t="s">
        <v>2537</v>
      </c>
      <c r="C1182" t="s">
        <v>2538</v>
      </c>
      <c r="D1182" s="215">
        <f>Spek!$D$169</f>
        <v>80</v>
      </c>
    </row>
    <row r="1183" spans="2:4" outlineLevel="1">
      <c r="B1183" s="34" t="s">
        <v>2115</v>
      </c>
      <c r="C1183" t="s">
        <v>2116</v>
      </c>
      <c r="D1183" s="1">
        <v>24</v>
      </c>
    </row>
    <row r="1184" spans="2:4" outlineLevel="1">
      <c r="B1184" s="34" t="s">
        <v>2990</v>
      </c>
      <c r="C1184" t="s">
        <v>2991</v>
      </c>
      <c r="D1184" s="1">
        <v>56</v>
      </c>
    </row>
    <row r="1185" spans="2:4" outlineLevel="1">
      <c r="B1185" s="34" t="s">
        <v>2993</v>
      </c>
      <c r="C1185" t="s">
        <v>2992</v>
      </c>
      <c r="D1185" s="1">
        <v>86</v>
      </c>
    </row>
    <row r="1186" spans="2:4" outlineLevel="1">
      <c r="B1186" s="34" t="s">
        <v>2994</v>
      </c>
      <c r="C1186" t="s">
        <v>2995</v>
      </c>
      <c r="D1186" s="1">
        <v>25</v>
      </c>
    </row>
    <row r="1187" spans="2:4" outlineLevel="1">
      <c r="B1187" s="34" t="s">
        <v>2996</v>
      </c>
      <c r="C1187" t="s">
        <v>2997</v>
      </c>
      <c r="D1187" s="1">
        <v>70</v>
      </c>
    </row>
    <row r="1188" spans="2:4" outlineLevel="1">
      <c r="B1188" s="34" t="s">
        <v>2998</v>
      </c>
      <c r="C1188" t="s">
        <v>2999</v>
      </c>
      <c r="D1188" s="1">
        <v>30</v>
      </c>
    </row>
    <row r="1189" spans="2:4" outlineLevel="1"/>
    <row r="1190" spans="2:4" outlineLevel="1">
      <c r="B1190" s="34" t="s">
        <v>2117</v>
      </c>
      <c r="C1190" t="s">
        <v>2118</v>
      </c>
      <c r="D1190" s="1">
        <v>510</v>
      </c>
    </row>
    <row r="1191" spans="2:4" outlineLevel="1">
      <c r="B1191" s="34" t="s">
        <v>3117</v>
      </c>
      <c r="C1191" t="s">
        <v>3116</v>
      </c>
      <c r="D1191" s="1">
        <v>256</v>
      </c>
    </row>
    <row r="1192" spans="2:4" outlineLevel="1">
      <c r="B1192" s="34" t="s">
        <v>3118</v>
      </c>
      <c r="C1192" t="s">
        <v>3119</v>
      </c>
      <c r="D1192" s="1">
        <v>196</v>
      </c>
    </row>
    <row r="1193" spans="2:4" outlineLevel="1">
      <c r="B1193" s="34" t="s">
        <v>2119</v>
      </c>
      <c r="C1193" t="s">
        <v>2120</v>
      </c>
      <c r="D1193" s="1">
        <v>24</v>
      </c>
    </row>
    <row r="1194" spans="2:4" outlineLevel="1">
      <c r="B1194" s="34" t="s">
        <v>2297</v>
      </c>
      <c r="C1194" t="s">
        <v>2298</v>
      </c>
      <c r="D1194" s="1">
        <v>35</v>
      </c>
    </row>
    <row r="1195" spans="2:4" outlineLevel="1">
      <c r="B1195" s="34" t="s">
        <v>2121</v>
      </c>
      <c r="C1195" t="s">
        <v>2122</v>
      </c>
      <c r="D1195" s="1">
        <v>2</v>
      </c>
    </row>
    <row r="1196" spans="2:4" outlineLevel="1">
      <c r="B1196" s="34" t="s">
        <v>2946</v>
      </c>
      <c r="C1196" t="s">
        <v>2947</v>
      </c>
      <c r="D1196" s="1">
        <v>40</v>
      </c>
    </row>
    <row r="1197" spans="2:4" outlineLevel="1">
      <c r="B1197" s="34" t="s">
        <v>2123</v>
      </c>
      <c r="C1197" t="s">
        <v>2124</v>
      </c>
      <c r="D1197" s="1">
        <v>1</v>
      </c>
    </row>
    <row r="1198" spans="2:4" outlineLevel="1">
      <c r="B1198" s="34" t="s">
        <v>2125</v>
      </c>
      <c r="C1198" t="s">
        <v>2126</v>
      </c>
      <c r="D1198" s="1">
        <v>50</v>
      </c>
    </row>
    <row r="1199" spans="2:4" outlineLevel="1">
      <c r="B1199" s="34" t="s">
        <v>2495</v>
      </c>
      <c r="C1199" t="s">
        <v>2496</v>
      </c>
      <c r="D1199" s="215"/>
    </row>
    <row r="1200" spans="2:4" ht="34" outlineLevel="1">
      <c r="B1200" s="34" t="s">
        <v>2819</v>
      </c>
      <c r="C1200" s="35" t="s">
        <v>2818</v>
      </c>
      <c r="D1200" s="215">
        <f>+Spek!$D$170</f>
        <v>0</v>
      </c>
    </row>
    <row r="1201" spans="2:4" outlineLevel="1">
      <c r="B1201" s="34" t="s">
        <v>2562</v>
      </c>
      <c r="C1201" t="s">
        <v>2561</v>
      </c>
      <c r="D1201" s="215">
        <f>Spek!$D$171</f>
        <v>0</v>
      </c>
    </row>
    <row r="1202" spans="2:4" outlineLevel="1">
      <c r="B1202" s="34" t="s">
        <v>2370</v>
      </c>
      <c r="C1202" t="s">
        <v>2371</v>
      </c>
      <c r="D1202" s="1">
        <v>50</v>
      </c>
    </row>
    <row r="1203" spans="2:4">
      <c r="B1203" s="34" t="s">
        <v>3235</v>
      </c>
      <c r="C1203" t="s">
        <v>3236</v>
      </c>
      <c r="D1203" s="1">
        <v>15</v>
      </c>
    </row>
    <row r="1204" spans="2:4" ht="34">
      <c r="B1204" s="34" t="s">
        <v>4076</v>
      </c>
      <c r="C1204" s="35" t="s">
        <v>4075</v>
      </c>
      <c r="D1204" s="1">
        <f>IF(tbl_komp_laci&lt;15,0,tbl_komp_laci-15)</f>
        <v>0</v>
      </c>
    </row>
    <row r="1209" spans="2:4">
      <c r="C1209" t="s">
        <v>4589</v>
      </c>
    </row>
    <row r="1210" spans="2:4">
      <c r="C1210" t="s">
        <v>4590</v>
      </c>
    </row>
    <row r="1211" spans="2:4">
      <c r="C1211" t="s">
        <v>4591</v>
      </c>
    </row>
    <row r="1212" spans="2:4">
      <c r="C1212" t="s">
        <v>4592</v>
      </c>
    </row>
    <row r="1213" spans="2:4">
      <c r="C1213" t="s">
        <v>4593</v>
      </c>
    </row>
    <row r="1214" spans="2:4">
      <c r="C1214" t="s">
        <v>4594</v>
      </c>
    </row>
    <row r="1215" spans="2:4">
      <c r="C1215" t="s">
        <v>4595</v>
      </c>
    </row>
    <row r="1216" spans="2:4">
      <c r="C1216" t="s">
        <v>4596</v>
      </c>
    </row>
    <row r="1217" spans="3:3">
      <c r="C1217" t="s">
        <v>4597</v>
      </c>
    </row>
    <row r="1218" spans="3:3">
      <c r="C1218" t="s">
        <v>4598</v>
      </c>
    </row>
    <row r="1219" spans="3:3">
      <c r="C1219" t="s">
        <v>4599</v>
      </c>
    </row>
    <row r="1220" spans="3:3">
      <c r="C1220" t="s">
        <v>4600</v>
      </c>
    </row>
    <row r="1221" spans="3:3">
      <c r="C1221" t="s">
        <v>4601</v>
      </c>
    </row>
    <row r="1222" spans="3:3">
      <c r="C1222" t="s">
        <v>4602</v>
      </c>
    </row>
  </sheetData>
  <autoFilter ref="W3:AB1198" xr:uid="{00000000-0009-0000-0000-000002000000}"/>
  <mergeCells count="1">
    <mergeCell ref="K3:M3"/>
  </mergeCells>
  <dataValidations disablePrompts="1" count="1">
    <dataValidation type="list" allowBlank="1" showInputMessage="1" showErrorMessage="1" sqref="T350" xr:uid="{00000000-0002-0000-0200-000000000000}">
      <formula1>ministrip</formula1>
    </dataValidation>
  </dataValidations>
  <pageMargins left="0.75" right="0.75" top="1" bottom="1" header="0.51111111111111107" footer="0.51111111111111107"/>
  <pageSetup paperSize="9" orientation="portrait" horizontalDpi="4294967293" verticalDpi="4294967293" r:id="rId1"/>
  <headerFooter scaleWithDoc="0"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indexed="51"/>
  </sheetPr>
  <dimension ref="A1:CF1170"/>
  <sheetViews>
    <sheetView topLeftCell="A10" zoomScale="108" zoomScaleNormal="75" workbookViewId="0">
      <pane xSplit="9" ySplit="2" topLeftCell="J176" activePane="bottomRight" state="frozen"/>
      <selection activeCell="C889" sqref="C889:C893"/>
      <selection pane="topRight" activeCell="C889" sqref="C889:C893"/>
      <selection pane="bottomLeft" activeCell="C889" sqref="C889:C893"/>
      <selection pane="bottomRight" activeCell="J198" sqref="J198"/>
    </sheetView>
  </sheetViews>
  <sheetFormatPr baseColWidth="10" defaultColWidth="2.6640625" defaultRowHeight="16" outlineLevelCol="1"/>
  <cols>
    <col min="1" max="2" width="2.6640625" customWidth="1" outlineLevel="1"/>
    <col min="3" max="3" width="4.6640625" style="148" customWidth="1"/>
    <col min="4" max="4" width="4.6640625" style="149" customWidth="1"/>
    <col min="5" max="5" width="3.33203125" style="148" customWidth="1"/>
    <col min="6" max="6" width="2.6640625" style="148" customWidth="1" outlineLevel="1"/>
    <col min="7" max="7" width="3.5" style="439" customWidth="1" outlineLevel="1"/>
    <col min="8" max="8" width="22.6640625" style="148" customWidth="1"/>
    <col min="9" max="9" width="14.6640625" style="148" customWidth="1" outlineLevel="1"/>
    <col min="10" max="10" width="5.6640625" style="148" customWidth="1"/>
    <col min="11" max="11" width="1.6640625" style="148" customWidth="1"/>
    <col min="12" max="12" width="5.6640625" style="148" customWidth="1"/>
    <col min="13" max="13" width="1.6640625" style="148" customWidth="1"/>
    <col min="14" max="14" width="6.6640625" style="148" customWidth="1"/>
    <col min="15" max="15" width="20.6640625" style="150" hidden="1" customWidth="1" outlineLevel="1"/>
    <col min="16" max="16" width="3.6640625" style="148" customWidth="1" collapsed="1"/>
    <col min="17" max="17" width="3.6640625" style="151" customWidth="1"/>
    <col min="18" max="18" width="4.6640625" style="152" customWidth="1"/>
    <col min="19" max="19" width="4.6640625" style="450" customWidth="1"/>
    <col min="20" max="21" width="3.1640625" style="153" customWidth="1"/>
    <col min="22" max="25" width="3.1640625" style="153" hidden="1" customWidth="1" outlineLevel="1"/>
    <col min="26" max="26" width="3.1640625" style="153" customWidth="1" collapsed="1"/>
    <col min="27" max="29" width="3.1640625" style="153" customWidth="1"/>
    <col min="30" max="33" width="5.6640625" style="148" customWidth="1" outlineLevel="1"/>
    <col min="34" max="34" width="4.6640625" style="148" customWidth="1"/>
    <col min="35" max="39" width="3.6640625" style="148" customWidth="1" outlineLevel="1"/>
    <col min="40" max="40" width="12.6640625" style="832" customWidth="1"/>
    <col min="41" max="41" width="12.6640625" style="269" customWidth="1"/>
    <col min="42" max="43" width="5.83203125" style="152" customWidth="1" outlineLevel="1"/>
    <col min="44" max="44" width="6.6640625" style="152" customWidth="1" outlineLevel="1"/>
    <col min="45" max="45" width="24.6640625" style="148" customWidth="1" outlineLevel="1"/>
    <col min="46" max="47" width="6.1640625" style="148" customWidth="1" outlineLevel="1"/>
    <col min="48" max="48" width="2.6640625" style="148" customWidth="1"/>
    <col min="49" max="49" width="4.6640625" style="148" customWidth="1"/>
    <col min="50" max="50" width="7.6640625" style="148" customWidth="1"/>
    <col min="51" max="51" width="15.6640625" style="400" customWidth="1"/>
    <col min="52" max="52" width="15.6640625" style="152" customWidth="1"/>
    <col min="53" max="53" width="21" style="152" customWidth="1" outlineLevel="1"/>
    <col min="54" max="54" width="50.6640625" style="148" customWidth="1" outlineLevel="1"/>
    <col min="55" max="55" width="3.1640625" style="148" customWidth="1"/>
    <col min="56" max="60" width="3.6640625" style="148" customWidth="1" outlineLevel="1"/>
    <col min="61" max="61" width="7" style="148" customWidth="1"/>
    <col min="62" max="62" width="3.6640625" style="148" customWidth="1"/>
    <col min="63" max="66" width="4.6640625" style="148" customWidth="1" outlineLevel="1"/>
    <col min="67" max="67" width="4.6640625" style="148" customWidth="1"/>
    <col min="68" max="68" width="4.6640625" style="148" customWidth="1" outlineLevel="1"/>
    <col min="69" max="69" width="5.6640625" style="154" customWidth="1" outlineLevel="1"/>
    <col min="70" max="70" width="4.6640625" style="149" customWidth="1"/>
    <col min="71" max="72" width="3.6640625" style="149" customWidth="1"/>
    <col min="73" max="74" width="3.6640625" style="482" customWidth="1"/>
    <col min="75" max="75" width="7.1640625" style="482" customWidth="1" outlineLevel="1"/>
    <col min="76" max="76" width="11.1640625" style="482" customWidth="1" outlineLevel="1"/>
    <col min="77" max="80" width="3.6640625" style="149" customWidth="1" outlineLevel="1"/>
    <col min="81" max="81" width="6.6640625" style="729" customWidth="1" outlineLevel="1"/>
    <col min="82" max="82" width="8.6640625" style="729" customWidth="1" outlineLevel="1"/>
    <col min="83" max="83" width="14.6640625" style="149" customWidth="1" outlineLevel="1"/>
    <col min="84" max="84" width="20.6640625" style="148" customWidth="1" outlineLevel="1"/>
    <col min="85" max="16384" width="2.6640625" style="148"/>
  </cols>
  <sheetData>
    <row r="1" spans="1:84" customFormat="1" ht="17" hidden="1" thickBot="1">
      <c r="C1" s="1"/>
      <c r="D1" s="1"/>
      <c r="E1" s="1"/>
      <c r="F1" s="1"/>
      <c r="G1" s="222"/>
      <c r="H1" s="155"/>
      <c r="I1" s="155"/>
      <c r="J1" s="163"/>
      <c r="L1" s="163"/>
      <c r="O1" s="164"/>
      <c r="P1" s="163"/>
      <c r="Q1" s="165"/>
      <c r="R1" s="34"/>
      <c r="S1" s="448"/>
      <c r="T1" s="170"/>
      <c r="U1" s="170"/>
      <c r="V1" s="1"/>
      <c r="W1" s="173"/>
      <c r="X1" s="1"/>
      <c r="Y1" s="166"/>
      <c r="Z1" s="170"/>
      <c r="AA1" s="170"/>
      <c r="AB1" s="170"/>
      <c r="AC1" s="170"/>
      <c r="AD1" s="34"/>
      <c r="AE1" s="34"/>
      <c r="AF1" s="34"/>
      <c r="AG1" s="34"/>
      <c r="AH1" s="34"/>
      <c r="AI1" s="34"/>
      <c r="AJ1" s="34"/>
      <c r="AK1" s="34"/>
      <c r="AL1" s="34"/>
      <c r="AM1" s="34"/>
      <c r="AN1" s="393"/>
      <c r="AO1" s="34"/>
      <c r="AP1" s="34"/>
      <c r="AQ1" s="34"/>
      <c r="AR1" s="34"/>
      <c r="AS1" s="34"/>
      <c r="AT1" s="34"/>
      <c r="AU1" s="34"/>
      <c r="AV1" s="34"/>
      <c r="AW1" s="34"/>
      <c r="AX1" s="34"/>
      <c r="AY1" s="716"/>
      <c r="AZ1" s="189"/>
      <c r="BA1" s="189"/>
      <c r="BB1" s="190"/>
      <c r="BC1" s="190"/>
      <c r="BD1" s="166"/>
      <c r="BE1" s="166"/>
      <c r="BF1" s="166"/>
      <c r="BG1" s="166"/>
      <c r="BH1" s="166"/>
      <c r="BI1" s="166"/>
      <c r="BJ1" s="1"/>
      <c r="BK1" s="166"/>
      <c r="BL1" s="166"/>
      <c r="BM1" s="166"/>
      <c r="BN1" s="166"/>
      <c r="BO1" s="166"/>
      <c r="BP1" s="199"/>
      <c r="BQ1" s="200"/>
      <c r="BR1" s="1"/>
      <c r="BS1" s="1"/>
      <c r="BT1" s="1"/>
      <c r="BU1" s="1"/>
      <c r="BV1" s="1"/>
      <c r="BW1" s="1"/>
      <c r="BX1" s="1"/>
      <c r="BY1" s="1"/>
      <c r="BZ1" s="1"/>
      <c r="CA1" s="1"/>
      <c r="CB1" s="1"/>
      <c r="CC1" s="728"/>
      <c r="CD1" s="728"/>
      <c r="CE1" s="1"/>
    </row>
    <row r="2" spans="1:84" customFormat="1" ht="17" hidden="1" thickBot="1">
      <c r="C2" s="1"/>
      <c r="D2" s="1"/>
      <c r="E2" s="1"/>
      <c r="F2" s="1"/>
      <c r="G2" s="222"/>
      <c r="H2" s="155"/>
      <c r="I2" s="155"/>
      <c r="J2" s="163"/>
      <c r="L2" s="163"/>
      <c r="O2" s="164"/>
      <c r="P2" s="163"/>
      <c r="Q2" s="165"/>
      <c r="R2" s="34"/>
      <c r="S2" s="448"/>
      <c r="T2" s="170"/>
      <c r="U2" s="170"/>
      <c r="V2" s="1"/>
      <c r="W2" s="173"/>
      <c r="X2" s="1"/>
      <c r="Y2" s="166"/>
      <c r="Z2" s="170"/>
      <c r="AA2" s="170"/>
      <c r="AB2" s="170"/>
      <c r="AC2" s="170"/>
      <c r="AD2" s="34"/>
      <c r="AE2" s="34"/>
      <c r="AF2" s="34"/>
      <c r="AG2" s="34"/>
      <c r="AH2" s="34"/>
      <c r="AI2" s="34"/>
      <c r="AJ2" s="34"/>
      <c r="AK2" s="34"/>
      <c r="AL2" s="34"/>
      <c r="AM2" s="34"/>
      <c r="AN2" s="393"/>
      <c r="AO2" s="34"/>
      <c r="AP2" s="34"/>
      <c r="AQ2" s="34"/>
      <c r="AR2" s="34"/>
      <c r="AS2" s="34"/>
      <c r="AT2" s="34"/>
      <c r="AU2" s="34"/>
      <c r="AV2" s="34"/>
      <c r="AW2" s="34"/>
      <c r="AX2" s="34"/>
      <c r="AY2" s="716"/>
      <c r="AZ2" s="189"/>
      <c r="BA2" s="189"/>
      <c r="BB2" s="190"/>
      <c r="BC2" s="190"/>
      <c r="BD2" s="166"/>
      <c r="BE2" s="166"/>
      <c r="BF2" s="166"/>
      <c r="BG2" s="166"/>
      <c r="BH2" s="166"/>
      <c r="BI2" s="166"/>
      <c r="BJ2" s="166"/>
      <c r="BK2" s="166"/>
      <c r="BL2" s="166"/>
      <c r="BM2" s="166"/>
      <c r="BN2" s="166"/>
      <c r="BO2" s="166"/>
      <c r="BP2" s="199"/>
      <c r="BQ2" s="200"/>
      <c r="BR2" s="1"/>
      <c r="BS2" s="1"/>
      <c r="BT2" s="1"/>
      <c r="BU2" s="1"/>
      <c r="BV2" s="1"/>
      <c r="BW2" s="1"/>
      <c r="BX2" s="1"/>
      <c r="BY2" s="1"/>
      <c r="BZ2" s="1"/>
      <c r="CA2" s="1"/>
      <c r="CB2" s="1"/>
      <c r="CC2" s="728"/>
      <c r="CD2" s="728"/>
      <c r="CE2" s="1"/>
    </row>
    <row r="3" spans="1:84" customFormat="1" ht="17" hidden="1" thickBot="1">
      <c r="C3" s="1"/>
      <c r="D3" s="1"/>
      <c r="E3" s="1"/>
      <c r="F3" s="1"/>
      <c r="G3" s="222"/>
      <c r="H3" s="155"/>
      <c r="I3" s="155"/>
      <c r="O3" s="164"/>
      <c r="P3" s="163"/>
      <c r="Q3" s="165"/>
      <c r="R3" s="34"/>
      <c r="S3" s="448"/>
      <c r="T3" s="170"/>
      <c r="U3" s="170"/>
      <c r="Y3" s="166"/>
      <c r="Z3" s="170"/>
      <c r="AA3" s="170"/>
      <c r="AB3" s="170"/>
      <c r="AC3" s="170"/>
      <c r="AD3" s="34"/>
      <c r="AE3" s="34"/>
      <c r="AF3" s="34"/>
      <c r="AG3" s="34"/>
      <c r="AH3" s="34"/>
      <c r="AI3" s="34"/>
      <c r="AJ3" s="34"/>
      <c r="AK3" s="34"/>
      <c r="AL3" s="34"/>
      <c r="AM3" s="34"/>
      <c r="AN3" s="393"/>
      <c r="AO3" s="34"/>
      <c r="AP3" s="34"/>
      <c r="AQ3" s="34"/>
      <c r="AR3" s="34"/>
      <c r="AS3" s="34"/>
      <c r="AT3" s="34"/>
      <c r="AU3" s="34"/>
      <c r="AV3" s="34"/>
      <c r="AW3" s="34"/>
      <c r="AX3" s="34"/>
      <c r="AY3" s="716"/>
      <c r="AZ3" s="189"/>
      <c r="BA3" s="189"/>
      <c r="BB3" s="190"/>
      <c r="BC3" s="190"/>
      <c r="BD3" s="166"/>
      <c r="BE3" s="166"/>
      <c r="BF3" s="166"/>
      <c r="BG3" s="166"/>
      <c r="BH3" s="166"/>
      <c r="BI3" s="166"/>
      <c r="BJ3" s="166"/>
      <c r="BK3" s="166"/>
      <c r="BL3" s="1"/>
      <c r="BM3" s="1"/>
      <c r="BN3" s="1"/>
      <c r="BO3" s="1"/>
      <c r="BP3" s="166"/>
      <c r="BQ3" s="201"/>
      <c r="BR3" s="166"/>
      <c r="BS3" s="166"/>
      <c r="BT3" s="166"/>
      <c r="BU3" s="166"/>
      <c r="BV3" s="1"/>
      <c r="BW3" s="1"/>
      <c r="BX3" s="1"/>
      <c r="BY3" s="1"/>
      <c r="BZ3" s="1"/>
      <c r="CA3" s="1"/>
      <c r="CB3" s="1"/>
      <c r="CC3" s="728"/>
      <c r="CD3" s="728"/>
      <c r="CE3" s="1"/>
    </row>
    <row r="4" spans="1:84" customFormat="1" ht="17" hidden="1" thickBot="1">
      <c r="C4" s="1"/>
      <c r="D4" s="1"/>
      <c r="E4" s="1"/>
      <c r="F4" s="1"/>
      <c r="G4" s="222"/>
      <c r="H4" s="155"/>
      <c r="I4" s="155"/>
      <c r="O4" s="164"/>
      <c r="P4" s="163"/>
      <c r="Q4" s="165"/>
      <c r="R4" s="34"/>
      <c r="S4" s="448"/>
      <c r="T4" s="170"/>
      <c r="U4" s="170"/>
      <c r="Y4" s="166"/>
      <c r="Z4" s="170"/>
      <c r="AA4" s="170"/>
      <c r="AB4" s="170"/>
      <c r="AC4" s="170"/>
      <c r="AD4" s="34"/>
      <c r="AE4" s="34"/>
      <c r="AF4" s="34"/>
      <c r="AG4" s="34"/>
      <c r="AH4" s="34"/>
      <c r="AI4" s="34"/>
      <c r="AJ4" s="34"/>
      <c r="AK4" s="34"/>
      <c r="AL4" s="34"/>
      <c r="AM4" s="34"/>
      <c r="AN4" s="393"/>
      <c r="AO4" s="34"/>
      <c r="AP4" s="34"/>
      <c r="AQ4" s="34"/>
      <c r="AR4" s="34"/>
      <c r="AS4" s="34"/>
      <c r="AT4" s="34"/>
      <c r="AU4" s="34"/>
      <c r="AV4" s="34"/>
      <c r="AW4" s="34"/>
      <c r="AX4" s="34"/>
      <c r="AY4" s="716"/>
      <c r="AZ4" s="189"/>
      <c r="BA4" s="189"/>
      <c r="BB4" s="190"/>
      <c r="BC4" s="190"/>
      <c r="BD4" s="166"/>
      <c r="BE4" s="166"/>
      <c r="BF4" s="166"/>
      <c r="BG4" s="166"/>
      <c r="BH4" s="166"/>
      <c r="BI4" s="166"/>
      <c r="BJ4" s="166"/>
      <c r="BK4" s="166"/>
      <c r="BL4" s="1"/>
      <c r="BM4" s="1"/>
      <c r="BN4" s="1"/>
      <c r="BO4" s="1"/>
      <c r="BP4" s="166"/>
      <c r="BQ4" s="201"/>
      <c r="BR4" s="166"/>
      <c r="BS4" s="166"/>
      <c r="BT4" s="166"/>
      <c r="BU4" s="166"/>
      <c r="BV4" s="1"/>
      <c r="BW4" s="1"/>
      <c r="BX4" s="1"/>
      <c r="BY4" s="1"/>
      <c r="BZ4" s="1"/>
      <c r="CA4" s="1"/>
      <c r="CB4" s="1"/>
      <c r="CC4" s="728"/>
      <c r="CD4" s="728"/>
      <c r="CE4" s="1"/>
    </row>
    <row r="5" spans="1:84" customFormat="1" ht="17" hidden="1" thickBot="1">
      <c r="C5" s="1"/>
      <c r="D5" s="1"/>
      <c r="E5" s="1"/>
      <c r="F5" s="1"/>
      <c r="G5" s="222"/>
      <c r="H5" s="155"/>
      <c r="I5" s="155"/>
      <c r="O5" s="164"/>
      <c r="P5" s="163"/>
      <c r="Q5" s="165"/>
      <c r="R5" s="34"/>
      <c r="S5" s="448"/>
      <c r="T5" s="170"/>
      <c r="U5" s="170"/>
      <c r="Y5" s="166"/>
      <c r="Z5" s="170"/>
      <c r="AA5" s="170"/>
      <c r="AB5" s="170"/>
      <c r="AC5" s="170"/>
      <c r="AD5" s="34"/>
      <c r="AE5" s="34"/>
      <c r="AF5" s="34"/>
      <c r="AG5" s="34"/>
      <c r="AH5" s="34"/>
      <c r="AI5" s="34"/>
      <c r="AJ5" s="34"/>
      <c r="AK5" s="34"/>
      <c r="AL5" s="34"/>
      <c r="AM5" s="34"/>
      <c r="AN5" s="393"/>
      <c r="AO5" s="34"/>
      <c r="AP5" s="34"/>
      <c r="AQ5" s="34"/>
      <c r="AR5" s="34"/>
      <c r="AS5" s="34"/>
      <c r="AT5" s="34"/>
      <c r="AU5" s="34"/>
      <c r="AV5" s="34"/>
      <c r="AW5" s="34"/>
      <c r="AX5" s="34"/>
      <c r="AY5" s="716"/>
      <c r="AZ5" s="189"/>
      <c r="BA5" s="189"/>
      <c r="BB5" s="190"/>
      <c r="BC5" s="190"/>
      <c r="BD5" s="166"/>
      <c r="BE5" s="166"/>
      <c r="BF5" s="166"/>
      <c r="BG5" s="166"/>
      <c r="BH5" s="166"/>
      <c r="BI5" s="166"/>
      <c r="BJ5" s="166"/>
      <c r="BK5" s="166"/>
      <c r="BL5" s="1"/>
      <c r="BM5" s="1"/>
      <c r="BN5" s="1"/>
      <c r="BO5" s="1"/>
      <c r="BP5" s="166"/>
      <c r="BQ5" s="201"/>
      <c r="BR5" s="166"/>
      <c r="BS5" s="166"/>
      <c r="BT5" s="166"/>
      <c r="BU5" s="166"/>
      <c r="BV5" s="1"/>
      <c r="BW5" s="1"/>
      <c r="BX5" s="1"/>
      <c r="BY5" s="1"/>
      <c r="BZ5" s="1"/>
      <c r="CA5" s="1"/>
      <c r="CB5" s="1"/>
      <c r="CC5" s="728"/>
      <c r="CD5" s="728"/>
      <c r="CE5" s="1"/>
    </row>
    <row r="6" spans="1:84" customFormat="1" ht="17" hidden="1" thickBot="1">
      <c r="C6" s="1"/>
      <c r="D6" s="1"/>
      <c r="E6" s="1"/>
      <c r="F6" s="1"/>
      <c r="G6" s="222"/>
      <c r="H6" s="155"/>
      <c r="I6" s="155"/>
      <c r="O6" s="164"/>
      <c r="P6" s="163"/>
      <c r="Q6" s="165"/>
      <c r="R6" s="34"/>
      <c r="S6" s="448"/>
      <c r="T6" s="170"/>
      <c r="U6" s="170"/>
      <c r="Y6" s="166"/>
      <c r="Z6" s="170"/>
      <c r="AA6" s="170"/>
      <c r="AB6" s="170"/>
      <c r="AC6" s="170"/>
      <c r="AD6" s="34"/>
      <c r="AE6" s="34"/>
      <c r="AF6" s="34"/>
      <c r="AG6" s="34"/>
      <c r="AH6" s="34"/>
      <c r="AI6" s="34"/>
      <c r="AJ6" s="34"/>
      <c r="AK6" s="34"/>
      <c r="AL6" s="34"/>
      <c r="AM6" s="34"/>
      <c r="AN6" s="393"/>
      <c r="AO6" s="34"/>
      <c r="AP6" s="34"/>
      <c r="AQ6" s="34"/>
      <c r="AR6" s="34"/>
      <c r="AS6" s="34"/>
      <c r="AT6" s="34"/>
      <c r="AU6" s="34"/>
      <c r="AV6" s="34"/>
      <c r="AW6" s="34"/>
      <c r="AX6" s="34"/>
      <c r="AY6" s="716"/>
      <c r="AZ6" s="189"/>
      <c r="BA6" s="189"/>
      <c r="BB6" s="190"/>
      <c r="BC6" s="190"/>
      <c r="BD6" s="166"/>
      <c r="BE6" s="166"/>
      <c r="BF6" s="166"/>
      <c r="BG6" s="166"/>
      <c r="BH6" s="166"/>
      <c r="BI6" s="166"/>
      <c r="BJ6" s="166"/>
      <c r="BK6" s="166"/>
      <c r="BL6" s="1"/>
      <c r="BM6" s="1"/>
      <c r="BN6" s="1"/>
      <c r="BO6" s="1"/>
      <c r="BP6" s="166"/>
      <c r="BQ6" s="201"/>
      <c r="BR6" s="166"/>
      <c r="BS6" s="166"/>
      <c r="BT6" s="166"/>
      <c r="BU6" s="166"/>
      <c r="BV6" s="1"/>
      <c r="BW6" s="1"/>
      <c r="BX6" s="1"/>
      <c r="BY6" s="1"/>
      <c r="BZ6" s="1"/>
      <c r="CA6" s="1"/>
      <c r="CB6" s="1"/>
      <c r="CC6" s="728"/>
      <c r="CD6" s="728"/>
      <c r="CE6" s="1"/>
    </row>
    <row r="7" spans="1:84" customFormat="1" ht="17" hidden="1" thickBot="1">
      <c r="C7" s="1"/>
      <c r="D7" s="1"/>
      <c r="E7" s="1"/>
      <c r="F7" s="1"/>
      <c r="G7" s="222"/>
      <c r="H7" s="155"/>
      <c r="I7" s="155"/>
      <c r="O7" s="164"/>
      <c r="P7" s="163"/>
      <c r="Q7" s="165"/>
      <c r="R7" s="34"/>
      <c r="S7" s="448"/>
      <c r="T7" s="170"/>
      <c r="U7" s="170"/>
      <c r="Y7" s="166"/>
      <c r="Z7" s="170"/>
      <c r="AA7" s="170"/>
      <c r="AB7" s="170"/>
      <c r="AC7" s="170"/>
      <c r="AD7" s="34"/>
      <c r="AE7" s="34"/>
      <c r="AF7" s="34"/>
      <c r="AG7" s="34"/>
      <c r="AH7" s="34"/>
      <c r="AI7" s="34"/>
      <c r="AJ7" s="34"/>
      <c r="AK7" s="34"/>
      <c r="AL7" s="34"/>
      <c r="AM7" s="34"/>
      <c r="AN7" s="393"/>
      <c r="AO7" s="34"/>
      <c r="AP7" s="34"/>
      <c r="AQ7" s="34"/>
      <c r="AR7" s="34"/>
      <c r="AS7" s="34"/>
      <c r="AT7" s="34"/>
      <c r="AU7" s="34"/>
      <c r="AV7" s="34"/>
      <c r="AW7" s="34"/>
      <c r="AX7" s="34"/>
      <c r="AY7" s="716"/>
      <c r="AZ7" s="189"/>
      <c r="BA7" s="189"/>
      <c r="BB7" s="190"/>
      <c r="BC7" s="190"/>
      <c r="BD7" s="166"/>
      <c r="BE7" s="166"/>
      <c r="BF7" s="166"/>
      <c r="BG7" s="166"/>
      <c r="BH7" s="166"/>
      <c r="BI7" s="166"/>
      <c r="BJ7" s="166"/>
      <c r="BK7" s="166"/>
      <c r="BL7" s="1"/>
      <c r="BM7" s="1"/>
      <c r="BN7" s="1"/>
      <c r="BO7" s="1"/>
      <c r="BP7" s="166"/>
      <c r="BQ7" s="201"/>
      <c r="BR7" s="166"/>
      <c r="BS7" s="166"/>
      <c r="BT7" s="166"/>
      <c r="BU7" s="166"/>
      <c r="BV7" s="1"/>
      <c r="BW7" s="1"/>
      <c r="BX7" s="1"/>
      <c r="BY7" s="1"/>
      <c r="BZ7" s="1"/>
      <c r="CA7" s="1"/>
      <c r="CB7" s="1"/>
      <c r="CC7" s="728"/>
      <c r="CD7" s="728"/>
      <c r="CE7" s="1"/>
    </row>
    <row r="8" spans="1:84" customFormat="1" ht="17" hidden="1" thickBot="1">
      <c r="C8" s="1"/>
      <c r="D8" s="1"/>
      <c r="E8" s="1"/>
      <c r="F8" s="1"/>
      <c r="G8" s="222"/>
      <c r="H8" s="155"/>
      <c r="J8" s="163"/>
      <c r="L8" s="1"/>
      <c r="M8" s="166"/>
      <c r="N8" s="451"/>
      <c r="O8" s="164"/>
      <c r="P8" s="163"/>
      <c r="Q8" s="165"/>
      <c r="R8" s="34"/>
      <c r="S8" s="448"/>
      <c r="T8" s="170"/>
      <c r="U8" s="170"/>
      <c r="Y8" s="166"/>
      <c r="Z8" s="170"/>
      <c r="AA8" s="170"/>
      <c r="AB8" s="170"/>
      <c r="AC8" s="170"/>
      <c r="AD8" s="34"/>
      <c r="AE8" s="34"/>
      <c r="AF8" s="34"/>
      <c r="AG8" s="34"/>
      <c r="AH8" s="34"/>
      <c r="AI8" s="34"/>
      <c r="AJ8" s="34"/>
      <c r="AK8" s="34"/>
      <c r="AL8" s="34"/>
      <c r="AM8" s="34"/>
      <c r="AN8" s="393"/>
      <c r="AO8" s="34"/>
      <c r="AP8" s="34"/>
      <c r="AQ8" s="34"/>
      <c r="AR8" s="34"/>
      <c r="AS8" s="34"/>
      <c r="AT8" s="34"/>
      <c r="AU8" s="34"/>
      <c r="AV8" s="34"/>
      <c r="AW8" s="34"/>
      <c r="AX8" s="34"/>
      <c r="AY8" s="716"/>
      <c r="AZ8" s="189"/>
      <c r="BA8" s="189"/>
      <c r="BB8" s="190"/>
      <c r="BC8" s="190"/>
      <c r="BD8" s="166"/>
      <c r="BE8" s="166"/>
      <c r="BF8" s="166"/>
      <c r="BG8" s="166"/>
      <c r="BH8" s="166"/>
      <c r="BI8" s="166"/>
      <c r="BJ8" s="1"/>
      <c r="BK8" s="163"/>
      <c r="BL8" s="1"/>
      <c r="BM8" s="1"/>
      <c r="BN8" s="1"/>
      <c r="BO8" s="1"/>
      <c r="BP8" s="202"/>
      <c r="BQ8" s="201"/>
      <c r="BR8" s="166"/>
      <c r="BS8" s="166"/>
      <c r="BT8" s="166"/>
      <c r="BU8" s="166"/>
      <c r="BV8" s="1"/>
      <c r="BW8" s="1"/>
      <c r="BX8" s="1"/>
      <c r="BY8" s="1"/>
      <c r="BZ8" s="1"/>
      <c r="CA8" s="1"/>
      <c r="CB8" s="1"/>
      <c r="CC8" s="728"/>
      <c r="CD8" s="728"/>
      <c r="CE8" s="1"/>
    </row>
    <row r="9" spans="1:84" customFormat="1" ht="17" hidden="1" thickBot="1">
      <c r="C9" s="1"/>
      <c r="D9" s="1"/>
      <c r="E9" s="1"/>
      <c r="F9" s="1"/>
      <c r="G9" s="222"/>
      <c r="H9" s="155"/>
      <c r="J9" s="163"/>
      <c r="L9" s="163"/>
      <c r="O9" s="164"/>
      <c r="P9" s="163"/>
      <c r="Q9" s="165"/>
      <c r="R9" s="34"/>
      <c r="S9" s="448"/>
      <c r="T9" s="170"/>
      <c r="U9" s="170"/>
      <c r="V9" s="1"/>
      <c r="W9" s="173"/>
      <c r="X9" s="1"/>
      <c r="Y9" s="166"/>
      <c r="Z9" s="170"/>
      <c r="AA9" s="170"/>
      <c r="AB9" s="170"/>
      <c r="AC9" s="170"/>
      <c r="AD9" s="34"/>
      <c r="AE9" s="34"/>
      <c r="AF9" s="34"/>
      <c r="AG9" s="34"/>
      <c r="AH9" s="34"/>
      <c r="AI9" s="34"/>
      <c r="AJ9" s="34"/>
      <c r="AK9" s="34"/>
      <c r="AL9" s="34"/>
      <c r="AM9" s="34"/>
      <c r="AN9" s="393"/>
      <c r="AO9" s="34"/>
      <c r="AP9" s="862" t="s">
        <v>2127</v>
      </c>
      <c r="AQ9" s="862"/>
      <c r="AR9" s="862"/>
      <c r="AS9" s="862"/>
      <c r="AT9" s="862"/>
      <c r="AU9" s="862"/>
      <c r="AV9" s="55"/>
      <c r="AW9" s="34"/>
      <c r="AX9" s="34"/>
      <c r="AY9" s="716"/>
      <c r="AZ9" s="189"/>
      <c r="BA9" s="189"/>
      <c r="BB9" s="190"/>
      <c r="BC9" s="190"/>
      <c r="BD9" s="166"/>
      <c r="BE9" s="166"/>
      <c r="BF9" s="166"/>
      <c r="BG9" s="166"/>
      <c r="BH9" s="166"/>
      <c r="BI9" s="166"/>
      <c r="BJ9" s="1"/>
      <c r="BK9" s="166"/>
      <c r="BL9" s="166"/>
      <c r="BM9" s="166"/>
      <c r="BN9" s="166"/>
      <c r="BO9" s="166"/>
      <c r="BP9" s="199"/>
      <c r="BQ9" s="200"/>
      <c r="BR9" s="1"/>
      <c r="BS9" s="1"/>
      <c r="BT9" s="1"/>
      <c r="BU9" s="1"/>
      <c r="BV9" s="1"/>
      <c r="BW9" s="1"/>
      <c r="BX9" s="1"/>
      <c r="BY9" s="1"/>
      <c r="BZ9" s="1"/>
      <c r="CA9" s="1"/>
      <c r="CB9" s="1"/>
      <c r="CC9" s="728"/>
      <c r="CD9" s="728"/>
      <c r="CE9" s="1"/>
    </row>
    <row r="10" spans="1:84" customFormat="1" ht="17" thickBot="1">
      <c r="C10" s="1"/>
      <c r="D10" s="1"/>
      <c r="E10" s="1"/>
      <c r="F10" s="1"/>
      <c r="G10" s="222"/>
      <c r="H10" s="158"/>
      <c r="I10" s="155"/>
      <c r="J10" s="163"/>
      <c r="L10" s="163"/>
      <c r="O10" s="164"/>
      <c r="P10" s="163"/>
      <c r="Q10" s="165"/>
      <c r="R10" s="55" t="s">
        <v>2128</v>
      </c>
      <c r="S10" s="55"/>
      <c r="T10" s="55" t="s">
        <v>2129</v>
      </c>
      <c r="U10" s="55"/>
      <c r="V10" s="55"/>
      <c r="W10" s="55"/>
      <c r="X10" s="55"/>
      <c r="Y10" s="55" t="s">
        <v>54</v>
      </c>
      <c r="Z10" s="55"/>
      <c r="AA10" s="55"/>
      <c r="AB10" s="55"/>
      <c r="AC10" s="55"/>
      <c r="AD10" s="55"/>
      <c r="AE10" s="55"/>
      <c r="AF10" s="55"/>
      <c r="AG10" s="55"/>
      <c r="AH10" s="55"/>
      <c r="AI10" s="55"/>
      <c r="AJ10" s="55"/>
      <c r="AK10" s="55"/>
      <c r="AL10" s="55"/>
      <c r="AM10" s="55"/>
      <c r="AN10" s="782"/>
      <c r="AO10" s="189"/>
      <c r="AP10" s="710" t="s">
        <v>2130</v>
      </c>
      <c r="AQ10" s="711"/>
      <c r="AR10" s="712"/>
      <c r="AS10" s="713" t="s">
        <v>2131</v>
      </c>
      <c r="AT10" s="713"/>
      <c r="AU10" s="713"/>
      <c r="AV10" s="55"/>
      <c r="AW10" s="166"/>
      <c r="AX10" s="166"/>
      <c r="AY10" s="717"/>
      <c r="AZ10" s="191"/>
      <c r="BA10" s="191"/>
      <c r="BB10" s="190"/>
      <c r="BC10" s="190"/>
      <c r="BD10" s="166"/>
      <c r="BE10" s="166"/>
      <c r="BF10" s="166"/>
      <c r="BG10" s="166"/>
      <c r="BH10" s="166"/>
      <c r="BI10" s="166"/>
      <c r="BJ10" s="1"/>
      <c r="BK10" s="166"/>
      <c r="BL10" s="166"/>
      <c r="BM10" s="166"/>
      <c r="BN10" s="166"/>
      <c r="BO10" s="166"/>
      <c r="BP10" s="199"/>
      <c r="BQ10" s="200"/>
      <c r="BR10" s="1"/>
      <c r="BS10" s="1"/>
      <c r="BT10" s="1"/>
      <c r="BU10" s="1"/>
      <c r="BV10" s="1"/>
      <c r="BW10" s="1"/>
      <c r="BX10" s="1"/>
      <c r="BY10" s="1"/>
      <c r="BZ10" s="1"/>
      <c r="CA10" s="1"/>
      <c r="CB10" s="1"/>
      <c r="CC10" s="728"/>
      <c r="CD10" s="728"/>
      <c r="CE10" s="1"/>
    </row>
    <row r="11" spans="1:84" customFormat="1" ht="85">
      <c r="A11" s="36" t="s">
        <v>3897</v>
      </c>
      <c r="B11" s="432" t="s">
        <v>2967</v>
      </c>
      <c r="C11" s="477" t="s">
        <v>2132</v>
      </c>
      <c r="D11" s="156" t="s">
        <v>2133</v>
      </c>
      <c r="E11" s="157" t="s">
        <v>2134</v>
      </c>
      <c r="F11" s="157" t="s">
        <v>4377</v>
      </c>
      <c r="G11" s="438" t="s">
        <v>2135</v>
      </c>
      <c r="H11" s="159" t="s">
        <v>2136</v>
      </c>
      <c r="I11" s="159" t="s">
        <v>1978</v>
      </c>
      <c r="J11" s="167" t="s">
        <v>1766</v>
      </c>
      <c r="K11" s="159" t="s">
        <v>2137</v>
      </c>
      <c r="L11" s="167" t="s">
        <v>1756</v>
      </c>
      <c r="M11" s="159" t="s">
        <v>2137</v>
      </c>
      <c r="N11" s="159" t="s">
        <v>1749</v>
      </c>
      <c r="O11" s="168" t="s">
        <v>2138</v>
      </c>
      <c r="P11" s="167" t="s">
        <v>2139</v>
      </c>
      <c r="Q11" s="169" t="s">
        <v>2140</v>
      </c>
      <c r="R11" s="174" t="s">
        <v>0</v>
      </c>
      <c r="S11" s="453" t="s">
        <v>2141</v>
      </c>
      <c r="T11" s="168" t="s">
        <v>1756</v>
      </c>
      <c r="U11" s="168" t="s">
        <v>1757</v>
      </c>
      <c r="V11" s="169" t="s">
        <v>2142</v>
      </c>
      <c r="W11" s="175" t="s">
        <v>1749</v>
      </c>
      <c r="X11" s="159" t="s">
        <v>2143</v>
      </c>
      <c r="Y11" s="176" t="s">
        <v>1749</v>
      </c>
      <c r="Z11" s="168" t="s">
        <v>1758</v>
      </c>
      <c r="AA11" s="168" t="s">
        <v>1759</v>
      </c>
      <c r="AB11" s="168" t="s">
        <v>1760</v>
      </c>
      <c r="AC11" s="168" t="s">
        <v>1761</v>
      </c>
      <c r="AD11" s="159" t="s">
        <v>1758</v>
      </c>
      <c r="AE11" s="159" t="s">
        <v>1759</v>
      </c>
      <c r="AF11" s="159" t="s">
        <v>1760</v>
      </c>
      <c r="AG11" s="159" t="s">
        <v>1761</v>
      </c>
      <c r="AH11" s="183" t="s">
        <v>2144</v>
      </c>
      <c r="AI11" s="183" t="s">
        <v>2145</v>
      </c>
      <c r="AJ11" s="183" t="s">
        <v>2146</v>
      </c>
      <c r="AK11" s="183" t="s">
        <v>3114</v>
      </c>
      <c r="AL11" s="183" t="s">
        <v>2147</v>
      </c>
      <c r="AM11" s="183" t="s">
        <v>2148</v>
      </c>
      <c r="AN11" s="184" t="s">
        <v>1762</v>
      </c>
      <c r="AO11" s="184" t="s">
        <v>1763</v>
      </c>
      <c r="AP11" s="184" t="s">
        <v>1752</v>
      </c>
      <c r="AQ11" s="184" t="s">
        <v>1753</v>
      </c>
      <c r="AR11" s="184" t="s">
        <v>1754</v>
      </c>
      <c r="AS11" s="183" t="s">
        <v>2149</v>
      </c>
      <c r="AT11" s="184" t="s">
        <v>2150</v>
      </c>
      <c r="AU11" s="186" t="s">
        <v>2151</v>
      </c>
      <c r="AV11" s="186" t="s">
        <v>2137</v>
      </c>
      <c r="AW11" s="187" t="s">
        <v>2152</v>
      </c>
      <c r="AX11" s="187" t="s">
        <v>2153</v>
      </c>
      <c r="AY11" s="718" t="s">
        <v>2154</v>
      </c>
      <c r="AZ11" s="192" t="s">
        <v>2155</v>
      </c>
      <c r="BA11" s="192" t="s">
        <v>2156</v>
      </c>
      <c r="BB11" s="193" t="s">
        <v>2157</v>
      </c>
      <c r="BC11" s="194" t="s">
        <v>2137</v>
      </c>
      <c r="BD11" s="195" t="s">
        <v>2158</v>
      </c>
      <c r="BE11" s="166" t="s">
        <v>2159</v>
      </c>
      <c r="BF11" s="166" t="s">
        <v>3013</v>
      </c>
      <c r="BG11" s="198" t="s">
        <v>3014</v>
      </c>
      <c r="BH11" s="166" t="s">
        <v>2160</v>
      </c>
      <c r="BI11" s="166" t="s">
        <v>1763</v>
      </c>
      <c r="BJ11" s="166" t="s">
        <v>1762</v>
      </c>
      <c r="BK11" s="166" t="s">
        <v>1766</v>
      </c>
      <c r="BL11" s="166" t="s">
        <v>1756</v>
      </c>
      <c r="BM11" s="198" t="s">
        <v>2161</v>
      </c>
      <c r="BN11" s="198" t="s">
        <v>2162</v>
      </c>
      <c r="BO11" s="198" t="s">
        <v>2163</v>
      </c>
      <c r="BP11" s="203" t="s">
        <v>2164</v>
      </c>
      <c r="BQ11" s="200" t="s">
        <v>3903</v>
      </c>
      <c r="BR11" s="185" t="s">
        <v>1765</v>
      </c>
      <c r="BS11" s="185" t="s">
        <v>2968</v>
      </c>
      <c r="BT11" s="185" t="s">
        <v>2969</v>
      </c>
      <c r="BU11" s="185" t="s">
        <v>3015</v>
      </c>
      <c r="BV11" s="185" t="s">
        <v>3016</v>
      </c>
      <c r="BW11" s="185" t="s">
        <v>2165</v>
      </c>
      <c r="BX11" s="185" t="s">
        <v>3904</v>
      </c>
      <c r="BY11" s="185" t="s">
        <v>3994</v>
      </c>
      <c r="BZ11" s="185" t="s">
        <v>3995</v>
      </c>
      <c r="CA11" s="185" t="s">
        <v>3996</v>
      </c>
      <c r="CB11" s="185" t="s">
        <v>3997</v>
      </c>
      <c r="CC11" s="727" t="s">
        <v>3999</v>
      </c>
      <c r="CD11" s="727" t="s">
        <v>4000</v>
      </c>
      <c r="CE11" s="185" t="s">
        <v>4001</v>
      </c>
      <c r="CF11" s="185" t="s">
        <v>4016</v>
      </c>
    </row>
    <row r="12" spans="1:84" customFormat="1">
      <c r="A12" s="701"/>
      <c r="B12" s="447"/>
      <c r="C12" s="161"/>
      <c r="D12" s="162"/>
      <c r="E12" s="1"/>
      <c r="F12" s="1"/>
      <c r="G12" s="440"/>
      <c r="H12" s="1"/>
      <c r="I12" s="160"/>
      <c r="J12" s="170"/>
      <c r="K12" s="1"/>
      <c r="L12" s="170"/>
      <c r="M12" s="1"/>
      <c r="N12" s="458"/>
      <c r="O12" s="170"/>
      <c r="P12" s="441"/>
      <c r="Q12" s="55"/>
      <c r="R12" s="177"/>
      <c r="S12" s="454"/>
      <c r="T12" s="178"/>
      <c r="U12" s="178"/>
      <c r="V12" s="179"/>
      <c r="W12" s="180"/>
      <c r="X12" s="179"/>
      <c r="Y12" s="180"/>
      <c r="Z12" s="178"/>
      <c r="AA12" s="178"/>
      <c r="AB12" s="178"/>
      <c r="AC12" s="178"/>
      <c r="AD12" s="182"/>
      <c r="AE12" s="182"/>
      <c r="AF12" s="182"/>
      <c r="AG12" s="182"/>
      <c r="AH12" s="401"/>
      <c r="AI12" s="401"/>
      <c r="AJ12" s="401"/>
      <c r="AK12" s="401"/>
      <c r="AL12" s="401"/>
      <c r="AM12" s="189"/>
      <c r="AN12" s="829"/>
      <c r="AO12" s="830"/>
      <c r="AP12" s="401"/>
      <c r="AQ12" s="401"/>
      <c r="AR12" s="401"/>
      <c r="AS12" s="401"/>
      <c r="AT12" s="403"/>
      <c r="AU12" s="403"/>
      <c r="AV12" s="170"/>
      <c r="AW12" s="166"/>
      <c r="AX12" s="166"/>
      <c r="AY12" s="189"/>
      <c r="AZ12" s="189"/>
      <c r="BA12" s="196"/>
      <c r="BB12" s="629"/>
      <c r="BC12" s="190"/>
      <c r="BD12" s="510"/>
      <c r="BE12" s="510"/>
      <c r="BF12" s="177"/>
      <c r="BG12" s="177"/>
      <c r="BH12" s="166"/>
      <c r="BI12" s="474"/>
      <c r="BJ12" s="166"/>
      <c r="BK12" s="474"/>
      <c r="BL12" s="474"/>
      <c r="BM12" s="474"/>
      <c r="BN12" s="166"/>
      <c r="BO12" s="166"/>
      <c r="BP12" s="204"/>
      <c r="BQ12" s="475"/>
      <c r="BR12" s="205"/>
      <c r="BS12" s="509"/>
      <c r="BT12" s="509"/>
      <c r="BU12" s="459"/>
      <c r="BV12" s="459"/>
      <c r="BW12" s="1"/>
      <c r="BX12" s="1"/>
      <c r="BY12" s="546" t="str">
        <f>IFERROR(INDEX((tbl_edg),MATCH($AD12,Edg,0)),"")</f>
        <v/>
      </c>
      <c r="BZ12" s="546" t="str">
        <f>IFERROR(INDEX((tbl_edg),MATCH($AE12,Edg,0)),"")</f>
        <v/>
      </c>
      <c r="CA12" s="546" t="str">
        <f>IFERROR(INDEX((tbl_edg),MATCH($AF12,Edg,0)),"")</f>
        <v/>
      </c>
      <c r="CB12" s="546" t="str">
        <f>IFERROR(INDEX((tbl_edg),MATCH($AG12,Edg,0)),"")</f>
        <v/>
      </c>
      <c r="CC12" s="728"/>
      <c r="CD12" s="728"/>
      <c r="CE12" s="1"/>
    </row>
    <row r="13" spans="1:84" customFormat="1">
      <c r="A13" s="701"/>
      <c r="B13" s="447"/>
      <c r="C13" s="161"/>
      <c r="D13" s="162"/>
      <c r="E13" s="1"/>
      <c r="F13" s="811"/>
      <c r="G13" s="440"/>
      <c r="H13" s="1"/>
      <c r="I13" s="55"/>
      <c r="J13" s="170"/>
      <c r="K13" s="1"/>
      <c r="L13" s="170"/>
      <c r="M13" s="1"/>
      <c r="N13" s="458"/>
      <c r="O13" s="170"/>
      <c r="P13" s="441"/>
      <c r="Q13" s="55"/>
      <c r="R13" s="177"/>
      <c r="S13" s="454"/>
      <c r="T13" s="178"/>
      <c r="U13" s="178"/>
      <c r="V13" s="179"/>
      <c r="W13" s="180"/>
      <c r="X13" s="179"/>
      <c r="Y13" s="180"/>
      <c r="Z13" s="178"/>
      <c r="AA13" s="178"/>
      <c r="AB13" s="178"/>
      <c r="AC13" s="178"/>
      <c r="AD13" s="182"/>
      <c r="AE13" s="182"/>
      <c r="AF13" s="182"/>
      <c r="AG13" s="182"/>
      <c r="AH13" s="401"/>
      <c r="AI13" s="401"/>
      <c r="AJ13" s="401"/>
      <c r="AK13" s="401"/>
      <c r="AL13" s="401"/>
      <c r="AM13" s="189"/>
      <c r="AN13" s="829"/>
      <c r="AO13" s="830"/>
      <c r="AP13" s="401"/>
      <c r="AQ13" s="401"/>
      <c r="AR13" s="401"/>
      <c r="AS13" s="401"/>
      <c r="AT13" s="403"/>
      <c r="AU13" s="403"/>
      <c r="AV13" s="170"/>
      <c r="AW13" s="166"/>
      <c r="AX13" s="166"/>
      <c r="AY13" s="189"/>
      <c r="AZ13" s="189"/>
      <c r="BA13" s="196"/>
      <c r="BB13" s="629"/>
      <c r="BC13" s="190"/>
      <c r="BD13" s="510"/>
      <c r="BE13" s="510"/>
      <c r="BF13" s="177"/>
      <c r="BG13" s="177"/>
      <c r="BH13" s="166"/>
      <c r="BI13" s="474"/>
      <c r="BJ13" s="166"/>
      <c r="BK13" s="474"/>
      <c r="BL13" s="474"/>
      <c r="BM13" s="474"/>
      <c r="BN13" s="166"/>
      <c r="BO13" s="166"/>
      <c r="BP13" s="204"/>
      <c r="BQ13" s="475"/>
      <c r="BR13" s="205"/>
      <c r="BS13" s="509"/>
      <c r="BT13" s="509"/>
      <c r="BU13" s="459"/>
      <c r="BV13" s="459"/>
      <c r="BW13" s="1"/>
      <c r="BX13" s="1"/>
      <c r="BY13" s="546"/>
      <c r="BZ13" s="546"/>
      <c r="CA13" s="546"/>
      <c r="CB13" s="546"/>
      <c r="CC13" s="728"/>
      <c r="CD13" s="728"/>
      <c r="CE13" s="170"/>
    </row>
    <row r="14" spans="1:84" customFormat="1">
      <c r="A14" s="701" t="str">
        <f>IFERROR(INDEX((ID),MATCH(H14,BARANG,0)),"…")</f>
        <v>…</v>
      </c>
      <c r="B14" s="447" t="str">
        <f>IFERROR(INDEX((cprt),MATCH($H14,Prt,0)),"…")</f>
        <v>…</v>
      </c>
      <c r="C14" s="1" t="s">
        <v>2605</v>
      </c>
      <c r="D14" s="538" t="str">
        <f>(INDEX(KS_Set,MATCH($H14,Set_prt,0)))</f>
        <v>[ks]</v>
      </c>
      <c r="E14" s="1" t="s">
        <v>2166</v>
      </c>
      <c r="F14" s="811" t="str">
        <f>IFERROR(INDEX((opt),MATCH($H14,Prt,0)),"")</f>
        <v/>
      </c>
      <c r="G14" s="440" t="str">
        <f>IFERROR(INDEX((no_ref),MATCH($H14,ref,0)),"...")</f>
        <v>•</v>
      </c>
      <c r="H14" s="1" t="s">
        <v>2168</v>
      </c>
      <c r="J14" s="171">
        <v>2000</v>
      </c>
      <c r="K14" s="55" t="s">
        <v>2137</v>
      </c>
      <c r="L14" s="171">
        <v>209</v>
      </c>
      <c r="M14" s="55" t="s">
        <v>2137</v>
      </c>
      <c r="N14" s="172">
        <v>75</v>
      </c>
      <c r="O14" s="170" t="str">
        <f>CONCATENATE(J14," ",K14," ",L14," ",M14," ",N14)</f>
        <v>2000 x 209 x 75</v>
      </c>
      <c r="P14" s="139"/>
      <c r="Q14" s="172">
        <v>1</v>
      </c>
      <c r="R14" s="181"/>
      <c r="S14" s="455"/>
      <c r="T14" s="170"/>
      <c r="U14" s="170"/>
      <c r="V14" s="1"/>
      <c r="W14" s="173"/>
      <c r="X14" s="1"/>
      <c r="Y14" s="166"/>
      <c r="Z14" s="170"/>
      <c r="AA14" s="170"/>
      <c r="AB14" s="170"/>
      <c r="AC14" s="170"/>
      <c r="AD14" s="182" t="str">
        <f t="shared" ref="AD14:AG16" si="0">IF($B14="alu",(INDEX((Fr),MATCH(Z14,cfr,0))),INDEX((te),MATCH(Z14,cte,0)))</f>
        <v xml:space="preserve"> </v>
      </c>
      <c r="AE14" s="182" t="str">
        <f t="shared" si="0"/>
        <v xml:space="preserve"> </v>
      </c>
      <c r="AF14" s="182" t="str">
        <f t="shared" si="0"/>
        <v xml:space="preserve"> </v>
      </c>
      <c r="AG14" s="182" t="str">
        <f t="shared" si="0"/>
        <v xml:space="preserve"> </v>
      </c>
      <c r="AH14" s="189"/>
      <c r="AI14" s="189"/>
      <c r="AJ14" s="189"/>
      <c r="AK14" s="401" t="str">
        <f>IFERROR(INDEX((std_siku_prt),MATCH($H14,Prt,0)),"")</f>
        <v/>
      </c>
      <c r="AL14" s="401" t="str">
        <f>IFERROR(INDEX((std_screw_prt),MATCH($H14,Prt,0)),"")</f>
        <v/>
      </c>
      <c r="AM14" s="189"/>
      <c r="AN14" s="782"/>
      <c r="AO14" s="189"/>
      <c r="AP14" s="401" t="str">
        <f>IFERROR(INDEX((std_anodizev_proses),MATCH($I14,pk,0)),"")</f>
        <v/>
      </c>
      <c r="AQ14" s="401" t="str">
        <f>IFERROR(INDEX((std_anodizev2_proses),MATCH($I14,pk,0)),"")</f>
        <v/>
      </c>
      <c r="AR14" s="401" t="str">
        <f>IFERROR(INDEX((std_anodizeh_proses),MATCH($I14,pk,0)),"")</f>
        <v/>
      </c>
      <c r="AS14" s="188"/>
      <c r="AT14" s="1"/>
      <c r="AU14" s="403" t="str">
        <f>IF($AS14=0,"",Q14*BR14)</f>
        <v/>
      </c>
      <c r="AV14" s="1"/>
      <c r="AW14" s="166"/>
      <c r="AX14" s="166" t="str">
        <f>IF($B14="alu",(CONCATENATE(VLOOKUP($AD14,tabfr,2,0),VLOOKUP($AE14,tabfr,2,0),VLOOKUP($AF14,tabfr,2,0),VLOOKUP($AG14,tabfr,2,0))),(CONCATENATE(VLOOKUP($AD14,tabte,2,0),VLOOKUP($AE14,tabte,2,0),VLOOKUP($AF14,tabte,2,0),VLOOKUP($AG14,tabte,2,0))))</f>
        <v>3333</v>
      </c>
      <c r="AY14" s="189" t="str">
        <f>IFERROR(VLOOKUP(AW14,descf,2,0),"")</f>
        <v/>
      </c>
      <c r="AZ14" s="189" t="str">
        <f>IF($B14="alu",(VLOOKUP(AX14,descfr,2,0)),(VLOOKUP(AX14,desce,2,0)))</f>
        <v xml:space="preserve"> -</v>
      </c>
      <c r="BA14" s="196" t="str">
        <f>IF($R14=0,CONCATENATE(0,")"," ",$H14," ",$J14),CONCATENATE(VLOOKUP(H14,tabprt,2,0),")",$H14,"_",AY14))</f>
        <v>0) Back Panel Rangka (rakit tukang) 2000</v>
      </c>
      <c r="BB14" s="629" t="str">
        <f>IF($B14="…",CONCATENATE(0,$E14,")"," ",$H14),IF($B14="kc",CONCATENATE(VLOOKUP(H14,tabprt,2,0),")",$H14," ",$R14," ",$S14,"mm"," ","-"," "," ",";"," ",$AZ14,"  ",$I14),IF($B14="alu",CONCATENATE(VLOOKUP(H14,tabprt,2,0),")",$H14," ",$R14," ",$S14,"mm"," ","-"," "," ",";"," ",$AZ14,"  ",$I14),CONCATENATE(VLOOKUP(H14,tabprt,2,0),")",$H14," ",$R14," ",$S14,"mm"," ","-"," ",$AY14," ",";"," ",$AZ14,"  ",$I14))))</f>
        <v>0A) Back Panel Rangka (rakit tukang)</v>
      </c>
      <c r="BC14" s="197"/>
      <c r="BD14" s="510" t="str">
        <f>IFERROR(INDEX((std_minifix_prt),MATCH($H14,Prt,0)),"")</f>
        <v/>
      </c>
      <c r="BE14" s="510" t="str">
        <f>IFERROR(INDEX((std_dowel_prt),MATCH($H14,Prt,0)),"")</f>
        <v/>
      </c>
      <c r="BF14" s="177"/>
      <c r="BG14" s="177"/>
      <c r="BH14" s="166">
        <f>IF($AM14=0,0,1)*Q14</f>
        <v>0</v>
      </c>
      <c r="BI14" s="474">
        <f>IF($AO14=0,0,IF(J14&lt;=fp,2,(ROUNDUP(J14/fp,0))))*Q14</f>
        <v>0</v>
      </c>
      <c r="BJ14" s="166">
        <f>IF($AN14=0,0,1)*Q14</f>
        <v>0</v>
      </c>
      <c r="BK14" s="474">
        <f>(($J14+tol_p)*$Q14)/1000</f>
        <v>2.04</v>
      </c>
      <c r="BL14" s="474">
        <f>(($L14+tol_p)*$Q14)/1000</f>
        <v>0.249</v>
      </c>
      <c r="BM14" s="474">
        <f>IF(R14=0,0,((2*((J14+tol_p)+(L14+tol_p))*Q14)/1000))</f>
        <v>0</v>
      </c>
      <c r="BN14" s="166"/>
      <c r="BO14" s="166" t="str">
        <f>CONCATENATE(R14,"_",S14)</f>
        <v>_</v>
      </c>
      <c r="BP14" s="204" t="str">
        <f>CONCATENATE(R14," ",S14," ",AY14)</f>
        <v xml:space="preserve">  </v>
      </c>
      <c r="BQ14" s="475">
        <f>((J14*L14*Q14)/(2400*1200))+10%</f>
        <v>0.24513888888888891</v>
      </c>
      <c r="BR14" s="205" t="str">
        <f>IFERROR(INDEX((std_jml_anodize_per_uk),MATCH($H14,Prt,0)),"")</f>
        <v/>
      </c>
      <c r="BS14" s="509">
        <f>IF($BD14=0,0,IF($L14&lt;150,2,((ROUNDUP($L14/fm,0)*2))))*$Q14</f>
        <v>2</v>
      </c>
      <c r="BT14" s="509">
        <f>IF($BE14=0,0,IF($L14&lt;150,2,((ROUNDUP($L14/fd,0)*2))))*$Q14</f>
        <v>4</v>
      </c>
      <c r="BU14" s="459"/>
      <c r="BV14" s="459"/>
      <c r="BW14" s="1">
        <f>+((J14*L14)*Q14)/1000000</f>
        <v>0.41799999999999998</v>
      </c>
      <c r="BX14" s="1">
        <f>+((J14*L14*N14)*Q14)/1000000000</f>
        <v>3.1350000000000003E-2</v>
      </c>
      <c r="BY14" s="546" t="str">
        <f>IFERROR(INDEX((tbl_edg),MATCH($AD14,Edg,0)),"")</f>
        <v/>
      </c>
      <c r="BZ14" s="546" t="str">
        <f>IFERROR(INDEX((tbl_edg),MATCH($AE14,Edg,0)),"")</f>
        <v/>
      </c>
      <c r="CA14" s="546" t="str">
        <f>IFERROR(INDEX((tbl_edg),MATCH($AF14,Edg,0)),"")</f>
        <v/>
      </c>
      <c r="CB14" s="546" t="str">
        <f>IFERROR(INDEX((tbl_edg),MATCH($AG14,Edg,0)),"")</f>
        <v/>
      </c>
      <c r="CC14" s="728" t="str">
        <f>IFERROR((J14-CA14-CB14),"")</f>
        <v/>
      </c>
      <c r="CD14" s="728" t="str">
        <f>IFERROR((L14-BY14-BZ14),"")</f>
        <v/>
      </c>
      <c r="CE14" s="170" t="str">
        <f>IFERROR((CONCATENATE(CC14," ","x"," ",CD14," ","x"," ",N14)),"")</f>
        <v xml:space="preserve"> x  x 75</v>
      </c>
      <c r="CF14" t="str">
        <f>IF(F14=1,(CONCATENATE(J14,";",L14,";",Q14,";",BP14,";",N14,";",H14,";","-1",";",AF14,";",CA14,";",AG14,";",CB14,";",AD14,";",BY14,";",AE14,";",BZ14))," ")</f>
        <v xml:space="preserve"> </v>
      </c>
    </row>
    <row r="15" spans="1:84" customFormat="1">
      <c r="A15" s="701" t="str">
        <f>IFERROR(INDEX((ID),MATCH(H15,BARANG,0)),"…")</f>
        <v>…</v>
      </c>
      <c r="B15" s="447" t="str">
        <f>IFERROR(INDEX((cprt),MATCH($H15,Prt,0)),"…")</f>
        <v>pintu</v>
      </c>
      <c r="C15" s="161" t="s">
        <v>1472</v>
      </c>
      <c r="D15" s="162" t="str">
        <f>IFERROR(INDEX((KS),MATCH($H15,Prt,0)),"")</f>
        <v>KS</v>
      </c>
      <c r="E15" s="1" t="s">
        <v>3093</v>
      </c>
      <c r="F15" s="811">
        <f>IFERROR(INDEX((opt),MATCH($H15,Prt,0)),"")</f>
        <v>0</v>
      </c>
      <c r="G15" s="440" t="str">
        <f>IFERROR(INDEX((no_ref),MATCH($H15,ref,0)),"...")</f>
        <v>...</v>
      </c>
      <c r="H15" s="1" t="s">
        <v>1838</v>
      </c>
      <c r="I15" s="55"/>
      <c r="J15" s="170">
        <f>+J14</f>
        <v>2000</v>
      </c>
      <c r="K15" s="1" t="s">
        <v>2137</v>
      </c>
      <c r="L15" s="170">
        <f>+L14</f>
        <v>209</v>
      </c>
      <c r="M15" s="1" t="s">
        <v>2137</v>
      </c>
      <c r="N15" s="458">
        <f>+(S15+W15+Y15)</f>
        <v>19</v>
      </c>
      <c r="O15" s="170" t="str">
        <f>CONCATENATE(J15," ",K15," ",L15," ",M15," ",N15)</f>
        <v>2000 x 209 x 19</v>
      </c>
      <c r="P15" s="441">
        <f>IFERROR(INDEX((std_sub_prt),MATCH($H15,Prt,0)),"")</f>
        <v>1</v>
      </c>
      <c r="Q15" s="55">
        <f>P15*Q14</f>
        <v>1</v>
      </c>
      <c r="R15" s="177" t="str">
        <f>IFERROR(INDEX((std_bhn_prt),MATCH($H15,Prt,0)),"")</f>
        <v>Ply</v>
      </c>
      <c r="S15" s="454">
        <f>IFERROR(INDEX((std_Tbahan_prt),MATCH($H15,Prt,0)),"")</f>
        <v>18</v>
      </c>
      <c r="T15" s="178">
        <f>INDEX((std_lapisan_luar_prt),MATCH($H15,Prt,0))</f>
        <v>1</v>
      </c>
      <c r="U15" s="178">
        <f>INDEX((std_lapisan_dalam_prt),MATCH($H15,Prt,0))</f>
        <v>0</v>
      </c>
      <c r="V15" s="179" t="str">
        <f>IFERROR(INDEX((tf),MATCH(T15,ctf,0)),"")</f>
        <v>WY_5216_D(V)</v>
      </c>
      <c r="W15" s="180">
        <f>IFERROR(INDEX((tebal_lapisan),MATCH($V15,tf,0)),"")</f>
        <v>1</v>
      </c>
      <c r="X15" s="179" t="str">
        <f>IFERROR(INDEX((tf),MATCH(U15,ctf,0)),"")</f>
        <v>Polos</v>
      </c>
      <c r="Y15" s="180">
        <f>IFERROR(INDEX((tebal_lapisan),MATCH($X15,tf,0)),"")</f>
        <v>0</v>
      </c>
      <c r="Z15" s="178">
        <f>INDEX((std_edg_P1_prt),MATCH($H15,Prt,0))</f>
        <v>1</v>
      </c>
      <c r="AA15" s="178">
        <f>INDEX((std_edg_P2_prt),MATCH($H15,Prt,0))</f>
        <v>1</v>
      </c>
      <c r="AB15" s="178">
        <f>INDEX((std_edg_L1_prt),MATCH($H15,Prt,0))</f>
        <v>1</v>
      </c>
      <c r="AC15" s="178">
        <f>INDEX((std_edg_L2_prt),MATCH($H15,Prt,0))</f>
        <v>1</v>
      </c>
      <c r="AD15" s="182" t="str">
        <f t="shared" si="0"/>
        <v>Edg_EAW_5216D1</v>
      </c>
      <c r="AE15" s="182" t="str">
        <f t="shared" si="0"/>
        <v>Edg_EAW_5216D1</v>
      </c>
      <c r="AF15" s="182" t="str">
        <f t="shared" si="0"/>
        <v>Edg_EAW_5216D1</v>
      </c>
      <c r="AG15" s="182" t="str">
        <f t="shared" si="0"/>
        <v>Edg_EAW_5216D1</v>
      </c>
      <c r="AH15" s="401">
        <f>IFERROR(INDEX((std_profil3_prt),MATCH($H15,Prt,0)),"")</f>
        <v>0</v>
      </c>
      <c r="AI15" s="401">
        <f>IFERROR(INDEX((std_profil2_prt),MATCH($H15,Prt,0)),"")</f>
        <v>0</v>
      </c>
      <c r="AJ15" s="401">
        <f>IFERROR(INDEX((std_profil_prt),MATCH($H15,Prt,0)),"")</f>
        <v>0</v>
      </c>
      <c r="AK15" s="401">
        <f>IFERROR(INDEX((std_siku_prt),MATCH($H15,Prt,0)),"")</f>
        <v>0</v>
      </c>
      <c r="AL15" s="401">
        <f>IFERROR(INDEX((std_screw_prt),MATCH($H15,Prt,0)),"")</f>
        <v>0</v>
      </c>
      <c r="AM15" s="189"/>
      <c r="AN15" s="829">
        <f>IFERROR(INDEX((std_rel_prt),MATCH($H15,Prt,0)),"")</f>
        <v>0</v>
      </c>
      <c r="AO15" s="830">
        <f>IFERROR(INDEX((std_engsel_prt),MATCH($H15,Prt,0)),"")</f>
        <v>0</v>
      </c>
      <c r="AP15" s="401" t="str">
        <f>IFERROR(INDEX((std_anodizev_proses),MATCH($I15,pk,0)),"")</f>
        <v/>
      </c>
      <c r="AQ15" s="401" t="str">
        <f>IFERROR(INDEX((std_anodizev2_proses),MATCH($I15,pk,0)),"")</f>
        <v/>
      </c>
      <c r="AR15" s="401" t="str">
        <f>IFERROR(INDEX((std_anodizeh_proses),MATCH($I15,pk,0)),"")</f>
        <v/>
      </c>
      <c r="AS15" s="401">
        <f>IFERROR(INDEX((std_anodize_per_ukuran),MATCH($H15,Prt,0)),"")</f>
        <v>0</v>
      </c>
      <c r="AT15" s="403" t="str">
        <f>IF($AS15=edging7,L15,IF($AS15=edging8,L15,IF($AS15=edging9,L15,IF($AS15=Hand1,J14,IF($AS15=Hand2,L14,IF($AS15=hand3,"diisi manual",IF($AS15=hand4,"diisi manual",IF($AS15=hand5,"diisi manual",IF($AS15=mled02,J15,IF($AS15=mprf1,J15,IF($AS15=mlis1,J15,"")))))))))))</f>
        <v/>
      </c>
      <c r="AU15" s="403">
        <f>IF($AS15="","",Q15*BR15)</f>
        <v>0</v>
      </c>
      <c r="AV15" s="170"/>
      <c r="AW15" s="166" t="str">
        <f>CONCATENATE(VLOOKUP($V15,tabtf,2,0),VLOOKUP($X15,tabtf,2,0))</f>
        <v>13</v>
      </c>
      <c r="AX15" s="166" t="str">
        <f>IF($B15="alu",(CONCATENATE(VLOOKUP($AD15,tabfr,2,0),VLOOKUP($AE15,tabfr,2,0),VLOOKUP($AF15,tabfr,2,0),VLOOKUP($AG15,tabfr,2,0))),(CONCATENATE(VLOOKUP($AD15,tabte,2,0),VLOOKUP($AE15,tabte,2,0),VLOOKUP($AF15,tabte,2,0),VLOOKUP($AG15,tabte,2,0))))</f>
        <v>4444</v>
      </c>
      <c r="AY15" s="189" t="str">
        <f>IFERROR(VLOOKUP(AW15,descf,2,0),"")</f>
        <v>WY_5216_D(V)_1mk_Polos</v>
      </c>
      <c r="AZ15" s="189" t="str">
        <f>IF($B15="alu",(VLOOKUP(AX15,descfr,2,0)),(VLOOKUP(AX15,desce,2,0)))</f>
        <v>Edg_EAW_5216D1_Keliling</v>
      </c>
      <c r="BA15" s="196" t="str">
        <f>IF($R15=0,CONCATENATE(0,")"," ",$H15," ",$J15),CONCATENATE(VLOOKUP(H15,tabprt,2,0),")",$H15,"_",AY15))</f>
        <v>403)Back Panel Rangka_WY_5216_D(V)_1mk_Polos</v>
      </c>
      <c r="BB15" s="629" t="str">
        <f>IF($B15="…",CONCATENATE(0,$E15,")"," ",$H15),IF($B15="kc",CONCATENATE(VLOOKUP(H15,tabprt,2,0),")",$H15," ",$R15," ",$S15,"mm"," ","-"," "," ",";"," ",$AZ15,"  ",$I15),IF($B15="alu",CONCATENATE(VLOOKUP(H15,tabprt,2,0),")",$H15," ",$R15," ",$S15,"mm"," ","-"," "," ",";"," ",$AZ15,"  ",$I15),CONCATENATE(VLOOKUP(H15,tabprt,2,0),")",$H15," ",$R15," ",$S15,"mm"," ","-"," ",$AY15," ",";"," ",$AZ15,"  ",$I15))))</f>
        <v xml:space="preserve">403)Back Panel Rangka Ply 18mm - WY_5216_D(V)_1mk_Polos ; Edg_EAW_5216D1_Keliling  </v>
      </c>
      <c r="BC15" s="190"/>
      <c r="BD15" s="510">
        <f>IFERROR(INDEX((std_minifix_prt),MATCH($H15,Prt,0)),"")</f>
        <v>0</v>
      </c>
      <c r="BE15" s="510">
        <f>IFERROR(INDEX((std_dowel_prt),MATCH($H15,Prt,0)),"")</f>
        <v>0</v>
      </c>
      <c r="BF15" s="177">
        <f>IFERROR(INDEX((std_j_sikufr_prt),MATCH($H15,Prt,0)),"")*Q15</f>
        <v>0</v>
      </c>
      <c r="BG15" s="177">
        <f>IFERROR(INDEX((std_j_screwjf_prt),MATCH($H15,Prt,0)),"")*Q15</f>
        <v>0</v>
      </c>
      <c r="BH15" s="166">
        <f>IF($AM15=0,0,1)*Q15</f>
        <v>0</v>
      </c>
      <c r="BI15" s="474">
        <f>IF($AO15=0,0,IF(J15&lt;=fp,2,(ROUNDUP(J15/fp,0))))*Q15</f>
        <v>0</v>
      </c>
      <c r="BJ15" s="166">
        <f>IF($AN15=0,0,1)*Q15</f>
        <v>0</v>
      </c>
      <c r="BK15" s="474">
        <f>(($J15+tol_p)*$Q15)/1000</f>
        <v>2.04</v>
      </c>
      <c r="BL15" s="474">
        <f>(($L15+tol_p)*$Q15)/1000</f>
        <v>0.249</v>
      </c>
      <c r="BM15" s="474">
        <f>IF(R15=0,0,((2*((J15+tol_p)+(L15+tol_p))*Q15)/1000))</f>
        <v>4.5780000000000003</v>
      </c>
      <c r="BN15" s="166">
        <f>((J15*L15)/1000000)*Q15</f>
        <v>0.41799999999999998</v>
      </c>
      <c r="BO15" s="166" t="str">
        <f>CONCATENATE(R15,"_",S15)</f>
        <v>Ply_18</v>
      </c>
      <c r="BP15" s="204" t="str">
        <f>CONCATENATE(R15," ",S15," ",AY15)</f>
        <v>Ply 18 WY_5216_D(V)_1mk_Polos</v>
      </c>
      <c r="BQ15" s="475">
        <f>((J15*L15*Q15)/(2400*1200))+10%</f>
        <v>0.24513888888888891</v>
      </c>
      <c r="BR15" s="205">
        <f>IFERROR(INDEX((std_jml_anodize_per_uk),MATCH($H15,Prt,0)),"")</f>
        <v>0</v>
      </c>
      <c r="BS15" s="509">
        <f>IF($BD15=0,0,IF($L15&lt;150,2,((ROUNDUP($L15/fm,0)*2))))*$Q15</f>
        <v>0</v>
      </c>
      <c r="BT15" s="509">
        <f>IF($BE15=0,0,IF($L15&lt;150,2,((ROUNDUP($L15/fd,0)*2))))*$Q15</f>
        <v>0</v>
      </c>
      <c r="BU15" s="459">
        <f>BF15*$Q15</f>
        <v>0</v>
      </c>
      <c r="BV15" s="459">
        <f>BG15*$Q15</f>
        <v>0</v>
      </c>
      <c r="BW15" s="1">
        <f>+((J15*L15)*Q15)/1000000</f>
        <v>0.41799999999999998</v>
      </c>
      <c r="BX15" s="1">
        <f>+((J15*L15*N15)*Q15)/1000000000</f>
        <v>7.9419999999999994E-3</v>
      </c>
      <c r="BY15" s="546" t="str">
        <f>IFERROR(INDEX((tbl_edg),MATCH($AD15,Edg,0)),"")</f>
        <v/>
      </c>
      <c r="BZ15" s="546" t="str">
        <f>IFERROR(INDEX((tbl_edg),MATCH($AE15,Edg,0)),"")</f>
        <v/>
      </c>
      <c r="CA15" s="546" t="str">
        <f>IFERROR(INDEX((tbl_edg),MATCH($AF15,Edg,0)),"")</f>
        <v/>
      </c>
      <c r="CB15" s="546" t="str">
        <f>IFERROR(INDEX((tbl_edg),MATCH($AG15,Edg,0)),"")</f>
        <v/>
      </c>
      <c r="CC15" s="728" t="str">
        <f>IFERROR((J15-CA15-CB15),"")</f>
        <v/>
      </c>
      <c r="CD15" s="728" t="str">
        <f>IFERROR((L15-BY15-BZ15),"")</f>
        <v/>
      </c>
      <c r="CE15" s="170" t="str">
        <f>IFERROR((CONCATENATE(CC15," ","x"," ",CD15," ","x"," ",N15)),"")</f>
        <v xml:space="preserve"> x  x 19</v>
      </c>
      <c r="CF15" t="str">
        <f>IF(F15=1,(CONCATENATE(J15,";",L15,";",Q15,";",BP15,";",N15,";",H15,";","-1",";",AF15,";",CA15,";",AG15,";",CB15,";",AD15,";",BY15,";",AE15,";",BZ15))," ")</f>
        <v xml:space="preserve"> </v>
      </c>
    </row>
    <row r="16" spans="1:84" customFormat="1">
      <c r="A16" s="701" t="str">
        <f>IFERROR(INDEX((ID),MATCH(H16,BARANG,0)),"…")</f>
        <v>…</v>
      </c>
      <c r="B16" s="447" t="str">
        <f>IFERROR(INDEX((cprt),MATCH($H16,Prt,0)),"…")</f>
        <v>pintu</v>
      </c>
      <c r="C16" s="161" t="s">
        <v>1472</v>
      </c>
      <c r="D16" s="162" t="str">
        <f>IFERROR(INDEX((KS),MATCH($H16,Prt,0)),"")</f>
        <v>KS</v>
      </c>
      <c r="E16" s="1" t="s">
        <v>2166</v>
      </c>
      <c r="F16" s="811">
        <f>IFERROR(INDEX((opt),MATCH($H16,Prt,0)),"")</f>
        <v>1</v>
      </c>
      <c r="G16" s="440" t="str">
        <f>IFERROR(INDEX((no_ref),MATCH($H16,ref,0)),"...")</f>
        <v>...</v>
      </c>
      <c r="H16" s="1" t="s">
        <v>1842</v>
      </c>
      <c r="I16" s="55"/>
      <c r="J16" s="170">
        <v>2430</v>
      </c>
      <c r="K16" s="1" t="s">
        <v>2137</v>
      </c>
      <c r="L16" s="457">
        <f>ROUNDDOWN(N14-N15-tol,0)</f>
        <v>55</v>
      </c>
      <c r="M16" s="1" t="s">
        <v>2137</v>
      </c>
      <c r="N16" s="458">
        <f>+(S16+W16+Y16)</f>
        <v>18.5</v>
      </c>
      <c r="O16" s="170" t="str">
        <f>CONCATENATE(J16," ",K16," ",L16," ",M16," ",N16)</f>
        <v>2430 x 55 x 18,5</v>
      </c>
      <c r="P16" s="441">
        <f>ROUNDUP((((2*J14)+(4*L14))/2440),0)</f>
        <v>2</v>
      </c>
      <c r="Q16" s="55">
        <f>+P16*Q14</f>
        <v>2</v>
      </c>
      <c r="R16" s="177" t="str">
        <f>IFERROR(INDEX((std_bhn_prt),MATCH($H16,Prt,0)),"")</f>
        <v>Ply</v>
      </c>
      <c r="S16" s="454">
        <f>IFERROR(INDEX((std_Tbahan_prt),MATCH($H16,Prt,0)),"")</f>
        <v>18</v>
      </c>
      <c r="T16" s="178">
        <f>INDEX((std_lapisan_luar_prt),MATCH($H16,Prt,0))</f>
        <v>0</v>
      </c>
      <c r="U16" s="178">
        <f>INDEX((std_lapisan_dalam_prt),MATCH($H16,Prt,0))</f>
        <v>22</v>
      </c>
      <c r="V16" s="179" t="str">
        <f>IFERROR(INDEX((tf),MATCH(T16,ctf,0)),"")</f>
        <v>Polos</v>
      </c>
      <c r="W16" s="180">
        <f>IFERROR(INDEX((tebal_lapisan),MATCH($V16,tf,0)),"")</f>
        <v>0</v>
      </c>
      <c r="X16" s="179" t="str">
        <f>IFERROR(INDEX((tf),MATCH(U16,ctf,0)),"")</f>
        <v>Aica</v>
      </c>
      <c r="Y16" s="180">
        <f>IFERROR(INDEX((tebal_lapisan),MATCH($X16,tf,0)),"")</f>
        <v>0.5</v>
      </c>
      <c r="Z16" s="178">
        <f>INDEX((std_edg_P1_prt),MATCH($H16,Prt,0))</f>
        <v>0</v>
      </c>
      <c r="AA16" s="178">
        <f>INDEX((std_edg_P2_prt),MATCH($H16,Prt,0))</f>
        <v>9</v>
      </c>
      <c r="AB16" s="178">
        <f>INDEX((std_edg_L1_prt),MATCH($H16,Prt,0))</f>
        <v>0</v>
      </c>
      <c r="AC16" s="178">
        <f>INDEX((std_edg_L2_prt),MATCH($H16,Prt,0))</f>
        <v>0</v>
      </c>
      <c r="AD16" s="182" t="str">
        <f t="shared" si="0"/>
        <v xml:space="preserve"> </v>
      </c>
      <c r="AE16" s="182" t="str">
        <f t="shared" si="0"/>
        <v>Melanor</v>
      </c>
      <c r="AF16" s="182" t="str">
        <f t="shared" si="0"/>
        <v xml:space="preserve"> </v>
      </c>
      <c r="AG16" s="182" t="str">
        <f t="shared" si="0"/>
        <v xml:space="preserve"> </v>
      </c>
      <c r="AH16" s="401">
        <f>IFERROR(INDEX((std_profil3_prt),MATCH($H16,Prt,0)),"")</f>
        <v>0</v>
      </c>
      <c r="AI16" s="401">
        <f>IFERROR(INDEX((std_profil2_prt),MATCH($H16,Prt,0)),"")</f>
        <v>0</v>
      </c>
      <c r="AJ16" s="401">
        <f>IFERROR(INDEX((std_profil_prt),MATCH($H16,Prt,0)),"")</f>
        <v>0</v>
      </c>
      <c r="AK16" s="401">
        <f>IFERROR(INDEX((std_siku_prt),MATCH($H16,Prt,0)),"")</f>
        <v>0</v>
      </c>
      <c r="AL16" s="401">
        <f>IFERROR(INDEX((std_screw_prt),MATCH($H16,Prt,0)),"")</f>
        <v>0</v>
      </c>
      <c r="AM16" s="189"/>
      <c r="AN16" s="829">
        <f>IFERROR(INDEX((std_rel_prt),MATCH($H16,Prt,0)),"")</f>
        <v>0</v>
      </c>
      <c r="AO16" s="830">
        <f>IFERROR(INDEX((std_engsel_prt),MATCH($H16,Prt,0)),"")</f>
        <v>0</v>
      </c>
      <c r="AP16" s="401" t="str">
        <f>IFERROR(INDEX((std_anodizev_proses),MATCH($I16,pk,0)),"")</f>
        <v/>
      </c>
      <c r="AQ16" s="401" t="str">
        <f>IFERROR(INDEX((std_anodizev2_proses),MATCH($I16,pk,0)),"")</f>
        <v/>
      </c>
      <c r="AR16" s="401" t="str">
        <f>IFERROR(INDEX((std_anodizeh_proses),MATCH($I16,pk,0)),"")</f>
        <v/>
      </c>
      <c r="AS16" s="401">
        <f>IFERROR(INDEX((std_anodize_per_ukuran),MATCH($H16,Prt,0)),"")</f>
        <v>0</v>
      </c>
      <c r="AT16" s="403" t="str">
        <f>IF($AS16=edging7,L16,IF($AS16=edging8,L16,IF($AS16=edging9,L16,IF($AS16=Hand1,J15,IF($AS16=Hand2,L15,IF($AS16=hand3,"diisi manual",IF($AS16=hand4,"diisi manual",IF($AS16=hand5,"diisi manual",IF($AS16=mled02,J16,IF($AS16=mprf1,J16,IF($AS16=mlis1,J16,"")))))))))))</f>
        <v/>
      </c>
      <c r="AU16" s="403">
        <f>IF($AS16="","",Q16*BR16)</f>
        <v>0</v>
      </c>
      <c r="AV16" s="170"/>
      <c r="AW16" s="166" t="str">
        <f>CONCATENATE(VLOOKUP($V16,tabtf,2,0),VLOOKUP($X16,tabtf,2,0))</f>
        <v>37</v>
      </c>
      <c r="AX16" s="166" t="str">
        <f>IF($B16="alu",(CONCATENATE(VLOOKUP($AD16,tabfr,2,0),VLOOKUP($AE16,tabfr,2,0),VLOOKUP($AF16,tabfr,2,0),VLOOKUP($AG16,tabfr,2,0))),(CONCATENATE(VLOOKUP($AD16,tabte,2,0),VLOOKUP($AE16,tabte,2,0),VLOOKUP($AF16,tabte,2,0),VLOOKUP($AG16,tabte,2,0))))</f>
        <v>3233</v>
      </c>
      <c r="AY16" s="189" t="str">
        <f>IFERROR(VLOOKUP(AW16,descf,2,0),"")</f>
        <v>Aica_1mk_Polos</v>
      </c>
      <c r="AZ16" s="189" t="str">
        <f>IF($B16="alu",(VLOOKUP(AX16,descfr,2,0)),(VLOOKUP(AX16,desce,2,0)))</f>
        <v>Melanor_1sisi_pjg</v>
      </c>
      <c r="BA16" s="196" t="str">
        <f>IF($R16=0,CONCATENATE(0,")"," ",$H16," ",$J16),CONCATENATE(VLOOKUP(H16,tabprt,2,0),")",$H16,"_",AY16))</f>
        <v>414)Rangka back panel_Aica_1mk_Polos</v>
      </c>
      <c r="BB16" s="629" t="str">
        <f>IF($B16="…",CONCATENATE(0,$E16,")"," ",$H16),IF($B16="kc",CONCATENATE(VLOOKUP(H16,tabprt,2,0),")",$H16," ",$R16," ",$S16,"mm"," ","-"," "," ",";"," ",$AZ16,"  ",$I16),IF($B16="alu",CONCATENATE(VLOOKUP(H16,tabprt,2,0),")",$H16," ",$R16," ",$S16,"mm"," ","-"," "," ",";"," ",$AZ16,"  ",$I16),CONCATENATE(VLOOKUP(H16,tabprt,2,0),")",$H16," ",$R16," ",$S16,"mm"," ","-"," ",$AY16," ",";"," ",$AZ16,"  ",$I16))))</f>
        <v xml:space="preserve">414)Rangka back panel Ply 18mm - Aica_1mk_Polos ; Melanor_1sisi_pjg  </v>
      </c>
      <c r="BC16" s="190"/>
      <c r="BD16" s="510">
        <f>IFERROR(INDEX((std_minifix_prt),MATCH($H16,Prt,0)),"")</f>
        <v>0</v>
      </c>
      <c r="BE16" s="510">
        <f>IFERROR(INDEX((std_dowel_prt),MATCH($H16,Prt,0)),"")</f>
        <v>0</v>
      </c>
      <c r="BF16" s="177">
        <f>IFERROR(INDEX((std_j_sikufr_prt),MATCH($H16,Prt,0)),"")*Q16</f>
        <v>0</v>
      </c>
      <c r="BG16" s="177">
        <f>IFERROR(INDEX((std_j_screwjf_prt),MATCH($H16,Prt,0)),"")*Q16</f>
        <v>0</v>
      </c>
      <c r="BH16" s="166">
        <f>IF($AM16=0,0,1)*Q16</f>
        <v>0</v>
      </c>
      <c r="BI16" s="474">
        <f>IF($AO16=0,0,IF(J16&lt;=fp,2,(ROUNDUP(J16/fp,0))))*Q16</f>
        <v>0</v>
      </c>
      <c r="BJ16" s="166">
        <f>IF($AN16=0,0,1)*Q16</f>
        <v>0</v>
      </c>
      <c r="BK16" s="474">
        <f>(($J16+tol_p)*$Q16)/1000</f>
        <v>4.9400000000000004</v>
      </c>
      <c r="BL16" s="474">
        <f>(($L16+tol_p)*$Q16)/1000</f>
        <v>0.19</v>
      </c>
      <c r="BM16" s="474">
        <f>IF(R16=0,0,((2*((J16+tol_p)+(L16+tol_p))*Q16)/1000))</f>
        <v>10.26</v>
      </c>
      <c r="BN16" s="166">
        <f>((J16*L16)/1000000)*Q16</f>
        <v>0.26729999999999998</v>
      </c>
      <c r="BO16" s="166" t="str">
        <f>CONCATENATE(R16,"_",S16)</f>
        <v>Ply_18</v>
      </c>
      <c r="BP16" s="204" t="str">
        <f>CONCATENATE(R16," ",S16," ",AY16)</f>
        <v>Ply 18 Aica_1mk_Polos</v>
      </c>
      <c r="BQ16" s="475">
        <f>((J16*L16*Q16)/(2400*1200))+10%</f>
        <v>0.1928125</v>
      </c>
      <c r="BR16" s="205">
        <f>IFERROR(INDEX((std_jml_anodize_per_uk),MATCH($H16,Prt,0)),"")</f>
        <v>0</v>
      </c>
      <c r="BS16" s="509">
        <f>IF($BD16=0,0,IF($L16&lt;150,2,((ROUNDUP($L16/fm,0)*2))))*$Q16</f>
        <v>0</v>
      </c>
      <c r="BT16" s="509">
        <f>IF($BE16=0,0,IF($L16&lt;150,2,((ROUNDUP($L16/fd,0)*2))))*$Q16</f>
        <v>0</v>
      </c>
      <c r="BU16" s="459">
        <f>BF16*$Q16</f>
        <v>0</v>
      </c>
      <c r="BV16" s="459">
        <f>BG16*$Q16</f>
        <v>0</v>
      </c>
      <c r="BW16" s="1">
        <f>+((J16*L16)*Q16)/1000000</f>
        <v>0.26729999999999998</v>
      </c>
      <c r="BX16" s="1">
        <f>+((J16*L16*N16)*Q16)/1000000000</f>
        <v>4.9450500000000003E-3</v>
      </c>
      <c r="BY16" s="546" t="str">
        <f>IFERROR(INDEX((tbl_edg),MATCH($AD16,Edg,0)),"")</f>
        <v/>
      </c>
      <c r="BZ16" s="546">
        <f>IFERROR(INDEX((tbl_edg),MATCH($AE16,Edg,0)),"")</f>
        <v>0.5</v>
      </c>
      <c r="CA16" s="546" t="str">
        <f>IFERROR(INDEX((tbl_edg),MATCH($AF16,Edg,0)),"")</f>
        <v/>
      </c>
      <c r="CB16" s="546" t="str">
        <f>IFERROR(INDEX((tbl_edg),MATCH($AG16,Edg,0)),"")</f>
        <v/>
      </c>
      <c r="CC16" s="728" t="str">
        <f>IFERROR((J16-CA16-CB16),"")</f>
        <v/>
      </c>
      <c r="CD16" s="728" t="str">
        <f>IFERROR((L16-BY16-BZ16),"")</f>
        <v/>
      </c>
      <c r="CE16" s="170" t="str">
        <f>IFERROR((CONCATENATE(CC16," ","x"," ",CD16," ","x"," ",N16)),"")</f>
        <v xml:space="preserve"> x  x 18,5</v>
      </c>
      <c r="CF16" t="str">
        <f>IF(F16=1,(CONCATENATE(J16,";",L16,";",Q16,";",BP16,";",N16,";",H16,";","-1",";",AF16,";",CA16,";",AG16,";",CB16,";",AD16,";",BY16,";",AE16,";",BZ16))," ")</f>
        <v>2430;55;2;Ply 18 Aica_1mk_Polos;18,5;Rangka back panel;-1; ;; ;; ;;Melanor;0,5</v>
      </c>
    </row>
    <row r="17" spans="1:84" customFormat="1">
      <c r="A17" s="701"/>
      <c r="B17" s="447"/>
      <c r="C17" s="161"/>
      <c r="D17" s="162"/>
      <c r="E17" s="1"/>
      <c r="F17" s="811"/>
      <c r="G17" s="440"/>
      <c r="H17" s="1"/>
      <c r="I17" s="55"/>
      <c r="J17" s="170"/>
      <c r="K17" s="1"/>
      <c r="L17" s="170"/>
      <c r="M17" s="1"/>
      <c r="N17" s="458"/>
      <c r="O17" s="170"/>
      <c r="P17" s="725"/>
      <c r="Q17" s="55"/>
      <c r="R17" s="177"/>
      <c r="S17" s="454"/>
      <c r="T17" s="178"/>
      <c r="U17" s="178"/>
      <c r="V17" s="179"/>
      <c r="W17" s="180"/>
      <c r="X17" s="179"/>
      <c r="Y17" s="180"/>
      <c r="Z17" s="178"/>
      <c r="AA17" s="178"/>
      <c r="AB17" s="178"/>
      <c r="AC17" s="178"/>
      <c r="AD17" s="182"/>
      <c r="AE17" s="182"/>
      <c r="AF17" s="182"/>
      <c r="AG17" s="182"/>
      <c r="AH17" s="401"/>
      <c r="AI17" s="401"/>
      <c r="AJ17" s="401"/>
      <c r="AK17" s="401"/>
      <c r="AL17" s="401"/>
      <c r="AM17" s="189"/>
      <c r="AN17" s="829"/>
      <c r="AO17" s="830"/>
      <c r="AP17" s="401"/>
      <c r="AQ17" s="401"/>
      <c r="AR17" s="401"/>
      <c r="AS17" s="401"/>
      <c r="AT17" s="403"/>
      <c r="AU17" s="403"/>
      <c r="AV17" s="170"/>
      <c r="AW17" s="166"/>
      <c r="AX17" s="166"/>
      <c r="AY17" s="189"/>
      <c r="AZ17" s="189"/>
      <c r="BA17" s="196"/>
      <c r="BB17" s="629"/>
      <c r="BC17" s="190"/>
      <c r="BD17" s="510"/>
      <c r="BE17" s="510"/>
      <c r="BF17" s="177"/>
      <c r="BG17" s="177"/>
      <c r="BH17" s="166"/>
      <c r="BI17" s="474"/>
      <c r="BJ17" s="166"/>
      <c r="BK17" s="474"/>
      <c r="BL17" s="474"/>
      <c r="BM17" s="474"/>
      <c r="BN17" s="166"/>
      <c r="BO17" s="166"/>
      <c r="BP17" s="204"/>
      <c r="BQ17" s="475"/>
      <c r="BR17" s="205"/>
      <c r="BS17" s="509"/>
      <c r="BT17" s="509"/>
      <c r="BU17" s="459"/>
      <c r="BV17" s="459"/>
      <c r="BW17" s="1"/>
      <c r="BX17" s="1"/>
      <c r="BY17" s="546"/>
      <c r="BZ17" s="546"/>
      <c r="CA17" s="546"/>
      <c r="CB17" s="546"/>
      <c r="CC17" s="728"/>
      <c r="CD17" s="728"/>
      <c r="CE17" s="170"/>
    </row>
    <row r="18" spans="1:84" customFormat="1">
      <c r="A18" s="701" t="str">
        <f>IFERROR(INDEX((ID),MATCH(H18,BARANG,0)),"…")</f>
        <v>…</v>
      </c>
      <c r="B18" s="447" t="str">
        <f>IFERROR(INDEX((cprt),MATCH($H18,Prt,0)),"…")</f>
        <v>pintu</v>
      </c>
      <c r="C18" s="161" t="s">
        <v>1472</v>
      </c>
      <c r="D18" s="162" t="str">
        <f>IFERROR(INDEX((KS),MATCH($H18,Prt,0)),"")</f>
        <v>KS</v>
      </c>
      <c r="E18" s="1" t="s">
        <v>2166</v>
      </c>
      <c r="F18" s="811">
        <f>IFERROR(INDEX((opt),MATCH($H18,Prt,0)),"")</f>
        <v>0</v>
      </c>
      <c r="G18" s="440" t="str">
        <f>IFERROR(INDEX((no_ref),MATCH($H18,ref,0)),"...")</f>
        <v>...</v>
      </c>
      <c r="H18" s="1" t="s">
        <v>1844</v>
      </c>
      <c r="I18" s="55"/>
      <c r="J18" s="170">
        <f>+ROUNDDOWN(L14-N16-N16,0)</f>
        <v>172</v>
      </c>
      <c r="K18" s="1" t="s">
        <v>2137</v>
      </c>
      <c r="L18" s="170">
        <v>100</v>
      </c>
      <c r="M18" s="1" t="s">
        <v>2137</v>
      </c>
      <c r="N18" s="458">
        <f>+(S18+W18+Y18)</f>
        <v>18</v>
      </c>
      <c r="O18" s="170" t="str">
        <f>CONCATENATE(J18," ",K18," ",L18," ",M18," ",N18)</f>
        <v>172 x 100 x 18</v>
      </c>
      <c r="P18" s="441">
        <v>4</v>
      </c>
      <c r="Q18" s="55">
        <f>+P18*Q14</f>
        <v>4</v>
      </c>
      <c r="R18" s="177" t="str">
        <f>IFERROR(INDEX((std_bhn_prt),MATCH($H18,Prt,0)),"")</f>
        <v>Ply</v>
      </c>
      <c r="S18" s="454">
        <f>IFERROR(INDEX((std_Tbahan_prt),MATCH($H18,Prt,0)),"")</f>
        <v>18</v>
      </c>
      <c r="T18" s="178">
        <f>INDEX((std_lapisan_luar_prt),MATCH($H18,Prt,0))</f>
        <v>0</v>
      </c>
      <c r="U18" s="178">
        <f>INDEX((std_lapisan_dalam_prt),MATCH($H18,Prt,0))</f>
        <v>0</v>
      </c>
      <c r="V18" s="179" t="str">
        <f>IFERROR(INDEX((tf),MATCH(T18,ctf,0)),"")</f>
        <v>Polos</v>
      </c>
      <c r="W18" s="180">
        <f>IFERROR(INDEX((tebal_lapisan),MATCH($V18,tf,0)),"")</f>
        <v>0</v>
      </c>
      <c r="X18" s="179" t="str">
        <f>IFERROR(INDEX((tf),MATCH(U18,ctf,0)),"")</f>
        <v>Polos</v>
      </c>
      <c r="Y18" s="180">
        <f>IFERROR(INDEX((tebal_lapisan),MATCH($X18,tf,0)),"")</f>
        <v>0</v>
      </c>
      <c r="Z18" s="178">
        <f>INDEX((std_edg_P1_prt),MATCH($H18,Prt,0))</f>
        <v>0</v>
      </c>
      <c r="AA18" s="178">
        <f>INDEX((std_edg_P2_prt),MATCH($H18,Prt,0))</f>
        <v>0</v>
      </c>
      <c r="AB18" s="178">
        <f>INDEX((std_edg_L1_prt),MATCH($H18,Prt,0))</f>
        <v>0</v>
      </c>
      <c r="AC18" s="178">
        <f>INDEX((std_edg_L2_prt),MATCH($H18,Prt,0))</f>
        <v>0</v>
      </c>
      <c r="AD18" s="182" t="str">
        <f>IF($B18="alu",(INDEX((Fr),MATCH(Z18,cfr,0))),INDEX((te),MATCH(Z18,cte,0)))</f>
        <v xml:space="preserve"> </v>
      </c>
      <c r="AE18" s="182" t="str">
        <f>IF($B18="alu",(INDEX((Fr),MATCH(AA18,cfr,0))),INDEX((te),MATCH(AA18,cte,0)))</f>
        <v xml:space="preserve"> </v>
      </c>
      <c r="AF18" s="182" t="str">
        <f>IF($B18="alu",(INDEX((Fr),MATCH(AB18,cfr,0))),INDEX((te),MATCH(AB18,cte,0)))</f>
        <v xml:space="preserve"> </v>
      </c>
      <c r="AG18" s="182" t="str">
        <f>IF($B18="alu",(INDEX((Fr),MATCH(AC18,cfr,0))),INDEX((te),MATCH(AC18,cte,0)))</f>
        <v xml:space="preserve"> </v>
      </c>
      <c r="AH18" s="401">
        <f>IFERROR(INDEX((std_profil3_prt),MATCH($H18,Prt,0)),"")</f>
        <v>0</v>
      </c>
      <c r="AI18" s="401">
        <f>IFERROR(INDEX((std_profil2_prt),MATCH($H18,Prt,0)),"")</f>
        <v>0</v>
      </c>
      <c r="AJ18" s="401">
        <f>IFERROR(INDEX((std_profil_prt),MATCH($H18,Prt,0)),"")</f>
        <v>0</v>
      </c>
      <c r="AK18" s="401">
        <f>IFERROR(INDEX((std_siku_prt),MATCH($H18,Prt,0)),"")</f>
        <v>0</v>
      </c>
      <c r="AL18" s="401">
        <f>IFERROR(INDEX((std_screw_prt),MATCH($H18,Prt,0)),"")</f>
        <v>0</v>
      </c>
      <c r="AM18" s="189"/>
      <c r="AN18" s="829">
        <f>IFERROR(INDEX((std_rel_prt),MATCH($H18,Prt,0)),"")</f>
        <v>0</v>
      </c>
      <c r="AO18" s="830">
        <f>IFERROR(INDEX((std_engsel_prt),MATCH($H18,Prt,0)),"")</f>
        <v>0</v>
      </c>
      <c r="AP18" s="401" t="str">
        <f>IFERROR(INDEX((std_anodizev_proses),MATCH($I18,pk,0)),"")</f>
        <v/>
      </c>
      <c r="AQ18" s="401" t="str">
        <f>IFERROR(INDEX((std_anodizev2_proses),MATCH($I18,pk,0)),"")</f>
        <v/>
      </c>
      <c r="AR18" s="401" t="str">
        <f>IFERROR(INDEX((std_anodizeh_proses),MATCH($I18,pk,0)),"")</f>
        <v/>
      </c>
      <c r="AS18" s="401">
        <f>IFERROR(INDEX((std_anodize_per_ukuran),MATCH($H18,Prt,0)),"")</f>
        <v>0</v>
      </c>
      <c r="AT18" s="403" t="str">
        <f>IF($AS18=edging7,L18,IF($AS18=edging8,L18,IF($AS18=edging9,L18,IF($AS18=Hand1,J17,IF($AS18=Hand2,L17,IF($AS18=hand3,"diisi manual",IF($AS18=hand4,"diisi manual",IF($AS18=hand5,"diisi manual",IF($AS18=mled02,J18,IF($AS18=mprf1,J18,IF($AS18=mlis1,J18,"")))))))))))</f>
        <v/>
      </c>
      <c r="AU18" s="403">
        <f>IF($AS18="","",Q18*BR18)</f>
        <v>0</v>
      </c>
      <c r="AV18" s="170"/>
      <c r="AW18" s="166" t="str">
        <f>CONCATENATE(VLOOKUP($V18,tabtf,2,0),VLOOKUP($X18,tabtf,2,0))</f>
        <v>33</v>
      </c>
      <c r="AX18" s="166" t="str">
        <f>IF($B18="alu",(CONCATENATE(VLOOKUP($AD18,tabfr,2,0),VLOOKUP($AE18,tabfr,2,0),VLOOKUP($AF18,tabfr,2,0),VLOOKUP($AG18,tabfr,2,0))),(CONCATENATE(VLOOKUP($AD18,tabte,2,0),VLOOKUP($AE18,tabte,2,0),VLOOKUP($AF18,tabte,2,0),VLOOKUP($AG18,tabte,2,0))))</f>
        <v>3333</v>
      </c>
      <c r="AY18" s="189" t="str">
        <f>IFERROR(VLOOKUP(AW18,descf,2,0),"")</f>
        <v>Polos</v>
      </c>
      <c r="AZ18" s="189" t="str">
        <f>IF($B18="alu",(VLOOKUP(AX18,descfr,2,0)),(VLOOKUP(AX18,desce,2,0)))</f>
        <v xml:space="preserve"> -</v>
      </c>
      <c r="BA18" s="196" t="str">
        <f>IF($R18=0,CONCATENATE(0,")"," ",$H18," ",$J18),CONCATENATE(VLOOKUP(H18,tabprt,2,0),")",$H18,"_",AY18))</f>
        <v>421)Braket miring_Polos</v>
      </c>
      <c r="BB18" s="629" t="str">
        <f>IF($B18="…",CONCATENATE(0,$E18,")"," ",$H18),IF($B18="kc",CONCATENATE(VLOOKUP(H18,tabprt,2,0),")",$H18," ",$R18," ",$S18,"mm"," ","-"," "," ",";"," ",$AZ18,"  ",$I18),IF($B18="alu",CONCATENATE(VLOOKUP(H18,tabprt,2,0),")",$H18," ",$R18," ",$S18,"mm"," ","-"," "," ",";"," ",$AZ18,"  ",$I18),CONCATENATE(VLOOKUP(H18,tabprt,2,0),")",$H18," ",$R18," ",$S18,"mm"," ","-"," ",$AY18," ",";"," ",$AZ18,"  ",$I18))))</f>
        <v xml:space="preserve">421)Braket miring Ply 18mm - Polos ;  -  </v>
      </c>
      <c r="BC18" s="190"/>
      <c r="BD18" s="510">
        <f>IFERROR(INDEX((std_minifix_prt),MATCH($H18,Prt,0)),"")</f>
        <v>0</v>
      </c>
      <c r="BE18" s="510">
        <f>IFERROR(INDEX((std_dowel_prt),MATCH($H18,Prt,0)),"")</f>
        <v>0</v>
      </c>
      <c r="BF18" s="177">
        <f>IFERROR(INDEX((std_j_sikufr_prt),MATCH($H18,Prt,0)),"")*Q18</f>
        <v>0</v>
      </c>
      <c r="BG18" s="177">
        <f>IFERROR(INDEX((std_j_screwjf_prt),MATCH($H18,Prt,0)),"")*Q18</f>
        <v>0</v>
      </c>
      <c r="BH18" s="166">
        <f>IF($AM18=0,0,1)*Q18</f>
        <v>0</v>
      </c>
      <c r="BI18" s="474">
        <f>IF($AO18=0,0,IF(J18&lt;=fp,2,(ROUNDUP(J18/fp,0))))*Q18</f>
        <v>0</v>
      </c>
      <c r="BJ18" s="166">
        <f>IF($AN18=0,0,1)*Q18</f>
        <v>0</v>
      </c>
      <c r="BK18" s="474">
        <f>(($J18+tol_p)*$Q18)/1000</f>
        <v>0.84799999999999998</v>
      </c>
      <c r="BL18" s="474">
        <f>(($L18+tol_p)*$Q18)/1000</f>
        <v>0.56000000000000005</v>
      </c>
      <c r="BM18" s="474">
        <f>IF(R18=0,0,((2*((J18+tol_p)+(L18+tol_p))*Q18)/1000))</f>
        <v>2.8159999999999998</v>
      </c>
      <c r="BN18" s="166">
        <f>((J18*L18)/1000000)*Q18</f>
        <v>6.88E-2</v>
      </c>
      <c r="BO18" s="166" t="str">
        <f>CONCATENATE(R18,"_",S18)</f>
        <v>Ply_18</v>
      </c>
      <c r="BP18" s="204" t="str">
        <f>CONCATENATE(R18," ",S18," ",AY18)</f>
        <v>Ply 18 Polos</v>
      </c>
      <c r="BQ18" s="475">
        <f>((J18*L18*Q18)/(2400*1200))+10%</f>
        <v>0.1238888888888889</v>
      </c>
      <c r="BR18" s="205">
        <f>IFERROR(INDEX((std_jml_anodize_per_uk),MATCH($H18,Prt,0)),"")</f>
        <v>0</v>
      </c>
      <c r="BS18" s="509">
        <f>IF($BD18=0,0,IF($L18&lt;150,2,((ROUNDUP($L18/fm,0)*2))))*$Q18</f>
        <v>0</v>
      </c>
      <c r="BT18" s="509">
        <f>IF($BE18=0,0,IF($L18&lt;150,2,((ROUNDUP($L18/fd,0)*2))))*$Q18</f>
        <v>0</v>
      </c>
      <c r="BU18" s="459">
        <f>BF18*$Q18</f>
        <v>0</v>
      </c>
      <c r="BV18" s="459">
        <f>BG18*$Q18</f>
        <v>0</v>
      </c>
      <c r="BW18" s="1">
        <f>+((J18*L18)*Q18)/1000000</f>
        <v>6.88E-2</v>
      </c>
      <c r="BX18" s="1">
        <f>+((J18*L18*N18)*Q18)/1000000000</f>
        <v>1.2384E-3</v>
      </c>
      <c r="BY18" s="546" t="str">
        <f>IFERROR(INDEX((tbl_edg),MATCH($AD18,Edg,0)),"")</f>
        <v/>
      </c>
      <c r="BZ18" s="546" t="str">
        <f>IFERROR(INDEX((tbl_edg),MATCH($AE18,Edg,0)),"")</f>
        <v/>
      </c>
      <c r="CA18" s="546" t="str">
        <f>IFERROR(INDEX((tbl_edg),MATCH($AF18,Edg,0)),"")</f>
        <v/>
      </c>
      <c r="CB18" s="546" t="str">
        <f>IFERROR(INDEX((tbl_edg),MATCH($AG18,Edg,0)),"")</f>
        <v/>
      </c>
      <c r="CC18" s="728" t="str">
        <f>IFERROR((J18-CA18-CB18),"")</f>
        <v/>
      </c>
      <c r="CD18" s="728" t="str">
        <f>IFERROR((L18-BY18-BZ18),"")</f>
        <v/>
      </c>
      <c r="CE18" s="170" t="str">
        <f>IFERROR((CONCATENATE(CC18," ","x"," ",CD18," ","x"," ",N18)),"")</f>
        <v xml:space="preserve"> x  x 18</v>
      </c>
      <c r="CF18" t="str">
        <f>IF(F18=1,(CONCATENATE(J18,";",L18,";",Q18,";",BP18,";",N18,";",H18,";","-1",";",AF18,";",CA18,";",AG18,";",CB18,";",AD18,";",BY18,";",AE18,";",BZ18))," ")</f>
        <v xml:space="preserve"> </v>
      </c>
    </row>
    <row r="19" spans="1:84" customFormat="1">
      <c r="A19" s="701"/>
      <c r="B19" s="447"/>
      <c r="C19" s="161"/>
      <c r="D19" s="162"/>
      <c r="E19" s="1"/>
      <c r="F19" s="811"/>
      <c r="G19" s="440"/>
      <c r="H19" s="1"/>
      <c r="I19" s="55"/>
      <c r="J19" s="170"/>
      <c r="K19" s="1"/>
      <c r="L19" s="170"/>
      <c r="M19" s="1"/>
      <c r="N19" s="458"/>
      <c r="O19" s="170"/>
      <c r="P19" s="441"/>
      <c r="Q19" s="55"/>
      <c r="R19" s="177"/>
      <c r="S19" s="454"/>
      <c r="T19" s="178"/>
      <c r="U19" s="178"/>
      <c r="V19" s="179"/>
      <c r="W19" s="180"/>
      <c r="X19" s="179"/>
      <c r="Y19" s="180"/>
      <c r="Z19" s="178"/>
      <c r="AA19" s="178"/>
      <c r="AB19" s="178"/>
      <c r="AC19" s="178"/>
      <c r="AD19" s="182"/>
      <c r="AE19" s="182"/>
      <c r="AF19" s="182"/>
      <c r="AG19" s="182"/>
      <c r="AH19" s="401"/>
      <c r="AI19" s="401"/>
      <c r="AJ19" s="401"/>
      <c r="AK19" s="401"/>
      <c r="AL19" s="401"/>
      <c r="AM19" s="189"/>
      <c r="AN19" s="829"/>
      <c r="AO19" s="830"/>
      <c r="AP19" s="401"/>
      <c r="AQ19" s="401"/>
      <c r="AR19" s="401"/>
      <c r="AS19" s="401"/>
      <c r="AT19" s="403"/>
      <c r="AU19" s="403"/>
      <c r="AV19" s="170"/>
      <c r="AW19" s="166"/>
      <c r="AX19" s="166"/>
      <c r="AY19" s="189"/>
      <c r="AZ19" s="189"/>
      <c r="BA19" s="196"/>
      <c r="BB19" s="629"/>
      <c r="BC19" s="190"/>
      <c r="BD19" s="510"/>
      <c r="BE19" s="510"/>
      <c r="BF19" s="177"/>
      <c r="BG19" s="177"/>
      <c r="BH19" s="166"/>
      <c r="BI19" s="474"/>
      <c r="BJ19" s="166"/>
      <c r="BK19" s="474"/>
      <c r="BL19" s="474"/>
      <c r="BM19" s="474"/>
      <c r="BN19" s="166"/>
      <c r="BO19" s="166"/>
      <c r="BP19" s="204"/>
      <c r="BQ19" s="475"/>
      <c r="BR19" s="205"/>
      <c r="BS19" s="509"/>
      <c r="BT19" s="509"/>
      <c r="BU19" s="459"/>
      <c r="BV19" s="459"/>
      <c r="BW19" s="1"/>
      <c r="BX19" s="1"/>
      <c r="BY19" s="546"/>
      <c r="BZ19" s="546"/>
      <c r="CA19" s="546"/>
      <c r="CB19" s="546"/>
      <c r="CC19" s="728"/>
      <c r="CD19" s="728"/>
      <c r="CE19" s="170"/>
    </row>
    <row r="20" spans="1:84" customFormat="1">
      <c r="A20" s="701"/>
      <c r="B20" s="447"/>
      <c r="C20" s="161"/>
      <c r="D20" s="162"/>
      <c r="E20" s="1"/>
      <c r="F20" s="811"/>
      <c r="G20" s="440"/>
      <c r="H20" s="1"/>
      <c r="I20" s="55"/>
      <c r="J20" s="170"/>
      <c r="K20" s="1"/>
      <c r="L20" s="170"/>
      <c r="M20" s="1"/>
      <c r="N20" s="458"/>
      <c r="O20" s="170"/>
      <c r="P20" s="725"/>
      <c r="Q20" s="55"/>
      <c r="R20" s="177"/>
      <c r="S20" s="454"/>
      <c r="T20" s="178"/>
      <c r="U20" s="178"/>
      <c r="V20" s="179"/>
      <c r="W20" s="180"/>
      <c r="X20" s="179"/>
      <c r="Y20" s="180"/>
      <c r="Z20" s="178"/>
      <c r="AA20" s="178"/>
      <c r="AB20" s="178"/>
      <c r="AC20" s="178"/>
      <c r="AD20" s="182"/>
      <c r="AE20" s="182"/>
      <c r="AF20" s="182"/>
      <c r="AG20" s="182"/>
      <c r="AH20" s="401"/>
      <c r="AI20" s="401"/>
      <c r="AJ20" s="401"/>
      <c r="AK20" s="401"/>
      <c r="AL20" s="401"/>
      <c r="AM20" s="189"/>
      <c r="AN20" s="829"/>
      <c r="AO20" s="830"/>
      <c r="AP20" s="401"/>
      <c r="AQ20" s="401"/>
      <c r="AR20" s="401"/>
      <c r="AS20" s="401"/>
      <c r="AT20" s="403"/>
      <c r="AU20" s="403"/>
      <c r="AV20" s="170"/>
      <c r="AW20" s="166"/>
      <c r="AX20" s="166"/>
      <c r="AY20" s="189"/>
      <c r="AZ20" s="189"/>
      <c r="BA20" s="196"/>
      <c r="BB20" s="629"/>
      <c r="BC20" s="190"/>
      <c r="BD20" s="510"/>
      <c r="BE20" s="510"/>
      <c r="BF20" s="177"/>
      <c r="BG20" s="177"/>
      <c r="BH20" s="166"/>
      <c r="BI20" s="474"/>
      <c r="BJ20" s="166"/>
      <c r="BK20" s="474"/>
      <c r="BL20" s="474"/>
      <c r="BM20" s="474"/>
      <c r="BN20" s="166"/>
      <c r="BO20" s="166"/>
      <c r="BP20" s="204"/>
      <c r="BQ20" s="475"/>
      <c r="BR20" s="205"/>
      <c r="BS20" s="509"/>
      <c r="BT20" s="509"/>
      <c r="BU20" s="459"/>
      <c r="BV20" s="459"/>
      <c r="BW20" s="1"/>
      <c r="BX20" s="1"/>
      <c r="BY20" s="546"/>
      <c r="BZ20" s="546"/>
      <c r="CA20" s="546"/>
      <c r="CB20" s="546"/>
      <c r="CC20" s="728"/>
      <c r="CD20" s="728"/>
      <c r="CE20" s="170"/>
    </row>
    <row r="21" spans="1:84" customFormat="1">
      <c r="A21" s="701" t="str">
        <f>IFERROR(INDEX((ID),MATCH(H21,BARANG,0)),"…")</f>
        <v>…</v>
      </c>
      <c r="B21" s="447" t="str">
        <f>IFERROR(INDEX((cprt),MATCH($H21,Prt,0)),"…")</f>
        <v>…</v>
      </c>
      <c r="C21" s="1" t="s">
        <v>2605</v>
      </c>
      <c r="D21" s="538" t="str">
        <f>(INDEX(KS_Set,MATCH($H21,Set_prt,0)))</f>
        <v>[ks]</v>
      </c>
      <c r="E21" s="1" t="s">
        <v>2166</v>
      </c>
      <c r="F21" s="811" t="str">
        <f>IFERROR(INDEX((opt),MATCH($H21,Prt,0)),"")</f>
        <v/>
      </c>
      <c r="G21" s="440" t="str">
        <f>IFERROR(INDEX((no_ref),MATCH($H21,ref,0)),"...")</f>
        <v>•</v>
      </c>
      <c r="H21" s="1" t="s">
        <v>2168</v>
      </c>
      <c r="J21" s="171">
        <f>1390+100</f>
        <v>1490</v>
      </c>
      <c r="K21" s="55" t="s">
        <v>2137</v>
      </c>
      <c r="L21" s="171">
        <v>209</v>
      </c>
      <c r="M21" s="55" t="s">
        <v>2137</v>
      </c>
      <c r="N21" s="172">
        <v>75</v>
      </c>
      <c r="O21" s="170" t="str">
        <f>CONCATENATE(J21," ",K21," ",L21," ",M21," ",N21)</f>
        <v>1490 x 209 x 75</v>
      </c>
      <c r="P21" s="139"/>
      <c r="Q21" s="172">
        <v>1</v>
      </c>
      <c r="R21" s="181"/>
      <c r="S21" s="455"/>
      <c r="T21" s="170"/>
      <c r="U21" s="170"/>
      <c r="V21" s="1"/>
      <c r="W21" s="173"/>
      <c r="X21" s="1"/>
      <c r="Y21" s="166"/>
      <c r="Z21" s="170"/>
      <c r="AA21" s="170"/>
      <c r="AB21" s="170"/>
      <c r="AC21" s="170"/>
      <c r="AD21" s="182" t="str">
        <f t="shared" ref="AD21:AG23" si="1">IF($B21="alu",(INDEX((Fr),MATCH(Z21,cfr,0))),INDEX((te),MATCH(Z21,cte,0)))</f>
        <v xml:space="preserve"> </v>
      </c>
      <c r="AE21" s="182" t="str">
        <f t="shared" si="1"/>
        <v xml:space="preserve"> </v>
      </c>
      <c r="AF21" s="182" t="str">
        <f t="shared" si="1"/>
        <v xml:space="preserve"> </v>
      </c>
      <c r="AG21" s="182" t="str">
        <f t="shared" si="1"/>
        <v xml:space="preserve"> </v>
      </c>
      <c r="AH21" s="189"/>
      <c r="AI21" s="189"/>
      <c r="AJ21" s="189"/>
      <c r="AK21" s="401" t="str">
        <f>IFERROR(INDEX((std_siku_prt),MATCH($H21,Prt,0)),"")</f>
        <v/>
      </c>
      <c r="AL21" s="401" t="str">
        <f>IFERROR(INDEX((std_screw_prt),MATCH($H21,Prt,0)),"")</f>
        <v/>
      </c>
      <c r="AM21" s="189"/>
      <c r="AN21" s="782"/>
      <c r="AO21" s="189"/>
      <c r="AP21" s="401" t="str">
        <f>IFERROR(INDEX((std_anodizev_proses),MATCH($I21,pk,0)),"")</f>
        <v/>
      </c>
      <c r="AQ21" s="401" t="str">
        <f>IFERROR(INDEX((std_anodizev2_proses),MATCH($I21,pk,0)),"")</f>
        <v/>
      </c>
      <c r="AR21" s="401" t="str">
        <f>IFERROR(INDEX((std_anodizeh_proses),MATCH($I21,pk,0)),"")</f>
        <v/>
      </c>
      <c r="AS21" s="188"/>
      <c r="AT21" s="1"/>
      <c r="AU21" s="403" t="str">
        <f>IF($AS21=0,"",Q21*BR21)</f>
        <v/>
      </c>
      <c r="AV21" s="1"/>
      <c r="AW21" s="166"/>
      <c r="AX21" s="166" t="str">
        <f>IF($B21="alu",(CONCATENATE(VLOOKUP($AD21,tabfr,2,0),VLOOKUP($AE21,tabfr,2,0),VLOOKUP($AF21,tabfr,2,0),VLOOKUP($AG21,tabfr,2,0))),(CONCATENATE(VLOOKUP($AD21,tabte,2,0),VLOOKUP($AE21,tabte,2,0),VLOOKUP($AF21,tabte,2,0),VLOOKUP($AG21,tabte,2,0))))</f>
        <v>3333</v>
      </c>
      <c r="AY21" s="189" t="str">
        <f>IFERROR(VLOOKUP(AW21,descf,2,0),"")</f>
        <v/>
      </c>
      <c r="AZ21" s="189" t="str">
        <f>IF($B21="alu",(VLOOKUP(AX21,descfr,2,0)),(VLOOKUP(AX21,desce,2,0)))</f>
        <v xml:space="preserve"> -</v>
      </c>
      <c r="BA21" s="196" t="str">
        <f>IF($R21=0,CONCATENATE(0,")"," ",$H21," ",$J21),CONCATENATE(VLOOKUP(H21,tabprt,2,0),")",$H21,"_",AY21))</f>
        <v>0) Back Panel Rangka (rakit tukang) 1490</v>
      </c>
      <c r="BB21" s="629" t="str">
        <f>IF($B21="…",CONCATENATE(0,$E21,")"," ",$H21),IF($B21="kc",CONCATENATE(VLOOKUP(H21,tabprt,2,0),")",$H21," ",$R21," ",$S21,"mm"," ","-"," "," ",";"," ",$AZ21,"  ",$I21),IF($B21="alu",CONCATENATE(VLOOKUP(H21,tabprt,2,0),")",$H21," ",$R21," ",$S21,"mm"," ","-"," "," ",";"," ",$AZ21,"  ",$I21),CONCATENATE(VLOOKUP(H21,tabprt,2,0),")",$H21," ",$R21," ",$S21,"mm"," ","-"," ",$AY21," ",";"," ",$AZ21,"  ",$I21))))</f>
        <v>0A) Back Panel Rangka (rakit tukang)</v>
      </c>
      <c r="BC21" s="197"/>
      <c r="BD21" s="510" t="str">
        <f>IFERROR(INDEX((std_minifix_prt),MATCH($H21,Prt,0)),"")</f>
        <v/>
      </c>
      <c r="BE21" s="510" t="str">
        <f>IFERROR(INDEX((std_dowel_prt),MATCH($H21,Prt,0)),"")</f>
        <v/>
      </c>
      <c r="BF21" s="177"/>
      <c r="BG21" s="177"/>
      <c r="BH21" s="166">
        <f>IF($AM21=0,0,1)*Q21</f>
        <v>0</v>
      </c>
      <c r="BI21" s="474">
        <f>IF($AO21=0,0,IF(J21&lt;=fp,2,(ROUNDUP(J21/fp,0))))*Q21</f>
        <v>0</v>
      </c>
      <c r="BJ21" s="166">
        <f>IF($AN21=0,0,1)*Q21</f>
        <v>0</v>
      </c>
      <c r="BK21" s="474">
        <f>(($J21+tol_p)*$Q21)/1000</f>
        <v>1.53</v>
      </c>
      <c r="BL21" s="474">
        <f>(($L21+tol_p)*$Q21)/1000</f>
        <v>0.249</v>
      </c>
      <c r="BM21" s="474">
        <f>IF(R21=0,0,((2*((J21+tol_p)+(L21+tol_p))*Q21)/1000))</f>
        <v>0</v>
      </c>
      <c r="BN21" s="166"/>
      <c r="BO21" s="166" t="str">
        <f>CONCATENATE(R21,"_",S21)</f>
        <v>_</v>
      </c>
      <c r="BP21" s="204" t="str">
        <f>CONCATENATE(R21," ",S21," ",AY21)</f>
        <v xml:space="preserve">  </v>
      </c>
      <c r="BQ21" s="475">
        <f>((J21*L21*Q21)/(2400*1200))+10%</f>
        <v>0.20812847222222222</v>
      </c>
      <c r="BR21" s="205" t="str">
        <f>IFERROR(INDEX((std_jml_anodize_per_uk),MATCH($H21,Prt,0)),"")</f>
        <v/>
      </c>
      <c r="BS21" s="509">
        <f>IF($BD21=0,0,IF($L21&lt;150,2,((ROUNDUP($L21/fm,0)*2))))*$Q21</f>
        <v>2</v>
      </c>
      <c r="BT21" s="509">
        <f>IF($BE21=0,0,IF($L21&lt;150,2,((ROUNDUP($L21/fd,0)*2))))*$Q21</f>
        <v>4</v>
      </c>
      <c r="BU21" s="459"/>
      <c r="BV21" s="459"/>
      <c r="BW21" s="1">
        <f>+((J21*L21)*Q21)/1000000</f>
        <v>0.31141000000000002</v>
      </c>
      <c r="BX21" s="1">
        <f>+((J21*L21*N21)*Q21)/1000000000</f>
        <v>2.3355750000000002E-2</v>
      </c>
      <c r="BY21" s="546" t="str">
        <f>IFERROR(INDEX((tbl_edg),MATCH($AD21,Edg,0)),"")</f>
        <v/>
      </c>
      <c r="BZ21" s="546" t="str">
        <f>IFERROR(INDEX((tbl_edg),MATCH($AE21,Edg,0)),"")</f>
        <v/>
      </c>
      <c r="CA21" s="546" t="str">
        <f>IFERROR(INDEX((tbl_edg),MATCH($AF21,Edg,0)),"")</f>
        <v/>
      </c>
      <c r="CB21" s="546" t="str">
        <f>IFERROR(INDEX((tbl_edg),MATCH($AG21,Edg,0)),"")</f>
        <v/>
      </c>
      <c r="CC21" s="728" t="str">
        <f>IFERROR((J21-CA21-CB21),"")</f>
        <v/>
      </c>
      <c r="CD21" s="728" t="str">
        <f>IFERROR((L21-BY21-BZ21),"")</f>
        <v/>
      </c>
      <c r="CE21" s="170" t="str">
        <f>IFERROR((CONCATENATE(CC21," ","x"," ",CD21," ","x"," ",N21)),"")</f>
        <v xml:space="preserve"> x  x 75</v>
      </c>
      <c r="CF21" t="str">
        <f>IF(F21=1,(CONCATENATE(J21,";",L21,";",Q21,";",BP21,";",N21,";",H21,";","-1",";",AF21,";",CA21,";",AG21,";",CB21,";",AD21,";",BY21,";",AE21,";",BZ21))," ")</f>
        <v xml:space="preserve"> </v>
      </c>
    </row>
    <row r="22" spans="1:84" customFormat="1">
      <c r="A22" s="701" t="str">
        <f>IFERROR(INDEX((ID),MATCH(H22,BARANG,0)),"…")</f>
        <v>…</v>
      </c>
      <c r="B22" s="447" t="str">
        <f>IFERROR(INDEX((cprt),MATCH($H22,Prt,0)),"…")</f>
        <v>pintu</v>
      </c>
      <c r="C22" s="161" t="s">
        <v>1472</v>
      </c>
      <c r="D22" s="162" t="str">
        <f>IFERROR(INDEX((KS),MATCH($H22,Prt,0)),"")</f>
        <v>KS</v>
      </c>
      <c r="E22" s="1" t="s">
        <v>3093</v>
      </c>
      <c r="F22" s="811">
        <f>IFERROR(INDEX((opt),MATCH($H22,Prt,0)),"")</f>
        <v>0</v>
      </c>
      <c r="G22" s="440" t="str">
        <f>IFERROR(INDEX((no_ref),MATCH($H22,ref,0)),"...")</f>
        <v>...</v>
      </c>
      <c r="H22" s="1" t="s">
        <v>1838</v>
      </c>
      <c r="I22" s="55"/>
      <c r="J22" s="170">
        <f>+J21</f>
        <v>1490</v>
      </c>
      <c r="K22" s="1" t="s">
        <v>2137</v>
      </c>
      <c r="L22" s="170">
        <f>+L21</f>
        <v>209</v>
      </c>
      <c r="M22" s="1" t="s">
        <v>2137</v>
      </c>
      <c r="N22" s="458">
        <f>+(S22+W22+Y22)</f>
        <v>19</v>
      </c>
      <c r="O22" s="170" t="str">
        <f>CONCATENATE(J22," ",K22," ",L22," ",M22," ",N22)</f>
        <v>1490 x 209 x 19</v>
      </c>
      <c r="P22" s="441">
        <f>IFERROR(INDEX((std_sub_prt),MATCH($H22,Prt,0)),"")</f>
        <v>1</v>
      </c>
      <c r="Q22" s="55">
        <f>P22*Q21</f>
        <v>1</v>
      </c>
      <c r="R22" s="177" t="str">
        <f>IFERROR(INDEX((std_bhn_prt),MATCH($H22,Prt,0)),"")</f>
        <v>Ply</v>
      </c>
      <c r="S22" s="454">
        <f>IFERROR(INDEX((std_Tbahan_prt),MATCH($H22,Prt,0)),"")</f>
        <v>18</v>
      </c>
      <c r="T22" s="178">
        <f>INDEX((std_lapisan_luar_prt),MATCH($H22,Prt,0))</f>
        <v>1</v>
      </c>
      <c r="U22" s="178">
        <f>INDEX((std_lapisan_dalam_prt),MATCH($H22,Prt,0))</f>
        <v>0</v>
      </c>
      <c r="V22" s="179" t="str">
        <f>IFERROR(INDEX((tf),MATCH(T22,ctf,0)),"")</f>
        <v>WY_5216_D(V)</v>
      </c>
      <c r="W22" s="180">
        <f>IFERROR(INDEX((tebal_lapisan),MATCH($V22,tf,0)),"")</f>
        <v>1</v>
      </c>
      <c r="X22" s="179" t="str">
        <f>IFERROR(INDEX((tf),MATCH(U22,ctf,0)),"")</f>
        <v>Polos</v>
      </c>
      <c r="Y22" s="180">
        <f>IFERROR(INDEX((tebal_lapisan),MATCH($X22,tf,0)),"")</f>
        <v>0</v>
      </c>
      <c r="Z22" s="178">
        <f>INDEX((std_edg_P1_prt),MATCH($H22,Prt,0))</f>
        <v>1</v>
      </c>
      <c r="AA22" s="178">
        <f>INDEX((std_edg_P2_prt),MATCH($H22,Prt,0))</f>
        <v>1</v>
      </c>
      <c r="AB22" s="178">
        <f>INDEX((std_edg_L1_prt),MATCH($H22,Prt,0))</f>
        <v>1</v>
      </c>
      <c r="AC22" s="178">
        <f>INDEX((std_edg_L2_prt),MATCH($H22,Prt,0))</f>
        <v>1</v>
      </c>
      <c r="AD22" s="182" t="str">
        <f t="shared" si="1"/>
        <v>Edg_EAW_5216D1</v>
      </c>
      <c r="AE22" s="182" t="str">
        <f t="shared" si="1"/>
        <v>Edg_EAW_5216D1</v>
      </c>
      <c r="AF22" s="182" t="str">
        <f t="shared" si="1"/>
        <v>Edg_EAW_5216D1</v>
      </c>
      <c r="AG22" s="182" t="str">
        <f t="shared" si="1"/>
        <v>Edg_EAW_5216D1</v>
      </c>
      <c r="AH22" s="401">
        <f>IFERROR(INDEX((std_profil3_prt),MATCH($H22,Prt,0)),"")</f>
        <v>0</v>
      </c>
      <c r="AI22" s="401">
        <f>IFERROR(INDEX((std_profil2_prt),MATCH($H22,Prt,0)),"")</f>
        <v>0</v>
      </c>
      <c r="AJ22" s="401">
        <f>IFERROR(INDEX((std_profil_prt),MATCH($H22,Prt,0)),"")</f>
        <v>0</v>
      </c>
      <c r="AK22" s="401">
        <f>IFERROR(INDEX((std_siku_prt),MATCH($H22,Prt,0)),"")</f>
        <v>0</v>
      </c>
      <c r="AL22" s="401">
        <f>IFERROR(INDEX((std_screw_prt),MATCH($H22,Prt,0)),"")</f>
        <v>0</v>
      </c>
      <c r="AM22" s="189"/>
      <c r="AN22" s="829">
        <f>IFERROR(INDEX((std_rel_prt),MATCH($H22,Prt,0)),"")</f>
        <v>0</v>
      </c>
      <c r="AO22" s="830">
        <f>IFERROR(INDEX((std_engsel_prt),MATCH($H22,Prt,0)),"")</f>
        <v>0</v>
      </c>
      <c r="AP22" s="401" t="str">
        <f>IFERROR(INDEX((std_anodizev_proses),MATCH($I22,pk,0)),"")</f>
        <v/>
      </c>
      <c r="AQ22" s="401" t="str">
        <f>IFERROR(INDEX((std_anodizev2_proses),MATCH($I22,pk,0)),"")</f>
        <v/>
      </c>
      <c r="AR22" s="401" t="str">
        <f>IFERROR(INDEX((std_anodizeh_proses),MATCH($I22,pk,0)),"")</f>
        <v/>
      </c>
      <c r="AS22" s="401">
        <f>IFERROR(INDEX((std_anodize_per_ukuran),MATCH($H22,Prt,0)),"")</f>
        <v>0</v>
      </c>
      <c r="AT22" s="403" t="str">
        <f>IF($AS22=edging7,L22,IF($AS22=edging8,L22,IF($AS22=edging9,L22,IF($AS22=Hand1,J21,IF($AS22=Hand2,L21,IF($AS22=hand3,"diisi manual",IF($AS22=hand4,"diisi manual",IF($AS22=hand5,"diisi manual",IF($AS22=mled02,J22,IF($AS22=mprf1,J22,IF($AS22=mlis1,J22,"")))))))))))</f>
        <v/>
      </c>
      <c r="AU22" s="403">
        <f>IF($AS22="","",Q22*BR22)</f>
        <v>0</v>
      </c>
      <c r="AV22" s="170"/>
      <c r="AW22" s="166" t="str">
        <f>CONCATENATE(VLOOKUP($V22,tabtf,2,0),VLOOKUP($X22,tabtf,2,0))</f>
        <v>13</v>
      </c>
      <c r="AX22" s="166" t="str">
        <f>IF($B22="alu",(CONCATENATE(VLOOKUP($AD22,tabfr,2,0),VLOOKUP($AE22,tabfr,2,0),VLOOKUP($AF22,tabfr,2,0),VLOOKUP($AG22,tabfr,2,0))),(CONCATENATE(VLOOKUP($AD22,tabte,2,0),VLOOKUP($AE22,tabte,2,0),VLOOKUP($AF22,tabte,2,0),VLOOKUP($AG22,tabte,2,0))))</f>
        <v>4444</v>
      </c>
      <c r="AY22" s="189" t="str">
        <f>IFERROR(VLOOKUP(AW22,descf,2,0),"")</f>
        <v>WY_5216_D(V)_1mk_Polos</v>
      </c>
      <c r="AZ22" s="189" t="str">
        <f>IF($B22="alu",(VLOOKUP(AX22,descfr,2,0)),(VLOOKUP(AX22,desce,2,0)))</f>
        <v>Edg_EAW_5216D1_Keliling</v>
      </c>
      <c r="BA22" s="196" t="str">
        <f>IF($R22=0,CONCATENATE(0,")"," ",$H22," ",$J22),CONCATENATE(VLOOKUP(H22,tabprt,2,0),")",$H22,"_",AY22))</f>
        <v>403)Back Panel Rangka_WY_5216_D(V)_1mk_Polos</v>
      </c>
      <c r="BB22" s="629" t="str">
        <f>IF($B22="…",CONCATENATE(0,$E22,")"," ",$H22),IF($B22="kc",CONCATENATE(VLOOKUP(H22,tabprt,2,0),")",$H22," ",$R22," ",$S22,"mm"," ","-"," "," ",";"," ",$AZ22,"  ",$I22),IF($B22="alu",CONCATENATE(VLOOKUP(H22,tabprt,2,0),")",$H22," ",$R22," ",$S22,"mm"," ","-"," "," ",";"," ",$AZ22,"  ",$I22),CONCATENATE(VLOOKUP(H22,tabprt,2,0),")",$H22," ",$R22," ",$S22,"mm"," ","-"," ",$AY22," ",";"," ",$AZ22,"  ",$I22))))</f>
        <v xml:space="preserve">403)Back Panel Rangka Ply 18mm - WY_5216_D(V)_1mk_Polos ; Edg_EAW_5216D1_Keliling  </v>
      </c>
      <c r="BC22" s="190"/>
      <c r="BD22" s="510">
        <f>IFERROR(INDEX((std_minifix_prt),MATCH($H22,Prt,0)),"")</f>
        <v>0</v>
      </c>
      <c r="BE22" s="510">
        <f>IFERROR(INDEX((std_dowel_prt),MATCH($H22,Prt,0)),"")</f>
        <v>0</v>
      </c>
      <c r="BF22" s="177">
        <f>IFERROR(INDEX((std_j_sikufr_prt),MATCH($H22,Prt,0)),"")*Q22</f>
        <v>0</v>
      </c>
      <c r="BG22" s="177">
        <f>IFERROR(INDEX((std_j_screwjf_prt),MATCH($H22,Prt,0)),"")*Q22</f>
        <v>0</v>
      </c>
      <c r="BH22" s="166">
        <f>IF($AM22=0,0,1)*Q22</f>
        <v>0</v>
      </c>
      <c r="BI22" s="474">
        <f>IF($AO22=0,0,IF(J22&lt;=fp,2,(ROUNDUP(J22/fp,0))))*Q22</f>
        <v>0</v>
      </c>
      <c r="BJ22" s="166">
        <f>IF($AN22=0,0,1)*Q22</f>
        <v>0</v>
      </c>
      <c r="BK22" s="474">
        <f>(($J22+tol_p)*$Q22)/1000</f>
        <v>1.53</v>
      </c>
      <c r="BL22" s="474">
        <f>(($L22+tol_p)*$Q22)/1000</f>
        <v>0.249</v>
      </c>
      <c r="BM22" s="474">
        <f>IF(R22=0,0,((2*((J22+tol_p)+(L22+tol_p))*Q22)/1000))</f>
        <v>3.5579999999999998</v>
      </c>
      <c r="BN22" s="166">
        <f>((J22*L22)/1000000)*Q22</f>
        <v>0.31141000000000002</v>
      </c>
      <c r="BO22" s="166" t="str">
        <f>CONCATENATE(R22,"_",S22)</f>
        <v>Ply_18</v>
      </c>
      <c r="BP22" s="204" t="str">
        <f>CONCATENATE(R22," ",S22," ",AY22)</f>
        <v>Ply 18 WY_5216_D(V)_1mk_Polos</v>
      </c>
      <c r="BQ22" s="475">
        <f>((J22*L22*Q22)/(2400*1200))+10%</f>
        <v>0.20812847222222222</v>
      </c>
      <c r="BR22" s="205">
        <f>IFERROR(INDEX((std_jml_anodize_per_uk),MATCH($H22,Prt,0)),"")</f>
        <v>0</v>
      </c>
      <c r="BS22" s="509">
        <f>IF($BD22=0,0,IF($L22&lt;150,2,((ROUNDUP($L22/fm,0)*2))))*$Q22</f>
        <v>0</v>
      </c>
      <c r="BT22" s="509">
        <f>IF($BE22=0,0,IF($L22&lt;150,2,((ROUNDUP($L22/fd,0)*2))))*$Q22</f>
        <v>0</v>
      </c>
      <c r="BU22" s="459">
        <f>BF22*$Q22</f>
        <v>0</v>
      </c>
      <c r="BV22" s="459">
        <f>BG22*$Q22</f>
        <v>0</v>
      </c>
      <c r="BW22" s="1">
        <f>+((J22*L22)*Q22)/1000000</f>
        <v>0.31141000000000002</v>
      </c>
      <c r="BX22" s="1">
        <f>+((J22*L22*N22)*Q22)/1000000000</f>
        <v>5.9167899999999999E-3</v>
      </c>
      <c r="BY22" s="546" t="str">
        <f>IFERROR(INDEX((tbl_edg),MATCH($AD22,Edg,0)),"")</f>
        <v/>
      </c>
      <c r="BZ22" s="546" t="str">
        <f>IFERROR(INDEX((tbl_edg),MATCH($AE22,Edg,0)),"")</f>
        <v/>
      </c>
      <c r="CA22" s="546" t="str">
        <f>IFERROR(INDEX((tbl_edg),MATCH($AF22,Edg,0)),"")</f>
        <v/>
      </c>
      <c r="CB22" s="546" t="str">
        <f>IFERROR(INDEX((tbl_edg),MATCH($AG22,Edg,0)),"")</f>
        <v/>
      </c>
      <c r="CC22" s="728" t="str">
        <f>IFERROR((J22-CA22-CB22),"")</f>
        <v/>
      </c>
      <c r="CD22" s="728" t="str">
        <f>IFERROR((L22-BY22-BZ22),"")</f>
        <v/>
      </c>
      <c r="CE22" s="170" t="str">
        <f>IFERROR((CONCATENATE(CC22," ","x"," ",CD22," ","x"," ",N22)),"")</f>
        <v xml:space="preserve"> x  x 19</v>
      </c>
      <c r="CF22" t="str">
        <f>IF(F22=1,(CONCATENATE(J22,";",L22,";",Q22,";",BP22,";",N22,";",H22,";","-1",";",AF22,";",CA22,";",AG22,";",CB22,";",AD22,";",BY22,";",AE22,";",BZ22))," ")</f>
        <v xml:space="preserve"> </v>
      </c>
    </row>
    <row r="23" spans="1:84" customFormat="1">
      <c r="A23" s="701" t="str">
        <f>IFERROR(INDEX((ID),MATCH(H23,BARANG,0)),"…")</f>
        <v>…</v>
      </c>
      <c r="B23" s="447" t="str">
        <f>IFERROR(INDEX((cprt),MATCH($H23,Prt,0)),"…")</f>
        <v>pintu</v>
      </c>
      <c r="C23" s="161" t="s">
        <v>1472</v>
      </c>
      <c r="D23" s="162" t="str">
        <f>IFERROR(INDEX((KS),MATCH($H23,Prt,0)),"")</f>
        <v>KS</v>
      </c>
      <c r="E23" s="1" t="s">
        <v>2166</v>
      </c>
      <c r="F23" s="811">
        <f>IFERROR(INDEX((opt),MATCH($H23,Prt,0)),"")</f>
        <v>1</v>
      </c>
      <c r="G23" s="440" t="str">
        <f>IFERROR(INDEX((no_ref),MATCH($H23,ref,0)),"...")</f>
        <v>...</v>
      </c>
      <c r="H23" s="1" t="s">
        <v>1842</v>
      </c>
      <c r="I23" s="55"/>
      <c r="J23" s="170">
        <v>2430</v>
      </c>
      <c r="K23" s="1" t="s">
        <v>2137</v>
      </c>
      <c r="L23" s="457">
        <f>ROUNDDOWN(N21-N22-tol,0)</f>
        <v>55</v>
      </c>
      <c r="M23" s="1" t="s">
        <v>2137</v>
      </c>
      <c r="N23" s="458">
        <f>+(S23+W23+Y23)</f>
        <v>18.5</v>
      </c>
      <c r="O23" s="170" t="str">
        <f>CONCATENATE(J23," ",K23," ",L23," ",M23," ",N23)</f>
        <v>2430 x 55 x 18,5</v>
      </c>
      <c r="P23" s="441">
        <f>ROUNDUP((((2*J21)+(4*L21))/2440),0)</f>
        <v>2</v>
      </c>
      <c r="Q23" s="55">
        <f>+P23*Q21</f>
        <v>2</v>
      </c>
      <c r="R23" s="177" t="str">
        <f>IFERROR(INDEX((std_bhn_prt),MATCH($H23,Prt,0)),"")</f>
        <v>Ply</v>
      </c>
      <c r="S23" s="454">
        <f>IFERROR(INDEX((std_Tbahan_prt),MATCH($H23,Prt,0)),"")</f>
        <v>18</v>
      </c>
      <c r="T23" s="178">
        <f>INDEX((std_lapisan_luar_prt),MATCH($H23,Prt,0))</f>
        <v>0</v>
      </c>
      <c r="U23" s="178">
        <f>INDEX((std_lapisan_dalam_prt),MATCH($H23,Prt,0))</f>
        <v>22</v>
      </c>
      <c r="V23" s="179" t="str">
        <f>IFERROR(INDEX((tf),MATCH(T23,ctf,0)),"")</f>
        <v>Polos</v>
      </c>
      <c r="W23" s="180">
        <f>IFERROR(INDEX((tebal_lapisan),MATCH($V23,tf,0)),"")</f>
        <v>0</v>
      </c>
      <c r="X23" s="179" t="str">
        <f>IFERROR(INDEX((tf),MATCH(U23,ctf,0)),"")</f>
        <v>Aica</v>
      </c>
      <c r="Y23" s="180">
        <f>IFERROR(INDEX((tebal_lapisan),MATCH($X23,tf,0)),"")</f>
        <v>0.5</v>
      </c>
      <c r="Z23" s="178">
        <f>INDEX((std_edg_P1_prt),MATCH($H23,Prt,0))</f>
        <v>0</v>
      </c>
      <c r="AA23" s="178">
        <f>INDEX((std_edg_P2_prt),MATCH($H23,Prt,0))</f>
        <v>9</v>
      </c>
      <c r="AB23" s="178">
        <f>INDEX((std_edg_L1_prt),MATCH($H23,Prt,0))</f>
        <v>0</v>
      </c>
      <c r="AC23" s="178">
        <f>INDEX((std_edg_L2_prt),MATCH($H23,Prt,0))</f>
        <v>0</v>
      </c>
      <c r="AD23" s="182" t="str">
        <f t="shared" si="1"/>
        <v xml:space="preserve"> </v>
      </c>
      <c r="AE23" s="182" t="str">
        <f t="shared" si="1"/>
        <v>Melanor</v>
      </c>
      <c r="AF23" s="182" t="str">
        <f t="shared" si="1"/>
        <v xml:space="preserve"> </v>
      </c>
      <c r="AG23" s="182" t="str">
        <f t="shared" si="1"/>
        <v xml:space="preserve"> </v>
      </c>
      <c r="AH23" s="401">
        <f>IFERROR(INDEX((std_profil3_prt),MATCH($H23,Prt,0)),"")</f>
        <v>0</v>
      </c>
      <c r="AI23" s="401">
        <f>IFERROR(INDEX((std_profil2_prt),MATCH($H23,Prt,0)),"")</f>
        <v>0</v>
      </c>
      <c r="AJ23" s="401">
        <f>IFERROR(INDEX((std_profil_prt),MATCH($H23,Prt,0)),"")</f>
        <v>0</v>
      </c>
      <c r="AK23" s="401">
        <f>IFERROR(INDEX((std_siku_prt),MATCH($H23,Prt,0)),"")</f>
        <v>0</v>
      </c>
      <c r="AL23" s="401">
        <f>IFERROR(INDEX((std_screw_prt),MATCH($H23,Prt,0)),"")</f>
        <v>0</v>
      </c>
      <c r="AM23" s="189"/>
      <c r="AN23" s="829">
        <f>IFERROR(INDEX((std_rel_prt),MATCH($H23,Prt,0)),"")</f>
        <v>0</v>
      </c>
      <c r="AO23" s="830">
        <f>IFERROR(INDEX((std_engsel_prt),MATCH($H23,Prt,0)),"")</f>
        <v>0</v>
      </c>
      <c r="AP23" s="401" t="str">
        <f>IFERROR(INDEX((std_anodizev_proses),MATCH($I23,pk,0)),"")</f>
        <v/>
      </c>
      <c r="AQ23" s="401" t="str">
        <f>IFERROR(INDEX((std_anodizev2_proses),MATCH($I23,pk,0)),"")</f>
        <v/>
      </c>
      <c r="AR23" s="401" t="str">
        <f>IFERROR(INDEX((std_anodizeh_proses),MATCH($I23,pk,0)),"")</f>
        <v/>
      </c>
      <c r="AS23" s="401">
        <f>IFERROR(INDEX((std_anodize_per_ukuran),MATCH($H23,Prt,0)),"")</f>
        <v>0</v>
      </c>
      <c r="AT23" s="403" t="str">
        <f>IF($AS23=edging7,L23,IF($AS23=edging8,L23,IF($AS23=edging9,L23,IF($AS23=Hand1,J22,IF($AS23=Hand2,L22,IF($AS23=hand3,"diisi manual",IF($AS23=hand4,"diisi manual",IF($AS23=hand5,"diisi manual",IF($AS23=mled02,J23,IF($AS23=mprf1,J23,IF($AS23=mlis1,J23,"")))))))))))</f>
        <v/>
      </c>
      <c r="AU23" s="403">
        <f>IF($AS23="","",Q23*BR23)</f>
        <v>0</v>
      </c>
      <c r="AV23" s="170"/>
      <c r="AW23" s="166" t="str">
        <f>CONCATENATE(VLOOKUP($V23,tabtf,2,0),VLOOKUP($X23,tabtf,2,0))</f>
        <v>37</v>
      </c>
      <c r="AX23" s="166" t="str">
        <f>IF($B23="alu",(CONCATENATE(VLOOKUP($AD23,tabfr,2,0),VLOOKUP($AE23,tabfr,2,0),VLOOKUP($AF23,tabfr,2,0),VLOOKUP($AG23,tabfr,2,0))),(CONCATENATE(VLOOKUP($AD23,tabte,2,0),VLOOKUP($AE23,tabte,2,0),VLOOKUP($AF23,tabte,2,0),VLOOKUP($AG23,tabte,2,0))))</f>
        <v>3233</v>
      </c>
      <c r="AY23" s="189" t="str">
        <f>IFERROR(VLOOKUP(AW23,descf,2,0),"")</f>
        <v>Aica_1mk_Polos</v>
      </c>
      <c r="AZ23" s="189" t="str">
        <f>IF($B23="alu",(VLOOKUP(AX23,descfr,2,0)),(VLOOKUP(AX23,desce,2,0)))</f>
        <v>Melanor_1sisi_pjg</v>
      </c>
      <c r="BA23" s="196" t="str">
        <f>IF($R23=0,CONCATENATE(0,")"," ",$H23," ",$J23),CONCATENATE(VLOOKUP(H23,tabprt,2,0),")",$H23,"_",AY23))</f>
        <v>414)Rangka back panel_Aica_1mk_Polos</v>
      </c>
      <c r="BB23" s="629" t="str">
        <f>IF($B23="…",CONCATENATE(0,$E23,")"," ",$H23),IF($B23="kc",CONCATENATE(VLOOKUP(H23,tabprt,2,0),")",$H23," ",$R23," ",$S23,"mm"," ","-"," "," ",";"," ",$AZ23,"  ",$I23),IF($B23="alu",CONCATENATE(VLOOKUP(H23,tabprt,2,0),")",$H23," ",$R23," ",$S23,"mm"," ","-"," "," ",";"," ",$AZ23,"  ",$I23),CONCATENATE(VLOOKUP(H23,tabprt,2,0),")",$H23," ",$R23," ",$S23,"mm"," ","-"," ",$AY23," ",";"," ",$AZ23,"  ",$I23))))</f>
        <v xml:space="preserve">414)Rangka back panel Ply 18mm - Aica_1mk_Polos ; Melanor_1sisi_pjg  </v>
      </c>
      <c r="BC23" s="190"/>
      <c r="BD23" s="510">
        <f>IFERROR(INDEX((std_minifix_prt),MATCH($H23,Prt,0)),"")</f>
        <v>0</v>
      </c>
      <c r="BE23" s="510">
        <f>IFERROR(INDEX((std_dowel_prt),MATCH($H23,Prt,0)),"")</f>
        <v>0</v>
      </c>
      <c r="BF23" s="177">
        <f>IFERROR(INDEX((std_j_sikufr_prt),MATCH($H23,Prt,0)),"")*Q23</f>
        <v>0</v>
      </c>
      <c r="BG23" s="177">
        <f>IFERROR(INDEX((std_j_screwjf_prt),MATCH($H23,Prt,0)),"")*Q23</f>
        <v>0</v>
      </c>
      <c r="BH23" s="166">
        <f>IF($AM23=0,0,1)*Q23</f>
        <v>0</v>
      </c>
      <c r="BI23" s="474">
        <f>IF($AO23=0,0,IF(J23&lt;=fp,2,(ROUNDUP(J23/fp,0))))*Q23</f>
        <v>0</v>
      </c>
      <c r="BJ23" s="166">
        <f>IF($AN23=0,0,1)*Q23</f>
        <v>0</v>
      </c>
      <c r="BK23" s="474">
        <f>(($J23+tol_p)*$Q23)/1000</f>
        <v>4.9400000000000004</v>
      </c>
      <c r="BL23" s="474">
        <f>(($L23+tol_p)*$Q23)/1000</f>
        <v>0.19</v>
      </c>
      <c r="BM23" s="474">
        <f>IF(R23=0,0,((2*((J23+tol_p)+(L23+tol_p))*Q23)/1000))</f>
        <v>10.26</v>
      </c>
      <c r="BN23" s="166">
        <f>((J23*L23)/1000000)*Q23</f>
        <v>0.26729999999999998</v>
      </c>
      <c r="BO23" s="166" t="str">
        <f>CONCATENATE(R23,"_",S23)</f>
        <v>Ply_18</v>
      </c>
      <c r="BP23" s="204" t="str">
        <f>CONCATENATE(R23," ",S23," ",AY23)</f>
        <v>Ply 18 Aica_1mk_Polos</v>
      </c>
      <c r="BQ23" s="475">
        <f>((J23*L23*Q23)/(2400*1200))+10%</f>
        <v>0.1928125</v>
      </c>
      <c r="BR23" s="205">
        <f>IFERROR(INDEX((std_jml_anodize_per_uk),MATCH($H23,Prt,0)),"")</f>
        <v>0</v>
      </c>
      <c r="BS23" s="509">
        <f>IF($BD23=0,0,IF($L23&lt;150,2,((ROUNDUP($L23/fm,0)*2))))*$Q23</f>
        <v>0</v>
      </c>
      <c r="BT23" s="509">
        <f>IF($BE23=0,0,IF($L23&lt;150,2,((ROUNDUP($L23/fd,0)*2))))*$Q23</f>
        <v>0</v>
      </c>
      <c r="BU23" s="459">
        <f>BF23*$Q23</f>
        <v>0</v>
      </c>
      <c r="BV23" s="459">
        <f>BG23*$Q23</f>
        <v>0</v>
      </c>
      <c r="BW23" s="1">
        <f>+((J23*L23)*Q23)/1000000</f>
        <v>0.26729999999999998</v>
      </c>
      <c r="BX23" s="1">
        <f>+((J23*L23*N23)*Q23)/1000000000</f>
        <v>4.9450500000000003E-3</v>
      </c>
      <c r="BY23" s="546" t="str">
        <f>IFERROR(INDEX((tbl_edg),MATCH($AD23,Edg,0)),"")</f>
        <v/>
      </c>
      <c r="BZ23" s="546">
        <f>IFERROR(INDEX((tbl_edg),MATCH($AE23,Edg,0)),"")</f>
        <v>0.5</v>
      </c>
      <c r="CA23" s="546" t="str">
        <f>IFERROR(INDEX((tbl_edg),MATCH($AF23,Edg,0)),"")</f>
        <v/>
      </c>
      <c r="CB23" s="546" t="str">
        <f>IFERROR(INDEX((tbl_edg),MATCH($AG23,Edg,0)),"")</f>
        <v/>
      </c>
      <c r="CC23" s="728" t="str">
        <f>IFERROR((J23-CA23-CB23),"")</f>
        <v/>
      </c>
      <c r="CD23" s="728" t="str">
        <f>IFERROR((L23-BY23-BZ23),"")</f>
        <v/>
      </c>
      <c r="CE23" s="170" t="str">
        <f>IFERROR((CONCATENATE(CC23," ","x"," ",CD23," ","x"," ",N23)),"")</f>
        <v xml:space="preserve"> x  x 18,5</v>
      </c>
      <c r="CF23" t="str">
        <f>IF(F23=1,(CONCATENATE(J23,";",L23,";",Q23,";",BP23,";",N23,";",H23,";","-1",";",AF23,";",CA23,";",AG23,";",CB23,";",AD23,";",BY23,";",AE23,";",BZ23))," ")</f>
        <v>2430;55;2;Ply 18 Aica_1mk_Polos;18,5;Rangka back panel;-1; ;; ;; ;;Melanor;0,5</v>
      </c>
    </row>
    <row r="24" spans="1:84" customFormat="1">
      <c r="A24" s="701"/>
      <c r="B24" s="447"/>
      <c r="C24" s="161"/>
      <c r="D24" s="162"/>
      <c r="E24" s="1"/>
      <c r="F24" s="811"/>
      <c r="G24" s="440"/>
      <c r="H24" s="1"/>
      <c r="I24" s="55"/>
      <c r="J24" s="170"/>
      <c r="K24" s="1"/>
      <c r="L24" s="170"/>
      <c r="M24" s="1"/>
      <c r="N24" s="458"/>
      <c r="O24" s="170"/>
      <c r="P24" s="725"/>
      <c r="Q24" s="55"/>
      <c r="R24" s="177"/>
      <c r="S24" s="454"/>
      <c r="T24" s="178"/>
      <c r="U24" s="178"/>
      <c r="V24" s="179"/>
      <c r="W24" s="180"/>
      <c r="X24" s="179"/>
      <c r="Y24" s="180"/>
      <c r="Z24" s="178"/>
      <c r="AA24" s="178"/>
      <c r="AB24" s="178"/>
      <c r="AC24" s="178"/>
      <c r="AD24" s="182"/>
      <c r="AE24" s="182"/>
      <c r="AF24" s="182"/>
      <c r="AG24" s="182"/>
      <c r="AH24" s="401"/>
      <c r="AI24" s="401"/>
      <c r="AJ24" s="401"/>
      <c r="AK24" s="401"/>
      <c r="AL24" s="401"/>
      <c r="AM24" s="189"/>
      <c r="AN24" s="829"/>
      <c r="AO24" s="830"/>
      <c r="AP24" s="401"/>
      <c r="AQ24" s="401"/>
      <c r="AR24" s="401"/>
      <c r="AS24" s="401"/>
      <c r="AT24" s="403"/>
      <c r="AU24" s="403"/>
      <c r="AV24" s="170"/>
      <c r="AW24" s="166"/>
      <c r="AX24" s="166"/>
      <c r="AY24" s="189"/>
      <c r="AZ24" s="189"/>
      <c r="BA24" s="196"/>
      <c r="BB24" s="629"/>
      <c r="BC24" s="190"/>
      <c r="BD24" s="510"/>
      <c r="BE24" s="510"/>
      <c r="BF24" s="177"/>
      <c r="BG24" s="177"/>
      <c r="BH24" s="166"/>
      <c r="BI24" s="474"/>
      <c r="BJ24" s="166"/>
      <c r="BK24" s="474"/>
      <c r="BL24" s="474"/>
      <c r="BM24" s="474"/>
      <c r="BN24" s="166"/>
      <c r="BO24" s="166"/>
      <c r="BP24" s="204"/>
      <c r="BQ24" s="475"/>
      <c r="BR24" s="205"/>
      <c r="BS24" s="509"/>
      <c r="BT24" s="509"/>
      <c r="BU24" s="459"/>
      <c r="BV24" s="459"/>
      <c r="BW24" s="1"/>
      <c r="BX24" s="1"/>
      <c r="BY24" s="546"/>
      <c r="BZ24" s="546"/>
      <c r="CA24" s="546"/>
      <c r="CB24" s="546"/>
      <c r="CC24" s="728"/>
      <c r="CD24" s="728"/>
      <c r="CE24" s="170"/>
    </row>
    <row r="25" spans="1:84" customFormat="1">
      <c r="A25" s="701" t="str">
        <f>IFERROR(INDEX((ID),MATCH(H25,BARANG,0)),"…")</f>
        <v>…</v>
      </c>
      <c r="B25" s="447" t="str">
        <f>IFERROR(INDEX((cprt),MATCH($H25,Prt,0)),"…")</f>
        <v>pintu</v>
      </c>
      <c r="C25" s="161" t="s">
        <v>1472</v>
      </c>
      <c r="D25" s="162" t="str">
        <f>IFERROR(INDEX((KS),MATCH($H25,Prt,0)),"")</f>
        <v>KS</v>
      </c>
      <c r="E25" s="1" t="s">
        <v>2166</v>
      </c>
      <c r="F25" s="811">
        <f>IFERROR(INDEX((opt),MATCH($H25,Prt,0)),"")</f>
        <v>0</v>
      </c>
      <c r="G25" s="440" t="str">
        <f>IFERROR(INDEX((no_ref),MATCH($H25,ref,0)),"...")</f>
        <v>...</v>
      </c>
      <c r="H25" s="1" t="s">
        <v>1844</v>
      </c>
      <c r="I25" s="55"/>
      <c r="J25" s="170">
        <f>+ROUNDDOWN(L21-N23-N23,0)</f>
        <v>172</v>
      </c>
      <c r="K25" s="1" t="s">
        <v>2137</v>
      </c>
      <c r="L25" s="170">
        <v>100</v>
      </c>
      <c r="M25" s="1" t="s">
        <v>2137</v>
      </c>
      <c r="N25" s="458">
        <f>+(S25+W25+Y25)</f>
        <v>18</v>
      </c>
      <c r="O25" s="170" t="str">
        <f>CONCATENATE(J25," ",K25," ",L25," ",M25," ",N25)</f>
        <v>172 x 100 x 18</v>
      </c>
      <c r="P25" s="441">
        <v>4</v>
      </c>
      <c r="Q25" s="55">
        <f>+P25*Q21</f>
        <v>4</v>
      </c>
      <c r="R25" s="177" t="str">
        <f>IFERROR(INDEX((std_bhn_prt),MATCH($H25,Prt,0)),"")</f>
        <v>Ply</v>
      </c>
      <c r="S25" s="454">
        <f>IFERROR(INDEX((std_Tbahan_prt),MATCH($H25,Prt,0)),"")</f>
        <v>18</v>
      </c>
      <c r="T25" s="178">
        <f>INDEX((std_lapisan_luar_prt),MATCH($H25,Prt,0))</f>
        <v>0</v>
      </c>
      <c r="U25" s="178">
        <f>INDEX((std_lapisan_dalam_prt),MATCH($H25,Prt,0))</f>
        <v>0</v>
      </c>
      <c r="V25" s="179" t="str">
        <f>IFERROR(INDEX((tf),MATCH(T25,ctf,0)),"")</f>
        <v>Polos</v>
      </c>
      <c r="W25" s="180">
        <f>IFERROR(INDEX((tebal_lapisan),MATCH($V25,tf,0)),"")</f>
        <v>0</v>
      </c>
      <c r="X25" s="179" t="str">
        <f>IFERROR(INDEX((tf),MATCH(U25,ctf,0)),"")</f>
        <v>Polos</v>
      </c>
      <c r="Y25" s="180">
        <f>IFERROR(INDEX((tebal_lapisan),MATCH($X25,tf,0)),"")</f>
        <v>0</v>
      </c>
      <c r="Z25" s="178">
        <f>INDEX((std_edg_P1_prt),MATCH($H25,Prt,0))</f>
        <v>0</v>
      </c>
      <c r="AA25" s="178">
        <f>INDEX((std_edg_P2_prt),MATCH($H25,Prt,0))</f>
        <v>0</v>
      </c>
      <c r="AB25" s="178">
        <f>INDEX((std_edg_L1_prt),MATCH($H25,Prt,0))</f>
        <v>0</v>
      </c>
      <c r="AC25" s="178">
        <f>INDEX((std_edg_L2_prt),MATCH($H25,Prt,0))</f>
        <v>0</v>
      </c>
      <c r="AD25" s="182" t="str">
        <f>IF($B25="alu",(INDEX((Fr),MATCH(Z25,cfr,0))),INDEX((te),MATCH(Z25,cte,0)))</f>
        <v xml:space="preserve"> </v>
      </c>
      <c r="AE25" s="182" t="str">
        <f>IF($B25="alu",(INDEX((Fr),MATCH(AA25,cfr,0))),INDEX((te),MATCH(AA25,cte,0)))</f>
        <v xml:space="preserve"> </v>
      </c>
      <c r="AF25" s="182" t="str">
        <f>IF($B25="alu",(INDEX((Fr),MATCH(AB25,cfr,0))),INDEX((te),MATCH(AB25,cte,0)))</f>
        <v xml:space="preserve"> </v>
      </c>
      <c r="AG25" s="182" t="str">
        <f>IF($B25="alu",(INDEX((Fr),MATCH(AC25,cfr,0))),INDEX((te),MATCH(AC25,cte,0)))</f>
        <v xml:space="preserve"> </v>
      </c>
      <c r="AH25" s="401">
        <f>IFERROR(INDEX((std_profil3_prt),MATCH($H25,Prt,0)),"")</f>
        <v>0</v>
      </c>
      <c r="AI25" s="401">
        <f>IFERROR(INDEX((std_profil2_prt),MATCH($H25,Prt,0)),"")</f>
        <v>0</v>
      </c>
      <c r="AJ25" s="401">
        <f>IFERROR(INDEX((std_profil_prt),MATCH($H25,Prt,0)),"")</f>
        <v>0</v>
      </c>
      <c r="AK25" s="401">
        <f>IFERROR(INDEX((std_siku_prt),MATCH($H25,Prt,0)),"")</f>
        <v>0</v>
      </c>
      <c r="AL25" s="401">
        <f>IFERROR(INDEX((std_screw_prt),MATCH($H25,Prt,0)),"")</f>
        <v>0</v>
      </c>
      <c r="AM25" s="189"/>
      <c r="AN25" s="829">
        <f>IFERROR(INDEX((std_rel_prt),MATCH($H25,Prt,0)),"")</f>
        <v>0</v>
      </c>
      <c r="AO25" s="830">
        <f>IFERROR(INDEX((std_engsel_prt),MATCH($H25,Prt,0)),"")</f>
        <v>0</v>
      </c>
      <c r="AP25" s="401" t="str">
        <f>IFERROR(INDEX((std_anodizev_proses),MATCH($I25,pk,0)),"")</f>
        <v/>
      </c>
      <c r="AQ25" s="401" t="str">
        <f>IFERROR(INDEX((std_anodizev2_proses),MATCH($I25,pk,0)),"")</f>
        <v/>
      </c>
      <c r="AR25" s="401" t="str">
        <f>IFERROR(INDEX((std_anodizeh_proses),MATCH($I25,pk,0)),"")</f>
        <v/>
      </c>
      <c r="AS25" s="401">
        <f>IFERROR(INDEX((std_anodize_per_ukuran),MATCH($H25,Prt,0)),"")</f>
        <v>0</v>
      </c>
      <c r="AT25" s="403" t="str">
        <f>IF($AS25=edging7,L25,IF($AS25=edging8,L25,IF($AS25=edging9,L25,IF($AS25=Hand1,J24,IF($AS25=Hand2,L24,IF($AS25=hand3,"diisi manual",IF($AS25=hand4,"diisi manual",IF($AS25=hand5,"diisi manual",IF($AS25=mled02,J25,IF($AS25=mprf1,J25,IF($AS25=mlis1,J25,"")))))))))))</f>
        <v/>
      </c>
      <c r="AU25" s="403">
        <f>IF($AS25="","",Q25*BR25)</f>
        <v>0</v>
      </c>
      <c r="AV25" s="170"/>
      <c r="AW25" s="166" t="str">
        <f>CONCATENATE(VLOOKUP($V25,tabtf,2,0),VLOOKUP($X25,tabtf,2,0))</f>
        <v>33</v>
      </c>
      <c r="AX25" s="166" t="str">
        <f>IF($B25="alu",(CONCATENATE(VLOOKUP($AD25,tabfr,2,0),VLOOKUP($AE25,tabfr,2,0),VLOOKUP($AF25,tabfr,2,0),VLOOKUP($AG25,tabfr,2,0))),(CONCATENATE(VLOOKUP($AD25,tabte,2,0),VLOOKUP($AE25,tabte,2,0),VLOOKUP($AF25,tabte,2,0),VLOOKUP($AG25,tabte,2,0))))</f>
        <v>3333</v>
      </c>
      <c r="AY25" s="189" t="str">
        <f>IFERROR(VLOOKUP(AW25,descf,2,0),"")</f>
        <v>Polos</v>
      </c>
      <c r="AZ25" s="189" t="str">
        <f>IF($B25="alu",(VLOOKUP(AX25,descfr,2,0)),(VLOOKUP(AX25,desce,2,0)))</f>
        <v xml:space="preserve"> -</v>
      </c>
      <c r="BA25" s="196" t="str">
        <f>IF($R25=0,CONCATENATE(0,")"," ",$H25," ",$J25),CONCATENATE(VLOOKUP(H25,tabprt,2,0),")",$H25,"_",AY25))</f>
        <v>421)Braket miring_Polos</v>
      </c>
      <c r="BB25" s="629" t="str">
        <f>IF($B25="…",CONCATENATE(0,$E25,")"," ",$H25),IF($B25="kc",CONCATENATE(VLOOKUP(H25,tabprt,2,0),")",$H25," ",$R25," ",$S25,"mm"," ","-"," "," ",";"," ",$AZ25,"  ",$I25),IF($B25="alu",CONCATENATE(VLOOKUP(H25,tabprt,2,0),")",$H25," ",$R25," ",$S25,"mm"," ","-"," "," ",";"," ",$AZ25,"  ",$I25),CONCATENATE(VLOOKUP(H25,tabprt,2,0),")",$H25," ",$R25," ",$S25,"mm"," ","-"," ",$AY25," ",";"," ",$AZ25,"  ",$I25))))</f>
        <v xml:space="preserve">421)Braket miring Ply 18mm - Polos ;  -  </v>
      </c>
      <c r="BC25" s="190"/>
      <c r="BD25" s="510">
        <f>IFERROR(INDEX((std_minifix_prt),MATCH($H25,Prt,0)),"")</f>
        <v>0</v>
      </c>
      <c r="BE25" s="510">
        <f>IFERROR(INDEX((std_dowel_prt),MATCH($H25,Prt,0)),"")</f>
        <v>0</v>
      </c>
      <c r="BF25" s="177">
        <f>IFERROR(INDEX((std_j_sikufr_prt),MATCH($H25,Prt,0)),"")*Q25</f>
        <v>0</v>
      </c>
      <c r="BG25" s="177">
        <f>IFERROR(INDEX((std_j_screwjf_prt),MATCH($H25,Prt,0)),"")*Q25</f>
        <v>0</v>
      </c>
      <c r="BH25" s="166">
        <f>IF($AM25=0,0,1)*Q25</f>
        <v>0</v>
      </c>
      <c r="BI25" s="474">
        <f>IF($AO25=0,0,IF(J25&lt;=fp,2,(ROUNDUP(J25/fp,0))))*Q25</f>
        <v>0</v>
      </c>
      <c r="BJ25" s="166">
        <f>IF($AN25=0,0,1)*Q25</f>
        <v>0</v>
      </c>
      <c r="BK25" s="474">
        <f>(($J25+tol_p)*$Q25)/1000</f>
        <v>0.84799999999999998</v>
      </c>
      <c r="BL25" s="474">
        <f>(($L25+tol_p)*$Q25)/1000</f>
        <v>0.56000000000000005</v>
      </c>
      <c r="BM25" s="474">
        <f>IF(R25=0,0,((2*((J25+tol_p)+(L25+tol_p))*Q25)/1000))</f>
        <v>2.8159999999999998</v>
      </c>
      <c r="BN25" s="166">
        <f>((J25*L25)/1000000)*Q25</f>
        <v>6.88E-2</v>
      </c>
      <c r="BO25" s="166" t="str">
        <f>CONCATENATE(R25,"_",S25)</f>
        <v>Ply_18</v>
      </c>
      <c r="BP25" s="204" t="str">
        <f>CONCATENATE(R25," ",S25," ",AY25)</f>
        <v>Ply 18 Polos</v>
      </c>
      <c r="BQ25" s="475">
        <f>((J25*L25*Q25)/(2400*1200))+10%</f>
        <v>0.1238888888888889</v>
      </c>
      <c r="BR25" s="205">
        <f>IFERROR(INDEX((std_jml_anodize_per_uk),MATCH($H25,Prt,0)),"")</f>
        <v>0</v>
      </c>
      <c r="BS25" s="509">
        <f>IF($BD25=0,0,IF($L25&lt;150,2,((ROUNDUP($L25/fm,0)*2))))*$Q25</f>
        <v>0</v>
      </c>
      <c r="BT25" s="509">
        <f>IF($BE25=0,0,IF($L25&lt;150,2,((ROUNDUP($L25/fd,0)*2))))*$Q25</f>
        <v>0</v>
      </c>
      <c r="BU25" s="459">
        <f>BF25*$Q25</f>
        <v>0</v>
      </c>
      <c r="BV25" s="459">
        <f>BG25*$Q25</f>
        <v>0</v>
      </c>
      <c r="BW25" s="1">
        <f>+((J25*L25)*Q25)/1000000</f>
        <v>6.88E-2</v>
      </c>
      <c r="BX25" s="1">
        <f>+((J25*L25*N25)*Q25)/1000000000</f>
        <v>1.2384E-3</v>
      </c>
      <c r="BY25" s="546" t="str">
        <f>IFERROR(INDEX((tbl_edg),MATCH($AD25,Edg,0)),"")</f>
        <v/>
      </c>
      <c r="BZ25" s="546" t="str">
        <f>IFERROR(INDEX((tbl_edg),MATCH($AE25,Edg,0)),"")</f>
        <v/>
      </c>
      <c r="CA25" s="546" t="str">
        <f>IFERROR(INDEX((tbl_edg),MATCH($AF25,Edg,0)),"")</f>
        <v/>
      </c>
      <c r="CB25" s="546" t="str">
        <f>IFERROR(INDEX((tbl_edg),MATCH($AG25,Edg,0)),"")</f>
        <v/>
      </c>
      <c r="CC25" s="728" t="str">
        <f>IFERROR((J25-CA25-CB25),"")</f>
        <v/>
      </c>
      <c r="CD25" s="728" t="str">
        <f>IFERROR((L25-BY25-BZ25),"")</f>
        <v/>
      </c>
      <c r="CE25" s="170" t="str">
        <f>IFERROR((CONCATENATE(CC25," ","x"," ",CD25," ","x"," ",N25)),"")</f>
        <v xml:space="preserve"> x  x 18</v>
      </c>
      <c r="CF25" t="str">
        <f>IF(F25=1,(CONCATENATE(J25,";",L25,";",Q25,";",BP25,";",N25,";",H25,";","-1",";",AF25,";",CA25,";",AG25,";",CB25,";",AD25,";",BY25,";",AE25,";",BZ25))," ")</f>
        <v xml:space="preserve"> </v>
      </c>
    </row>
    <row r="26" spans="1:84" customFormat="1">
      <c r="A26" s="701"/>
      <c r="B26" s="447"/>
      <c r="C26" s="161"/>
      <c r="D26" s="162"/>
      <c r="E26" s="1"/>
      <c r="F26" s="811"/>
      <c r="G26" s="440"/>
      <c r="H26" s="1"/>
      <c r="I26" s="55"/>
      <c r="J26" s="170"/>
      <c r="K26" s="1"/>
      <c r="L26" s="170"/>
      <c r="M26" s="1"/>
      <c r="N26" s="458"/>
      <c r="O26" s="170"/>
      <c r="P26" s="441"/>
      <c r="Q26" s="55"/>
      <c r="R26" s="177"/>
      <c r="S26" s="454"/>
      <c r="T26" s="178"/>
      <c r="U26" s="178"/>
      <c r="V26" s="179"/>
      <c r="W26" s="180"/>
      <c r="X26" s="179"/>
      <c r="Y26" s="180"/>
      <c r="Z26" s="178"/>
      <c r="AA26" s="178"/>
      <c r="AB26" s="178"/>
      <c r="AC26" s="178"/>
      <c r="AD26" s="182"/>
      <c r="AE26" s="182"/>
      <c r="AF26" s="182"/>
      <c r="AG26" s="182"/>
      <c r="AH26" s="401"/>
      <c r="AI26" s="401"/>
      <c r="AJ26" s="401"/>
      <c r="AK26" s="401"/>
      <c r="AL26" s="401"/>
      <c r="AM26" s="189"/>
      <c r="AN26" s="829"/>
      <c r="AO26" s="830"/>
      <c r="AP26" s="401"/>
      <c r="AQ26" s="401"/>
      <c r="AR26" s="401"/>
      <c r="AS26" s="401"/>
      <c r="AT26" s="403"/>
      <c r="AU26" s="403"/>
      <c r="AV26" s="170"/>
      <c r="AW26" s="166"/>
      <c r="AX26" s="166"/>
      <c r="AY26" s="189"/>
      <c r="AZ26" s="189"/>
      <c r="BA26" s="196"/>
      <c r="BB26" s="629"/>
      <c r="BC26" s="190"/>
      <c r="BD26" s="510"/>
      <c r="BE26" s="510"/>
      <c r="BF26" s="177"/>
      <c r="BG26" s="177"/>
      <c r="BH26" s="166"/>
      <c r="BI26" s="474"/>
      <c r="BJ26" s="166"/>
      <c r="BK26" s="474"/>
      <c r="BL26" s="474"/>
      <c r="BM26" s="474"/>
      <c r="BN26" s="166"/>
      <c r="BO26" s="166"/>
      <c r="BP26" s="204"/>
      <c r="BQ26" s="475"/>
      <c r="BR26" s="205"/>
      <c r="BS26" s="509"/>
      <c r="BT26" s="509"/>
      <c r="BU26" s="459"/>
      <c r="BV26" s="459"/>
      <c r="BW26" s="1"/>
      <c r="BX26" s="1"/>
      <c r="BY26" s="546"/>
      <c r="BZ26" s="546"/>
      <c r="CA26" s="546"/>
      <c r="CB26" s="546"/>
      <c r="CC26" s="728"/>
      <c r="CD26" s="728"/>
      <c r="CE26" s="170"/>
    </row>
    <row r="27" spans="1:84" customFormat="1">
      <c r="A27" s="701"/>
      <c r="B27" s="447"/>
      <c r="C27" s="161"/>
      <c r="D27" s="162"/>
      <c r="E27" s="1"/>
      <c r="F27" s="811"/>
      <c r="G27" s="440"/>
      <c r="H27" s="1"/>
      <c r="I27" s="55"/>
      <c r="J27" s="170"/>
      <c r="K27" s="1"/>
      <c r="L27" s="170"/>
      <c r="M27" s="1"/>
      <c r="N27" s="458"/>
      <c r="O27" s="170"/>
      <c r="P27" s="441"/>
      <c r="Q27" s="55"/>
      <c r="R27" s="177"/>
      <c r="S27" s="454"/>
      <c r="T27" s="178"/>
      <c r="U27" s="178"/>
      <c r="V27" s="179"/>
      <c r="W27" s="180"/>
      <c r="X27" s="179"/>
      <c r="Y27" s="180"/>
      <c r="Z27" s="178"/>
      <c r="AA27" s="178"/>
      <c r="AB27" s="178"/>
      <c r="AC27" s="178"/>
      <c r="AD27" s="182"/>
      <c r="AE27" s="182"/>
      <c r="AF27" s="182"/>
      <c r="AG27" s="182"/>
      <c r="AH27" s="401"/>
      <c r="AI27" s="401"/>
      <c r="AJ27" s="401"/>
      <c r="AK27" s="401"/>
      <c r="AL27" s="401"/>
      <c r="AM27" s="189"/>
      <c r="AN27" s="829"/>
      <c r="AO27" s="830"/>
      <c r="AP27" s="401"/>
      <c r="AQ27" s="401"/>
      <c r="AR27" s="401"/>
      <c r="AS27" s="401"/>
      <c r="AT27" s="403"/>
      <c r="AU27" s="403"/>
      <c r="AV27" s="170"/>
      <c r="AW27" s="166"/>
      <c r="AX27" s="166"/>
      <c r="AY27" s="189"/>
      <c r="AZ27" s="189"/>
      <c r="BA27" s="196"/>
      <c r="BB27" s="629"/>
      <c r="BC27" s="190"/>
      <c r="BD27" s="510"/>
      <c r="BE27" s="510"/>
      <c r="BF27" s="177"/>
      <c r="BG27" s="177"/>
      <c r="BH27" s="166"/>
      <c r="BI27" s="474"/>
      <c r="BJ27" s="166"/>
      <c r="BK27" s="474"/>
      <c r="BL27" s="474"/>
      <c r="BM27" s="474"/>
      <c r="BN27" s="166"/>
      <c r="BO27" s="166"/>
      <c r="BP27" s="204"/>
      <c r="BQ27" s="475"/>
      <c r="BR27" s="205"/>
      <c r="BS27" s="509"/>
      <c r="BT27" s="509"/>
      <c r="BU27" s="459"/>
      <c r="BV27" s="459"/>
      <c r="BW27" s="1"/>
      <c r="BX27" s="1"/>
      <c r="BY27" s="546"/>
      <c r="BZ27" s="546"/>
      <c r="CA27" s="546"/>
      <c r="CB27" s="546"/>
      <c r="CC27" s="728"/>
      <c r="CD27" s="728"/>
      <c r="CE27" s="170"/>
    </row>
    <row r="28" spans="1:84" customFormat="1">
      <c r="A28" s="701" t="str">
        <f>IFERROR(INDEX((ID),MATCH(H28,BARANG,0)),"…")</f>
        <v>…</v>
      </c>
      <c r="B28" s="447" t="str">
        <f t="shared" ref="B28:B38" si="2">IFERROR(INDEX((cprt),MATCH($H28,Prt,0)),"…")</f>
        <v>…</v>
      </c>
      <c r="C28" s="1" t="s">
        <v>2605</v>
      </c>
      <c r="D28" s="538" t="str">
        <f>(INDEX(KS_Set,MATCH($H28,Set_prt,0)))</f>
        <v>[ks]</v>
      </c>
      <c r="E28" s="1" t="s">
        <v>2166</v>
      </c>
      <c r="F28" s="811" t="str">
        <f t="shared" ref="F28:F38" si="3">IFERROR(INDEX((opt),MATCH($H28,Prt,0)),"")</f>
        <v/>
      </c>
      <c r="G28" s="440" t="str">
        <f t="shared" ref="G28:G38" si="4">IFERROR(INDEX((no_ref),MATCH($H28,ref,0)),"...")</f>
        <v>•</v>
      </c>
      <c r="H28" s="1" t="s">
        <v>2168</v>
      </c>
      <c r="J28" s="171">
        <v>1900</v>
      </c>
      <c r="K28" s="55" t="s">
        <v>2137</v>
      </c>
      <c r="L28" s="171">
        <v>327</v>
      </c>
      <c r="M28" s="55" t="s">
        <v>2137</v>
      </c>
      <c r="N28" s="172">
        <v>75</v>
      </c>
      <c r="O28" s="170" t="str">
        <f>CONCATENATE(J28," ",K28," ",L28," ",M28," ",N28)</f>
        <v>1900 x 327 x 75</v>
      </c>
      <c r="P28" s="139"/>
      <c r="Q28" s="172">
        <v>1</v>
      </c>
      <c r="R28" s="181"/>
      <c r="S28" s="455"/>
      <c r="T28" s="170"/>
      <c r="U28" s="170"/>
      <c r="V28" s="1"/>
      <c r="W28" s="173"/>
      <c r="X28" s="1"/>
      <c r="Y28" s="166"/>
      <c r="Z28" s="170"/>
      <c r="AA28" s="170"/>
      <c r="AB28" s="170"/>
      <c r="AC28" s="170"/>
      <c r="AD28" s="182" t="str">
        <f t="shared" ref="AD28:AG30" si="5">IF($B28="alu",(INDEX((Fr),MATCH(Z28,cfr,0))),INDEX((te),MATCH(Z28,cte,0)))</f>
        <v xml:space="preserve"> </v>
      </c>
      <c r="AE28" s="182" t="str">
        <f t="shared" si="5"/>
        <v xml:space="preserve"> </v>
      </c>
      <c r="AF28" s="182" t="str">
        <f t="shared" si="5"/>
        <v xml:space="preserve"> </v>
      </c>
      <c r="AG28" s="182" t="str">
        <f t="shared" si="5"/>
        <v xml:space="preserve"> </v>
      </c>
      <c r="AH28" s="189"/>
      <c r="AI28" s="189"/>
      <c r="AJ28" s="189"/>
      <c r="AK28" s="401" t="str">
        <f t="shared" ref="AK28:AK38" si="6">IFERROR(INDEX((std_siku_prt),MATCH($H28,Prt,0)),"")</f>
        <v/>
      </c>
      <c r="AL28" s="401" t="str">
        <f t="shared" ref="AL28:AL38" si="7">IFERROR(INDEX((std_screw_prt),MATCH($H28,Prt,0)),"")</f>
        <v/>
      </c>
      <c r="AM28" s="189"/>
      <c r="AN28" s="782"/>
      <c r="AO28" s="189"/>
      <c r="AP28" s="401" t="str">
        <f t="shared" ref="AP28:AP38" si="8">IFERROR(INDEX((std_anodizev_proses),MATCH($I28,pk,0)),"")</f>
        <v/>
      </c>
      <c r="AQ28" s="401" t="str">
        <f t="shared" ref="AQ28:AQ38" si="9">IFERROR(INDEX((std_anodizev2_proses),MATCH($I28,pk,0)),"")</f>
        <v/>
      </c>
      <c r="AR28" s="401" t="str">
        <f t="shared" ref="AR28:AR38" si="10">IFERROR(INDEX((std_anodizeh_proses),MATCH($I28,pk,0)),"")</f>
        <v/>
      </c>
      <c r="AS28" s="188"/>
      <c r="AT28" s="1"/>
      <c r="AU28" s="403" t="str">
        <f>IF($AS28=0,"",Q28*BR28)</f>
        <v/>
      </c>
      <c r="AV28" s="1"/>
      <c r="AW28" s="166"/>
      <c r="AX28" s="166" t="str">
        <f t="shared" ref="AX28:AX38" si="11">IF($B28="alu",(CONCATENATE(VLOOKUP($AD28,tabfr,2,0),VLOOKUP($AE28,tabfr,2,0),VLOOKUP($AF28,tabfr,2,0),VLOOKUP($AG28,tabfr,2,0))),(CONCATENATE(VLOOKUP($AD28,tabte,2,0),VLOOKUP($AE28,tabte,2,0),VLOOKUP($AF28,tabte,2,0),VLOOKUP($AG28,tabte,2,0))))</f>
        <v>3333</v>
      </c>
      <c r="AY28" s="189" t="str">
        <f>IFERROR(VLOOKUP(AW28,descf,2,0),"")</f>
        <v/>
      </c>
      <c r="AZ28" s="189" t="str">
        <f>IF($B28="alu",(VLOOKUP(AX28,descfr,2,0)),(VLOOKUP(AX28,desce,2,0)))</f>
        <v xml:space="preserve"> -</v>
      </c>
      <c r="BA28" s="196" t="str">
        <f>IF($R28=0,CONCATENATE(0,")"," ",$H28," ",$J28),CONCATENATE(VLOOKUP(H28,tabprt,2,0),")",$H28,"_",AY28))</f>
        <v>0) Back Panel Rangka (rakit tukang) 1900</v>
      </c>
      <c r="BB28" s="629" t="str">
        <f>IF($B28="…",CONCATENATE(0,$E28,")"," ",$H28),IF($B28="kc",CONCATENATE(VLOOKUP(H28,tabprt,2,0),")",$H28," ",$R28," ",$S28,"mm"," ","-"," "," ",";"," ",$AZ28,"  ",$I28),IF($B28="alu",CONCATENATE(VLOOKUP(H28,tabprt,2,0),")",$H28," ",$R28," ",$S28,"mm"," ","-"," "," ",";"," ",$AZ28,"  ",$I28),CONCATENATE(VLOOKUP(H28,tabprt,2,0),")",$H28," ",$R28," ",$S28,"mm"," ","-"," ",$AY28," ",";"," ",$AZ28,"  ",$I28))))</f>
        <v>0A) Back Panel Rangka (rakit tukang)</v>
      </c>
      <c r="BC28" s="197"/>
      <c r="BD28" s="510" t="str">
        <f t="shared" ref="BD28:BD38" si="12">IFERROR(INDEX((std_minifix_prt),MATCH($H28,Prt,0)),"")</f>
        <v/>
      </c>
      <c r="BE28" s="510" t="str">
        <f t="shared" ref="BE28:BE38" si="13">IFERROR(INDEX((std_dowel_prt),MATCH($H28,Prt,0)),"")</f>
        <v/>
      </c>
      <c r="BF28" s="177"/>
      <c r="BG28" s="177"/>
      <c r="BH28" s="166">
        <f>IF($AM28=0,0,1)*Q28</f>
        <v>0</v>
      </c>
      <c r="BI28" s="474">
        <f>IF($AO28=0,0,IF(J28&lt;=fp,2,(ROUNDUP(J28/fp,0))))*Q28</f>
        <v>0</v>
      </c>
      <c r="BJ28" s="166">
        <f>IF($AN28=0,0,1)*Q28</f>
        <v>0</v>
      </c>
      <c r="BK28" s="474">
        <f t="shared" ref="BK28:BK38" si="14">(($J28+tol_p)*$Q28)/1000</f>
        <v>1.94</v>
      </c>
      <c r="BL28" s="474">
        <f t="shared" ref="BL28:BL38" si="15">(($L28+tol_p)*$Q28)/1000</f>
        <v>0.36699999999999999</v>
      </c>
      <c r="BM28" s="474">
        <f>IF(R28=0,0,((2*((J28+tol_p)+(L28+tol_p))*Q28)/1000))</f>
        <v>0</v>
      </c>
      <c r="BN28" s="166"/>
      <c r="BO28" s="166" t="str">
        <f>CONCATENATE(R28,"_",S28)</f>
        <v>_</v>
      </c>
      <c r="BP28" s="204" t="str">
        <f>CONCATENATE(R28," ",S28," ",AY28)</f>
        <v xml:space="preserve">  </v>
      </c>
      <c r="BQ28" s="475">
        <f>((J28*L28*Q28)/(2400*1200))+10%</f>
        <v>0.31572916666666667</v>
      </c>
      <c r="BR28" s="205" t="str">
        <f>IFERROR(INDEX((std_jml_anodize_per_uk),MATCH($H28,Prt,0)),"")</f>
        <v/>
      </c>
      <c r="BS28" s="509">
        <f t="shared" ref="BS28:BS38" si="16">IF($BD28=0,0,IF($L28&lt;150,2,((ROUNDUP($L28/fm,0)*2))))*$Q28</f>
        <v>4</v>
      </c>
      <c r="BT28" s="509">
        <f t="shared" ref="BT28:BT38" si="17">IF($BE28=0,0,IF($L28&lt;150,2,((ROUNDUP($L28/fd,0)*2))))*$Q28</f>
        <v>4</v>
      </c>
      <c r="BU28" s="459"/>
      <c r="BV28" s="459"/>
      <c r="BW28" s="1">
        <f>+((J28*L28)*Q28)/1000000</f>
        <v>0.62129999999999996</v>
      </c>
      <c r="BX28" s="1">
        <f>+((J28*L28*N28)*Q28)/1000000000</f>
        <v>4.65975E-2</v>
      </c>
      <c r="BY28" s="546" t="str">
        <f t="shared" ref="BY28:BY38" si="18">IFERROR(INDEX((tbl_edg),MATCH($AD28,Edg,0)),"")</f>
        <v/>
      </c>
      <c r="BZ28" s="546" t="str">
        <f t="shared" ref="BZ28:BZ38" si="19">IFERROR(INDEX((tbl_edg),MATCH($AE28,Edg,0)),"")</f>
        <v/>
      </c>
      <c r="CA28" s="546" t="str">
        <f t="shared" ref="CA28:CA38" si="20">IFERROR(INDEX((tbl_edg),MATCH($AF28,Edg,0)),"")</f>
        <v/>
      </c>
      <c r="CB28" s="546" t="str">
        <f t="shared" ref="CB28:CB38" si="21">IFERROR(INDEX((tbl_edg),MATCH($AG28,Edg,0)),"")</f>
        <v/>
      </c>
      <c r="CC28" s="728" t="str">
        <f>IFERROR((J28-CA28-CB28),"")</f>
        <v/>
      </c>
      <c r="CD28" s="728" t="str">
        <f>IFERROR((L28-BY28-BZ28),"")</f>
        <v/>
      </c>
      <c r="CE28" s="170" t="str">
        <f>IFERROR((CONCATENATE(CC28," ","x"," ",CD28," ","x"," ",N28)),"")</f>
        <v xml:space="preserve"> x  x 75</v>
      </c>
      <c r="CF28" t="str">
        <f>IF(F28=1,(CONCATENATE(J28,";",L28,";",Q28,";",BP28,";",N28,";",H28,";","-1",";",AF28,";",CA28,";",AG28,";",CB28,";",AD28,";",BY28,";",AE28,";",BZ28))," ")</f>
        <v xml:space="preserve"> </v>
      </c>
    </row>
    <row r="29" spans="1:84" customFormat="1">
      <c r="A29" s="701" t="str">
        <f>IFERROR(INDEX((ID),MATCH(H29,BARANG,0)),"…")</f>
        <v>…</v>
      </c>
      <c r="B29" s="447" t="str">
        <f t="shared" si="2"/>
        <v>pintu</v>
      </c>
      <c r="C29" s="161" t="s">
        <v>1472</v>
      </c>
      <c r="D29" s="162" t="str">
        <f>IFERROR(INDEX((KS),MATCH($H29,Prt,0)),"")</f>
        <v>KS</v>
      </c>
      <c r="E29" s="1" t="s">
        <v>2813</v>
      </c>
      <c r="F29" s="811">
        <f t="shared" si="3"/>
        <v>0</v>
      </c>
      <c r="G29" s="440" t="str">
        <f t="shared" si="4"/>
        <v>...</v>
      </c>
      <c r="H29" s="1" t="s">
        <v>1838</v>
      </c>
      <c r="I29" s="55"/>
      <c r="J29" s="170">
        <f>+J28</f>
        <v>1900</v>
      </c>
      <c r="K29" s="1" t="s">
        <v>2137</v>
      </c>
      <c r="L29" s="170">
        <f>+L28</f>
        <v>327</v>
      </c>
      <c r="M29" s="1" t="s">
        <v>2137</v>
      </c>
      <c r="N29" s="458">
        <f>+(S29+W29+Y29)</f>
        <v>19</v>
      </c>
      <c r="O29" s="170" t="str">
        <f>CONCATENATE(J29," ",K29," ",L29," ",M29," ",N29)</f>
        <v>1900 x 327 x 19</v>
      </c>
      <c r="P29" s="441">
        <f>IFERROR(INDEX((std_sub_prt),MATCH($H29,Prt,0)),"")</f>
        <v>1</v>
      </c>
      <c r="Q29" s="55">
        <f>P29*Q28</f>
        <v>1</v>
      </c>
      <c r="R29" s="177" t="str">
        <f>IFERROR(INDEX((std_bhn_prt),MATCH($H29,Prt,0)),"")</f>
        <v>Ply</v>
      </c>
      <c r="S29" s="454">
        <f>IFERROR(INDEX((std_Tbahan_prt),MATCH($H29,Prt,0)),"")</f>
        <v>18</v>
      </c>
      <c r="T29" s="178">
        <f>INDEX((std_lapisan_luar_prt),MATCH($H29,Prt,0))</f>
        <v>1</v>
      </c>
      <c r="U29" s="178">
        <f>INDEX((std_lapisan_dalam_prt),MATCH($H29,Prt,0))</f>
        <v>0</v>
      </c>
      <c r="V29" s="179" t="str">
        <f>IFERROR(INDEX((tf),MATCH(T29,ctf,0)),"")</f>
        <v>WY_5216_D(V)</v>
      </c>
      <c r="W29" s="180">
        <f>IFERROR(INDEX((tebal_lapisan),MATCH($V29,tf,0)),"")</f>
        <v>1</v>
      </c>
      <c r="X29" s="179" t="str">
        <f>IFERROR(INDEX((tf),MATCH(U29,ctf,0)),"")</f>
        <v>Polos</v>
      </c>
      <c r="Y29" s="180">
        <f>IFERROR(INDEX((tebal_lapisan),MATCH($X29,tf,0)),"")</f>
        <v>0</v>
      </c>
      <c r="Z29" s="178">
        <f>INDEX((std_edg_P1_prt),MATCH($H29,Prt,0))</f>
        <v>1</v>
      </c>
      <c r="AA29" s="178">
        <f>INDEX((std_edg_P2_prt),MATCH($H29,Prt,0))</f>
        <v>1</v>
      </c>
      <c r="AB29" s="178">
        <f>INDEX((std_edg_L1_prt),MATCH($H29,Prt,0))</f>
        <v>1</v>
      </c>
      <c r="AC29" s="178">
        <f>INDEX((std_edg_L2_prt),MATCH($H29,Prt,0))</f>
        <v>1</v>
      </c>
      <c r="AD29" s="182" t="str">
        <f t="shared" si="5"/>
        <v>Edg_EAW_5216D1</v>
      </c>
      <c r="AE29" s="182" t="str">
        <f t="shared" si="5"/>
        <v>Edg_EAW_5216D1</v>
      </c>
      <c r="AF29" s="182" t="str">
        <f t="shared" si="5"/>
        <v>Edg_EAW_5216D1</v>
      </c>
      <c r="AG29" s="182" t="str">
        <f t="shared" si="5"/>
        <v>Edg_EAW_5216D1</v>
      </c>
      <c r="AH29" s="401">
        <f>IFERROR(INDEX((std_profil3_prt),MATCH($H29,Prt,0)),"")</f>
        <v>0</v>
      </c>
      <c r="AI29" s="401">
        <f>IFERROR(INDEX((std_profil2_prt),MATCH($H29,Prt,0)),"")</f>
        <v>0</v>
      </c>
      <c r="AJ29" s="401">
        <f>IFERROR(INDEX((std_profil_prt),MATCH($H29,Prt,0)),"")</f>
        <v>0</v>
      </c>
      <c r="AK29" s="401">
        <f t="shared" si="6"/>
        <v>0</v>
      </c>
      <c r="AL29" s="401">
        <f t="shared" si="7"/>
        <v>0</v>
      </c>
      <c r="AM29" s="189"/>
      <c r="AN29" s="829">
        <f>IFERROR(INDEX((std_rel_prt),MATCH($H29,Prt,0)),"")</f>
        <v>0</v>
      </c>
      <c r="AO29" s="830">
        <f>IFERROR(INDEX((std_engsel_prt),MATCH($H29,Prt,0)),"")</f>
        <v>0</v>
      </c>
      <c r="AP29" s="401" t="str">
        <f t="shared" si="8"/>
        <v/>
      </c>
      <c r="AQ29" s="401" t="str">
        <f t="shared" si="9"/>
        <v/>
      </c>
      <c r="AR29" s="401" t="str">
        <f t="shared" si="10"/>
        <v/>
      </c>
      <c r="AS29" s="401">
        <f>IFERROR(INDEX((std_anodize_per_ukuran),MATCH($H29,Prt,0)),"")</f>
        <v>0</v>
      </c>
      <c r="AT29" s="403" t="str">
        <f>IF($AS29=edging7,L29,IF($AS29=edging8,L29,IF($AS29=edging9,L29,IF($AS29=Hand1,J28,IF($AS29=Hand2,L28,IF($AS29=hand3,"diisi manual",IF($AS29=hand4,"diisi manual",IF($AS29=hand5,"diisi manual",IF($AS29=mled02,J29,IF($AS29=mprf1,J29,IF($AS29=mlis1,J29,"")))))))))))</f>
        <v/>
      </c>
      <c r="AU29" s="403">
        <f>IF($AS29="","",Q29*BR29)</f>
        <v>0</v>
      </c>
      <c r="AV29" s="170"/>
      <c r="AW29" s="166" t="str">
        <f>CONCATENATE(VLOOKUP($V29,tabtf,2,0),VLOOKUP($X29,tabtf,2,0))</f>
        <v>13</v>
      </c>
      <c r="AX29" s="166" t="str">
        <f t="shared" si="11"/>
        <v>4444</v>
      </c>
      <c r="AY29" s="189" t="str">
        <f>IFERROR(VLOOKUP(AW29,descf,2,0),"")</f>
        <v>WY_5216_D(V)_1mk_Polos</v>
      </c>
      <c r="AZ29" s="189" t="str">
        <f>IF($B29="alu",(VLOOKUP(AX29,descfr,2,0)),(VLOOKUP(AX29,desce,2,0)))</f>
        <v>Edg_EAW_5216D1_Keliling</v>
      </c>
      <c r="BA29" s="196" t="str">
        <f>IF($R29=0,CONCATENATE(0,")"," ",$H29," ",$J29),CONCATENATE(VLOOKUP(H29,tabprt,2,0),")",$H29,"_",AY29))</f>
        <v>403)Back Panel Rangka_WY_5216_D(V)_1mk_Polos</v>
      </c>
      <c r="BB29" s="629" t="str">
        <f>IF($B29="…",CONCATENATE(0,$E29,")"," ",$H29),IF($B29="kc",CONCATENATE(VLOOKUP(H29,tabprt,2,0),")",$H29," ",$R29," ",$S29,"mm"," ","-"," "," ",";"," ",$AZ29,"  ",$I29),IF($B29="alu",CONCATENATE(VLOOKUP(H29,tabprt,2,0),")",$H29," ",$R29," ",$S29,"mm"," ","-"," "," ",";"," ",$AZ29,"  ",$I29),CONCATENATE(VLOOKUP(H29,tabprt,2,0),")",$H29," ",$R29," ",$S29,"mm"," ","-"," ",$AY29," ",";"," ",$AZ29,"  ",$I29))))</f>
        <v xml:space="preserve">403)Back Panel Rangka Ply 18mm - WY_5216_D(V)_1mk_Polos ; Edg_EAW_5216D1_Keliling  </v>
      </c>
      <c r="BC29" s="190"/>
      <c r="BD29" s="510">
        <f t="shared" si="12"/>
        <v>0</v>
      </c>
      <c r="BE29" s="510">
        <f t="shared" si="13"/>
        <v>0</v>
      </c>
      <c r="BF29" s="177">
        <f>IFERROR(INDEX((std_j_sikufr_prt),MATCH($H29,Prt,0)),"")*Q29</f>
        <v>0</v>
      </c>
      <c r="BG29" s="177">
        <f>IFERROR(INDEX((std_j_screwjf_prt),MATCH($H29,Prt,0)),"")*Q29</f>
        <v>0</v>
      </c>
      <c r="BH29" s="166">
        <f>IF($AM29=0,0,1)*Q29</f>
        <v>0</v>
      </c>
      <c r="BI29" s="474">
        <f>IF($AO29=0,0,IF(J29&lt;=fp,2,(ROUNDUP(J29/fp,0))))*Q29</f>
        <v>0</v>
      </c>
      <c r="BJ29" s="166">
        <f>IF($AN29=0,0,1)*Q29</f>
        <v>0</v>
      </c>
      <c r="BK29" s="474">
        <f t="shared" si="14"/>
        <v>1.94</v>
      </c>
      <c r="BL29" s="474">
        <f t="shared" si="15"/>
        <v>0.36699999999999999</v>
      </c>
      <c r="BM29" s="474">
        <f>IF(R29=0,0,((2*((J29+tol_p)+(L29+tol_p))*Q29)/1000))</f>
        <v>4.6139999999999999</v>
      </c>
      <c r="BN29" s="166">
        <f>((J29*L29)/1000000)*Q29</f>
        <v>0.62129999999999996</v>
      </c>
      <c r="BO29" s="166" t="str">
        <f>CONCATENATE(R29,"_",S29)</f>
        <v>Ply_18</v>
      </c>
      <c r="BP29" s="204" t="str">
        <f>CONCATENATE(R29," ",S29," ",AY29)</f>
        <v>Ply 18 WY_5216_D(V)_1mk_Polos</v>
      </c>
      <c r="BQ29" s="475">
        <f>((J29*L29*Q29)/(2400*1200))+10%</f>
        <v>0.31572916666666667</v>
      </c>
      <c r="BR29" s="205">
        <f>IFERROR(INDEX((std_jml_anodize_per_uk),MATCH($H29,Prt,0)),"")</f>
        <v>0</v>
      </c>
      <c r="BS29" s="509">
        <f t="shared" si="16"/>
        <v>0</v>
      </c>
      <c r="BT29" s="509">
        <f t="shared" si="17"/>
        <v>0</v>
      </c>
      <c r="BU29" s="459">
        <f>BF29*$Q29</f>
        <v>0</v>
      </c>
      <c r="BV29" s="459">
        <f>BG29*$Q29</f>
        <v>0</v>
      </c>
      <c r="BW29" s="1">
        <f>+((J29*L29)*Q29)/1000000</f>
        <v>0.62129999999999996</v>
      </c>
      <c r="BX29" s="1">
        <f>+((J29*L29*N29)*Q29)/1000000000</f>
        <v>1.18047E-2</v>
      </c>
      <c r="BY29" s="546" t="str">
        <f t="shared" si="18"/>
        <v/>
      </c>
      <c r="BZ29" s="546" t="str">
        <f t="shared" si="19"/>
        <v/>
      </c>
      <c r="CA29" s="546" t="str">
        <f t="shared" si="20"/>
        <v/>
      </c>
      <c r="CB29" s="546" t="str">
        <f t="shared" si="21"/>
        <v/>
      </c>
      <c r="CC29" s="728" t="str">
        <f>IFERROR((J29-CA29-CB29),"")</f>
        <v/>
      </c>
      <c r="CD29" s="728" t="str">
        <f>IFERROR((L29-BY29-BZ29),"")</f>
        <v/>
      </c>
      <c r="CE29" s="170" t="str">
        <f>IFERROR((CONCATENATE(CC29," ","x"," ",CD29," ","x"," ",N29)),"")</f>
        <v xml:space="preserve"> x  x 19</v>
      </c>
      <c r="CF29" t="str">
        <f>IF(F29=1,(CONCATENATE(J29,";",L29,";",Q29,";",BP29,";",N29,";",H29,";","-1",";",AF29,";",CA29,";",AG29,";",CB29,";",AD29,";",BY29,";",AE29,";",BZ29))," ")</f>
        <v xml:space="preserve"> </v>
      </c>
    </row>
    <row r="30" spans="1:84" customFormat="1">
      <c r="A30" s="701" t="str">
        <f>IFERROR(INDEX((ID),MATCH(H30,BARANG,0)),"…")</f>
        <v>…</v>
      </c>
      <c r="B30" s="447" t="str">
        <f t="shared" si="2"/>
        <v>pintu</v>
      </c>
      <c r="C30" s="161" t="s">
        <v>1472</v>
      </c>
      <c r="D30" s="162" t="str">
        <f>IFERROR(INDEX((KS),MATCH($H30,Prt,0)),"")</f>
        <v>KS</v>
      </c>
      <c r="E30" s="1" t="s">
        <v>2166</v>
      </c>
      <c r="F30" s="811">
        <f t="shared" si="3"/>
        <v>1</v>
      </c>
      <c r="G30" s="440" t="str">
        <f t="shared" si="4"/>
        <v>...</v>
      </c>
      <c r="H30" s="1" t="s">
        <v>1842</v>
      </c>
      <c r="I30" s="55"/>
      <c r="J30" s="170">
        <v>2430</v>
      </c>
      <c r="K30" s="1" t="s">
        <v>2137</v>
      </c>
      <c r="L30" s="457">
        <f>ROUNDDOWN(N28-N29-tol,0)</f>
        <v>55</v>
      </c>
      <c r="M30" s="1" t="s">
        <v>2137</v>
      </c>
      <c r="N30" s="458">
        <f>+(S30+W30+Y30)</f>
        <v>18.5</v>
      </c>
      <c r="O30" s="170" t="str">
        <f>CONCATENATE(J30," ",K30," ",L30," ",M30," ",N30)</f>
        <v>2430 x 55 x 18,5</v>
      </c>
      <c r="P30" s="441">
        <f>ROUNDUP((((2*J28)+(4*L28))/2440),0)</f>
        <v>3</v>
      </c>
      <c r="Q30" s="55">
        <f>+P30*Q28</f>
        <v>3</v>
      </c>
      <c r="R30" s="177" t="str">
        <f>IFERROR(INDEX((std_bhn_prt),MATCH($H30,Prt,0)),"")</f>
        <v>Ply</v>
      </c>
      <c r="S30" s="454">
        <f>IFERROR(INDEX((std_Tbahan_prt),MATCH($H30,Prt,0)),"")</f>
        <v>18</v>
      </c>
      <c r="T30" s="178">
        <f>INDEX((std_lapisan_luar_prt),MATCH($H30,Prt,0))</f>
        <v>0</v>
      </c>
      <c r="U30" s="178">
        <f>INDEX((std_lapisan_dalam_prt),MATCH($H30,Prt,0))</f>
        <v>22</v>
      </c>
      <c r="V30" s="179" t="str">
        <f>IFERROR(INDEX((tf),MATCH(T30,ctf,0)),"")</f>
        <v>Polos</v>
      </c>
      <c r="W30" s="180">
        <f>IFERROR(INDEX((tebal_lapisan),MATCH($V30,tf,0)),"")</f>
        <v>0</v>
      </c>
      <c r="X30" s="179" t="str">
        <f>IFERROR(INDEX((tf),MATCH(U30,ctf,0)),"")</f>
        <v>Aica</v>
      </c>
      <c r="Y30" s="180">
        <f>IFERROR(INDEX((tebal_lapisan),MATCH($X30,tf,0)),"")</f>
        <v>0.5</v>
      </c>
      <c r="Z30" s="178">
        <f>INDEX((std_edg_P1_prt),MATCH($H30,Prt,0))</f>
        <v>0</v>
      </c>
      <c r="AA30" s="178">
        <f>INDEX((std_edg_P2_prt),MATCH($H30,Prt,0))</f>
        <v>9</v>
      </c>
      <c r="AB30" s="178">
        <f>INDEX((std_edg_L1_prt),MATCH($H30,Prt,0))</f>
        <v>0</v>
      </c>
      <c r="AC30" s="178">
        <f>INDEX((std_edg_L2_prt),MATCH($H30,Prt,0))</f>
        <v>0</v>
      </c>
      <c r="AD30" s="182" t="str">
        <f t="shared" si="5"/>
        <v xml:space="preserve"> </v>
      </c>
      <c r="AE30" s="182" t="str">
        <f t="shared" si="5"/>
        <v>Melanor</v>
      </c>
      <c r="AF30" s="182" t="str">
        <f t="shared" si="5"/>
        <v xml:space="preserve"> </v>
      </c>
      <c r="AG30" s="182" t="str">
        <f t="shared" si="5"/>
        <v xml:space="preserve"> </v>
      </c>
      <c r="AH30" s="401">
        <f>IFERROR(INDEX((std_profil3_prt),MATCH($H30,Prt,0)),"")</f>
        <v>0</v>
      </c>
      <c r="AI30" s="401">
        <f>IFERROR(INDEX((std_profil2_prt),MATCH($H30,Prt,0)),"")</f>
        <v>0</v>
      </c>
      <c r="AJ30" s="401">
        <f>IFERROR(INDEX((std_profil_prt),MATCH($H30,Prt,0)),"")</f>
        <v>0</v>
      </c>
      <c r="AK30" s="401">
        <f t="shared" si="6"/>
        <v>0</v>
      </c>
      <c r="AL30" s="401">
        <f t="shared" si="7"/>
        <v>0</v>
      </c>
      <c r="AM30" s="189"/>
      <c r="AN30" s="829">
        <f>IFERROR(INDEX((std_rel_prt),MATCH($H30,Prt,0)),"")</f>
        <v>0</v>
      </c>
      <c r="AO30" s="830">
        <f>IFERROR(INDEX((std_engsel_prt),MATCH($H30,Prt,0)),"")</f>
        <v>0</v>
      </c>
      <c r="AP30" s="401" t="str">
        <f t="shared" si="8"/>
        <v/>
      </c>
      <c r="AQ30" s="401" t="str">
        <f t="shared" si="9"/>
        <v/>
      </c>
      <c r="AR30" s="401" t="str">
        <f t="shared" si="10"/>
        <v/>
      </c>
      <c r="AS30" s="401">
        <f>IFERROR(INDEX((std_anodize_per_ukuran),MATCH($H30,Prt,0)),"")</f>
        <v>0</v>
      </c>
      <c r="AT30" s="403" t="str">
        <f>IF($AS30=edging7,L30,IF($AS30=edging8,L30,IF($AS30=edging9,L30,IF($AS30=Hand1,J29,IF($AS30=Hand2,L29,IF($AS30=hand3,"diisi manual",IF($AS30=hand4,"diisi manual",IF($AS30=hand5,"diisi manual",IF($AS30=mled02,J30,IF($AS30=mprf1,J30,IF($AS30=mlis1,J30,"")))))))))))</f>
        <v/>
      </c>
      <c r="AU30" s="403">
        <f>IF($AS30="","",Q30*BR30)</f>
        <v>0</v>
      </c>
      <c r="AV30" s="170"/>
      <c r="AW30" s="166" t="str">
        <f>CONCATENATE(VLOOKUP($V30,tabtf,2,0),VLOOKUP($X30,tabtf,2,0))</f>
        <v>37</v>
      </c>
      <c r="AX30" s="166" t="str">
        <f t="shared" si="11"/>
        <v>3233</v>
      </c>
      <c r="AY30" s="189" t="str">
        <f>IFERROR(VLOOKUP(AW30,descf,2,0),"")</f>
        <v>Aica_1mk_Polos</v>
      </c>
      <c r="AZ30" s="189" t="str">
        <f>IF($B30="alu",(VLOOKUP(AX30,descfr,2,0)),(VLOOKUP(AX30,desce,2,0)))</f>
        <v>Melanor_1sisi_pjg</v>
      </c>
      <c r="BA30" s="196" t="str">
        <f>IF($R30=0,CONCATENATE(0,")"," ",$H30," ",$J30),CONCATENATE(VLOOKUP(H30,tabprt,2,0),")",$H30,"_",AY30))</f>
        <v>414)Rangka back panel_Aica_1mk_Polos</v>
      </c>
      <c r="BB30" s="629" t="str">
        <f>IF($B30="…",CONCATENATE(0,$E30,")"," ",$H30),IF($B30="kc",CONCATENATE(VLOOKUP(H30,tabprt,2,0),")",$H30," ",$R30," ",$S30,"mm"," ","-"," "," ",";"," ",$AZ30,"  ",$I30),IF($B30="alu",CONCATENATE(VLOOKUP(H30,tabprt,2,0),")",$H30," ",$R30," ",$S30,"mm"," ","-"," "," ",";"," ",$AZ30,"  ",$I30),CONCATENATE(VLOOKUP(H30,tabprt,2,0),")",$H30," ",$R30," ",$S30,"mm"," ","-"," ",$AY30," ",";"," ",$AZ30,"  ",$I30))))</f>
        <v xml:space="preserve">414)Rangka back panel Ply 18mm - Aica_1mk_Polos ; Melanor_1sisi_pjg  </v>
      </c>
      <c r="BC30" s="190"/>
      <c r="BD30" s="510">
        <f t="shared" si="12"/>
        <v>0</v>
      </c>
      <c r="BE30" s="510">
        <f t="shared" si="13"/>
        <v>0</v>
      </c>
      <c r="BF30" s="177">
        <f>IFERROR(INDEX((std_j_sikufr_prt),MATCH($H30,Prt,0)),"")*Q30</f>
        <v>0</v>
      </c>
      <c r="BG30" s="177">
        <f>IFERROR(INDEX((std_j_screwjf_prt),MATCH($H30,Prt,0)),"")*Q30</f>
        <v>0</v>
      </c>
      <c r="BH30" s="166">
        <f>IF($AM30=0,0,1)*Q30</f>
        <v>0</v>
      </c>
      <c r="BI30" s="474">
        <f>IF($AO30=0,0,IF(J30&lt;=fp,2,(ROUNDUP(J30/fp,0))))*Q30</f>
        <v>0</v>
      </c>
      <c r="BJ30" s="166">
        <f>IF($AN30=0,0,1)*Q30</f>
        <v>0</v>
      </c>
      <c r="BK30" s="474">
        <f t="shared" si="14"/>
        <v>7.41</v>
      </c>
      <c r="BL30" s="474">
        <f t="shared" si="15"/>
        <v>0.28499999999999998</v>
      </c>
      <c r="BM30" s="474">
        <f>IF(R30=0,0,((2*((J30+tol_p)+(L30+tol_p))*Q30)/1000))</f>
        <v>15.39</v>
      </c>
      <c r="BN30" s="166">
        <f>((J30*L30)/1000000)*Q30</f>
        <v>0.40094999999999997</v>
      </c>
      <c r="BO30" s="166" t="str">
        <f>CONCATENATE(R30,"_",S30)</f>
        <v>Ply_18</v>
      </c>
      <c r="BP30" s="204" t="str">
        <f>CONCATENATE(R30," ",S30," ",AY30)</f>
        <v>Ply 18 Aica_1mk_Polos</v>
      </c>
      <c r="BQ30" s="475">
        <f>((J30*L30*Q30)/(2400*1200))+10%</f>
        <v>0.23921875000000001</v>
      </c>
      <c r="BR30" s="205">
        <f>IFERROR(INDEX((std_jml_anodize_per_uk),MATCH($H30,Prt,0)),"")</f>
        <v>0</v>
      </c>
      <c r="BS30" s="509">
        <f t="shared" si="16"/>
        <v>0</v>
      </c>
      <c r="BT30" s="509">
        <f t="shared" si="17"/>
        <v>0</v>
      </c>
      <c r="BU30" s="459">
        <f>BF30*$Q30</f>
        <v>0</v>
      </c>
      <c r="BV30" s="459">
        <f>BG30*$Q30</f>
        <v>0</v>
      </c>
      <c r="BW30" s="1">
        <f>+((J30*L30)*Q30)/1000000</f>
        <v>0.40094999999999997</v>
      </c>
      <c r="BX30" s="1">
        <f>+((J30*L30*N30)*Q30)/1000000000</f>
        <v>7.417575E-3</v>
      </c>
      <c r="BY30" s="546" t="str">
        <f t="shared" si="18"/>
        <v/>
      </c>
      <c r="BZ30" s="546">
        <f t="shared" si="19"/>
        <v>0.5</v>
      </c>
      <c r="CA30" s="546" t="str">
        <f t="shared" si="20"/>
        <v/>
      </c>
      <c r="CB30" s="546" t="str">
        <f t="shared" si="21"/>
        <v/>
      </c>
      <c r="CC30" s="728" t="str">
        <f>IFERROR((J30-CA30-CB30),"")</f>
        <v/>
      </c>
      <c r="CD30" s="728" t="str">
        <f>IFERROR((L30-BY30-BZ30),"")</f>
        <v/>
      </c>
      <c r="CE30" s="170" t="str">
        <f>IFERROR((CONCATENATE(CC30," ","x"," ",CD30," ","x"," ",N30)),"")</f>
        <v xml:space="preserve"> x  x 18,5</v>
      </c>
      <c r="CF30" t="str">
        <f>IF(F30=1,(CONCATENATE(J30,";",L30,";",Q30,";",BP30,";",N30,";",H30,";","-1",";",AF30,";",CA30,";",AG30,";",CB30,";",AD30,";",BY30,";",AE30,";",BZ30))," ")</f>
        <v>2430;55;3;Ply 18 Aica_1mk_Polos;18,5;Rangka back panel;-1; ;; ;; ;;Melanor;0,5</v>
      </c>
    </row>
    <row r="31" spans="1:84" customFormat="1">
      <c r="A31" s="701"/>
      <c r="B31" s="447"/>
      <c r="C31" s="161"/>
      <c r="D31" s="162"/>
      <c r="E31" s="1"/>
      <c r="F31" s="811"/>
      <c r="G31" s="440"/>
      <c r="H31" s="1"/>
      <c r="I31" s="55"/>
      <c r="J31" s="170"/>
      <c r="K31" s="1"/>
      <c r="L31" s="170"/>
      <c r="M31" s="1"/>
      <c r="N31" s="458"/>
      <c r="O31" s="170"/>
      <c r="P31" s="725"/>
      <c r="Q31" s="55"/>
      <c r="R31" s="177"/>
      <c r="S31" s="454"/>
      <c r="T31" s="178"/>
      <c r="U31" s="178"/>
      <c r="V31" s="179"/>
      <c r="W31" s="180"/>
      <c r="X31" s="179"/>
      <c r="Y31" s="180"/>
      <c r="Z31" s="178"/>
      <c r="AA31" s="178"/>
      <c r="AB31" s="178"/>
      <c r="AC31" s="178"/>
      <c r="AD31" s="182"/>
      <c r="AE31" s="182"/>
      <c r="AF31" s="182"/>
      <c r="AG31" s="182"/>
      <c r="AH31" s="401"/>
      <c r="AI31" s="401"/>
      <c r="AJ31" s="401"/>
      <c r="AK31" s="401"/>
      <c r="AL31" s="401"/>
      <c r="AM31" s="189"/>
      <c r="AN31" s="829"/>
      <c r="AO31" s="830"/>
      <c r="AP31" s="401"/>
      <c r="AQ31" s="401"/>
      <c r="AR31" s="401"/>
      <c r="AS31" s="401"/>
      <c r="AT31" s="403"/>
      <c r="AU31" s="403"/>
      <c r="AV31" s="170"/>
      <c r="AW31" s="166"/>
      <c r="AX31" s="166"/>
      <c r="AY31" s="189"/>
      <c r="AZ31" s="189"/>
      <c r="BA31" s="196"/>
      <c r="BB31" s="629"/>
      <c r="BC31" s="190"/>
      <c r="BD31" s="510"/>
      <c r="BE31" s="510"/>
      <c r="BF31" s="177"/>
      <c r="BG31" s="177"/>
      <c r="BH31" s="166"/>
      <c r="BI31" s="474"/>
      <c r="BJ31" s="166"/>
      <c r="BK31" s="474"/>
      <c r="BL31" s="474"/>
      <c r="BM31" s="474"/>
      <c r="BN31" s="166"/>
      <c r="BO31" s="166"/>
      <c r="BP31" s="204"/>
      <c r="BQ31" s="475"/>
      <c r="BR31" s="205"/>
      <c r="BS31" s="509"/>
      <c r="BT31" s="509"/>
      <c r="BU31" s="459"/>
      <c r="BV31" s="459"/>
      <c r="BW31" s="1"/>
      <c r="BX31" s="1"/>
      <c r="BY31" s="546"/>
      <c r="BZ31" s="546"/>
      <c r="CA31" s="546"/>
      <c r="CB31" s="546"/>
      <c r="CC31" s="728"/>
      <c r="CD31" s="728"/>
      <c r="CE31" s="170"/>
    </row>
    <row r="32" spans="1:84" customFormat="1">
      <c r="A32" s="701" t="str">
        <f>IFERROR(INDEX((ID),MATCH(H32,BARANG,0)),"…")</f>
        <v>…</v>
      </c>
      <c r="B32" s="447" t="str">
        <f t="shared" si="2"/>
        <v>pintu</v>
      </c>
      <c r="C32" s="161" t="s">
        <v>1472</v>
      </c>
      <c r="D32" s="162" t="str">
        <f>IFERROR(INDEX((KS),MATCH($H32,Prt,0)),"")</f>
        <v>KS</v>
      </c>
      <c r="E32" s="1" t="s">
        <v>2166</v>
      </c>
      <c r="F32" s="811">
        <f t="shared" si="3"/>
        <v>0</v>
      </c>
      <c r="G32" s="440" t="str">
        <f t="shared" si="4"/>
        <v>...</v>
      </c>
      <c r="H32" s="1" t="s">
        <v>1844</v>
      </c>
      <c r="I32" s="55"/>
      <c r="J32" s="170">
        <f>+ROUNDDOWN(L28-N30-N30,0)</f>
        <v>290</v>
      </c>
      <c r="K32" s="1" t="s">
        <v>2137</v>
      </c>
      <c r="L32" s="170">
        <v>100</v>
      </c>
      <c r="M32" s="1" t="s">
        <v>2137</v>
      </c>
      <c r="N32" s="458">
        <f>+(S32+W32+Y32)</f>
        <v>18</v>
      </c>
      <c r="O32" s="170" t="str">
        <f>CONCATENATE(J32," ",K32," ",L32," ",M32," ",N32)</f>
        <v>290 x 100 x 18</v>
      </c>
      <c r="P32" s="441">
        <v>4</v>
      </c>
      <c r="Q32" s="55">
        <f>+P32*Q28</f>
        <v>4</v>
      </c>
      <c r="R32" s="177" t="str">
        <f>IFERROR(INDEX((std_bhn_prt),MATCH($H32,Prt,0)),"")</f>
        <v>Ply</v>
      </c>
      <c r="S32" s="454">
        <f>IFERROR(INDEX((std_Tbahan_prt),MATCH($H32,Prt,0)),"")</f>
        <v>18</v>
      </c>
      <c r="T32" s="178">
        <f>INDEX((std_lapisan_luar_prt),MATCH($H32,Prt,0))</f>
        <v>0</v>
      </c>
      <c r="U32" s="178">
        <f>INDEX((std_lapisan_dalam_prt),MATCH($H32,Prt,0))</f>
        <v>0</v>
      </c>
      <c r="V32" s="179" t="str">
        <f>IFERROR(INDEX((tf),MATCH(T32,ctf,0)),"")</f>
        <v>Polos</v>
      </c>
      <c r="W32" s="180">
        <f>IFERROR(INDEX((tebal_lapisan),MATCH($V32,tf,0)),"")</f>
        <v>0</v>
      </c>
      <c r="X32" s="179" t="str">
        <f>IFERROR(INDEX((tf),MATCH(U32,ctf,0)),"")</f>
        <v>Polos</v>
      </c>
      <c r="Y32" s="180">
        <f>IFERROR(INDEX((tebal_lapisan),MATCH($X32,tf,0)),"")</f>
        <v>0</v>
      </c>
      <c r="Z32" s="178">
        <f>INDEX((std_edg_P1_prt),MATCH($H32,Prt,0))</f>
        <v>0</v>
      </c>
      <c r="AA32" s="178">
        <f>INDEX((std_edg_P2_prt),MATCH($H32,Prt,0))</f>
        <v>0</v>
      </c>
      <c r="AB32" s="178">
        <f>INDEX((std_edg_L1_prt),MATCH($H32,Prt,0))</f>
        <v>0</v>
      </c>
      <c r="AC32" s="178">
        <f>INDEX((std_edg_L2_prt),MATCH($H32,Prt,0))</f>
        <v>0</v>
      </c>
      <c r="AD32" s="182" t="str">
        <f>IF($B32="alu",(INDEX((Fr),MATCH(Z32,cfr,0))),INDEX((te),MATCH(Z32,cte,0)))</f>
        <v xml:space="preserve"> </v>
      </c>
      <c r="AE32" s="182" t="str">
        <f>IF($B32="alu",(INDEX((Fr),MATCH(AA32,cfr,0))),INDEX((te),MATCH(AA32,cte,0)))</f>
        <v xml:space="preserve"> </v>
      </c>
      <c r="AF32" s="182" t="str">
        <f>IF($B32="alu",(INDEX((Fr),MATCH(AB32,cfr,0))),INDEX((te),MATCH(AB32,cte,0)))</f>
        <v xml:space="preserve"> </v>
      </c>
      <c r="AG32" s="182" t="str">
        <f>IF($B32="alu",(INDEX((Fr),MATCH(AC32,cfr,0))),INDEX((te),MATCH(AC32,cte,0)))</f>
        <v xml:space="preserve"> </v>
      </c>
      <c r="AH32" s="401">
        <f>IFERROR(INDEX((std_profil3_prt),MATCH($H32,Prt,0)),"")</f>
        <v>0</v>
      </c>
      <c r="AI32" s="401">
        <f>IFERROR(INDEX((std_profil2_prt),MATCH($H32,Prt,0)),"")</f>
        <v>0</v>
      </c>
      <c r="AJ32" s="401">
        <f>IFERROR(INDEX((std_profil_prt),MATCH($H32,Prt,0)),"")</f>
        <v>0</v>
      </c>
      <c r="AK32" s="401">
        <f t="shared" si="6"/>
        <v>0</v>
      </c>
      <c r="AL32" s="401">
        <f t="shared" si="7"/>
        <v>0</v>
      </c>
      <c r="AM32" s="189"/>
      <c r="AN32" s="829">
        <f>IFERROR(INDEX((std_rel_prt),MATCH($H32,Prt,0)),"")</f>
        <v>0</v>
      </c>
      <c r="AO32" s="830">
        <f>IFERROR(INDEX((std_engsel_prt),MATCH($H32,Prt,0)),"")</f>
        <v>0</v>
      </c>
      <c r="AP32" s="401" t="str">
        <f t="shared" si="8"/>
        <v/>
      </c>
      <c r="AQ32" s="401" t="str">
        <f t="shared" si="9"/>
        <v/>
      </c>
      <c r="AR32" s="401" t="str">
        <f t="shared" si="10"/>
        <v/>
      </c>
      <c r="AS32" s="401">
        <f>IFERROR(INDEX((std_anodize_per_ukuran),MATCH($H32,Prt,0)),"")</f>
        <v>0</v>
      </c>
      <c r="AT32" s="403" t="str">
        <f>IF($AS32=edging7,L32,IF($AS32=edging8,L32,IF($AS32=edging9,L32,IF($AS32=Hand1,J31,IF($AS32=Hand2,L31,IF($AS32=hand3,"diisi manual",IF($AS32=hand4,"diisi manual",IF($AS32=hand5,"diisi manual",IF($AS32=mled02,J32,IF($AS32=mprf1,J32,IF($AS32=mlis1,J32,"")))))))))))</f>
        <v/>
      </c>
      <c r="AU32" s="403">
        <f>IF($AS32="","",Q32*BR32)</f>
        <v>0</v>
      </c>
      <c r="AV32" s="170"/>
      <c r="AW32" s="166" t="str">
        <f>CONCATENATE(VLOOKUP($V32,tabtf,2,0),VLOOKUP($X32,tabtf,2,0))</f>
        <v>33</v>
      </c>
      <c r="AX32" s="166" t="str">
        <f t="shared" si="11"/>
        <v>3333</v>
      </c>
      <c r="AY32" s="189" t="str">
        <f>IFERROR(VLOOKUP(AW32,descf,2,0),"")</f>
        <v>Polos</v>
      </c>
      <c r="AZ32" s="189" t="str">
        <f>IF($B32="alu",(VLOOKUP(AX32,descfr,2,0)),(VLOOKUP(AX32,desce,2,0)))</f>
        <v xml:space="preserve"> -</v>
      </c>
      <c r="BA32" s="196" t="str">
        <f>IF($R32=0,CONCATENATE(0,")"," ",$H32," ",$J32),CONCATENATE(VLOOKUP(H32,tabprt,2,0),")",$H32,"_",AY32))</f>
        <v>421)Braket miring_Polos</v>
      </c>
      <c r="BB32" s="629" t="str">
        <f>IF($B32="…",CONCATENATE(0,$E32,")"," ",$H32),IF($B32="kc",CONCATENATE(VLOOKUP(H32,tabprt,2,0),")",$H32," ",$R32," ",$S32,"mm"," ","-"," "," ",";"," ",$AZ32,"  ",$I32),IF($B32="alu",CONCATENATE(VLOOKUP(H32,tabprt,2,0),")",$H32," ",$R32," ",$S32,"mm"," ","-"," "," ",";"," ",$AZ32,"  ",$I32),CONCATENATE(VLOOKUP(H32,tabprt,2,0),")",$H32," ",$R32," ",$S32,"mm"," ","-"," ",$AY32," ",";"," ",$AZ32,"  ",$I32))))</f>
        <v xml:space="preserve">421)Braket miring Ply 18mm - Polos ;  -  </v>
      </c>
      <c r="BC32" s="190"/>
      <c r="BD32" s="510">
        <f t="shared" si="12"/>
        <v>0</v>
      </c>
      <c r="BE32" s="510">
        <f t="shared" si="13"/>
        <v>0</v>
      </c>
      <c r="BF32" s="177">
        <f>IFERROR(INDEX((std_j_sikufr_prt),MATCH($H32,Prt,0)),"")*Q32</f>
        <v>0</v>
      </c>
      <c r="BG32" s="177">
        <f>IFERROR(INDEX((std_j_screwjf_prt),MATCH($H32,Prt,0)),"")*Q32</f>
        <v>0</v>
      </c>
      <c r="BH32" s="166">
        <f>IF($AM32=0,0,1)*Q32</f>
        <v>0</v>
      </c>
      <c r="BI32" s="474">
        <f>IF($AO32=0,0,IF(J32&lt;=fp,2,(ROUNDUP(J32/fp,0))))*Q32</f>
        <v>0</v>
      </c>
      <c r="BJ32" s="166">
        <f>IF($AN32=0,0,1)*Q32</f>
        <v>0</v>
      </c>
      <c r="BK32" s="474">
        <f t="shared" si="14"/>
        <v>1.32</v>
      </c>
      <c r="BL32" s="474">
        <f t="shared" si="15"/>
        <v>0.56000000000000005</v>
      </c>
      <c r="BM32" s="474">
        <f>IF(R32=0,0,((2*((J32+tol_p)+(L32+tol_p))*Q32)/1000))</f>
        <v>3.76</v>
      </c>
      <c r="BN32" s="166">
        <f>((J32*L32)/1000000)*Q32</f>
        <v>0.11600000000000001</v>
      </c>
      <c r="BO32" s="166" t="str">
        <f>CONCATENATE(R32,"_",S32)</f>
        <v>Ply_18</v>
      </c>
      <c r="BP32" s="204" t="str">
        <f>CONCATENATE(R32," ",S32," ",AY32)</f>
        <v>Ply 18 Polos</v>
      </c>
      <c r="BQ32" s="475">
        <f>((J32*L32*Q32)/(2400*1200))+10%</f>
        <v>0.14027777777777778</v>
      </c>
      <c r="BR32" s="205">
        <f>IFERROR(INDEX((std_jml_anodize_per_uk),MATCH($H32,Prt,0)),"")</f>
        <v>0</v>
      </c>
      <c r="BS32" s="509">
        <f t="shared" si="16"/>
        <v>0</v>
      </c>
      <c r="BT32" s="509">
        <f t="shared" si="17"/>
        <v>0</v>
      </c>
      <c r="BU32" s="459">
        <f>BF32*$Q32</f>
        <v>0</v>
      </c>
      <c r="BV32" s="459">
        <f>BG32*$Q32</f>
        <v>0</v>
      </c>
      <c r="BW32" s="1">
        <f>+((J32*L32)*Q32)/1000000</f>
        <v>0.11600000000000001</v>
      </c>
      <c r="BX32" s="1">
        <f>+((J32*L32*N32)*Q32)/1000000000</f>
        <v>2.088E-3</v>
      </c>
      <c r="BY32" s="546" t="str">
        <f t="shared" si="18"/>
        <v/>
      </c>
      <c r="BZ32" s="546" t="str">
        <f t="shared" si="19"/>
        <v/>
      </c>
      <c r="CA32" s="546" t="str">
        <f t="shared" si="20"/>
        <v/>
      </c>
      <c r="CB32" s="546" t="str">
        <f t="shared" si="21"/>
        <v/>
      </c>
      <c r="CC32" s="728" t="str">
        <f>IFERROR((J32-CA32-CB32),"")</f>
        <v/>
      </c>
      <c r="CD32" s="728" t="str">
        <f>IFERROR((L32-BY32-BZ32),"")</f>
        <v/>
      </c>
      <c r="CE32" s="170" t="str">
        <f>IFERROR((CONCATENATE(CC32," ","x"," ",CD32," ","x"," ",N32)),"")</f>
        <v xml:space="preserve"> x  x 18</v>
      </c>
      <c r="CF32" t="str">
        <f>IF(F32=1,(CONCATENATE(J32,";",L32,";",Q32,";",BP32,";",N32,";",H32,";","-1",";",AF32,";",CA32,";",AG32,";",CB32,";",AD32,";",BY32,";",AE32,";",BZ32))," ")</f>
        <v xml:space="preserve"> </v>
      </c>
    </row>
    <row r="33" spans="1:84" customFormat="1">
      <c r="A33" s="701"/>
      <c r="B33" s="447"/>
      <c r="C33" s="161"/>
      <c r="D33" s="162"/>
      <c r="E33" s="1"/>
      <c r="F33" s="811"/>
      <c r="G33" s="440"/>
      <c r="H33" s="1"/>
      <c r="I33" s="55"/>
      <c r="J33" s="170"/>
      <c r="K33" s="1"/>
      <c r="L33" s="170"/>
      <c r="M33" s="1"/>
      <c r="N33" s="458"/>
      <c r="O33" s="170"/>
      <c r="P33" s="441"/>
      <c r="Q33" s="55"/>
      <c r="R33" s="177"/>
      <c r="S33" s="454"/>
      <c r="T33" s="178"/>
      <c r="U33" s="178"/>
      <c r="V33" s="179"/>
      <c r="W33" s="180"/>
      <c r="X33" s="179"/>
      <c r="Y33" s="180"/>
      <c r="Z33" s="178"/>
      <c r="AA33" s="178"/>
      <c r="AB33" s="178"/>
      <c r="AC33" s="178"/>
      <c r="AD33" s="182"/>
      <c r="AE33" s="182"/>
      <c r="AF33" s="182"/>
      <c r="AG33" s="182"/>
      <c r="AH33" s="401"/>
      <c r="AI33" s="401"/>
      <c r="AJ33" s="401"/>
      <c r="AK33" s="401"/>
      <c r="AL33" s="401"/>
      <c r="AM33" s="189"/>
      <c r="AN33" s="829"/>
      <c r="AO33" s="830"/>
      <c r="AP33" s="401"/>
      <c r="AQ33" s="401"/>
      <c r="AR33" s="401"/>
      <c r="AS33" s="401"/>
      <c r="AT33" s="403"/>
      <c r="AU33" s="403"/>
      <c r="AV33" s="170"/>
      <c r="AW33" s="166"/>
      <c r="AX33" s="166"/>
      <c r="AY33" s="189"/>
      <c r="AZ33" s="189"/>
      <c r="BA33" s="196"/>
      <c r="BB33" s="629"/>
      <c r="BC33" s="190"/>
      <c r="BD33" s="510"/>
      <c r="BE33" s="510"/>
      <c r="BF33" s="177"/>
      <c r="BG33" s="177"/>
      <c r="BH33" s="166"/>
      <c r="BI33" s="474"/>
      <c r="BJ33" s="166"/>
      <c r="BK33" s="474"/>
      <c r="BL33" s="474"/>
      <c r="BM33" s="474"/>
      <c r="BN33" s="166"/>
      <c r="BO33" s="166"/>
      <c r="BP33" s="204"/>
      <c r="BQ33" s="475"/>
      <c r="BR33" s="205"/>
      <c r="BS33" s="509"/>
      <c r="BT33" s="509"/>
      <c r="BU33" s="459"/>
      <c r="BV33" s="459"/>
      <c r="BW33" s="1"/>
      <c r="BX33" s="1"/>
      <c r="BY33" s="546"/>
      <c r="BZ33" s="546"/>
      <c r="CA33" s="546"/>
      <c r="CB33" s="546"/>
      <c r="CC33" s="728"/>
      <c r="CD33" s="728"/>
      <c r="CE33" s="170"/>
    </row>
    <row r="34" spans="1:84" customFormat="1">
      <c r="A34" s="701" t="str">
        <f>IFERROR(INDEX((ID),MATCH(H34,BARANG,0)),"…")</f>
        <v>…</v>
      </c>
      <c r="B34" s="447" t="str">
        <f t="shared" si="2"/>
        <v>…</v>
      </c>
      <c r="C34" s="1" t="s">
        <v>2605</v>
      </c>
      <c r="D34" s="538" t="str">
        <f>(INDEX(KS_Set,MATCH($H34,Set_prt,0)))</f>
        <v>[ks]</v>
      </c>
      <c r="E34" s="1" t="s">
        <v>2166</v>
      </c>
      <c r="F34" s="811" t="str">
        <f t="shared" si="3"/>
        <v/>
      </c>
      <c r="G34" s="440" t="str">
        <f t="shared" si="4"/>
        <v>•</v>
      </c>
      <c r="H34" s="1" t="s">
        <v>2168</v>
      </c>
      <c r="J34" s="171">
        <v>1390</v>
      </c>
      <c r="K34" s="55" t="s">
        <v>2137</v>
      </c>
      <c r="L34" s="171">
        <v>327</v>
      </c>
      <c r="M34" s="55" t="s">
        <v>2137</v>
      </c>
      <c r="N34" s="172">
        <v>75</v>
      </c>
      <c r="O34" s="170" t="str">
        <f>CONCATENATE(J34," ",K34," ",L34," ",M34," ",N34)</f>
        <v>1390 x 327 x 75</v>
      </c>
      <c r="P34" s="139"/>
      <c r="Q34" s="172">
        <v>1</v>
      </c>
      <c r="R34" s="181"/>
      <c r="S34" s="455"/>
      <c r="T34" s="170"/>
      <c r="U34" s="170"/>
      <c r="V34" s="1"/>
      <c r="W34" s="173"/>
      <c r="X34" s="1"/>
      <c r="Y34" s="166"/>
      <c r="Z34" s="170"/>
      <c r="AA34" s="170"/>
      <c r="AB34" s="170"/>
      <c r="AC34" s="170"/>
      <c r="AD34" s="182" t="str">
        <f t="shared" ref="AD34:AG36" si="22">IF($B34="alu",(INDEX((Fr),MATCH(Z34,cfr,0))),INDEX((te),MATCH(Z34,cte,0)))</f>
        <v xml:space="preserve"> </v>
      </c>
      <c r="AE34" s="182" t="str">
        <f t="shared" si="22"/>
        <v xml:space="preserve"> </v>
      </c>
      <c r="AF34" s="182" t="str">
        <f t="shared" si="22"/>
        <v xml:space="preserve"> </v>
      </c>
      <c r="AG34" s="182" t="str">
        <f t="shared" si="22"/>
        <v xml:space="preserve"> </v>
      </c>
      <c r="AH34" s="189"/>
      <c r="AI34" s="189"/>
      <c r="AJ34" s="189"/>
      <c r="AK34" s="401" t="str">
        <f t="shared" si="6"/>
        <v/>
      </c>
      <c r="AL34" s="401" t="str">
        <f t="shared" si="7"/>
        <v/>
      </c>
      <c r="AM34" s="189"/>
      <c r="AN34" s="782"/>
      <c r="AO34" s="189"/>
      <c r="AP34" s="401" t="str">
        <f t="shared" si="8"/>
        <v/>
      </c>
      <c r="AQ34" s="401" t="str">
        <f t="shared" si="9"/>
        <v/>
      </c>
      <c r="AR34" s="401" t="str">
        <f t="shared" si="10"/>
        <v/>
      </c>
      <c r="AS34" s="188"/>
      <c r="AT34" s="1"/>
      <c r="AU34" s="403" t="str">
        <f>IF($AS34=0,"",Q34*BR34)</f>
        <v/>
      </c>
      <c r="AV34" s="1"/>
      <c r="AW34" s="166"/>
      <c r="AX34" s="166" t="str">
        <f t="shared" si="11"/>
        <v>3333</v>
      </c>
      <c r="AY34" s="189" t="str">
        <f>IFERROR(VLOOKUP(AW34,descf,2,0),"")</f>
        <v/>
      </c>
      <c r="AZ34" s="189" t="str">
        <f>IF($B34="alu",(VLOOKUP(AX34,descfr,2,0)),(VLOOKUP(AX34,desce,2,0)))</f>
        <v xml:space="preserve"> -</v>
      </c>
      <c r="BA34" s="196" t="str">
        <f>IF($R34=0,CONCATENATE(0,")"," ",$H34," ",$J34),CONCATENATE(VLOOKUP(H34,tabprt,2,0),")",$H34,"_",AY34))</f>
        <v>0) Back Panel Rangka (rakit tukang) 1390</v>
      </c>
      <c r="BB34" s="629" t="str">
        <f>IF($B34="…",CONCATENATE(0,$E34,")"," ",$H34),IF($B34="kc",CONCATENATE(VLOOKUP(H34,tabprt,2,0),")",$H34," ",$R34," ",$S34,"mm"," ","-"," "," ",";"," ",$AZ34,"  ",$I34),IF($B34="alu",CONCATENATE(VLOOKUP(H34,tabprt,2,0),")",$H34," ",$R34," ",$S34,"mm"," ","-"," "," ",";"," ",$AZ34,"  ",$I34),CONCATENATE(VLOOKUP(H34,tabprt,2,0),")",$H34," ",$R34," ",$S34,"mm"," ","-"," ",$AY34," ",";"," ",$AZ34,"  ",$I34))))</f>
        <v>0A) Back Panel Rangka (rakit tukang)</v>
      </c>
      <c r="BC34" s="197"/>
      <c r="BD34" s="510" t="str">
        <f t="shared" si="12"/>
        <v/>
      </c>
      <c r="BE34" s="510" t="str">
        <f t="shared" si="13"/>
        <v/>
      </c>
      <c r="BF34" s="177"/>
      <c r="BG34" s="177"/>
      <c r="BH34" s="166">
        <f>IF($AM34=0,0,1)*Q34</f>
        <v>0</v>
      </c>
      <c r="BI34" s="474">
        <f>IF($AO34=0,0,IF(J34&lt;=fp,2,(ROUNDUP(J34/fp,0))))*Q34</f>
        <v>0</v>
      </c>
      <c r="BJ34" s="166">
        <f>IF($AN34=0,0,1)*Q34</f>
        <v>0</v>
      </c>
      <c r="BK34" s="474">
        <f t="shared" si="14"/>
        <v>1.43</v>
      </c>
      <c r="BL34" s="474">
        <f t="shared" si="15"/>
        <v>0.36699999999999999</v>
      </c>
      <c r="BM34" s="474">
        <f>IF(R34=0,0,((2*((J34+tol_p)+(L34+tol_p))*Q34)/1000))</f>
        <v>0</v>
      </c>
      <c r="BN34" s="166"/>
      <c r="BO34" s="166" t="str">
        <f>CONCATENATE(R34,"_",S34)</f>
        <v>_</v>
      </c>
      <c r="BP34" s="204" t="str">
        <f>CONCATENATE(R34," ",S34," ",AY34)</f>
        <v xml:space="preserve">  </v>
      </c>
      <c r="BQ34" s="475">
        <f>((J34*L34*Q34)/(2400*1200))+10%</f>
        <v>0.25782291666666668</v>
      </c>
      <c r="BR34" s="205" t="str">
        <f>IFERROR(INDEX((std_jml_anodize_per_uk),MATCH($H34,Prt,0)),"")</f>
        <v/>
      </c>
      <c r="BS34" s="509">
        <f t="shared" si="16"/>
        <v>4</v>
      </c>
      <c r="BT34" s="509">
        <f t="shared" si="17"/>
        <v>4</v>
      </c>
      <c r="BU34" s="459"/>
      <c r="BV34" s="459"/>
      <c r="BW34" s="1">
        <f>+((J34*L34)*Q34)/1000000</f>
        <v>0.45452999999999999</v>
      </c>
      <c r="BX34" s="1">
        <f>+((J34*L34*N34)*Q34)/1000000000</f>
        <v>3.4089750000000002E-2</v>
      </c>
      <c r="BY34" s="546" t="str">
        <f t="shared" si="18"/>
        <v/>
      </c>
      <c r="BZ34" s="546" t="str">
        <f t="shared" si="19"/>
        <v/>
      </c>
      <c r="CA34" s="546" t="str">
        <f t="shared" si="20"/>
        <v/>
      </c>
      <c r="CB34" s="546" t="str">
        <f t="shared" si="21"/>
        <v/>
      </c>
      <c r="CC34" s="728" t="str">
        <f>IFERROR((J34-CA34-CB34),"")</f>
        <v/>
      </c>
      <c r="CD34" s="728" t="str">
        <f>IFERROR((L34-BY34-BZ34),"")</f>
        <v/>
      </c>
      <c r="CE34" s="170" t="str">
        <f>IFERROR((CONCATENATE(CC34," ","x"," ",CD34," ","x"," ",N34)),"")</f>
        <v xml:space="preserve"> x  x 75</v>
      </c>
      <c r="CF34" t="str">
        <f>IF(F34=1,(CONCATENATE(J34,";",L34,";",Q34,";",BP34,";",N34,";",H34,";","-1",";",AF34,";",CA34,";",AG34,";",CB34,";",AD34,";",BY34,";",AE34,";",BZ34))," ")</f>
        <v xml:space="preserve"> </v>
      </c>
    </row>
    <row r="35" spans="1:84" customFormat="1">
      <c r="A35" s="701" t="str">
        <f>IFERROR(INDEX((ID),MATCH(H35,BARANG,0)),"…")</f>
        <v>…</v>
      </c>
      <c r="B35" s="447" t="str">
        <f t="shared" si="2"/>
        <v>pintu</v>
      </c>
      <c r="C35" s="161" t="s">
        <v>1472</v>
      </c>
      <c r="D35" s="162" t="str">
        <f>IFERROR(INDEX((KS),MATCH($H35,Prt,0)),"")</f>
        <v>KS</v>
      </c>
      <c r="E35" s="1" t="s">
        <v>2813</v>
      </c>
      <c r="F35" s="811">
        <f t="shared" si="3"/>
        <v>0</v>
      </c>
      <c r="G35" s="440" t="str">
        <f t="shared" si="4"/>
        <v>...</v>
      </c>
      <c r="H35" s="1" t="s">
        <v>1838</v>
      </c>
      <c r="I35" s="55"/>
      <c r="J35" s="170">
        <f>+J34</f>
        <v>1390</v>
      </c>
      <c r="K35" s="1" t="s">
        <v>2137</v>
      </c>
      <c r="L35" s="170">
        <f>+L34</f>
        <v>327</v>
      </c>
      <c r="M35" s="1" t="s">
        <v>2137</v>
      </c>
      <c r="N35" s="458">
        <f>+(S35+W35+Y35)</f>
        <v>19</v>
      </c>
      <c r="O35" s="170" t="str">
        <f>CONCATENATE(J35," ",K35," ",L35," ",M35," ",N35)</f>
        <v>1390 x 327 x 19</v>
      </c>
      <c r="P35" s="441">
        <f>IFERROR(INDEX((std_sub_prt),MATCH($H35,Prt,0)),"")</f>
        <v>1</v>
      </c>
      <c r="Q35" s="55">
        <f>P35*Q34</f>
        <v>1</v>
      </c>
      <c r="R35" s="177" t="str">
        <f>IFERROR(INDEX((std_bhn_prt),MATCH($H35,Prt,0)),"")</f>
        <v>Ply</v>
      </c>
      <c r="S35" s="454">
        <f>IFERROR(INDEX((std_Tbahan_prt),MATCH($H35,Prt,0)),"")</f>
        <v>18</v>
      </c>
      <c r="T35" s="178">
        <f>INDEX((std_lapisan_luar_prt),MATCH($H35,Prt,0))</f>
        <v>1</v>
      </c>
      <c r="U35" s="178">
        <f>INDEX((std_lapisan_dalam_prt),MATCH($H35,Prt,0))</f>
        <v>0</v>
      </c>
      <c r="V35" s="179" t="str">
        <f>IFERROR(INDEX((tf),MATCH(T35,ctf,0)),"")</f>
        <v>WY_5216_D(V)</v>
      </c>
      <c r="W35" s="180">
        <f>IFERROR(INDEX((tebal_lapisan),MATCH($V35,tf,0)),"")</f>
        <v>1</v>
      </c>
      <c r="X35" s="179" t="str">
        <f>IFERROR(INDEX((tf),MATCH(U35,ctf,0)),"")</f>
        <v>Polos</v>
      </c>
      <c r="Y35" s="180">
        <f>IFERROR(INDEX((tebal_lapisan),MATCH($X35,tf,0)),"")</f>
        <v>0</v>
      </c>
      <c r="Z35" s="178">
        <f>INDEX((std_edg_P1_prt),MATCH($H35,Prt,0))</f>
        <v>1</v>
      </c>
      <c r="AA35" s="178">
        <f>INDEX((std_edg_P2_prt),MATCH($H35,Prt,0))</f>
        <v>1</v>
      </c>
      <c r="AB35" s="178">
        <f>INDEX((std_edg_L1_prt),MATCH($H35,Prt,0))</f>
        <v>1</v>
      </c>
      <c r="AC35" s="178">
        <f>INDEX((std_edg_L2_prt),MATCH($H35,Prt,0))</f>
        <v>1</v>
      </c>
      <c r="AD35" s="182" t="str">
        <f t="shared" si="22"/>
        <v>Edg_EAW_5216D1</v>
      </c>
      <c r="AE35" s="182" t="str">
        <f t="shared" si="22"/>
        <v>Edg_EAW_5216D1</v>
      </c>
      <c r="AF35" s="182" t="str">
        <f t="shared" si="22"/>
        <v>Edg_EAW_5216D1</v>
      </c>
      <c r="AG35" s="182" t="str">
        <f t="shared" si="22"/>
        <v>Edg_EAW_5216D1</v>
      </c>
      <c r="AH35" s="401">
        <f>IFERROR(INDEX((std_profil3_prt),MATCH($H35,Prt,0)),"")</f>
        <v>0</v>
      </c>
      <c r="AI35" s="401">
        <f>IFERROR(INDEX((std_profil2_prt),MATCH($H35,Prt,0)),"")</f>
        <v>0</v>
      </c>
      <c r="AJ35" s="401">
        <f>IFERROR(INDEX((std_profil_prt),MATCH($H35,Prt,0)),"")</f>
        <v>0</v>
      </c>
      <c r="AK35" s="401">
        <f t="shared" si="6"/>
        <v>0</v>
      </c>
      <c r="AL35" s="401">
        <f t="shared" si="7"/>
        <v>0</v>
      </c>
      <c r="AM35" s="189"/>
      <c r="AN35" s="829">
        <f>IFERROR(INDEX((std_rel_prt),MATCH($H35,Prt,0)),"")</f>
        <v>0</v>
      </c>
      <c r="AO35" s="830">
        <f>IFERROR(INDEX((std_engsel_prt),MATCH($H35,Prt,0)),"")</f>
        <v>0</v>
      </c>
      <c r="AP35" s="401" t="str">
        <f t="shared" si="8"/>
        <v/>
      </c>
      <c r="AQ35" s="401" t="str">
        <f t="shared" si="9"/>
        <v/>
      </c>
      <c r="AR35" s="401" t="str">
        <f t="shared" si="10"/>
        <v/>
      </c>
      <c r="AS35" s="401">
        <f>IFERROR(INDEX((std_anodize_per_ukuran),MATCH($H35,Prt,0)),"")</f>
        <v>0</v>
      </c>
      <c r="AT35" s="403" t="str">
        <f>IF($AS35=edging7,L35,IF($AS35=edging8,L35,IF($AS35=edging9,L35,IF($AS35=Hand1,J34,IF($AS35=Hand2,L34,IF($AS35=hand3,"diisi manual",IF($AS35=hand4,"diisi manual",IF($AS35=hand5,"diisi manual",IF($AS35=mled02,J35,IF($AS35=mprf1,J35,IF($AS35=mlis1,J35,"")))))))))))</f>
        <v/>
      </c>
      <c r="AU35" s="403">
        <f>IF($AS35="","",Q35*BR35)</f>
        <v>0</v>
      </c>
      <c r="AV35" s="170"/>
      <c r="AW35" s="166" t="str">
        <f>CONCATENATE(VLOOKUP($V35,tabtf,2,0),VLOOKUP($X35,tabtf,2,0))</f>
        <v>13</v>
      </c>
      <c r="AX35" s="166" t="str">
        <f t="shared" si="11"/>
        <v>4444</v>
      </c>
      <c r="AY35" s="189" t="str">
        <f>IFERROR(VLOOKUP(AW35,descf,2,0),"")</f>
        <v>WY_5216_D(V)_1mk_Polos</v>
      </c>
      <c r="AZ35" s="189" t="str">
        <f>IF($B35="alu",(VLOOKUP(AX35,descfr,2,0)),(VLOOKUP(AX35,desce,2,0)))</f>
        <v>Edg_EAW_5216D1_Keliling</v>
      </c>
      <c r="BA35" s="196" t="str">
        <f>IF($R35=0,CONCATENATE(0,")"," ",$H35," ",$J35),CONCATENATE(VLOOKUP(H35,tabprt,2,0),")",$H35,"_",AY35))</f>
        <v>403)Back Panel Rangka_WY_5216_D(V)_1mk_Polos</v>
      </c>
      <c r="BB35" s="629" t="str">
        <f>IF($B35="…",CONCATENATE(0,$E35,")"," ",$H35),IF($B35="kc",CONCATENATE(VLOOKUP(H35,tabprt,2,0),")",$H35," ",$R35," ",$S35,"mm"," ","-"," "," ",";"," ",$AZ35,"  ",$I35),IF($B35="alu",CONCATENATE(VLOOKUP(H35,tabprt,2,0),")",$H35," ",$R35," ",$S35,"mm"," ","-"," "," ",";"," ",$AZ35,"  ",$I35),CONCATENATE(VLOOKUP(H35,tabprt,2,0),")",$H35," ",$R35," ",$S35,"mm"," ","-"," ",$AY35," ",";"," ",$AZ35,"  ",$I35))))</f>
        <v xml:space="preserve">403)Back Panel Rangka Ply 18mm - WY_5216_D(V)_1mk_Polos ; Edg_EAW_5216D1_Keliling  </v>
      </c>
      <c r="BC35" s="190"/>
      <c r="BD35" s="510">
        <f t="shared" si="12"/>
        <v>0</v>
      </c>
      <c r="BE35" s="510">
        <f t="shared" si="13"/>
        <v>0</v>
      </c>
      <c r="BF35" s="177">
        <f>IFERROR(INDEX((std_j_sikufr_prt),MATCH($H35,Prt,0)),"")*Q35</f>
        <v>0</v>
      </c>
      <c r="BG35" s="177">
        <f>IFERROR(INDEX((std_j_screwjf_prt),MATCH($H35,Prt,0)),"")*Q35</f>
        <v>0</v>
      </c>
      <c r="BH35" s="166">
        <f>IF($AM35=0,0,1)*Q35</f>
        <v>0</v>
      </c>
      <c r="BI35" s="474">
        <f>IF($AO35=0,0,IF(J35&lt;=fp,2,(ROUNDUP(J35/fp,0))))*Q35</f>
        <v>0</v>
      </c>
      <c r="BJ35" s="166">
        <f>IF($AN35=0,0,1)*Q35</f>
        <v>0</v>
      </c>
      <c r="BK35" s="474">
        <f t="shared" si="14"/>
        <v>1.43</v>
      </c>
      <c r="BL35" s="474">
        <f t="shared" si="15"/>
        <v>0.36699999999999999</v>
      </c>
      <c r="BM35" s="474">
        <f>IF(R35=0,0,((2*((J35+tol_p)+(L35+tol_p))*Q35)/1000))</f>
        <v>3.5939999999999999</v>
      </c>
      <c r="BN35" s="166">
        <f>((J35*L35)/1000000)*Q35</f>
        <v>0.45452999999999999</v>
      </c>
      <c r="BO35" s="166" t="str">
        <f>CONCATENATE(R35,"_",S35)</f>
        <v>Ply_18</v>
      </c>
      <c r="BP35" s="204" t="str">
        <f>CONCATENATE(R35," ",S35," ",AY35)</f>
        <v>Ply 18 WY_5216_D(V)_1mk_Polos</v>
      </c>
      <c r="BQ35" s="475">
        <f>((J35*L35*Q35)/(2400*1200))+10%</f>
        <v>0.25782291666666668</v>
      </c>
      <c r="BR35" s="205">
        <f>IFERROR(INDEX((std_jml_anodize_per_uk),MATCH($H35,Prt,0)),"")</f>
        <v>0</v>
      </c>
      <c r="BS35" s="509">
        <f t="shared" si="16"/>
        <v>0</v>
      </c>
      <c r="BT35" s="509">
        <f t="shared" si="17"/>
        <v>0</v>
      </c>
      <c r="BU35" s="459">
        <f>BF35*$Q35</f>
        <v>0</v>
      </c>
      <c r="BV35" s="459">
        <f>BG35*$Q35</f>
        <v>0</v>
      </c>
      <c r="BW35" s="1">
        <f>+((J35*L35)*Q35)/1000000</f>
        <v>0.45452999999999999</v>
      </c>
      <c r="BX35" s="1">
        <f>+((J35*L35*N35)*Q35)/1000000000</f>
        <v>8.6360699999999992E-3</v>
      </c>
      <c r="BY35" s="546" t="str">
        <f t="shared" si="18"/>
        <v/>
      </c>
      <c r="BZ35" s="546" t="str">
        <f t="shared" si="19"/>
        <v/>
      </c>
      <c r="CA35" s="546" t="str">
        <f t="shared" si="20"/>
        <v/>
      </c>
      <c r="CB35" s="546" t="str">
        <f t="shared" si="21"/>
        <v/>
      </c>
      <c r="CC35" s="728" t="str">
        <f>IFERROR((J35-CA35-CB35),"")</f>
        <v/>
      </c>
      <c r="CD35" s="728" t="str">
        <f>IFERROR((L35-BY35-BZ35),"")</f>
        <v/>
      </c>
      <c r="CE35" s="170" t="str">
        <f>IFERROR((CONCATENATE(CC35," ","x"," ",CD35," ","x"," ",N35)),"")</f>
        <v xml:space="preserve"> x  x 19</v>
      </c>
      <c r="CF35" t="str">
        <f>IF(F35=1,(CONCATENATE(J35,";",L35,";",Q35,";",BP35,";",N35,";",H35,";","-1",";",AF35,";",CA35,";",AG35,";",CB35,";",AD35,";",BY35,";",AE35,";",BZ35))," ")</f>
        <v xml:space="preserve"> </v>
      </c>
    </row>
    <row r="36" spans="1:84" customFormat="1">
      <c r="A36" s="701" t="str">
        <f>IFERROR(INDEX((ID),MATCH(H36,BARANG,0)),"…")</f>
        <v>…</v>
      </c>
      <c r="B36" s="447" t="str">
        <f t="shared" si="2"/>
        <v>pintu</v>
      </c>
      <c r="C36" s="161" t="s">
        <v>1472</v>
      </c>
      <c r="D36" s="162" t="str">
        <f>IFERROR(INDEX((KS),MATCH($H36,Prt,0)),"")</f>
        <v>KS</v>
      </c>
      <c r="E36" s="1" t="s">
        <v>2166</v>
      </c>
      <c r="F36" s="811">
        <f t="shared" si="3"/>
        <v>1</v>
      </c>
      <c r="G36" s="440" t="str">
        <f t="shared" si="4"/>
        <v>...</v>
      </c>
      <c r="H36" s="1" t="s">
        <v>1842</v>
      </c>
      <c r="I36" s="55"/>
      <c r="J36" s="170">
        <v>2430</v>
      </c>
      <c r="K36" s="1" t="s">
        <v>2137</v>
      </c>
      <c r="L36" s="457">
        <f>ROUNDDOWN(N34-N35-tol,0)</f>
        <v>55</v>
      </c>
      <c r="M36" s="1" t="s">
        <v>2137</v>
      </c>
      <c r="N36" s="458">
        <f>+(S36+W36+Y36)</f>
        <v>18.5</v>
      </c>
      <c r="O36" s="170" t="str">
        <f>CONCATENATE(J36," ",K36," ",L36," ",M36," ",N36)</f>
        <v>2430 x 55 x 18,5</v>
      </c>
      <c r="P36" s="441">
        <f>ROUNDUP((((2*J34)+(4*L34))/2440),0)</f>
        <v>2</v>
      </c>
      <c r="Q36" s="55">
        <f>+P36*Q34</f>
        <v>2</v>
      </c>
      <c r="R36" s="177" t="str">
        <f>IFERROR(INDEX((std_bhn_prt),MATCH($H36,Prt,0)),"")</f>
        <v>Ply</v>
      </c>
      <c r="S36" s="454">
        <f>IFERROR(INDEX((std_Tbahan_prt),MATCH($H36,Prt,0)),"")</f>
        <v>18</v>
      </c>
      <c r="T36" s="178">
        <f>INDEX((std_lapisan_luar_prt),MATCH($H36,Prt,0))</f>
        <v>0</v>
      </c>
      <c r="U36" s="178">
        <f>INDEX((std_lapisan_dalam_prt),MATCH($H36,Prt,0))</f>
        <v>22</v>
      </c>
      <c r="V36" s="179" t="str">
        <f>IFERROR(INDEX((tf),MATCH(T36,ctf,0)),"")</f>
        <v>Polos</v>
      </c>
      <c r="W36" s="180">
        <f>IFERROR(INDEX((tebal_lapisan),MATCH($V36,tf,0)),"")</f>
        <v>0</v>
      </c>
      <c r="X36" s="179" t="str">
        <f>IFERROR(INDEX((tf),MATCH(U36,ctf,0)),"")</f>
        <v>Aica</v>
      </c>
      <c r="Y36" s="180">
        <f>IFERROR(INDEX((tebal_lapisan),MATCH($X36,tf,0)),"")</f>
        <v>0.5</v>
      </c>
      <c r="Z36" s="178">
        <f>INDEX((std_edg_P1_prt),MATCH($H36,Prt,0))</f>
        <v>0</v>
      </c>
      <c r="AA36" s="178">
        <f>INDEX((std_edg_P2_prt),MATCH($H36,Prt,0))</f>
        <v>9</v>
      </c>
      <c r="AB36" s="178">
        <f>INDEX((std_edg_L1_prt),MATCH($H36,Prt,0))</f>
        <v>0</v>
      </c>
      <c r="AC36" s="178">
        <f>INDEX((std_edg_L2_prt),MATCH($H36,Prt,0))</f>
        <v>0</v>
      </c>
      <c r="AD36" s="182" t="str">
        <f t="shared" si="22"/>
        <v xml:space="preserve"> </v>
      </c>
      <c r="AE36" s="182" t="str">
        <f t="shared" si="22"/>
        <v>Melanor</v>
      </c>
      <c r="AF36" s="182" t="str">
        <f t="shared" si="22"/>
        <v xml:space="preserve"> </v>
      </c>
      <c r="AG36" s="182" t="str">
        <f t="shared" si="22"/>
        <v xml:space="preserve"> </v>
      </c>
      <c r="AH36" s="401">
        <f>IFERROR(INDEX((std_profil3_prt),MATCH($H36,Prt,0)),"")</f>
        <v>0</v>
      </c>
      <c r="AI36" s="401">
        <f>IFERROR(INDEX((std_profil2_prt),MATCH($H36,Prt,0)),"")</f>
        <v>0</v>
      </c>
      <c r="AJ36" s="401">
        <f>IFERROR(INDEX((std_profil_prt),MATCH($H36,Prt,0)),"")</f>
        <v>0</v>
      </c>
      <c r="AK36" s="401">
        <f t="shared" si="6"/>
        <v>0</v>
      </c>
      <c r="AL36" s="401">
        <f t="shared" si="7"/>
        <v>0</v>
      </c>
      <c r="AM36" s="189"/>
      <c r="AN36" s="829">
        <f>IFERROR(INDEX((std_rel_prt),MATCH($H36,Prt,0)),"")</f>
        <v>0</v>
      </c>
      <c r="AO36" s="830">
        <f>IFERROR(INDEX((std_engsel_prt),MATCH($H36,Prt,0)),"")</f>
        <v>0</v>
      </c>
      <c r="AP36" s="401" t="str">
        <f t="shared" si="8"/>
        <v/>
      </c>
      <c r="AQ36" s="401" t="str">
        <f t="shared" si="9"/>
        <v/>
      </c>
      <c r="AR36" s="401" t="str">
        <f t="shared" si="10"/>
        <v/>
      </c>
      <c r="AS36" s="401">
        <f>IFERROR(INDEX((std_anodize_per_ukuran),MATCH($H36,Prt,0)),"")</f>
        <v>0</v>
      </c>
      <c r="AT36" s="403" t="str">
        <f>IF($AS36=edging7,L36,IF($AS36=edging8,L36,IF($AS36=edging9,L36,IF($AS36=Hand1,J35,IF($AS36=Hand2,L35,IF($AS36=hand3,"diisi manual",IF($AS36=hand4,"diisi manual",IF($AS36=hand5,"diisi manual",IF($AS36=mled02,J36,IF($AS36=mprf1,J36,IF($AS36=mlis1,J36,"")))))))))))</f>
        <v/>
      </c>
      <c r="AU36" s="403">
        <f>IF($AS36="","",Q36*BR36)</f>
        <v>0</v>
      </c>
      <c r="AV36" s="170"/>
      <c r="AW36" s="166" t="str">
        <f>CONCATENATE(VLOOKUP($V36,tabtf,2,0),VLOOKUP($X36,tabtf,2,0))</f>
        <v>37</v>
      </c>
      <c r="AX36" s="166" t="str">
        <f t="shared" si="11"/>
        <v>3233</v>
      </c>
      <c r="AY36" s="189" t="str">
        <f>IFERROR(VLOOKUP(AW36,descf,2,0),"")</f>
        <v>Aica_1mk_Polos</v>
      </c>
      <c r="AZ36" s="189" t="str">
        <f>IF($B36="alu",(VLOOKUP(AX36,descfr,2,0)),(VLOOKUP(AX36,desce,2,0)))</f>
        <v>Melanor_1sisi_pjg</v>
      </c>
      <c r="BA36" s="196" t="str">
        <f>IF($R36=0,CONCATENATE(0,")"," ",$H36," ",$J36),CONCATENATE(VLOOKUP(H36,tabprt,2,0),")",$H36,"_",AY36))</f>
        <v>414)Rangka back panel_Aica_1mk_Polos</v>
      </c>
      <c r="BB36" s="629" t="str">
        <f>IF($B36="…",CONCATENATE(0,$E36,")"," ",$H36),IF($B36="kc",CONCATENATE(VLOOKUP(H36,tabprt,2,0),")",$H36," ",$R36," ",$S36,"mm"," ","-"," "," ",";"," ",$AZ36,"  ",$I36),IF($B36="alu",CONCATENATE(VLOOKUP(H36,tabprt,2,0),")",$H36," ",$R36," ",$S36,"mm"," ","-"," "," ",";"," ",$AZ36,"  ",$I36),CONCATENATE(VLOOKUP(H36,tabprt,2,0),")",$H36," ",$R36," ",$S36,"mm"," ","-"," ",$AY36," ",";"," ",$AZ36,"  ",$I36))))</f>
        <v xml:space="preserve">414)Rangka back panel Ply 18mm - Aica_1mk_Polos ; Melanor_1sisi_pjg  </v>
      </c>
      <c r="BC36" s="190"/>
      <c r="BD36" s="510">
        <f t="shared" si="12"/>
        <v>0</v>
      </c>
      <c r="BE36" s="510">
        <f t="shared" si="13"/>
        <v>0</v>
      </c>
      <c r="BF36" s="177">
        <f>IFERROR(INDEX((std_j_sikufr_prt),MATCH($H36,Prt,0)),"")*Q36</f>
        <v>0</v>
      </c>
      <c r="BG36" s="177">
        <f>IFERROR(INDEX((std_j_screwjf_prt),MATCH($H36,Prt,0)),"")*Q36</f>
        <v>0</v>
      </c>
      <c r="BH36" s="166">
        <f>IF($AM36=0,0,1)*Q36</f>
        <v>0</v>
      </c>
      <c r="BI36" s="474">
        <f>IF($AO36=0,0,IF(J36&lt;=fp,2,(ROUNDUP(J36/fp,0))))*Q36</f>
        <v>0</v>
      </c>
      <c r="BJ36" s="166">
        <f>IF($AN36=0,0,1)*Q36</f>
        <v>0</v>
      </c>
      <c r="BK36" s="474">
        <f t="shared" si="14"/>
        <v>4.9400000000000004</v>
      </c>
      <c r="BL36" s="474">
        <f t="shared" si="15"/>
        <v>0.19</v>
      </c>
      <c r="BM36" s="474">
        <f>IF(R36=0,0,((2*((J36+tol_p)+(L36+tol_p))*Q36)/1000))</f>
        <v>10.26</v>
      </c>
      <c r="BN36" s="166">
        <f>((J36*L36)/1000000)*Q36</f>
        <v>0.26729999999999998</v>
      </c>
      <c r="BO36" s="166" t="str">
        <f>CONCATENATE(R36,"_",S36)</f>
        <v>Ply_18</v>
      </c>
      <c r="BP36" s="204" t="str">
        <f>CONCATENATE(R36," ",S36," ",AY36)</f>
        <v>Ply 18 Aica_1mk_Polos</v>
      </c>
      <c r="BQ36" s="475">
        <f>((J36*L36*Q36)/(2400*1200))+10%</f>
        <v>0.1928125</v>
      </c>
      <c r="BR36" s="205">
        <f>IFERROR(INDEX((std_jml_anodize_per_uk),MATCH($H36,Prt,0)),"")</f>
        <v>0</v>
      </c>
      <c r="BS36" s="509">
        <f t="shared" si="16"/>
        <v>0</v>
      </c>
      <c r="BT36" s="509">
        <f t="shared" si="17"/>
        <v>0</v>
      </c>
      <c r="BU36" s="459">
        <f>BF36*$Q36</f>
        <v>0</v>
      </c>
      <c r="BV36" s="459">
        <f>BG36*$Q36</f>
        <v>0</v>
      </c>
      <c r="BW36" s="1">
        <f>+((J36*L36)*Q36)/1000000</f>
        <v>0.26729999999999998</v>
      </c>
      <c r="BX36" s="1">
        <f>+((J36*L36*N36)*Q36)/1000000000</f>
        <v>4.9450500000000003E-3</v>
      </c>
      <c r="BY36" s="546" t="str">
        <f t="shared" si="18"/>
        <v/>
      </c>
      <c r="BZ36" s="546">
        <f t="shared" si="19"/>
        <v>0.5</v>
      </c>
      <c r="CA36" s="546" t="str">
        <f t="shared" si="20"/>
        <v/>
      </c>
      <c r="CB36" s="546" t="str">
        <f t="shared" si="21"/>
        <v/>
      </c>
      <c r="CC36" s="728" t="str">
        <f>IFERROR((J36-CA36-CB36),"")</f>
        <v/>
      </c>
      <c r="CD36" s="728" t="str">
        <f>IFERROR((L36-BY36-BZ36),"")</f>
        <v/>
      </c>
      <c r="CE36" s="170" t="str">
        <f>IFERROR((CONCATENATE(CC36," ","x"," ",CD36," ","x"," ",N36)),"")</f>
        <v xml:space="preserve"> x  x 18,5</v>
      </c>
      <c r="CF36" t="str">
        <f>IF(F36=1,(CONCATENATE(J36,";",L36,";",Q36,";",BP36,";",N36,";",H36,";","-1",";",AF36,";",CA36,";",AG36,";",CB36,";",AD36,";",BY36,";",AE36,";",BZ36))," ")</f>
        <v>2430;55;2;Ply 18 Aica_1mk_Polos;18,5;Rangka back panel;-1; ;; ;; ;;Melanor;0,5</v>
      </c>
    </row>
    <row r="37" spans="1:84" customFormat="1">
      <c r="A37" s="701"/>
      <c r="B37" s="447"/>
      <c r="C37" s="161"/>
      <c r="D37" s="162"/>
      <c r="E37" s="1"/>
      <c r="F37" s="811"/>
      <c r="G37" s="440"/>
      <c r="H37" s="1"/>
      <c r="I37" s="55"/>
      <c r="J37" s="170"/>
      <c r="K37" s="1"/>
      <c r="L37" s="170"/>
      <c r="M37" s="1"/>
      <c r="N37" s="458"/>
      <c r="O37" s="170"/>
      <c r="P37" s="725"/>
      <c r="Q37" s="55"/>
      <c r="R37" s="177"/>
      <c r="S37" s="454"/>
      <c r="T37" s="178"/>
      <c r="U37" s="178"/>
      <c r="V37" s="179"/>
      <c r="W37" s="180"/>
      <c r="X37" s="179"/>
      <c r="Y37" s="180"/>
      <c r="Z37" s="178"/>
      <c r="AA37" s="178"/>
      <c r="AB37" s="178"/>
      <c r="AC37" s="178"/>
      <c r="AD37" s="182"/>
      <c r="AE37" s="182"/>
      <c r="AF37" s="182"/>
      <c r="AG37" s="182"/>
      <c r="AH37" s="401"/>
      <c r="AI37" s="401"/>
      <c r="AJ37" s="401"/>
      <c r="AK37" s="401"/>
      <c r="AL37" s="401"/>
      <c r="AM37" s="189"/>
      <c r="AN37" s="829"/>
      <c r="AO37" s="830"/>
      <c r="AP37" s="401"/>
      <c r="AQ37" s="401"/>
      <c r="AR37" s="401"/>
      <c r="AS37" s="401"/>
      <c r="AT37" s="403"/>
      <c r="AU37" s="403"/>
      <c r="AV37" s="170"/>
      <c r="AW37" s="166"/>
      <c r="AX37" s="166"/>
      <c r="AY37" s="189"/>
      <c r="AZ37" s="189"/>
      <c r="BA37" s="196"/>
      <c r="BB37" s="629"/>
      <c r="BC37" s="190"/>
      <c r="BD37" s="510"/>
      <c r="BE37" s="510"/>
      <c r="BF37" s="177"/>
      <c r="BG37" s="177"/>
      <c r="BH37" s="166"/>
      <c r="BI37" s="474"/>
      <c r="BJ37" s="166"/>
      <c r="BK37" s="474"/>
      <c r="BL37" s="474"/>
      <c r="BM37" s="474"/>
      <c r="BN37" s="166"/>
      <c r="BO37" s="166"/>
      <c r="BP37" s="204"/>
      <c r="BQ37" s="475"/>
      <c r="BR37" s="205"/>
      <c r="BS37" s="509"/>
      <c r="BT37" s="509"/>
      <c r="BU37" s="459"/>
      <c r="BV37" s="459"/>
      <c r="BW37" s="1"/>
      <c r="BX37" s="1"/>
      <c r="BY37" s="546"/>
      <c r="BZ37" s="546"/>
      <c r="CA37" s="546"/>
      <c r="CB37" s="546"/>
      <c r="CC37" s="728"/>
      <c r="CD37" s="728"/>
      <c r="CE37" s="170"/>
    </row>
    <row r="38" spans="1:84" customFormat="1">
      <c r="A38" s="701" t="str">
        <f>IFERROR(INDEX((ID),MATCH(H38,BARANG,0)),"…")</f>
        <v>…</v>
      </c>
      <c r="B38" s="447" t="str">
        <f t="shared" si="2"/>
        <v>pintu</v>
      </c>
      <c r="C38" s="161" t="s">
        <v>1472</v>
      </c>
      <c r="D38" s="162" t="str">
        <f>IFERROR(INDEX((KS),MATCH($H38,Prt,0)),"")</f>
        <v>KS</v>
      </c>
      <c r="E38" s="1" t="s">
        <v>2166</v>
      </c>
      <c r="F38" s="811">
        <f t="shared" si="3"/>
        <v>0</v>
      </c>
      <c r="G38" s="440" t="str">
        <f t="shared" si="4"/>
        <v>...</v>
      </c>
      <c r="H38" s="1" t="s">
        <v>1844</v>
      </c>
      <c r="I38" s="55"/>
      <c r="J38" s="170">
        <f>+ROUNDDOWN(L34-N36-N36,0)</f>
        <v>290</v>
      </c>
      <c r="K38" s="1" t="s">
        <v>2137</v>
      </c>
      <c r="L38" s="170">
        <v>100</v>
      </c>
      <c r="M38" s="1" t="s">
        <v>2137</v>
      </c>
      <c r="N38" s="458">
        <f>+(S38+W38+Y38)</f>
        <v>18</v>
      </c>
      <c r="O38" s="170" t="str">
        <f>CONCATENATE(J38," ",K38," ",L38," ",M38," ",N38)</f>
        <v>290 x 100 x 18</v>
      </c>
      <c r="P38" s="441">
        <v>4</v>
      </c>
      <c r="Q38" s="55">
        <f>+P38*Q34</f>
        <v>4</v>
      </c>
      <c r="R38" s="177" t="str">
        <f>IFERROR(INDEX((std_bhn_prt),MATCH($H38,Prt,0)),"")</f>
        <v>Ply</v>
      </c>
      <c r="S38" s="454">
        <f>IFERROR(INDEX((std_Tbahan_prt),MATCH($H38,Prt,0)),"")</f>
        <v>18</v>
      </c>
      <c r="T38" s="178">
        <f>INDEX((std_lapisan_luar_prt),MATCH($H38,Prt,0))</f>
        <v>0</v>
      </c>
      <c r="U38" s="178">
        <f>INDEX((std_lapisan_dalam_prt),MATCH($H38,Prt,0))</f>
        <v>0</v>
      </c>
      <c r="V38" s="179" t="str">
        <f>IFERROR(INDEX((tf),MATCH(T38,ctf,0)),"")</f>
        <v>Polos</v>
      </c>
      <c r="W38" s="180">
        <f>IFERROR(INDEX((tebal_lapisan),MATCH($V38,tf,0)),"")</f>
        <v>0</v>
      </c>
      <c r="X38" s="179" t="str">
        <f>IFERROR(INDEX((tf),MATCH(U38,ctf,0)),"")</f>
        <v>Polos</v>
      </c>
      <c r="Y38" s="180">
        <f>IFERROR(INDEX((tebal_lapisan),MATCH($X38,tf,0)),"")</f>
        <v>0</v>
      </c>
      <c r="Z38" s="178">
        <f>INDEX((std_edg_P1_prt),MATCH($H38,Prt,0))</f>
        <v>0</v>
      </c>
      <c r="AA38" s="178">
        <f>INDEX((std_edg_P2_prt),MATCH($H38,Prt,0))</f>
        <v>0</v>
      </c>
      <c r="AB38" s="178">
        <f>INDEX((std_edg_L1_prt),MATCH($H38,Prt,0))</f>
        <v>0</v>
      </c>
      <c r="AC38" s="178">
        <f>INDEX((std_edg_L2_prt),MATCH($H38,Prt,0))</f>
        <v>0</v>
      </c>
      <c r="AD38" s="182" t="str">
        <f>IF($B38="alu",(INDEX((Fr),MATCH(Z38,cfr,0))),INDEX((te),MATCH(Z38,cte,0)))</f>
        <v xml:space="preserve"> </v>
      </c>
      <c r="AE38" s="182" t="str">
        <f>IF($B38="alu",(INDEX((Fr),MATCH(AA38,cfr,0))),INDEX((te),MATCH(AA38,cte,0)))</f>
        <v xml:space="preserve"> </v>
      </c>
      <c r="AF38" s="182" t="str">
        <f>IF($B38="alu",(INDEX((Fr),MATCH(AB38,cfr,0))),INDEX((te),MATCH(AB38,cte,0)))</f>
        <v xml:space="preserve"> </v>
      </c>
      <c r="AG38" s="182" t="str">
        <f>IF($B38="alu",(INDEX((Fr),MATCH(AC38,cfr,0))),INDEX((te),MATCH(AC38,cte,0)))</f>
        <v xml:space="preserve"> </v>
      </c>
      <c r="AH38" s="401">
        <f>IFERROR(INDEX((std_profil3_prt),MATCH($H38,Prt,0)),"")</f>
        <v>0</v>
      </c>
      <c r="AI38" s="401">
        <f>IFERROR(INDEX((std_profil2_prt),MATCH($H38,Prt,0)),"")</f>
        <v>0</v>
      </c>
      <c r="AJ38" s="401">
        <f>IFERROR(INDEX((std_profil_prt),MATCH($H38,Prt,0)),"")</f>
        <v>0</v>
      </c>
      <c r="AK38" s="401">
        <f t="shared" si="6"/>
        <v>0</v>
      </c>
      <c r="AL38" s="401">
        <f t="shared" si="7"/>
        <v>0</v>
      </c>
      <c r="AM38" s="189"/>
      <c r="AN38" s="829">
        <f>IFERROR(INDEX((std_rel_prt),MATCH($H38,Prt,0)),"")</f>
        <v>0</v>
      </c>
      <c r="AO38" s="830">
        <f>IFERROR(INDEX((std_engsel_prt),MATCH($H38,Prt,0)),"")</f>
        <v>0</v>
      </c>
      <c r="AP38" s="401" t="str">
        <f t="shared" si="8"/>
        <v/>
      </c>
      <c r="AQ38" s="401" t="str">
        <f t="shared" si="9"/>
        <v/>
      </c>
      <c r="AR38" s="401" t="str">
        <f t="shared" si="10"/>
        <v/>
      </c>
      <c r="AS38" s="401">
        <f>IFERROR(INDEX((std_anodize_per_ukuran),MATCH($H38,Prt,0)),"")</f>
        <v>0</v>
      </c>
      <c r="AT38" s="403" t="str">
        <f>IF($AS38=edging7,L38,IF($AS38=edging8,L38,IF($AS38=edging9,L38,IF($AS38=Hand1,J37,IF($AS38=Hand2,L37,IF($AS38=hand3,"diisi manual",IF($AS38=hand4,"diisi manual",IF($AS38=hand5,"diisi manual",IF($AS38=mled02,J38,IF($AS38=mprf1,J38,IF($AS38=mlis1,J38,"")))))))))))</f>
        <v/>
      </c>
      <c r="AU38" s="403">
        <f>IF($AS38="","",Q38*BR38)</f>
        <v>0</v>
      </c>
      <c r="AV38" s="170"/>
      <c r="AW38" s="166" t="str">
        <f>CONCATENATE(VLOOKUP($V38,tabtf,2,0),VLOOKUP($X38,tabtf,2,0))</f>
        <v>33</v>
      </c>
      <c r="AX38" s="166" t="str">
        <f t="shared" si="11"/>
        <v>3333</v>
      </c>
      <c r="AY38" s="189" t="str">
        <f>IFERROR(VLOOKUP(AW38,descf,2,0),"")</f>
        <v>Polos</v>
      </c>
      <c r="AZ38" s="189" t="str">
        <f>IF($B38="alu",(VLOOKUP(AX38,descfr,2,0)),(VLOOKUP(AX38,desce,2,0)))</f>
        <v xml:space="preserve"> -</v>
      </c>
      <c r="BA38" s="196" t="str">
        <f>IF($R38=0,CONCATENATE(0,")"," ",$H38," ",$J38),CONCATENATE(VLOOKUP(H38,tabprt,2,0),")",$H38,"_",AY38))</f>
        <v>421)Braket miring_Polos</v>
      </c>
      <c r="BB38" s="629" t="str">
        <f>IF($B38="…",CONCATENATE(0,$E38,")"," ",$H38),IF($B38="kc",CONCATENATE(VLOOKUP(H38,tabprt,2,0),")",$H38," ",$R38," ",$S38,"mm"," ","-"," "," ",";"," ",$AZ38,"  ",$I38),IF($B38="alu",CONCATENATE(VLOOKUP(H38,tabprt,2,0),")",$H38," ",$R38," ",$S38,"mm"," ","-"," "," ",";"," ",$AZ38,"  ",$I38),CONCATENATE(VLOOKUP(H38,tabprt,2,0),")",$H38," ",$R38," ",$S38,"mm"," ","-"," ",$AY38," ",";"," ",$AZ38,"  ",$I38))))</f>
        <v xml:space="preserve">421)Braket miring Ply 18mm - Polos ;  -  </v>
      </c>
      <c r="BC38" s="190"/>
      <c r="BD38" s="510">
        <f t="shared" si="12"/>
        <v>0</v>
      </c>
      <c r="BE38" s="510">
        <f t="shared" si="13"/>
        <v>0</v>
      </c>
      <c r="BF38" s="177">
        <f>IFERROR(INDEX((std_j_sikufr_prt),MATCH($H38,Prt,0)),"")*Q38</f>
        <v>0</v>
      </c>
      <c r="BG38" s="177">
        <f>IFERROR(INDEX((std_j_screwjf_prt),MATCH($H38,Prt,0)),"")*Q38</f>
        <v>0</v>
      </c>
      <c r="BH38" s="166">
        <f>IF($AM38=0,0,1)*Q38</f>
        <v>0</v>
      </c>
      <c r="BI38" s="474">
        <f>IF($AO38=0,0,IF(J38&lt;=fp,2,(ROUNDUP(J38/fp,0))))*Q38</f>
        <v>0</v>
      </c>
      <c r="BJ38" s="166">
        <f>IF($AN38=0,0,1)*Q38</f>
        <v>0</v>
      </c>
      <c r="BK38" s="474">
        <f t="shared" si="14"/>
        <v>1.32</v>
      </c>
      <c r="BL38" s="474">
        <f t="shared" si="15"/>
        <v>0.56000000000000005</v>
      </c>
      <c r="BM38" s="474">
        <f>IF(R38=0,0,((2*((J38+tol_p)+(L38+tol_p))*Q38)/1000))</f>
        <v>3.76</v>
      </c>
      <c r="BN38" s="166">
        <f>((J38*L38)/1000000)*Q38</f>
        <v>0.11600000000000001</v>
      </c>
      <c r="BO38" s="166" t="str">
        <f>CONCATENATE(R38,"_",S38)</f>
        <v>Ply_18</v>
      </c>
      <c r="BP38" s="204" t="str">
        <f>CONCATENATE(R38," ",S38," ",AY38)</f>
        <v>Ply 18 Polos</v>
      </c>
      <c r="BQ38" s="475">
        <f>((J38*L38*Q38)/(2400*1200))+10%</f>
        <v>0.14027777777777778</v>
      </c>
      <c r="BR38" s="205">
        <f>IFERROR(INDEX((std_jml_anodize_per_uk),MATCH($H38,Prt,0)),"")</f>
        <v>0</v>
      </c>
      <c r="BS38" s="509">
        <f t="shared" si="16"/>
        <v>0</v>
      </c>
      <c r="BT38" s="509">
        <f t="shared" si="17"/>
        <v>0</v>
      </c>
      <c r="BU38" s="459">
        <f>BF38*$Q38</f>
        <v>0</v>
      </c>
      <c r="BV38" s="459">
        <f>BG38*$Q38</f>
        <v>0</v>
      </c>
      <c r="BW38" s="1">
        <f>+((J38*L38)*Q38)/1000000</f>
        <v>0.11600000000000001</v>
      </c>
      <c r="BX38" s="1">
        <f>+((J38*L38*N38)*Q38)/1000000000</f>
        <v>2.088E-3</v>
      </c>
      <c r="BY38" s="546" t="str">
        <f t="shared" si="18"/>
        <v/>
      </c>
      <c r="BZ38" s="546" t="str">
        <f t="shared" si="19"/>
        <v/>
      </c>
      <c r="CA38" s="546" t="str">
        <f t="shared" si="20"/>
        <v/>
      </c>
      <c r="CB38" s="546" t="str">
        <f t="shared" si="21"/>
        <v/>
      </c>
      <c r="CC38" s="728" t="str">
        <f>IFERROR((J38-CA38-CB38),"")</f>
        <v/>
      </c>
      <c r="CD38" s="728" t="str">
        <f>IFERROR((L38-BY38-BZ38),"")</f>
        <v/>
      </c>
      <c r="CE38" s="170" t="str">
        <f>IFERROR((CONCATENATE(CC38," ","x"," ",CD38," ","x"," ",N38)),"")</f>
        <v xml:space="preserve"> x  x 18</v>
      </c>
      <c r="CF38" t="str">
        <f>IF(F38=1,(CONCATENATE(J38,";",L38,";",Q38,";",BP38,";",N38,";",H38,";","-1",";",AF38,";",CA38,";",AG38,";",CB38,";",AD38,";",BY38,";",AE38,";",BZ38))," ")</f>
        <v xml:space="preserve"> </v>
      </c>
    </row>
    <row r="39" spans="1:84" customFormat="1">
      <c r="A39" s="701"/>
      <c r="B39" s="447"/>
      <c r="C39" s="161"/>
      <c r="D39" s="162"/>
      <c r="E39" s="1"/>
      <c r="F39" s="811"/>
      <c r="G39" s="440"/>
      <c r="H39" s="1"/>
      <c r="I39" s="55"/>
      <c r="J39" s="170"/>
      <c r="K39" s="1"/>
      <c r="L39" s="170"/>
      <c r="M39" s="1"/>
      <c r="N39" s="458"/>
      <c r="O39" s="170"/>
      <c r="P39" s="441"/>
      <c r="Q39" s="55"/>
      <c r="R39" s="177"/>
      <c r="S39" s="454"/>
      <c r="T39" s="178"/>
      <c r="U39" s="178"/>
      <c r="V39" s="179"/>
      <c r="W39" s="180"/>
      <c r="X39" s="179"/>
      <c r="Y39" s="180"/>
      <c r="Z39" s="178"/>
      <c r="AA39" s="178"/>
      <c r="AB39" s="178"/>
      <c r="AC39" s="178"/>
      <c r="AD39" s="182"/>
      <c r="AE39" s="182"/>
      <c r="AF39" s="182"/>
      <c r="AG39" s="182"/>
      <c r="AH39" s="401"/>
      <c r="AI39" s="401"/>
      <c r="AJ39" s="401"/>
      <c r="AK39" s="401"/>
      <c r="AL39" s="401"/>
      <c r="AM39" s="189"/>
      <c r="AN39" s="829"/>
      <c r="AO39" s="830"/>
      <c r="AP39" s="401"/>
      <c r="AQ39" s="401"/>
      <c r="AR39" s="401"/>
      <c r="AS39" s="401"/>
      <c r="AT39" s="403"/>
      <c r="AU39" s="403"/>
      <c r="AV39" s="170"/>
      <c r="AW39" s="166"/>
      <c r="AX39" s="166"/>
      <c r="AY39" s="189"/>
      <c r="AZ39" s="189"/>
      <c r="BA39" s="196"/>
      <c r="BB39" s="629"/>
      <c r="BC39" s="190"/>
      <c r="BD39" s="510"/>
      <c r="BE39" s="510"/>
      <c r="BF39" s="177"/>
      <c r="BG39" s="177"/>
      <c r="BH39" s="166"/>
      <c r="BI39" s="474"/>
      <c r="BJ39" s="166"/>
      <c r="BK39" s="474"/>
      <c r="BL39" s="474"/>
      <c r="BM39" s="474"/>
      <c r="BN39" s="166"/>
      <c r="BO39" s="166"/>
      <c r="BP39" s="204"/>
      <c r="BQ39" s="475"/>
      <c r="BR39" s="205"/>
      <c r="BS39" s="509"/>
      <c r="BT39" s="509"/>
      <c r="BU39" s="459"/>
      <c r="BV39" s="459"/>
      <c r="BW39" s="1"/>
      <c r="BX39" s="1"/>
      <c r="BY39" s="546"/>
      <c r="BZ39" s="546"/>
      <c r="CA39" s="546"/>
      <c r="CB39" s="546"/>
      <c r="CC39" s="728"/>
      <c r="CD39" s="728"/>
      <c r="CE39" s="170"/>
    </row>
    <row r="40" spans="1:84" customFormat="1">
      <c r="A40" s="701"/>
      <c r="B40" s="447"/>
      <c r="C40" s="161"/>
      <c r="D40" s="162"/>
      <c r="E40" s="1"/>
      <c r="F40" s="811"/>
      <c r="G40" s="440"/>
      <c r="H40" s="1"/>
      <c r="I40" s="55"/>
      <c r="J40" s="170"/>
      <c r="K40" s="1"/>
      <c r="L40" s="170"/>
      <c r="M40" s="1"/>
      <c r="N40" s="458"/>
      <c r="O40" s="170"/>
      <c r="P40" s="725"/>
      <c r="Q40" s="55"/>
      <c r="R40" s="177"/>
      <c r="S40" s="454"/>
      <c r="T40" s="178"/>
      <c r="U40" s="178"/>
      <c r="V40" s="179"/>
      <c r="W40" s="180"/>
      <c r="X40" s="179"/>
      <c r="Y40" s="180"/>
      <c r="Z40" s="178"/>
      <c r="AA40" s="178"/>
      <c r="AB40" s="178"/>
      <c r="AC40" s="178"/>
      <c r="AD40" s="182"/>
      <c r="AE40" s="182"/>
      <c r="AF40" s="182"/>
      <c r="AG40" s="182"/>
      <c r="AH40" s="401"/>
      <c r="AI40" s="401"/>
      <c r="AJ40" s="401"/>
      <c r="AK40" s="401"/>
      <c r="AL40" s="401"/>
      <c r="AM40" s="189"/>
      <c r="AN40" s="829"/>
      <c r="AO40" s="830"/>
      <c r="AP40" s="401"/>
      <c r="AQ40" s="401"/>
      <c r="AR40" s="401"/>
      <c r="AS40" s="401"/>
      <c r="AT40" s="403"/>
      <c r="AU40" s="403"/>
      <c r="AV40" s="170"/>
      <c r="AW40" s="166"/>
      <c r="AX40" s="166"/>
      <c r="AY40" s="189"/>
      <c r="AZ40" s="189"/>
      <c r="BA40" s="196"/>
      <c r="BB40" s="629"/>
      <c r="BC40" s="190"/>
      <c r="BD40" s="510"/>
      <c r="BE40" s="510"/>
      <c r="BF40" s="177"/>
      <c r="BG40" s="177"/>
      <c r="BH40" s="166"/>
      <c r="BI40" s="474"/>
      <c r="BJ40" s="166"/>
      <c r="BK40" s="474"/>
      <c r="BL40" s="474"/>
      <c r="BM40" s="474"/>
      <c r="BN40" s="166"/>
      <c r="BO40" s="166"/>
      <c r="BP40" s="204"/>
      <c r="BQ40" s="475"/>
      <c r="BR40" s="205"/>
      <c r="BS40" s="509"/>
      <c r="BT40" s="509"/>
      <c r="BU40" s="459"/>
      <c r="BV40" s="459"/>
      <c r="BW40" s="1"/>
      <c r="BX40" s="1"/>
      <c r="BY40" s="546"/>
      <c r="BZ40" s="546"/>
      <c r="CA40" s="546"/>
      <c r="CB40" s="546"/>
      <c r="CC40" s="728"/>
      <c r="CD40" s="728"/>
      <c r="CE40" s="170"/>
    </row>
    <row r="41" spans="1:84" customFormat="1">
      <c r="A41" s="701"/>
      <c r="B41" s="447"/>
      <c r="C41" s="161"/>
      <c r="D41" s="162"/>
      <c r="E41" s="1"/>
      <c r="F41" s="811"/>
      <c r="G41" s="440"/>
      <c r="H41" s="1"/>
      <c r="I41" s="55"/>
      <c r="J41" s="170"/>
      <c r="K41" s="1"/>
      <c r="L41" s="170"/>
      <c r="M41" s="1"/>
      <c r="N41" s="458"/>
      <c r="O41" s="170"/>
      <c r="P41" s="441"/>
      <c r="Q41" s="55"/>
      <c r="R41" s="177"/>
      <c r="S41" s="454"/>
      <c r="T41" s="178"/>
      <c r="U41" s="178"/>
      <c r="V41" s="179"/>
      <c r="W41" s="180"/>
      <c r="X41" s="179"/>
      <c r="Y41" s="180"/>
      <c r="Z41" s="178"/>
      <c r="AA41" s="178"/>
      <c r="AB41" s="178"/>
      <c r="AC41" s="178"/>
      <c r="AD41" s="182"/>
      <c r="AE41" s="182"/>
      <c r="AF41" s="182"/>
      <c r="AG41" s="182"/>
      <c r="AH41" s="401"/>
      <c r="AI41" s="401"/>
      <c r="AJ41" s="401"/>
      <c r="AK41" s="401"/>
      <c r="AL41" s="401"/>
      <c r="AM41" s="189"/>
      <c r="AN41" s="829"/>
      <c r="AO41" s="830"/>
      <c r="AP41" s="401"/>
      <c r="AQ41" s="401"/>
      <c r="AR41" s="401"/>
      <c r="AS41" s="401"/>
      <c r="AT41" s="403"/>
      <c r="AU41" s="403"/>
      <c r="AV41" s="170"/>
      <c r="AW41" s="166"/>
      <c r="AX41" s="166"/>
      <c r="AY41" s="189"/>
      <c r="AZ41" s="189"/>
      <c r="BA41" s="196"/>
      <c r="BB41" s="629"/>
      <c r="BC41" s="190"/>
      <c r="BD41" s="510"/>
      <c r="BE41" s="510"/>
      <c r="BF41" s="177"/>
      <c r="BG41" s="177"/>
      <c r="BH41" s="166"/>
      <c r="BI41" s="474"/>
      <c r="BJ41" s="166"/>
      <c r="BK41" s="474"/>
      <c r="BL41" s="474"/>
      <c r="BM41" s="474"/>
      <c r="BN41" s="166"/>
      <c r="BO41" s="166"/>
      <c r="BP41" s="204"/>
      <c r="BQ41" s="475"/>
      <c r="BR41" s="205"/>
      <c r="BS41" s="509"/>
      <c r="BT41" s="509"/>
      <c r="BU41" s="459"/>
      <c r="BV41" s="459"/>
      <c r="BW41" s="1"/>
      <c r="BX41" s="1"/>
      <c r="BY41" s="546"/>
      <c r="BZ41" s="546"/>
      <c r="CA41" s="546"/>
      <c r="CB41" s="546"/>
      <c r="CC41" s="728"/>
      <c r="CD41" s="728"/>
      <c r="CE41" s="170"/>
    </row>
    <row r="42" spans="1:84" customFormat="1">
      <c r="A42" s="701" t="str">
        <f>IFERROR(INDEX((ID),MATCH(H42,BARANG,0)),"…")</f>
        <v>…</v>
      </c>
      <c r="B42" s="447" t="str">
        <f>IFERROR(INDEX((cprt),MATCH($H42,Prt,0)),"…")</f>
        <v>pintu</v>
      </c>
      <c r="C42" s="161" t="s">
        <v>1472</v>
      </c>
      <c r="D42" s="162" t="str">
        <f>IFERROR(INDEX((KS),MATCH($H42,Prt,0)),"")</f>
        <v>KS</v>
      </c>
      <c r="E42" s="1" t="s">
        <v>2166</v>
      </c>
      <c r="F42" s="811">
        <f>IFERROR(INDEX((opt),MATCH($H42,Prt,0)),"")</f>
        <v>0</v>
      </c>
      <c r="G42" s="440" t="str">
        <f>IFERROR(INDEX((no_ref),MATCH($H42,ref,0)),"...")</f>
        <v>•••</v>
      </c>
      <c r="H42" s="1" t="s">
        <v>2535</v>
      </c>
      <c r="I42" s="55"/>
      <c r="J42" s="170">
        <v>2430</v>
      </c>
      <c r="K42" s="1" t="s">
        <v>2137</v>
      </c>
      <c r="L42" s="170">
        <v>100</v>
      </c>
      <c r="M42" s="1" t="s">
        <v>2137</v>
      </c>
      <c r="N42" s="458">
        <f>+(S42+W42+Y42)</f>
        <v>19</v>
      </c>
      <c r="O42" s="170" t="str">
        <f>CONCATENATE(J42," ",K42," ",L42," ",M42," ",N42)</f>
        <v>2430 x 100 x 19</v>
      </c>
      <c r="P42" s="441">
        <v>2</v>
      </c>
      <c r="Q42" s="55">
        <f>+P42</f>
        <v>2</v>
      </c>
      <c r="R42" s="177" t="str">
        <f>IFERROR(INDEX((std_bhn_prt),MATCH($H42,Prt,0)),"")</f>
        <v>Ply</v>
      </c>
      <c r="S42" s="454">
        <f>IFERROR(INDEX((std_Tbahan_prt),MATCH($H42,Prt,0)),"")</f>
        <v>18</v>
      </c>
      <c r="T42" s="178">
        <f>INDEX((std_lapisan_luar_prt),MATCH($H42,Prt,0))</f>
        <v>1</v>
      </c>
      <c r="U42" s="178">
        <f>INDEX((std_lapisan_dalam_prt),MATCH($H42,Prt,0))</f>
        <v>0</v>
      </c>
      <c r="V42" s="179" t="str">
        <f>IFERROR(INDEX((tf),MATCH(T42,ctf,0)),"")</f>
        <v>WY_5216_D(V)</v>
      </c>
      <c r="W42" s="180">
        <f>IFERROR(INDEX((tebal_lapisan),MATCH($V42,tf,0)),"")</f>
        <v>1</v>
      </c>
      <c r="X42" s="179" t="str">
        <f>IFERROR(INDEX((tf),MATCH(U42,ctf,0)),"")</f>
        <v>Polos</v>
      </c>
      <c r="Y42" s="180">
        <f>IFERROR(INDEX((tebal_lapisan),MATCH($X42,tf,0)),"")</f>
        <v>0</v>
      </c>
      <c r="Z42" s="178">
        <f>INDEX((std_edg_P1_prt),MATCH($H42,Prt,0))</f>
        <v>1</v>
      </c>
      <c r="AA42" s="178">
        <f>INDEX((std_edg_P2_prt),MATCH($H42,Prt,0))</f>
        <v>0</v>
      </c>
      <c r="AB42" s="178">
        <f>INDEX((std_edg_L1_prt),MATCH($H42,Prt,0))</f>
        <v>0</v>
      </c>
      <c r="AC42" s="178">
        <f>INDEX((std_edg_L2_prt),MATCH($H42,Prt,0))</f>
        <v>0</v>
      </c>
      <c r="AD42" s="182" t="str">
        <f t="shared" ref="AD42:AG43" si="23">IF($B42="alu",(INDEX((Fr),MATCH(Z42,cfr,0))),INDEX((te),MATCH(Z42,cte,0)))</f>
        <v>Edg_EAW_5216D1</v>
      </c>
      <c r="AE42" s="182" t="str">
        <f t="shared" si="23"/>
        <v xml:space="preserve"> </v>
      </c>
      <c r="AF42" s="182" t="str">
        <f t="shared" si="23"/>
        <v xml:space="preserve"> </v>
      </c>
      <c r="AG42" s="182" t="str">
        <f t="shared" si="23"/>
        <v xml:space="preserve"> </v>
      </c>
      <c r="AH42" s="401">
        <f>IFERROR(INDEX((std_profil3_prt),MATCH($H42,Prt,0)),"")</f>
        <v>0</v>
      </c>
      <c r="AI42" s="401">
        <f>IFERROR(INDEX((std_profil2_prt),MATCH($H42,Prt,0)),"")</f>
        <v>0</v>
      </c>
      <c r="AJ42" s="401">
        <f>IFERROR(INDEX((std_profil_prt),MATCH($H42,Prt,0)),"")</f>
        <v>0</v>
      </c>
      <c r="AK42" s="401">
        <f>IFERROR(INDEX((std_siku_prt),MATCH($H42,Prt,0)),"")</f>
        <v>0</v>
      </c>
      <c r="AL42" s="401">
        <f>IFERROR(INDEX((std_screw_prt),MATCH($H42,Prt,0)),"")</f>
        <v>0</v>
      </c>
      <c r="AM42" s="189"/>
      <c r="AN42" s="829">
        <f>IFERROR(INDEX((std_rel_prt),MATCH($H42,Prt,0)),"")</f>
        <v>0</v>
      </c>
      <c r="AO42" s="830">
        <f>IFERROR(INDEX((std_engsel_prt),MATCH($H42,Prt,0)),"")</f>
        <v>0</v>
      </c>
      <c r="AP42" s="401" t="str">
        <f>IFERROR(INDEX((std_anodizev_proses),MATCH($I42,pk,0)),"")</f>
        <v/>
      </c>
      <c r="AQ42" s="401" t="str">
        <f>IFERROR(INDEX((std_anodizev2_proses),MATCH($I42,pk,0)),"")</f>
        <v/>
      </c>
      <c r="AR42" s="401" t="str">
        <f>IFERROR(INDEX((std_anodizeh_proses),MATCH($I42,pk,0)),"")</f>
        <v/>
      </c>
      <c r="AS42" s="401">
        <f>IFERROR(INDEX((std_anodize_per_ukuran),MATCH($H42,Prt,0)),"")</f>
        <v>0</v>
      </c>
      <c r="AT42" s="403" t="str">
        <f>IF($AS42=edging7,L42,IF($AS42=edging8,L42,IF($AS42=edging9,L42,IF($AS42=Hand1,J41,IF($AS42=Hand2,L41,IF($AS42=hand3,"diisi manual",IF($AS42=hand4,"diisi manual",IF($AS42=hand5,"diisi manual",IF($AS42=mled02,J42,IF($AS42=mprf1,J42,IF($AS42=mlis1,J42,"")))))))))))</f>
        <v/>
      </c>
      <c r="AU42" s="403">
        <f>IF($AS42="","",Q42*BR42)</f>
        <v>0</v>
      </c>
      <c r="AV42" s="170"/>
      <c r="AW42" s="166" t="str">
        <f>CONCATENATE(VLOOKUP($V42,tabtf,2,0),VLOOKUP($X42,tabtf,2,0))</f>
        <v>13</v>
      </c>
      <c r="AX42" s="166" t="str">
        <f>IF($B42="alu",(CONCATENATE(VLOOKUP($AD42,tabfr,2,0),VLOOKUP($AE42,tabfr,2,0),VLOOKUP($AF42,tabfr,2,0),VLOOKUP($AG42,tabfr,2,0))),(CONCATENATE(VLOOKUP($AD42,tabte,2,0),VLOOKUP($AE42,tabte,2,0),VLOOKUP($AF42,tabte,2,0),VLOOKUP($AG42,tabte,2,0))))</f>
        <v>4333</v>
      </c>
      <c r="AY42" s="189" t="str">
        <f>IFERROR(VLOOKUP(AW42,descf,2,0),"")</f>
        <v>WY_5216_D(V)_1mk_Polos</v>
      </c>
      <c r="AZ42" s="189" t="str">
        <f>IF($B42="alu",(VLOOKUP(AX42,descfr,2,0)),(VLOOKUP(AX42,desce,2,0)))</f>
        <v>Edg_EAW_5216D1_1sisi_pjg</v>
      </c>
      <c r="BA42" s="196" t="str">
        <f>IF($R42=0,CONCATENATE(0,")"," ",$H42," ",$J42),CONCATENATE(VLOOKUP(H42,tabprt,2,0),")",$H42,"_",AY42))</f>
        <v>462)Plinth/Uppertop_WY_5216_D(V)_1mk_Polos</v>
      </c>
      <c r="BB42" s="629" t="str">
        <f>IF($B42="…",CONCATENATE(0,$E42,")"," ",$H42),IF($B42="kc",CONCATENATE(VLOOKUP(H42,tabprt,2,0),")",$H42," ",$R42," ",$S42,"mm"," ","-"," "," ",";"," ",$AZ42,"  ",$I42),IF($B42="alu",CONCATENATE(VLOOKUP(H42,tabprt,2,0),")",$H42," ",$R42," ",$S42,"mm"," ","-"," "," ",";"," ",$AZ42,"  ",$I42),CONCATENATE(VLOOKUP(H42,tabprt,2,0),")",$H42," ",$R42," ",$S42,"mm"," ","-"," ",$AY42," ",";"," ",$AZ42,"  ",$I42))))</f>
        <v xml:space="preserve">462)Plinth/Uppertop Ply 18mm - WY_5216_D(V)_1mk_Polos ; Edg_EAW_5216D1_1sisi_pjg  </v>
      </c>
      <c r="BC42" s="190"/>
      <c r="BD42" s="510">
        <f>IFERROR(INDEX((std_minifix_prt),MATCH($H42,Prt,0)),"")</f>
        <v>0</v>
      </c>
      <c r="BE42" s="510">
        <f>IFERROR(INDEX((std_dowel_prt),MATCH($H42,Prt,0)),"")</f>
        <v>0</v>
      </c>
      <c r="BF42" s="177">
        <f>IFERROR(INDEX((std_j_sikufr_prt),MATCH($H42,Prt,0)),"")*Q42</f>
        <v>0</v>
      </c>
      <c r="BG42" s="177">
        <f>IFERROR(INDEX((std_j_screwjf_prt),MATCH($H42,Prt,0)),"")*Q42</f>
        <v>0</v>
      </c>
      <c r="BH42" s="166">
        <f>IF($AM42=0,0,1)*Q42</f>
        <v>0</v>
      </c>
      <c r="BI42" s="474">
        <f>IF($AO42=0,0,IF(J42&lt;=fp,2,(ROUNDUP(J42/fp,0))))*Q42</f>
        <v>0</v>
      </c>
      <c r="BJ42" s="166">
        <f>IF($AN42=0,0,1)*Q42</f>
        <v>0</v>
      </c>
      <c r="BK42" s="474">
        <f>(($J42+tol_p)*$Q42)/1000</f>
        <v>4.9400000000000004</v>
      </c>
      <c r="BL42" s="474">
        <f>(($L42+tol_p)*$Q42)/1000</f>
        <v>0.28000000000000003</v>
      </c>
      <c r="BM42" s="474">
        <f>IF(R42=0,0,((2*((J42+tol_p)+(L42+tol_p))*Q42)/1000))</f>
        <v>10.44</v>
      </c>
      <c r="BN42" s="166">
        <f>((J42*L42)/1000000)*Q42</f>
        <v>0.48599999999999999</v>
      </c>
      <c r="BO42" s="166" t="str">
        <f>CONCATENATE(R42,"_",S42)</f>
        <v>Ply_18</v>
      </c>
      <c r="BP42" s="204" t="str">
        <f>CONCATENATE(R42," ",S42," ",AY42)</f>
        <v>Ply 18 WY_5216_D(V)_1mk_Polos</v>
      </c>
      <c r="BQ42" s="475">
        <f>((J42*L42*Q42)/(2400*1200))+10%</f>
        <v>0.26875000000000004</v>
      </c>
      <c r="BR42" s="205">
        <f>IFERROR(INDEX((std_jml_anodize_per_uk),MATCH($H42,Prt,0)),"")</f>
        <v>0</v>
      </c>
      <c r="BS42" s="509">
        <f>IF($BD42=0,0,IF($L42&lt;150,2,((ROUNDUP($L42/fm,0)*2))))*$Q42</f>
        <v>0</v>
      </c>
      <c r="BT42" s="509">
        <f>IF($BE42=0,0,IF($L42&lt;150,2,((ROUNDUP($L42/fd,0)*2))))*$Q42</f>
        <v>0</v>
      </c>
      <c r="BU42" s="459">
        <f>BF42*$Q42</f>
        <v>0</v>
      </c>
      <c r="BV42" s="459">
        <f>BG42*$Q42</f>
        <v>0</v>
      </c>
      <c r="BW42" s="1">
        <f>+((J42*L42)*Q42)/1000000</f>
        <v>0.48599999999999999</v>
      </c>
      <c r="BX42" s="1">
        <f>+((J42*L42*N42)*Q42)/1000000000</f>
        <v>9.2339999999999992E-3</v>
      </c>
      <c r="BY42" s="546" t="str">
        <f>IFERROR(INDEX((tbl_edg),MATCH($AD42,Edg,0)),"")</f>
        <v/>
      </c>
      <c r="BZ42" s="546" t="str">
        <f>IFERROR(INDEX((tbl_edg),MATCH($AE42,Edg,0)),"")</f>
        <v/>
      </c>
      <c r="CA42" s="546" t="str">
        <f>IFERROR(INDEX((tbl_edg),MATCH($AF42,Edg,0)),"")</f>
        <v/>
      </c>
      <c r="CB42" s="546" t="str">
        <f>IFERROR(INDEX((tbl_edg),MATCH($AG42,Edg,0)),"")</f>
        <v/>
      </c>
      <c r="CC42" s="728" t="str">
        <f>IFERROR((J42-CA42-CB42),"")</f>
        <v/>
      </c>
      <c r="CD42" s="728" t="str">
        <f>IFERROR((L42-BY42-BZ42),"")</f>
        <v/>
      </c>
      <c r="CE42" s="170" t="str">
        <f>IFERROR((CONCATENATE(CC42," ","x"," ",CD42," ","x"," ",N42)),"")</f>
        <v xml:space="preserve"> x  x 19</v>
      </c>
      <c r="CF42" t="str">
        <f>IF(F42=1,(CONCATENATE(J42,";",L42,";",Q42,";",BP42,";",N42,";",H42,";","-1",";",AF42,";",CA42,";",AG42,";",CB42,";",AD42,";",BY42,";",AE42,";",BZ42))," ")</f>
        <v xml:space="preserve"> </v>
      </c>
    </row>
    <row r="43" spans="1:84" customFormat="1">
      <c r="A43" s="701" t="str">
        <f>IFERROR(INDEX((ID),MATCH(H43,BARANG,0)),"…")</f>
        <v>…</v>
      </c>
      <c r="B43" s="447" t="str">
        <f>IFERROR(INDEX((cprt),MATCH($H43,Prt,0)),"…")</f>
        <v>pintu</v>
      </c>
      <c r="C43" s="161" t="s">
        <v>1472</v>
      </c>
      <c r="D43" s="162" t="str">
        <f>IFERROR(INDEX((KS),MATCH($H43,Prt,0)),"")</f>
        <v>KS</v>
      </c>
      <c r="E43" s="1" t="s">
        <v>2166</v>
      </c>
      <c r="F43" s="811">
        <f>IFERROR(INDEX((opt),MATCH($H43,Prt,0)),"")</f>
        <v>0</v>
      </c>
      <c r="G43" s="440" t="str">
        <f>IFERROR(INDEX((no_ref),MATCH($H43,ref,0)),"...")</f>
        <v>•••</v>
      </c>
      <c r="H43" s="1" t="s">
        <v>1617</v>
      </c>
      <c r="I43" s="55"/>
      <c r="J43" s="170">
        <v>2430</v>
      </c>
      <c r="K43" s="1" t="s">
        <v>2137</v>
      </c>
      <c r="L43" s="170">
        <v>70</v>
      </c>
      <c r="M43" s="1" t="s">
        <v>2137</v>
      </c>
      <c r="N43" s="458">
        <f>+(S43+W43+Y43)</f>
        <v>19</v>
      </c>
      <c r="O43" s="170" t="str">
        <f>CONCATENATE(J43," ",K43," ",L43," ",M43," ",N43)</f>
        <v>2430 x 70 x 19</v>
      </c>
      <c r="P43" s="441">
        <v>4</v>
      </c>
      <c r="Q43" s="55">
        <f>+P43</f>
        <v>4</v>
      </c>
      <c r="R43" s="177" t="str">
        <f>IFERROR(INDEX((std_bhn_prt),MATCH($H43,Prt,0)),"")</f>
        <v>Ply</v>
      </c>
      <c r="S43" s="454">
        <f>IFERROR(INDEX((std_Tbahan_prt),MATCH($H43,Prt,0)),"")</f>
        <v>18</v>
      </c>
      <c r="T43" s="178">
        <f>INDEX((std_lapisan_luar_prt),MATCH($H43,Prt,0))</f>
        <v>1</v>
      </c>
      <c r="U43" s="178">
        <f>INDEX((std_lapisan_dalam_prt),MATCH($H43,Prt,0))</f>
        <v>0</v>
      </c>
      <c r="V43" s="179" t="str">
        <f>IFERROR(INDEX((tf),MATCH(T43,ctf,0)),"")</f>
        <v>WY_5216_D(V)</v>
      </c>
      <c r="W43" s="180">
        <f>IFERROR(INDEX((tebal_lapisan),MATCH($V43,tf,0)),"")</f>
        <v>1</v>
      </c>
      <c r="X43" s="179" t="str">
        <f>IFERROR(INDEX((tf),MATCH(U43,ctf,0)),"")</f>
        <v>Polos</v>
      </c>
      <c r="Y43" s="180">
        <f>IFERROR(INDEX((tebal_lapisan),MATCH($X43,tf,0)),"")</f>
        <v>0</v>
      </c>
      <c r="Z43" s="178">
        <f>INDEX((std_edg_P1_prt),MATCH($H43,Prt,0))</f>
        <v>0</v>
      </c>
      <c r="AA43" s="178">
        <f>INDEX((std_edg_P2_prt),MATCH($H43,Prt,0))</f>
        <v>0</v>
      </c>
      <c r="AB43" s="178">
        <f>INDEX((std_edg_L1_prt),MATCH($H43,Prt,0))</f>
        <v>0</v>
      </c>
      <c r="AC43" s="178">
        <f>INDEX((std_edg_L2_prt),MATCH($H43,Prt,0))</f>
        <v>0</v>
      </c>
      <c r="AD43" s="182" t="str">
        <f t="shared" si="23"/>
        <v xml:space="preserve"> </v>
      </c>
      <c r="AE43" s="182" t="str">
        <f t="shared" si="23"/>
        <v xml:space="preserve"> </v>
      </c>
      <c r="AF43" s="182" t="str">
        <f t="shared" si="23"/>
        <v xml:space="preserve"> </v>
      </c>
      <c r="AG43" s="182" t="str">
        <f t="shared" si="23"/>
        <v xml:space="preserve"> </v>
      </c>
      <c r="AH43" s="401">
        <f>IFERROR(INDEX((std_profil3_prt),MATCH($H43,Prt,0)),"")</f>
        <v>0</v>
      </c>
      <c r="AI43" s="401">
        <f>IFERROR(INDEX((std_profil2_prt),MATCH($H43,Prt,0)),"")</f>
        <v>0</v>
      </c>
      <c r="AJ43" s="401">
        <f>IFERROR(INDEX((std_profil_prt),MATCH($H43,Prt,0)),"")</f>
        <v>0</v>
      </c>
      <c r="AK43" s="401">
        <f>IFERROR(INDEX((std_siku_prt),MATCH($H43,Prt,0)),"")</f>
        <v>0</v>
      </c>
      <c r="AL43" s="401">
        <f>IFERROR(INDEX((std_screw_prt),MATCH($H43,Prt,0)),"")</f>
        <v>0</v>
      </c>
      <c r="AM43" s="189"/>
      <c r="AN43" s="829">
        <f>IFERROR(INDEX((std_rel_prt),MATCH($H43,Prt,0)),"")</f>
        <v>0</v>
      </c>
      <c r="AO43" s="830">
        <f>IFERROR(INDEX((std_engsel_prt),MATCH($H43,Prt,0)),"")</f>
        <v>0</v>
      </c>
      <c r="AP43" s="401" t="str">
        <f>IFERROR(INDEX((std_anodizev_proses),MATCH($I43,pk,0)),"")</f>
        <v/>
      </c>
      <c r="AQ43" s="401" t="str">
        <f>IFERROR(INDEX((std_anodizev2_proses),MATCH($I43,pk,0)),"")</f>
        <v/>
      </c>
      <c r="AR43" s="401" t="str">
        <f>IFERROR(INDEX((std_anodizeh_proses),MATCH($I43,pk,0)),"")</f>
        <v/>
      </c>
      <c r="AS43" s="401">
        <f>IFERROR(INDEX((std_anodize_per_ukuran),MATCH($H43,Prt,0)),"")</f>
        <v>0</v>
      </c>
      <c r="AT43" s="403" t="str">
        <f>IF($AS43=edging7,L43,IF($AS43=edging8,L43,IF($AS43=edging9,L43,IF($AS43=Hand1,J42,IF($AS43=Hand2,L42,IF($AS43=hand3,"diisi manual",IF($AS43=hand4,"diisi manual",IF($AS43=hand5,"diisi manual",IF($AS43=mled02,J43,IF($AS43=mprf1,J43,IF($AS43=mlis1,J43,"")))))))))))</f>
        <v/>
      </c>
      <c r="AU43" s="403">
        <f>IF($AS43="","",Q43*BR43)</f>
        <v>0</v>
      </c>
      <c r="AV43" s="170"/>
      <c r="AW43" s="166" t="str">
        <f>CONCATENATE(VLOOKUP($V43,tabtf,2,0),VLOOKUP($X43,tabtf,2,0))</f>
        <v>13</v>
      </c>
      <c r="AX43" s="166" t="str">
        <f>IF($B43="alu",(CONCATENATE(VLOOKUP($AD43,tabfr,2,0),VLOOKUP($AE43,tabfr,2,0),VLOOKUP($AF43,tabfr,2,0),VLOOKUP($AG43,tabfr,2,0))),(CONCATENATE(VLOOKUP($AD43,tabte,2,0),VLOOKUP($AE43,tabte,2,0),VLOOKUP($AF43,tabte,2,0),VLOOKUP($AG43,tabte,2,0))))</f>
        <v>3333</v>
      </c>
      <c r="AY43" s="189" t="str">
        <f>IFERROR(VLOOKUP(AW43,descf,2,0),"")</f>
        <v>WY_5216_D(V)_1mk_Polos</v>
      </c>
      <c r="AZ43" s="189" t="str">
        <f>IF($B43="alu",(VLOOKUP(AX43,descfr,2,0)),(VLOOKUP(AX43,desce,2,0)))</f>
        <v xml:space="preserve"> -</v>
      </c>
      <c r="BA43" s="196" t="str">
        <f>IF($R43=0,CONCATENATE(0,")"," ",$H43," ",$J43),CONCATENATE(VLOOKUP(H43,tabprt,2,0),")",$H43,"_",AY43))</f>
        <v>435)Dummies_WY_5216_D(V)_1mk_Polos</v>
      </c>
      <c r="BB43" s="629" t="str">
        <f>IF($B43="…",CONCATENATE(0,$E43,")"," ",$H43),IF($B43="kc",CONCATENATE(VLOOKUP(H43,tabprt,2,0),")",$H43," ",$R43," ",$S43,"mm"," ","-"," "," ",";"," ",$AZ43,"  ",$I43),IF($B43="alu",CONCATENATE(VLOOKUP(H43,tabprt,2,0),")",$H43," ",$R43," ",$S43,"mm"," ","-"," "," ",";"," ",$AZ43,"  ",$I43),CONCATENATE(VLOOKUP(H43,tabprt,2,0),")",$H43," ",$R43," ",$S43,"mm"," ","-"," ",$AY43," ",";"," ",$AZ43,"  ",$I43))))</f>
        <v xml:space="preserve">435)Dummies Ply 18mm - WY_5216_D(V)_1mk_Polos ;  -  </v>
      </c>
      <c r="BC43" s="190"/>
      <c r="BD43" s="510">
        <f>IFERROR(INDEX((std_minifix_prt),MATCH($H43,Prt,0)),"")</f>
        <v>0</v>
      </c>
      <c r="BE43" s="510">
        <f>IFERROR(INDEX((std_dowel_prt),MATCH($H43,Prt,0)),"")</f>
        <v>0</v>
      </c>
      <c r="BF43" s="177">
        <f>IFERROR(INDEX((std_j_sikufr_prt),MATCH($H43,Prt,0)),"")*Q43</f>
        <v>0</v>
      </c>
      <c r="BG43" s="177">
        <f>IFERROR(INDEX((std_j_screwjf_prt),MATCH($H43,Prt,0)),"")*Q43</f>
        <v>0</v>
      </c>
      <c r="BH43" s="166">
        <f>IF($AM43=0,0,1)*Q43</f>
        <v>0</v>
      </c>
      <c r="BI43" s="474">
        <f>IF($AO43=0,0,IF(J43&lt;=fp,2,(ROUNDUP(J43/fp,0))))*Q43</f>
        <v>0</v>
      </c>
      <c r="BJ43" s="166">
        <f>IF($AN43=0,0,1)*Q43</f>
        <v>0</v>
      </c>
      <c r="BK43" s="474">
        <f>(($J43+tol_p)*$Q43)/1000</f>
        <v>9.8800000000000008</v>
      </c>
      <c r="BL43" s="474">
        <f>(($L43+tol_p)*$Q43)/1000</f>
        <v>0.44</v>
      </c>
      <c r="BM43" s="474">
        <f>IF(R43=0,0,((2*((J43+tol_p)+(L43+tol_p))*Q43)/1000))</f>
        <v>20.64</v>
      </c>
      <c r="BN43" s="166">
        <f>((J43*L43)/1000000)*Q43</f>
        <v>0.6804</v>
      </c>
      <c r="BO43" s="166" t="str">
        <f>CONCATENATE(R43,"_",S43)</f>
        <v>Ply_18</v>
      </c>
      <c r="BP43" s="204" t="str">
        <f>CONCATENATE(R43," ",S43," ",AY43)</f>
        <v>Ply 18 WY_5216_D(V)_1mk_Polos</v>
      </c>
      <c r="BQ43" s="475">
        <f>((J43*L43*Q43)/(2400*1200))+10%</f>
        <v>0.33624999999999999</v>
      </c>
      <c r="BR43" s="205">
        <f>IFERROR(INDEX((std_jml_anodize_per_uk),MATCH($H43,Prt,0)),"")</f>
        <v>0</v>
      </c>
      <c r="BS43" s="509">
        <f>IF($BD43=0,0,IF($L43&lt;150,2,((ROUNDUP($L43/fm,0)*2))))*$Q43</f>
        <v>0</v>
      </c>
      <c r="BT43" s="509">
        <f>IF($BE43=0,0,IF($L43&lt;150,2,((ROUNDUP($L43/fd,0)*2))))*$Q43</f>
        <v>0</v>
      </c>
      <c r="BU43" s="459">
        <f>BF43*$Q43</f>
        <v>0</v>
      </c>
      <c r="BV43" s="459">
        <f>BG43*$Q43</f>
        <v>0</v>
      </c>
      <c r="BW43" s="1">
        <f>+((J43*L43)*Q43)/1000000</f>
        <v>0.6804</v>
      </c>
      <c r="BX43" s="1">
        <f>+((J43*L43*N43)*Q43)/1000000000</f>
        <v>1.2927599999999999E-2</v>
      </c>
      <c r="BY43" s="546" t="str">
        <f>IFERROR(INDEX((tbl_edg),MATCH($AD43,Edg,0)),"")</f>
        <v/>
      </c>
      <c r="BZ43" s="546" t="str">
        <f>IFERROR(INDEX((tbl_edg),MATCH($AE43,Edg,0)),"")</f>
        <v/>
      </c>
      <c r="CA43" s="546" t="str">
        <f>IFERROR(INDEX((tbl_edg),MATCH($AF43,Edg,0)),"")</f>
        <v/>
      </c>
      <c r="CB43" s="546" t="str">
        <f>IFERROR(INDEX((tbl_edg),MATCH($AG43,Edg,0)),"")</f>
        <v/>
      </c>
      <c r="CC43" s="728" t="str">
        <f>IFERROR((J43-CA43-CB43),"")</f>
        <v/>
      </c>
      <c r="CD43" s="728" t="str">
        <f>IFERROR((L43-BY43-BZ43),"")</f>
        <v/>
      </c>
      <c r="CE43" s="170" t="str">
        <f>IFERROR((CONCATENATE(CC43," ","x"," ",CD43," ","x"," ",N43)),"")</f>
        <v xml:space="preserve"> x  x 19</v>
      </c>
      <c r="CF43" t="str">
        <f>IF(F43=1,(CONCATENATE(J43,";",L43,";",Q43,";",BP43,";",N43,";",H43,";","-1",";",AF43,";",CA43,";",AG43,";",CB43,";",AD43,";",BY43,";",AE43,";",BZ43))," ")</f>
        <v xml:space="preserve"> </v>
      </c>
    </row>
    <row r="44" spans="1:84">
      <c r="A44" s="701"/>
      <c r="B44" s="447"/>
      <c r="C44" s="161"/>
      <c r="D44" s="162"/>
      <c r="E44" s="1"/>
      <c r="F44" s="811"/>
      <c r="G44" s="440"/>
      <c r="H44" s="1"/>
      <c r="I44" s="55"/>
      <c r="J44" s="170"/>
      <c r="K44" s="1"/>
      <c r="L44" s="170"/>
      <c r="M44" s="1"/>
      <c r="N44" s="458"/>
      <c r="O44" s="170"/>
      <c r="P44" s="441"/>
      <c r="Q44" s="55"/>
      <c r="R44" s="177"/>
      <c r="S44" s="454"/>
      <c r="T44" s="178"/>
      <c r="U44" s="178"/>
      <c r="V44" s="179"/>
      <c r="W44" s="180"/>
      <c r="X44" s="179"/>
      <c r="Y44" s="180"/>
      <c r="Z44" s="178"/>
      <c r="AA44" s="178"/>
      <c r="AB44" s="178"/>
      <c r="AC44" s="178"/>
      <c r="AD44" s="182"/>
      <c r="AE44" s="182"/>
      <c r="AF44" s="182"/>
      <c r="AG44" s="182"/>
      <c r="AH44" s="401"/>
      <c r="AI44" s="401"/>
      <c r="AJ44" s="401"/>
      <c r="AK44" s="401"/>
      <c r="AL44" s="401"/>
      <c r="AM44" s="189"/>
      <c r="AN44" s="829"/>
      <c r="AO44" s="830"/>
      <c r="AP44" s="401"/>
      <c r="AQ44" s="401"/>
      <c r="AR44" s="401"/>
      <c r="AS44" s="401"/>
      <c r="AT44" s="403"/>
      <c r="AU44" s="403"/>
      <c r="AV44" s="170"/>
      <c r="AW44" s="166"/>
      <c r="AX44" s="166"/>
      <c r="AY44" s="189"/>
      <c r="AZ44" s="189"/>
      <c r="BA44" s="196"/>
      <c r="BB44" s="629"/>
      <c r="BC44" s="190"/>
      <c r="BD44" s="510"/>
      <c r="BE44" s="510"/>
      <c r="BF44" s="177"/>
      <c r="BG44" s="177"/>
      <c r="BH44" s="166"/>
      <c r="BI44" s="474"/>
      <c r="BJ44" s="166"/>
      <c r="BK44" s="474"/>
      <c r="BL44" s="474"/>
      <c r="BM44" s="474"/>
      <c r="BN44" s="166"/>
      <c r="BO44" s="166"/>
      <c r="BP44" s="204"/>
      <c r="BQ44" s="475"/>
      <c r="BR44" s="205"/>
      <c r="BS44" s="509"/>
      <c r="BT44" s="509"/>
      <c r="BU44" s="459"/>
      <c r="BV44" s="459"/>
      <c r="BW44" s="1"/>
      <c r="BX44" s="1"/>
      <c r="BY44" s="1"/>
      <c r="BZ44" s="1"/>
      <c r="CE44" s="170"/>
      <c r="CF44"/>
    </row>
    <row r="45" spans="1:84" customFormat="1">
      <c r="A45" s="701" t="str">
        <f>IFERROR(INDEX((ID),MATCH(H45,BARANG,0)),"…")</f>
        <v>…</v>
      </c>
      <c r="B45" s="447" t="str">
        <f>IFERROR(INDEX((cprt),MATCH($H45,Prt,0)),"…")</f>
        <v>pintu</v>
      </c>
      <c r="C45" s="161" t="s">
        <v>1472</v>
      </c>
      <c r="D45" s="162" t="str">
        <f>IFERROR(INDEX((KS),MATCH($H45,Prt,0)),"")</f>
        <v>─</v>
      </c>
      <c r="E45" s="1" t="s">
        <v>2166</v>
      </c>
      <c r="F45" s="811">
        <f>IFERROR(INDEX((opt),MATCH($H45,Prt,0)),"")</f>
        <v>0</v>
      </c>
      <c r="G45" s="440" t="str">
        <f>IFERROR(INDEX((no_ref),MATCH($H45,ref,0)),"...")</f>
        <v>••</v>
      </c>
      <c r="H45" s="1" t="s">
        <v>1606</v>
      </c>
      <c r="I45" s="55"/>
      <c r="J45" s="170">
        <v>1004</v>
      </c>
      <c r="K45" s="1" t="s">
        <v>2137</v>
      </c>
      <c r="L45" s="170">
        <v>550</v>
      </c>
      <c r="M45" s="1" t="s">
        <v>2137</v>
      </c>
      <c r="N45" s="458">
        <f>+(S45+W45+Y45)</f>
        <v>19</v>
      </c>
      <c r="O45" s="170" t="str">
        <f>CONCATENATE(J45," ",K45," ",L45," ",M45," ",N45)</f>
        <v>1004 x 550 x 19</v>
      </c>
      <c r="P45" s="441">
        <v>1</v>
      </c>
      <c r="Q45" s="55">
        <f>+P45</f>
        <v>1</v>
      </c>
      <c r="R45" s="177" t="str">
        <f>IFERROR(INDEX((std_bhn_prt),MATCH($H45,Prt,0)),"")</f>
        <v>Ply</v>
      </c>
      <c r="S45" s="454">
        <f>IFERROR(INDEX((std_Tbahan_prt),MATCH($H45,Prt,0)),"")</f>
        <v>18</v>
      </c>
      <c r="T45" s="178">
        <f>INDEX((std_lapisan_luar_prt),MATCH($H45,Prt,0))</f>
        <v>1</v>
      </c>
      <c r="U45" s="178">
        <f>INDEX((std_lapisan_dalam_prt),MATCH($H45,Prt,0))</f>
        <v>0</v>
      </c>
      <c r="V45" s="179" t="str">
        <f>IFERROR(INDEX((tf),MATCH(T45,ctf,0)),"")</f>
        <v>WY_5216_D(V)</v>
      </c>
      <c r="W45" s="180">
        <f>IFERROR(INDEX((tebal_lapisan),MATCH($V45,tf,0)),"")</f>
        <v>1</v>
      </c>
      <c r="X45" s="179" t="str">
        <f>IFERROR(INDEX((tf),MATCH(U45,ctf,0)),"")</f>
        <v>Polos</v>
      </c>
      <c r="Y45" s="180">
        <f>IFERROR(INDEX((tebal_lapisan),MATCH($X45,tf,0)),"")</f>
        <v>0</v>
      </c>
      <c r="Z45" s="178">
        <v>1</v>
      </c>
      <c r="AA45" s="178">
        <f>INDEX((std_edg_P2_prt),MATCH($H45,Prt,0))</f>
        <v>0</v>
      </c>
      <c r="AB45" s="178">
        <f>INDEX((std_edg_L1_prt),MATCH($H45,Prt,0))</f>
        <v>0</v>
      </c>
      <c r="AC45" s="178">
        <f>INDEX((std_edg_L2_prt),MATCH($H45,Prt,0))</f>
        <v>0</v>
      </c>
      <c r="AD45" s="182" t="str">
        <f t="shared" ref="AD45:AG46" si="24">IF($B45="alu",(INDEX((Fr),MATCH(Z45,cfr,0))),INDEX((te),MATCH(Z45,cte,0)))</f>
        <v>Edg_EAW_5216D1</v>
      </c>
      <c r="AE45" s="182" t="str">
        <f t="shared" si="24"/>
        <v xml:space="preserve"> </v>
      </c>
      <c r="AF45" s="182" t="str">
        <f t="shared" si="24"/>
        <v xml:space="preserve"> </v>
      </c>
      <c r="AG45" s="182" t="str">
        <f t="shared" si="24"/>
        <v xml:space="preserve"> </v>
      </c>
      <c r="AH45" s="401">
        <f>IFERROR(INDEX((std_profil3_prt),MATCH($H45,Prt,0)),"")</f>
        <v>0</v>
      </c>
      <c r="AI45" s="401">
        <f>IFERROR(INDEX((std_profil2_prt),MATCH($H45,Prt,0)),"")</f>
        <v>0</v>
      </c>
      <c r="AJ45" s="401">
        <f>IFERROR(INDEX((std_profil_prt),MATCH($H45,Prt,0)),"")</f>
        <v>0</v>
      </c>
      <c r="AK45" s="401">
        <f>IFERROR(INDEX((std_siku_prt),MATCH($H45,Prt,0)),"")</f>
        <v>0</v>
      </c>
      <c r="AL45" s="401">
        <f>IFERROR(INDEX((std_screw_prt),MATCH($H45,Prt,0)),"")</f>
        <v>0</v>
      </c>
      <c r="AM45" s="189"/>
      <c r="AN45" s="829">
        <f>IFERROR(INDEX((std_rel_prt),MATCH($H45,Prt,0)),"")</f>
        <v>0</v>
      </c>
      <c r="AO45" s="830">
        <f>IFERROR(INDEX((std_engsel_prt),MATCH($H45,Prt,0)),"")</f>
        <v>0</v>
      </c>
      <c r="AP45" s="401" t="str">
        <f>IFERROR(INDEX((std_anodizev_proses),MATCH($I45,pk,0)),"")</f>
        <v/>
      </c>
      <c r="AQ45" s="401" t="str">
        <f>IFERROR(INDEX((std_anodizev2_proses),MATCH($I45,pk,0)),"")</f>
        <v/>
      </c>
      <c r="AR45" s="401" t="str">
        <f>IFERROR(INDEX((std_anodizeh_proses),MATCH($I45,pk,0)),"")</f>
        <v/>
      </c>
      <c r="AS45" s="401">
        <f>IFERROR(INDEX((std_anodize_per_ukuran),MATCH($H45,Prt,0)),"")</f>
        <v>0</v>
      </c>
      <c r="AT45" s="403" t="str">
        <f>IF($AS45=edging7,L45,IF($AS45=edging8,L45,IF($AS45=edging9,L45,IF($AS45=Hand1,J44,IF($AS45=Hand2,L44,IF($AS45=hand3,"diisi manual",IF($AS45=hand4,"diisi manual",IF($AS45=hand5,"diisi manual",IF($AS45=mled02,J45,IF($AS45=mprf1,J45,IF($AS45=mlis1,J45,"")))))))))))</f>
        <v/>
      </c>
      <c r="AU45" s="403">
        <f>IF($AS45="","",Q45*BR45)</f>
        <v>0</v>
      </c>
      <c r="AV45" s="170"/>
      <c r="AW45" s="166" t="str">
        <f>CONCATENATE(VLOOKUP($V45,tabtf,2,0),VLOOKUP($X45,tabtf,2,0))</f>
        <v>13</v>
      </c>
      <c r="AX45" s="166" t="str">
        <f>IF($B45="alu",(CONCATENATE(VLOOKUP($AD45,tabfr,2,0),VLOOKUP($AE45,tabfr,2,0),VLOOKUP($AF45,tabfr,2,0),VLOOKUP($AG45,tabfr,2,0))),(CONCATENATE(VLOOKUP($AD45,tabte,2,0),VLOOKUP($AE45,tabte,2,0),VLOOKUP($AF45,tabte,2,0),VLOOKUP($AG45,tabte,2,0))))</f>
        <v>4333</v>
      </c>
      <c r="AY45" s="189" t="str">
        <f>IFERROR(VLOOKUP(AW45,descf,2,0),"")</f>
        <v>WY_5216_D(V)_1mk_Polos</v>
      </c>
      <c r="AZ45" s="189" t="str">
        <f>IF($B45="alu",(VLOOKUP(AX45,descfr,2,0)),(VLOOKUP(AX45,desce,2,0)))</f>
        <v>Edg_EAW_5216D1_1sisi_pjg</v>
      </c>
      <c r="BA45" s="196" t="str">
        <f>IF($R45=0,CONCATENATE(0,")"," ",$H45," ",$J45),CONCATENATE(VLOOKUP(H45,tabprt,2,0),")",$H45,"_",AY45))</f>
        <v>366)Cover Panel / Pelmet_WY_5216_D(V)_1mk_Polos</v>
      </c>
      <c r="BB45" s="629" t="str">
        <f>IF($B45="…",CONCATENATE(0,$E45,")"," ",$H45),IF($B45="kc",CONCATENATE(VLOOKUP(H45,tabprt,2,0),")",$H45," ",$R45," ",$S45,"mm"," ","-"," "," ",";"," ",$AZ45,"  ",$I45),IF($B45="alu",CONCATENATE(VLOOKUP(H45,tabprt,2,0),")",$H45," ",$R45," ",$S45,"mm"," ","-"," "," ",";"," ",$AZ45,"  ",$I45),CONCATENATE(VLOOKUP(H45,tabprt,2,0),")",$H45," ",$R45," ",$S45,"mm"," ","-"," ",$AY45," ",";"," ",$AZ45,"  ",$I45))))</f>
        <v xml:space="preserve">366)Cover Panel / Pelmet Ply 18mm - WY_5216_D(V)_1mk_Polos ; Edg_EAW_5216D1_1sisi_pjg  </v>
      </c>
      <c r="BC45" s="190"/>
      <c r="BD45" s="510">
        <f>IFERROR(INDEX((std_minifix_prt),MATCH($H45,Prt,0)),"")</f>
        <v>0</v>
      </c>
      <c r="BE45" s="510">
        <f>IFERROR(INDEX((std_dowel_prt),MATCH($H45,Prt,0)),"")</f>
        <v>0</v>
      </c>
      <c r="BF45" s="177">
        <f>IFERROR(INDEX((std_j_sikufr_prt),MATCH($H45,Prt,0)),"")*Q45</f>
        <v>0</v>
      </c>
      <c r="BG45" s="177">
        <f>IFERROR(INDEX((std_j_screwjf_prt),MATCH($H45,Prt,0)),"")*Q45</f>
        <v>0</v>
      </c>
      <c r="BH45" s="166">
        <f>IF($AM45=0,0,1)*Q45</f>
        <v>0</v>
      </c>
      <c r="BI45" s="474">
        <f>IF($AO45=0,0,IF(J45&lt;=fp,2,(ROUNDUP(J45/fp,0))))*Q45</f>
        <v>0</v>
      </c>
      <c r="BJ45" s="166">
        <f>IF($AN45=0,0,1)*Q45</f>
        <v>0</v>
      </c>
      <c r="BK45" s="474">
        <f>(($J45+tol_p)*$Q45)/1000</f>
        <v>1.044</v>
      </c>
      <c r="BL45" s="474">
        <f>(($L45+tol_p)*$Q45)/1000</f>
        <v>0.59</v>
      </c>
      <c r="BM45" s="474">
        <f>IF(R45=0,0,((2*((J45+tol_p)+(L45+tol_p))*Q45)/1000))</f>
        <v>3.2679999999999998</v>
      </c>
      <c r="BN45" s="166">
        <f>((J45*L45)/1000000)*Q45</f>
        <v>0.55220000000000002</v>
      </c>
      <c r="BO45" s="166" t="str">
        <f>CONCATENATE(R45,"_",S45)</f>
        <v>Ply_18</v>
      </c>
      <c r="BP45" s="204" t="str">
        <f>CONCATENATE(R45," ",S45," ",AY45)</f>
        <v>Ply 18 WY_5216_D(V)_1mk_Polos</v>
      </c>
      <c r="BQ45" s="475">
        <f>((J45*L45*Q45)/(2400*1200))+10%</f>
        <v>0.29173611111111108</v>
      </c>
      <c r="BR45" s="205">
        <f>IFERROR(INDEX((std_jml_anodize_per_uk),MATCH($H45,Prt,0)),"")</f>
        <v>0</v>
      </c>
      <c r="BS45" s="509">
        <f>IF($BD45=0,0,IF($L45&lt;150,2,((ROUNDUP($L45/fm,0)*2))))*$Q45</f>
        <v>0</v>
      </c>
      <c r="BT45" s="509">
        <f>IF($BE45=0,0,IF($L45&lt;150,2,((ROUNDUP($L45/fd,0)*2))))*$Q45</f>
        <v>0</v>
      </c>
      <c r="BU45" s="459">
        <f>BF45*$Q45</f>
        <v>0</v>
      </c>
      <c r="BV45" s="459">
        <f>BG45*$Q45</f>
        <v>0</v>
      </c>
      <c r="BW45" s="1">
        <f>+((J45*L45)*Q45)/1000000</f>
        <v>0.55220000000000002</v>
      </c>
      <c r="BX45" s="1">
        <f>+((J45*L45*N45)*Q45)/1000000000</f>
        <v>1.0491800000000001E-2</v>
      </c>
      <c r="BY45" s="546" t="str">
        <f>IFERROR(INDEX((tbl_edg),MATCH($AD45,Edg,0)),"")</f>
        <v/>
      </c>
      <c r="BZ45" s="546" t="str">
        <f>IFERROR(INDEX((tbl_edg),MATCH($AE45,Edg,0)),"")</f>
        <v/>
      </c>
      <c r="CA45" s="546" t="str">
        <f>IFERROR(INDEX((tbl_edg),MATCH($AF45,Edg,0)),"")</f>
        <v/>
      </c>
      <c r="CB45" s="546" t="str">
        <f>IFERROR(INDEX((tbl_edg),MATCH($AG45,Edg,0)),"")</f>
        <v/>
      </c>
      <c r="CC45" s="728" t="str">
        <f>IFERROR((J45-CA45-CB45),"")</f>
        <v/>
      </c>
      <c r="CD45" s="728" t="str">
        <f>IFERROR((L45-BY45-BZ45),"")</f>
        <v/>
      </c>
      <c r="CE45" s="170" t="str">
        <f>IFERROR((CONCATENATE(CC45," ","x"," ",CD45," ","x"," ",N45)),"")</f>
        <v xml:space="preserve"> x  x 19</v>
      </c>
      <c r="CF45" t="str">
        <f>IF(F45=1,(CONCATENATE(J45,";",L45,";",Q45,";",BP45,";",N45,";",H45,";","-1",";",AF45,";",CA45,";",AG45,";",CB45,";",AD45,";",BY45,";",AE45,";",BZ45))," ")</f>
        <v xml:space="preserve"> </v>
      </c>
    </row>
    <row r="46" spans="1:84" customFormat="1">
      <c r="A46" s="701" t="str">
        <f>IFERROR(INDEX((ID),MATCH(H46,BARANG,0)),"…")</f>
        <v>…</v>
      </c>
      <c r="B46" s="447" t="str">
        <f>IFERROR(INDEX((cprt),MATCH($H46,Prt,0)),"…")</f>
        <v>pintu</v>
      </c>
      <c r="C46" s="161" t="s">
        <v>1472</v>
      </c>
      <c r="D46" s="162" t="str">
        <f>IFERROR(INDEX((KS),MATCH($H46,Prt,0)),"")</f>
        <v>KS</v>
      </c>
      <c r="E46" s="1" t="s">
        <v>2166</v>
      </c>
      <c r="F46" s="811">
        <f>IFERROR(INDEX((opt),MATCH($H46,Prt,0)),"")</f>
        <v>0</v>
      </c>
      <c r="G46" s="440" t="str">
        <f>IFERROR(INDEX((no_ref),MATCH($H46,ref,0)),"...")</f>
        <v>••</v>
      </c>
      <c r="H46" s="1" t="s">
        <v>1608</v>
      </c>
      <c r="I46" s="55"/>
      <c r="J46" s="170">
        <v>2000</v>
      </c>
      <c r="K46" s="1" t="s">
        <v>2137</v>
      </c>
      <c r="L46" s="170">
        <v>1004</v>
      </c>
      <c r="M46" s="1" t="s">
        <v>2137</v>
      </c>
      <c r="N46" s="458">
        <f>+(S46+W46+Y46)</f>
        <v>19.5</v>
      </c>
      <c r="O46" s="170" t="str">
        <f>CONCATENATE(J46," ",K46," ",L46," ",M46," ",N46)</f>
        <v>2000 x 1004 x 19,5</v>
      </c>
      <c r="P46" s="441">
        <v>1</v>
      </c>
      <c r="Q46" s="55">
        <f>+P46</f>
        <v>1</v>
      </c>
      <c r="R46" s="177" t="str">
        <f>IFERROR(INDEX((std_bhn_prt),MATCH($H46,Prt,0)),"")</f>
        <v>Ply</v>
      </c>
      <c r="S46" s="454">
        <f>IFERROR(INDEX((std_Tbahan_prt),MATCH($H46,Prt,0)),"")</f>
        <v>18</v>
      </c>
      <c r="T46" s="178">
        <f>INDEX((std_lapisan_luar_prt),MATCH($H46,Prt,0))</f>
        <v>1</v>
      </c>
      <c r="U46" s="178">
        <f>INDEX((std_lapisan_dalam_prt),MATCH($H46,Prt,0))</f>
        <v>22</v>
      </c>
      <c r="V46" s="179" t="str">
        <f>IFERROR(INDEX((tf),MATCH(T46,ctf,0)),"")</f>
        <v>WY_5216_D(V)</v>
      </c>
      <c r="W46" s="180">
        <f>IFERROR(INDEX((tebal_lapisan),MATCH($V46,tf,0)),"")</f>
        <v>1</v>
      </c>
      <c r="X46" s="179" t="str">
        <f>IFERROR(INDEX((tf),MATCH(U46,ctf,0)),"")</f>
        <v>Aica</v>
      </c>
      <c r="Y46" s="180">
        <f>IFERROR(INDEX((tebal_lapisan),MATCH($X46,tf,0)),"")</f>
        <v>0.5</v>
      </c>
      <c r="Z46" s="178">
        <f>INDEX((std_edg_P1_prt),MATCH($H46,Prt,0))</f>
        <v>1</v>
      </c>
      <c r="AA46" s="178">
        <f>INDEX((std_edg_P2_prt),MATCH($H46,Prt,0))</f>
        <v>1</v>
      </c>
      <c r="AB46" s="178">
        <f>INDEX((std_edg_L1_prt),MATCH($H46,Prt,0))</f>
        <v>1</v>
      </c>
      <c r="AC46" s="178">
        <f>INDEX((std_edg_L2_prt),MATCH($H46,Prt,0))</f>
        <v>1</v>
      </c>
      <c r="AD46" s="182" t="str">
        <f t="shared" si="24"/>
        <v>Edg_EAW_5216D1</v>
      </c>
      <c r="AE46" s="182" t="str">
        <f t="shared" si="24"/>
        <v>Edg_EAW_5216D1</v>
      </c>
      <c r="AF46" s="182" t="str">
        <f t="shared" si="24"/>
        <v>Edg_EAW_5216D1</v>
      </c>
      <c r="AG46" s="182" t="str">
        <f t="shared" si="24"/>
        <v>Edg_EAW_5216D1</v>
      </c>
      <c r="AH46" s="401">
        <f>IFERROR(INDEX((std_profil3_prt),MATCH($H46,Prt,0)),"")</f>
        <v>0</v>
      </c>
      <c r="AI46" s="401">
        <f>IFERROR(INDEX((std_profil2_prt),MATCH($H46,Prt,0)),"")</f>
        <v>0</v>
      </c>
      <c r="AJ46" s="401">
        <f>IFERROR(INDEX((std_profil_prt),MATCH($H46,Prt,0)),"")</f>
        <v>0</v>
      </c>
      <c r="AK46" s="401">
        <f>IFERROR(INDEX((std_siku_prt),MATCH($H46,Prt,0)),"")</f>
        <v>0</v>
      </c>
      <c r="AL46" s="401">
        <f>IFERROR(INDEX((std_screw_prt),MATCH($H46,Prt,0)),"")</f>
        <v>0</v>
      </c>
      <c r="AM46" s="189"/>
      <c r="AN46" s="829">
        <f>IFERROR(INDEX((std_rel_prt),MATCH($H46,Prt,0)),"")</f>
        <v>0</v>
      </c>
      <c r="AO46" s="830">
        <f>IFERROR(INDEX((std_engsel_prt),MATCH($H46,Prt,0)),"")</f>
        <v>0</v>
      </c>
      <c r="AP46" s="401" t="str">
        <f>IFERROR(INDEX((std_anodizev_proses),MATCH($I46,pk,0)),"")</f>
        <v/>
      </c>
      <c r="AQ46" s="401" t="str">
        <f>IFERROR(INDEX((std_anodizev2_proses),MATCH($I46,pk,0)),"")</f>
        <v/>
      </c>
      <c r="AR46" s="401" t="str">
        <f>IFERROR(INDEX((std_anodizeh_proses),MATCH($I46,pk,0)),"")</f>
        <v/>
      </c>
      <c r="AS46" s="401">
        <f>IFERROR(INDEX((std_anodize_per_ukuran),MATCH($H46,Prt,0)),"")</f>
        <v>0</v>
      </c>
      <c r="AT46" s="403" t="str">
        <f>IF($AS46=edging7,L46,IF($AS46=edging8,L46,IF($AS46=edging9,L46,IF($AS46=Hand1,J45,IF($AS46=Hand2,L45,IF($AS46=hand3,"diisi manual",IF($AS46=hand4,"diisi manual",IF($AS46=hand5,"diisi manual",IF($AS46=mled02,J46,IF($AS46=mprf1,J46,IF($AS46=mlis1,J46,"")))))))))))</f>
        <v/>
      </c>
      <c r="AU46" s="403">
        <f>IF($AS46="","",Q46*BR46)</f>
        <v>0</v>
      </c>
      <c r="AV46" s="170"/>
      <c r="AW46" s="166" t="str">
        <f>CONCATENATE(VLOOKUP($V46,tabtf,2,0),VLOOKUP($X46,tabtf,2,0))</f>
        <v>17</v>
      </c>
      <c r="AX46" s="166" t="str">
        <f>IF($B46="alu",(CONCATENATE(VLOOKUP($AD46,tabfr,2,0),VLOOKUP($AE46,tabfr,2,0),VLOOKUP($AF46,tabfr,2,0),VLOOKUP($AG46,tabfr,2,0))),(CONCATENATE(VLOOKUP($AD46,tabte,2,0),VLOOKUP($AE46,tabte,2,0),VLOOKUP($AF46,tabte,2,0),VLOOKUP($AG46,tabte,2,0))))</f>
        <v>4444</v>
      </c>
      <c r="AY46" s="189" t="str">
        <f>IFERROR(VLOOKUP(AW46,descf,2,0),"")</f>
        <v>WY_5216_D(V)+Aica</v>
      </c>
      <c r="AZ46" s="189" t="str">
        <f>IF($B46="alu",(VLOOKUP(AX46,descfr,2,0)),(VLOOKUP(AX46,desce,2,0)))</f>
        <v>Edg_EAW_5216D1_Keliling</v>
      </c>
      <c r="BA46" s="196" t="str">
        <f>IF($R46=0,CONCATENATE(0,")"," ",$H46," ",$J46),CONCATENATE(VLOOKUP(H46,tabprt,2,0),")",$H46,"_",AY46))</f>
        <v>386)Back Panel_WY_5216_D(V)+Aica</v>
      </c>
      <c r="BB46" s="629" t="str">
        <f>IF($B46="…",CONCATENATE(0,$E46,")"," ",$H46),IF($B46="kc",CONCATENATE(VLOOKUP(H46,tabprt,2,0),")",$H46," ",$R46," ",$S46,"mm"," ","-"," "," ",";"," ",$AZ46,"  ",$I46),IF($B46="alu",CONCATENATE(VLOOKUP(H46,tabprt,2,0),")",$H46," ",$R46," ",$S46,"mm"," ","-"," "," ",";"," ",$AZ46,"  ",$I46),CONCATENATE(VLOOKUP(H46,tabprt,2,0),")",$H46," ",$R46," ",$S46,"mm"," ","-"," ",$AY46," ",";"," ",$AZ46,"  ",$I46))))</f>
        <v xml:space="preserve">386)Back Panel Ply 18mm - WY_5216_D(V)+Aica ; Edg_EAW_5216D1_Keliling  </v>
      </c>
      <c r="BC46" s="190"/>
      <c r="BD46" s="510">
        <f>IFERROR(INDEX((std_minifix_prt),MATCH($H46,Prt,0)),"")</f>
        <v>0</v>
      </c>
      <c r="BE46" s="510">
        <f>IFERROR(INDEX((std_dowel_prt),MATCH($H46,Prt,0)),"")</f>
        <v>0</v>
      </c>
      <c r="BF46" s="177">
        <f>IFERROR(INDEX((std_j_sikufr_prt),MATCH($H46,Prt,0)),"")*Q46</f>
        <v>0</v>
      </c>
      <c r="BG46" s="177">
        <f>IFERROR(INDEX((std_j_screwjf_prt),MATCH($H46,Prt,0)),"")*Q46</f>
        <v>0</v>
      </c>
      <c r="BH46" s="166">
        <f>IF($AM46=0,0,1)*Q46</f>
        <v>0</v>
      </c>
      <c r="BI46" s="474">
        <f>IF($AO46=0,0,IF(J46&lt;=fp,2,(ROUNDUP(J46/fp,0))))*Q46</f>
        <v>0</v>
      </c>
      <c r="BJ46" s="166">
        <f>IF($AN46=0,0,1)*Q46</f>
        <v>0</v>
      </c>
      <c r="BK46" s="474">
        <f>(($J46+tol_p)*$Q46)/1000</f>
        <v>2.04</v>
      </c>
      <c r="BL46" s="474">
        <f>(($L46+tol_p)*$Q46)/1000</f>
        <v>1.044</v>
      </c>
      <c r="BM46" s="474">
        <f>IF(R46=0,0,((2*((J46+tol_p)+(L46+tol_p))*Q46)/1000))</f>
        <v>6.1680000000000001</v>
      </c>
      <c r="BN46" s="166">
        <f>((J46*L46)/1000000)*Q46</f>
        <v>2.008</v>
      </c>
      <c r="BO46" s="166" t="str">
        <f>CONCATENATE(R46,"_",S46)</f>
        <v>Ply_18</v>
      </c>
      <c r="BP46" s="204" t="str">
        <f>CONCATENATE(R46," ",S46," ",AY46)</f>
        <v>Ply 18 WY_5216_D(V)+Aica</v>
      </c>
      <c r="BQ46" s="475">
        <f>((J46*L46*Q46)/(2400*1200))+10%</f>
        <v>0.79722222222222217</v>
      </c>
      <c r="BR46" s="205">
        <f>IFERROR(INDEX((std_jml_anodize_per_uk),MATCH($H46,Prt,0)),"")</f>
        <v>0</v>
      </c>
      <c r="BS46" s="509">
        <f>IF($BD46=0,0,IF($L46&lt;150,2,((ROUNDUP($L46/fm,0)*2))))*$Q46</f>
        <v>0</v>
      </c>
      <c r="BT46" s="509">
        <f>IF($BE46=0,0,IF($L46&lt;150,2,((ROUNDUP($L46/fd,0)*2))))*$Q46</f>
        <v>0</v>
      </c>
      <c r="BU46" s="459">
        <f>BF46*$Q46</f>
        <v>0</v>
      </c>
      <c r="BV46" s="459">
        <f>BG46*$Q46</f>
        <v>0</v>
      </c>
      <c r="BW46" s="1">
        <f>+((J46*L46)*Q46)/1000000</f>
        <v>2.008</v>
      </c>
      <c r="BX46" s="1">
        <f>+((J46*L46*N46)*Q46)/1000000000</f>
        <v>3.9156000000000003E-2</v>
      </c>
      <c r="BY46" s="546" t="str">
        <f>IFERROR(INDEX((tbl_edg),MATCH($AD46,Edg,0)),"")</f>
        <v/>
      </c>
      <c r="BZ46" s="546" t="str">
        <f>IFERROR(INDEX((tbl_edg),MATCH($AE46,Edg,0)),"")</f>
        <v/>
      </c>
      <c r="CA46" s="546" t="str">
        <f>IFERROR(INDEX((tbl_edg),MATCH($AF46,Edg,0)),"")</f>
        <v/>
      </c>
      <c r="CB46" s="546" t="str">
        <f>IFERROR(INDEX((tbl_edg),MATCH($AG46,Edg,0)),"")</f>
        <v/>
      </c>
      <c r="CC46" s="728" t="str">
        <f>IFERROR((J46-CA46-CB46),"")</f>
        <v/>
      </c>
      <c r="CD46" s="728" t="str">
        <f>IFERROR((L46-BY46-BZ46),"")</f>
        <v/>
      </c>
      <c r="CE46" s="170" t="str">
        <f>IFERROR((CONCATENATE(CC46," ","x"," ",CD46," ","x"," ",N46)),"")</f>
        <v xml:space="preserve"> x  x 19,5</v>
      </c>
      <c r="CF46" t="str">
        <f>IF(F46=1,(CONCATENATE(J46,";",L46,";",Q46,";",BP46,";",N46,";",H46,";","-1",";",AF46,";",CA46,";",AG46,";",CB46,";",AD46,";",BY46,";",AE46,";",BZ46))," ")</f>
        <v xml:space="preserve"> </v>
      </c>
    </row>
    <row r="47" spans="1:84" customFormat="1">
      <c r="A47" s="701"/>
      <c r="B47" s="447"/>
      <c r="C47" s="161"/>
      <c r="D47" s="162"/>
      <c r="E47" s="1"/>
      <c r="F47" s="811"/>
      <c r="G47" s="440"/>
      <c r="H47" s="1"/>
      <c r="I47" s="55"/>
      <c r="J47" s="170"/>
      <c r="K47" s="1"/>
      <c r="L47" s="170"/>
      <c r="M47" s="1"/>
      <c r="N47" s="458"/>
      <c r="O47" s="170"/>
      <c r="P47" s="441"/>
      <c r="Q47" s="55"/>
      <c r="R47" s="177"/>
      <c r="S47" s="454"/>
      <c r="T47" s="178"/>
      <c r="U47" s="178"/>
      <c r="V47" s="179"/>
      <c r="W47" s="180"/>
      <c r="X47" s="179"/>
      <c r="Y47" s="180"/>
      <c r="Z47" s="178"/>
      <c r="AA47" s="178"/>
      <c r="AB47" s="178"/>
      <c r="AC47" s="178"/>
      <c r="AD47" s="182"/>
      <c r="AE47" s="182"/>
      <c r="AF47" s="182"/>
      <c r="AG47" s="182"/>
      <c r="AH47" s="401"/>
      <c r="AI47" s="401"/>
      <c r="AJ47" s="401"/>
      <c r="AK47" s="401"/>
      <c r="AL47" s="401"/>
      <c r="AM47" s="189"/>
      <c r="AN47" s="829"/>
      <c r="AO47" s="830"/>
      <c r="AP47" s="401"/>
      <c r="AQ47" s="401"/>
      <c r="AR47" s="401"/>
      <c r="AS47" s="401"/>
      <c r="AT47" s="403"/>
      <c r="AU47" s="403"/>
      <c r="AV47" s="170"/>
      <c r="AW47" s="166"/>
      <c r="AX47" s="166"/>
      <c r="AY47" s="189"/>
      <c r="AZ47" s="189"/>
      <c r="BA47" s="196"/>
      <c r="BB47" s="629"/>
      <c r="BC47" s="190"/>
      <c r="BD47" s="510"/>
      <c r="BE47" s="510"/>
      <c r="BF47" s="177"/>
      <c r="BG47" s="177"/>
      <c r="BH47" s="166"/>
      <c r="BI47" s="474"/>
      <c r="BJ47" s="166"/>
      <c r="BK47" s="474"/>
      <c r="BL47" s="474"/>
      <c r="BM47" s="474"/>
      <c r="BN47" s="166"/>
      <c r="BO47" s="166"/>
      <c r="BP47" s="204"/>
      <c r="BQ47" s="475"/>
      <c r="BR47" s="205"/>
      <c r="BS47" s="509"/>
      <c r="BT47" s="509"/>
      <c r="BU47" s="459"/>
      <c r="BV47" s="459"/>
      <c r="BW47" s="1"/>
      <c r="BX47" s="1"/>
      <c r="BY47" s="546"/>
      <c r="BZ47" s="546"/>
      <c r="CA47" s="546"/>
      <c r="CB47" s="546"/>
      <c r="CC47" s="728"/>
      <c r="CD47" s="728"/>
      <c r="CE47" s="170"/>
    </row>
    <row r="48" spans="1:84" customFormat="1">
      <c r="A48" s="701"/>
      <c r="B48" s="447"/>
      <c r="C48" s="161"/>
      <c r="D48" s="162"/>
      <c r="E48" s="1"/>
      <c r="F48" s="811"/>
      <c r="G48" s="440"/>
      <c r="H48" s="1"/>
      <c r="I48" s="55"/>
      <c r="J48" s="170"/>
      <c r="K48" s="1"/>
      <c r="L48" s="170"/>
      <c r="M48" s="1"/>
      <c r="N48" s="458"/>
      <c r="O48" s="170"/>
      <c r="P48" s="441"/>
      <c r="Q48" s="55"/>
      <c r="R48" s="177"/>
      <c r="S48" s="454"/>
      <c r="T48" s="178"/>
      <c r="U48" s="178"/>
      <c r="V48" s="179"/>
      <c r="W48" s="180"/>
      <c r="X48" s="179"/>
      <c r="Y48" s="180"/>
      <c r="Z48" s="178"/>
      <c r="AA48" s="178"/>
      <c r="AB48" s="178"/>
      <c r="AC48" s="178"/>
      <c r="AD48" s="182"/>
      <c r="AE48" s="182"/>
      <c r="AF48" s="182"/>
      <c r="AG48" s="182"/>
      <c r="AH48" s="401"/>
      <c r="AI48" s="401"/>
      <c r="AJ48" s="401"/>
      <c r="AK48" s="401"/>
      <c r="AL48" s="401"/>
      <c r="AM48" s="189"/>
      <c r="AN48" s="829"/>
      <c r="AO48" s="830"/>
      <c r="AP48" s="401"/>
      <c r="AQ48" s="401"/>
      <c r="AR48" s="401"/>
      <c r="AS48" s="401"/>
      <c r="AT48" s="403"/>
      <c r="AU48" s="403"/>
      <c r="AV48" s="170"/>
      <c r="AW48" s="166"/>
      <c r="AX48" s="166"/>
      <c r="AY48" s="189"/>
      <c r="AZ48" s="189"/>
      <c r="BA48" s="196"/>
      <c r="BB48" s="629"/>
      <c r="BC48" s="190"/>
      <c r="BD48" s="510"/>
      <c r="BE48" s="510"/>
      <c r="BF48" s="177"/>
      <c r="BG48" s="177"/>
      <c r="BH48" s="166"/>
      <c r="BI48" s="474"/>
      <c r="BJ48" s="166"/>
      <c r="BK48" s="474"/>
      <c r="BL48" s="474"/>
      <c r="BM48" s="474"/>
      <c r="BN48" s="166"/>
      <c r="BO48" s="166"/>
      <c r="BP48" s="204"/>
      <c r="BQ48" s="475"/>
      <c r="BR48" s="205"/>
      <c r="BS48" s="509"/>
      <c r="BT48" s="509"/>
      <c r="BU48" s="459"/>
      <c r="BV48" s="459"/>
      <c r="BW48" s="1"/>
      <c r="BX48" s="1"/>
      <c r="BY48" s="546"/>
      <c r="BZ48" s="546"/>
      <c r="CA48" s="546"/>
      <c r="CB48" s="546"/>
      <c r="CC48" s="728"/>
      <c r="CD48" s="728"/>
      <c r="CE48" s="170"/>
    </row>
    <row r="49" spans="1:84" customFormat="1">
      <c r="A49" s="701" t="str">
        <f>IFERROR(INDEX((ID),MATCH(H49,BARANG,0)),"…")</f>
        <v>…</v>
      </c>
      <c r="B49" s="447" t="str">
        <f t="shared" ref="B49:B63" si="25">IFERROR(INDEX((cprt),MATCH($H49,Prt,0)),"…")</f>
        <v>…</v>
      </c>
      <c r="C49" s="1" t="s">
        <v>2605</v>
      </c>
      <c r="D49" s="538" t="str">
        <f>(INDEX(KS_Set,MATCH($H49,Set_prt,0)))</f>
        <v>[ks]</v>
      </c>
      <c r="E49" s="1" t="s">
        <v>2166</v>
      </c>
      <c r="F49" s="811" t="str">
        <f t="shared" ref="F49:F63" si="26">IFERROR(INDEX((opt),MATCH($H49,Prt,0)),"")</f>
        <v/>
      </c>
      <c r="G49" s="440" t="str">
        <f t="shared" ref="G49:G63" si="27">IFERROR(INDEX((no_ref),MATCH($H49,ref,0)),"...")</f>
        <v>•</v>
      </c>
      <c r="H49" s="1" t="s">
        <v>4703</v>
      </c>
      <c r="J49" s="171">
        <v>2000</v>
      </c>
      <c r="K49" s="55" t="s">
        <v>2137</v>
      </c>
      <c r="L49" s="171">
        <v>95</v>
      </c>
      <c r="M49" s="55" t="s">
        <v>2137</v>
      </c>
      <c r="N49" s="172">
        <v>75</v>
      </c>
      <c r="O49" s="170" t="str">
        <f>CONCATENATE(J49," ",K49," ",L49," ",M49," ",N49)</f>
        <v>2000 x 95 x 75</v>
      </c>
      <c r="P49" s="441"/>
      <c r="Q49" s="172">
        <v>1</v>
      </c>
      <c r="R49" s="181"/>
      <c r="S49" s="455"/>
      <c r="T49" s="170"/>
      <c r="U49" s="170"/>
      <c r="V49" s="1"/>
      <c r="W49" s="173"/>
      <c r="X49" s="1"/>
      <c r="Y49" s="166"/>
      <c r="Z49" s="170"/>
      <c r="AA49" s="170"/>
      <c r="AB49" s="170"/>
      <c r="AC49" s="170"/>
      <c r="AD49" s="182" t="str">
        <f t="shared" ref="AD49:AG51" si="28">IF($B49="alu",(INDEX((Fr),MATCH(Z49,cfr,0))),INDEX((te),MATCH(Z49,cte,0)))</f>
        <v xml:space="preserve"> </v>
      </c>
      <c r="AE49" s="182" t="str">
        <f t="shared" si="28"/>
        <v xml:space="preserve"> </v>
      </c>
      <c r="AF49" s="182" t="str">
        <f t="shared" si="28"/>
        <v xml:space="preserve"> </v>
      </c>
      <c r="AG49" s="182" t="str">
        <f t="shared" si="28"/>
        <v xml:space="preserve"> </v>
      </c>
      <c r="AH49" s="189"/>
      <c r="AI49" s="189"/>
      <c r="AJ49" s="189"/>
      <c r="AK49" s="401" t="str">
        <f t="shared" ref="AK49:AK63" si="29">IFERROR(INDEX((std_siku_prt),MATCH($H49,Prt,0)),"")</f>
        <v/>
      </c>
      <c r="AL49" s="401" t="str">
        <f t="shared" ref="AL49:AL63" si="30">IFERROR(INDEX((std_screw_prt),MATCH($H49,Prt,0)),"")</f>
        <v/>
      </c>
      <c r="AM49" s="189"/>
      <c r="AN49" s="782"/>
      <c r="AO49" s="189"/>
      <c r="AP49" s="401" t="str">
        <f t="shared" ref="AP49:AP63" si="31">IFERROR(INDEX((std_anodizev_proses),MATCH($I49,pk,0)),"")</f>
        <v/>
      </c>
      <c r="AQ49" s="401" t="str">
        <f t="shared" ref="AQ49:AQ63" si="32">IFERROR(INDEX((std_anodizev2_proses),MATCH($I49,pk,0)),"")</f>
        <v/>
      </c>
      <c r="AR49" s="401" t="str">
        <f>IFERROR(INDEX((std_anodizeh_proses),MATCH($I49,pk,0)),"")</f>
        <v/>
      </c>
      <c r="AS49" s="188"/>
      <c r="AT49" s="1"/>
      <c r="AU49" s="403" t="str">
        <f>IF($AS49=0,"",Q49*BR49)</f>
        <v/>
      </c>
      <c r="AV49" s="1"/>
      <c r="AW49" s="166"/>
      <c r="AX49" s="166" t="str">
        <f t="shared" ref="AX49:AX63" si="33">IF($B49="alu",(CONCATENATE(VLOOKUP($AD49,tabfr,2,0),VLOOKUP($AE49,tabfr,2,0),VLOOKUP($AF49,tabfr,2,0),VLOOKUP($AG49,tabfr,2,0))),(CONCATENATE(VLOOKUP($AD49,tabte,2,0),VLOOKUP($AE49,tabte,2,0),VLOOKUP($AF49,tabte,2,0),VLOOKUP($AG49,tabte,2,0))))</f>
        <v>3333</v>
      </c>
      <c r="AY49" s="189" t="str">
        <f>IFERROR(VLOOKUP(AW49,descf,2,0),"")</f>
        <v/>
      </c>
      <c r="AZ49" s="189" t="str">
        <f>IF($B49="alu",(VLOOKUP(AX49,descfr,2,0)),(VLOOKUP(AX49,desce,2,0)))</f>
        <v xml:space="preserve"> -</v>
      </c>
      <c r="BA49" s="196" t="str">
        <f>IF($R49=0,CONCATENATE(0,")"," ",$H49," ",$J49),CONCATENATE(VLOOKUP(H49,tabprt,2,0),")",$H49,"_",AY49))</f>
        <v>0) End Panel Rangka nat Duco (rakit tukang) 2000</v>
      </c>
      <c r="BB49" s="629" t="str">
        <f>IF($B49="…",CONCATENATE(0,$E49,")"," ",$H49),IF($B49="kc",CONCATENATE(VLOOKUP(H49,tabprt,2,0),")",$H49," ",$R49," ",$S49,"mm"," ","-"," "," ",";"," ",$AZ49,"  ",$I49),IF($B49="alu",CONCATENATE(VLOOKUP(H49,tabprt,2,0),")",$H49," ",$R49," ",$S49,"mm"," ","-"," "," ",";"," ",$AZ49,"  ",$I49),CONCATENATE(VLOOKUP(H49,tabprt,2,0),")",$H49," ",$R49," ",$S49,"mm"," ","-"," ",$AY49," ",";"," ",$AZ49,"  ",$I49))))</f>
        <v>0A) End Panel Rangka nat Duco (rakit tukang)</v>
      </c>
      <c r="BC49" s="197"/>
      <c r="BD49" s="510" t="str">
        <f t="shared" ref="BD49:BD63" si="34">IFERROR(INDEX((std_minifix_prt),MATCH($H49,Prt,0)),"")</f>
        <v/>
      </c>
      <c r="BE49" s="510" t="str">
        <f t="shared" ref="BE49:BE63" si="35">IFERROR(INDEX((std_dowel_prt),MATCH($H49,Prt,0)),"")</f>
        <v/>
      </c>
      <c r="BF49" s="177"/>
      <c r="BG49" s="177"/>
      <c r="BH49" s="166">
        <f>IF($AM49=0,0,1)*Q49</f>
        <v>0</v>
      </c>
      <c r="BI49" s="474">
        <f>IF($AO49=0,0,IF(J49&lt;=fp,2,(ROUNDUP(J49/fp,0))))*Q49</f>
        <v>0</v>
      </c>
      <c r="BJ49" s="166">
        <f>IF($AN49=0,0,1)*Q49</f>
        <v>0</v>
      </c>
      <c r="BK49" s="474">
        <f t="shared" ref="BK49:BK63" si="36">(($J49+tol_p)*$Q49)/1000</f>
        <v>2.04</v>
      </c>
      <c r="BL49" s="474">
        <f t="shared" ref="BL49:BL63" si="37">(($L49+tol_p)*$Q49)/1000</f>
        <v>0.13500000000000001</v>
      </c>
      <c r="BM49" s="474">
        <f>IF(R49=0,0,((2*((J49+tol_p)+(L49+tol_p))*Q49)/1000))</f>
        <v>0</v>
      </c>
      <c r="BN49" s="166"/>
      <c r="BO49" s="166" t="str">
        <f>CONCATENATE(R49,"_",S49)</f>
        <v>_</v>
      </c>
      <c r="BP49" s="204" t="str">
        <f>CONCATENATE(R49," ",S49," ",AY49)</f>
        <v xml:space="preserve">  </v>
      </c>
      <c r="BQ49" s="475">
        <f>((J49*L49*Q49)/(2400*1200))+10%</f>
        <v>0.16597222222222224</v>
      </c>
      <c r="BR49" s="205" t="str">
        <f>IFERROR(INDEX((std_jml_anodize_per_uk),MATCH($H49,Prt,0)),"")</f>
        <v/>
      </c>
      <c r="BS49" s="509">
        <f t="shared" ref="BS49:BS63" si="38">IF($BD49=0,0,IF($L49&lt;150,2,((ROUNDUP($L49/fm,0)*2))))*$Q49</f>
        <v>2</v>
      </c>
      <c r="BT49" s="509">
        <f t="shared" ref="BT49:BT63" si="39">IF($BE49=0,0,IF($L49&lt;150,2,((ROUNDUP($L49/fd,0)*2))))*$Q49</f>
        <v>2</v>
      </c>
      <c r="BU49" s="459"/>
      <c r="BV49" s="459"/>
      <c r="BW49" s="1">
        <f>+((J49*L49)*Q49)/1000000</f>
        <v>0.19</v>
      </c>
      <c r="BX49" s="1">
        <f>+((J49*L49*N49)*Q49)/1000000000</f>
        <v>1.4250000000000001E-2</v>
      </c>
      <c r="BY49" s="546" t="str">
        <f t="shared" ref="BY49:BY63" si="40">IFERROR(INDEX((tbl_edg),MATCH($AD49,Edg,0)),"")</f>
        <v/>
      </c>
      <c r="BZ49" s="546" t="str">
        <f t="shared" ref="BZ49:BZ63" si="41">IFERROR(INDEX((tbl_edg),MATCH($AE49,Edg,0)),"")</f>
        <v/>
      </c>
      <c r="CA49" s="546" t="str">
        <f t="shared" ref="CA49:CA63" si="42">IFERROR(INDEX((tbl_edg),MATCH($AF49,Edg,0)),"")</f>
        <v/>
      </c>
      <c r="CB49" s="546" t="str">
        <f t="shared" ref="CB49:CB63" si="43">IFERROR(INDEX((tbl_edg),MATCH($AG49,Edg,0)),"")</f>
        <v/>
      </c>
      <c r="CC49" s="728" t="str">
        <f>IFERROR((J49-CA49-CB49),"")</f>
        <v/>
      </c>
      <c r="CD49" s="728" t="str">
        <f>IFERROR((L49-BY49-BZ49),"")</f>
        <v/>
      </c>
      <c r="CE49" s="170" t="str">
        <f>IFERROR((CONCATENATE(CC49," ","x"," ",CD49," ","x"," ",N49)),"")</f>
        <v xml:space="preserve"> x  x 75</v>
      </c>
      <c r="CF49" t="str">
        <f>IF(F49=1,(CONCATENATE(J49,";",L49,";",Q49,";",BP49,";",N49,";",H49,";","-1",";",AF49,";",CA49,";",AG49,";",CB49,";",AD49,";",BY49,";",AE49,";",BZ49))," ")</f>
        <v xml:space="preserve"> </v>
      </c>
    </row>
    <row r="50" spans="1:84" customFormat="1">
      <c r="A50" s="701" t="str">
        <f>IFERROR(INDEX((ID),MATCH(H50,BARANG,0)),"…")</f>
        <v>…</v>
      </c>
      <c r="B50" s="447" t="str">
        <f t="shared" si="25"/>
        <v>pintu</v>
      </c>
      <c r="C50" s="161" t="s">
        <v>1472</v>
      </c>
      <c r="D50" s="162" t="str">
        <f>IFERROR(INDEX((KS),MATCH($H50,Prt,0)),"")</f>
        <v>KS</v>
      </c>
      <c r="E50" s="1" t="s">
        <v>2166</v>
      </c>
      <c r="F50" s="811">
        <f t="shared" si="26"/>
        <v>1</v>
      </c>
      <c r="G50" s="440" t="str">
        <f t="shared" si="27"/>
        <v>...</v>
      </c>
      <c r="H50" s="1" t="s">
        <v>1833</v>
      </c>
      <c r="I50" s="55"/>
      <c r="J50" s="170">
        <f>+J49</f>
        <v>2000</v>
      </c>
      <c r="K50" s="1" t="s">
        <v>2137</v>
      </c>
      <c r="L50" s="170">
        <f>+L49</f>
        <v>95</v>
      </c>
      <c r="M50" s="1" t="s">
        <v>2137</v>
      </c>
      <c r="N50" s="458">
        <f>+(S50+W50+Y50)</f>
        <v>18.5</v>
      </c>
      <c r="O50" s="170" t="str">
        <f>CONCATENATE(J50," ",K50," ",L50," ",M50," ",N50)</f>
        <v>2000 x 95 x 18,5</v>
      </c>
      <c r="P50" s="441">
        <v>2</v>
      </c>
      <c r="Q50" s="55">
        <f>+P50*Q49</f>
        <v>2</v>
      </c>
      <c r="R50" s="177" t="str">
        <f>IFERROR(INDEX((std_bhn_prt),MATCH($H50,Prt,0)),"")</f>
        <v>Ply</v>
      </c>
      <c r="S50" s="454">
        <v>18</v>
      </c>
      <c r="T50" s="178">
        <v>7</v>
      </c>
      <c r="U50" s="178">
        <f>INDEX((std_lapisan_dalam_prt),MATCH($H50,Prt,0))</f>
        <v>0</v>
      </c>
      <c r="V50" s="179" t="str">
        <f>IFERROR(INDEX((tf),MATCH(T50,ctf,0)),"")</f>
        <v>Duco</v>
      </c>
      <c r="W50" s="180">
        <f>IFERROR(INDEX((tebal_lapisan),MATCH($V50,tf,0)),"")</f>
        <v>0.5</v>
      </c>
      <c r="X50" s="179" t="str">
        <f>IFERROR(INDEX((tf),MATCH(U50,ctf,0)),"")</f>
        <v>Polos</v>
      </c>
      <c r="Y50" s="180">
        <f>IFERROR(INDEX((tebal_lapisan),MATCH($X50,tf,0)),"")</f>
        <v>0</v>
      </c>
      <c r="Z50" s="178">
        <f>INDEX((std_edg_P1_prt),MATCH($H50,Prt,0))</f>
        <v>0</v>
      </c>
      <c r="AA50" s="178">
        <f>INDEX((std_edg_P2_prt),MATCH($H50,Prt,0))</f>
        <v>0</v>
      </c>
      <c r="AB50" s="178">
        <f>INDEX((std_edg_L1_prt),MATCH($H50,Prt,0))</f>
        <v>0</v>
      </c>
      <c r="AC50" s="178">
        <f>INDEX((std_edg_L2_prt),MATCH($H50,Prt,0))</f>
        <v>0</v>
      </c>
      <c r="AD50" s="182" t="str">
        <f t="shared" si="28"/>
        <v xml:space="preserve"> </v>
      </c>
      <c r="AE50" s="182" t="str">
        <f t="shared" si="28"/>
        <v xml:space="preserve"> </v>
      </c>
      <c r="AF50" s="182" t="str">
        <f t="shared" si="28"/>
        <v xml:space="preserve"> </v>
      </c>
      <c r="AG50" s="182" t="str">
        <f t="shared" si="28"/>
        <v xml:space="preserve"> </v>
      </c>
      <c r="AH50" s="401">
        <f>IFERROR(INDEX((std_profil3_prt),MATCH($H50,Prt,0)),"")</f>
        <v>0</v>
      </c>
      <c r="AI50" s="401">
        <f>IFERROR(INDEX((std_profil2_prt),MATCH($H50,Prt,0)),"")</f>
        <v>0</v>
      </c>
      <c r="AJ50" s="401">
        <f>IFERROR(INDEX((std_profil_prt),MATCH($H50,Prt,0)),"")</f>
        <v>0</v>
      </c>
      <c r="AK50" s="401">
        <f t="shared" si="29"/>
        <v>0</v>
      </c>
      <c r="AL50" s="401">
        <f t="shared" si="30"/>
        <v>0</v>
      </c>
      <c r="AM50" s="189"/>
      <c r="AN50" s="829">
        <f>IFERROR(INDEX((std_rel_prt),MATCH($H50,Prt,0)),"")</f>
        <v>0</v>
      </c>
      <c r="AO50" s="830">
        <f>IFERROR(INDEX((std_engsel_prt),MATCH($H50,Prt,0)),"")</f>
        <v>0</v>
      </c>
      <c r="AP50" s="401" t="str">
        <f t="shared" si="31"/>
        <v/>
      </c>
      <c r="AQ50" s="401" t="str">
        <f t="shared" si="32"/>
        <v/>
      </c>
      <c r="AR50" s="401" t="str">
        <f>edging1</f>
        <v>Edg_EAW_5216D1</v>
      </c>
      <c r="AS50" s="401">
        <f>IFERROR(INDEX((std_anodize_per_ukuran),MATCH($H50,Prt,0)),"")</f>
        <v>0</v>
      </c>
      <c r="AT50" s="403" t="str">
        <f>IF($AS50=edging7,L50,IF($AS50=edging8,L50,IF($AS50=edging9,L50,IF($AS50=Hand1,J49,IF($AS50=Hand2,L49,IF($AS50=hand3,"diisi manual",IF($AS50=hand4,"diisi manual",IF($AS50=hand5,"diisi manual",IF($AS50=mled02,J50,IF($AS50=mprf1,J50,IF($AS50=mlis1,J50,"")))))))))))</f>
        <v/>
      </c>
      <c r="AU50" s="403">
        <f>IF($AS50="","",Q50*BR50)</f>
        <v>0</v>
      </c>
      <c r="AV50" s="170"/>
      <c r="AW50" s="166" t="str">
        <f>CONCATENATE(VLOOKUP($V50,tabtf,2,0),VLOOKUP($X50,tabtf,2,0))</f>
        <v>123</v>
      </c>
      <c r="AX50" s="166" t="str">
        <f t="shared" si="33"/>
        <v>3333</v>
      </c>
      <c r="AY50" s="189" t="str">
        <f>IFERROR(VLOOKUP(AW50,descf,2,0),"")</f>
        <v>Duco_1mk_Polos</v>
      </c>
      <c r="AZ50" s="189" t="str">
        <f>IF($B50="alu",(VLOOKUP(AX50,descfr,2,0)),(VLOOKUP(AX50,desce,2,0)))</f>
        <v xml:space="preserve"> -</v>
      </c>
      <c r="BA50" s="196" t="str">
        <f>IF($R50=0,CONCATENATE(0,")"," ",$H50," ",$J50),CONCATENATE(VLOOKUP(H50,tabprt,2,0),")",$H50,"_",AY50))</f>
        <v>379)End Panel Rangka_Duco_1mk_Polos</v>
      </c>
      <c r="BB50" s="629" t="str">
        <f>IF($B50="…",CONCATENATE(0,$E50,")"," ",$H50),IF($B50="kc",CONCATENATE(VLOOKUP(H50,tabprt,2,0),")",$H50," ",$R50," ",$S50,"mm"," ","-"," "," ",";"," ",$AZ50,"  ",$I50),IF($B50="alu",CONCATENATE(VLOOKUP(H50,tabprt,2,0),")",$H50," ",$R50," ",$S50,"mm"," ","-"," "," ",";"," ",$AZ50,"  ",$I50),CONCATENATE(VLOOKUP(H50,tabprt,2,0),")",$H50," ",$R50," ",$S50,"mm"," ","-"," ",$AY50," ",";"," ",$AZ50,"  ",$I50))))</f>
        <v xml:space="preserve">379)End Panel Rangka Ply 18mm - Duco_1mk_Polos ;  -  </v>
      </c>
      <c r="BC50" s="190"/>
      <c r="BD50" s="510">
        <f t="shared" si="34"/>
        <v>0</v>
      </c>
      <c r="BE50" s="510">
        <f t="shared" si="35"/>
        <v>0</v>
      </c>
      <c r="BF50" s="177">
        <f>IFERROR(INDEX((std_j_sikufr_prt),MATCH($H50,Prt,0)),"")*Q50</f>
        <v>0</v>
      </c>
      <c r="BG50" s="177">
        <f>IFERROR(INDEX((std_j_screwjf_prt),MATCH($H50,Prt,0)),"")*Q50</f>
        <v>0</v>
      </c>
      <c r="BH50" s="166">
        <f>IF($AM50=0,0,1)*Q50</f>
        <v>0</v>
      </c>
      <c r="BI50" s="474">
        <f>IF($AO50=0,0,IF(J50&lt;=fp,2,(ROUNDUP(J50/fp,0))))*Q50</f>
        <v>0</v>
      </c>
      <c r="BJ50" s="166">
        <f>IF($AN50=0,0,1)*Q50</f>
        <v>0</v>
      </c>
      <c r="BK50" s="474">
        <f t="shared" si="36"/>
        <v>4.08</v>
      </c>
      <c r="BL50" s="474">
        <f t="shared" si="37"/>
        <v>0.27</v>
      </c>
      <c r="BM50" s="474">
        <f>IF(R50=0,0,((2*((J50+tol_p)+(L50+tol_p))*Q50)/1000))</f>
        <v>8.6999999999999993</v>
      </c>
      <c r="BN50" s="166">
        <f>((J50*L50)/1000000)*Q50</f>
        <v>0.38</v>
      </c>
      <c r="BO50" s="166" t="str">
        <f>CONCATENATE(R50,"_",S50)</f>
        <v>Ply_18</v>
      </c>
      <c r="BP50" s="204" t="str">
        <f>CONCATENATE(R50," ",S50," ",AY50)</f>
        <v>Ply 18 Duco_1mk_Polos</v>
      </c>
      <c r="BQ50" s="475">
        <f>((J50*L50*Q50)/(2400*1200))+10%</f>
        <v>0.23194444444444445</v>
      </c>
      <c r="BR50" s="205">
        <f>IFERROR(INDEX((std_jml_anodize_per_uk),MATCH($H50,Prt,0)),"")</f>
        <v>0</v>
      </c>
      <c r="BS50" s="509">
        <f t="shared" si="38"/>
        <v>0</v>
      </c>
      <c r="BT50" s="509">
        <f t="shared" si="39"/>
        <v>0</v>
      </c>
      <c r="BU50" s="459">
        <f>BF50*$Q50</f>
        <v>0</v>
      </c>
      <c r="BV50" s="459">
        <f>BG50*$Q50</f>
        <v>0</v>
      </c>
      <c r="BW50" s="1">
        <f>+((J50*L50)*Q50)/1000000</f>
        <v>0.38</v>
      </c>
      <c r="BX50" s="1">
        <f>+((J50*L50*N50)*Q50)/1000000000</f>
        <v>7.0299999999999998E-3</v>
      </c>
      <c r="BY50" s="546" t="str">
        <f t="shared" si="40"/>
        <v/>
      </c>
      <c r="BZ50" s="546" t="str">
        <f t="shared" si="41"/>
        <v/>
      </c>
      <c r="CA50" s="546" t="str">
        <f t="shared" si="42"/>
        <v/>
      </c>
      <c r="CB50" s="546" t="str">
        <f t="shared" si="43"/>
        <v/>
      </c>
      <c r="CC50" s="728" t="str">
        <f>IFERROR((J50-CA50-CB50),"")</f>
        <v/>
      </c>
      <c r="CD50" s="728" t="str">
        <f>IFERROR((L50-BY50-BZ50),"")</f>
        <v/>
      </c>
      <c r="CE50" s="170" t="str">
        <f>IFERROR((CONCATENATE(CC50," ","x"," ",CD50," ","x"," ",N50)),"")</f>
        <v xml:space="preserve"> x  x 18,5</v>
      </c>
      <c r="CF50" t="str">
        <f>IF(F50=1,(CONCATENATE(J50,";",L50,";",Q50,";",BP50,";",N50,";",H50,";","-1",";",AF50,";",CA50,";",AG50,";",CB50,";",AD50,";",BY50,";",AE50,";",BZ50))," ")</f>
        <v>2000;95;2;Ply 18 Duco_1mk_Polos;18,5;End Panel Rangka;-1; ;; ;; ;; ;</v>
      </c>
    </row>
    <row r="51" spans="1:84" customFormat="1">
      <c r="A51" s="701" t="str">
        <f>IFERROR(INDEX((ID),MATCH(H51,BARANG,0)),"…")</f>
        <v>…</v>
      </c>
      <c r="B51" s="447" t="str">
        <f t="shared" si="25"/>
        <v>dc man</v>
      </c>
      <c r="C51" s="161" t="s">
        <v>1472</v>
      </c>
      <c r="D51" s="162" t="str">
        <f>IFERROR(INDEX((KS),MATCH($H51,Prt,0)),"")</f>
        <v>─</v>
      </c>
      <c r="E51" s="1" t="s">
        <v>2166</v>
      </c>
      <c r="F51" s="811">
        <f t="shared" si="26"/>
        <v>1</v>
      </c>
      <c r="G51" s="440" t="str">
        <f t="shared" si="27"/>
        <v>...</v>
      </c>
      <c r="H51" s="1" t="s">
        <v>1850</v>
      </c>
      <c r="I51" s="55"/>
      <c r="J51" s="170">
        <f>+J49</f>
        <v>2000</v>
      </c>
      <c r="K51" s="1" t="s">
        <v>2137</v>
      </c>
      <c r="L51" s="170">
        <f>+L49</f>
        <v>95</v>
      </c>
      <c r="M51" s="1" t="s">
        <v>2137</v>
      </c>
      <c r="N51" s="458">
        <f>+(S51+W51+Y51)</f>
        <v>1</v>
      </c>
      <c r="O51" s="170" t="str">
        <f>CONCATENATE(J51," ",K51," ",L51," ",M51," ",N51)</f>
        <v>2000 x 95 x 1</v>
      </c>
      <c r="P51" s="441">
        <v>2</v>
      </c>
      <c r="Q51" s="55">
        <f>+P51*Q49</f>
        <v>2</v>
      </c>
      <c r="R51" s="177" t="str">
        <f>IFERROR(INDEX((std_bhn_prt),MATCH($H51,Prt,0)),"")</f>
        <v>WY_5216_D(V)</v>
      </c>
      <c r="S51" s="454">
        <f>IFERROR(INDEX((std_Tbahan_prt),MATCH($H51,Prt,0)),"")</f>
        <v>1</v>
      </c>
      <c r="T51" s="178">
        <f>INDEX((std_lapisan_luar_prt),MATCH($H51,Prt,0))</f>
        <v>0</v>
      </c>
      <c r="U51" s="178">
        <f>INDEX((std_lapisan_dalam_prt),MATCH($H51,Prt,0))</f>
        <v>0</v>
      </c>
      <c r="V51" s="179" t="str">
        <f>IFERROR(INDEX((tf),MATCH(T51,ctf,0)),"")</f>
        <v>Polos</v>
      </c>
      <c r="W51" s="180">
        <f>IFERROR(INDEX((tebal_lapisan),MATCH($V51,tf,0)),"")</f>
        <v>0</v>
      </c>
      <c r="X51" s="179" t="str">
        <f>IFERROR(INDEX((tf),MATCH(U51,ctf,0)),"")</f>
        <v>Polos</v>
      </c>
      <c r="Y51" s="180">
        <f>IFERROR(INDEX((tebal_lapisan),MATCH($X51,tf,0)),"")</f>
        <v>0</v>
      </c>
      <c r="Z51" s="178">
        <f>INDEX((std_edg_P1_prt),MATCH($H51,Prt,0))</f>
        <v>0</v>
      </c>
      <c r="AA51" s="178">
        <f>INDEX((std_edg_P2_prt),MATCH($H51,Prt,0))</f>
        <v>0</v>
      </c>
      <c r="AB51" s="178">
        <f>INDEX((std_edg_L1_prt),MATCH($H51,Prt,0))</f>
        <v>0</v>
      </c>
      <c r="AC51" s="178">
        <f>INDEX((std_edg_L2_prt),MATCH($H51,Prt,0))</f>
        <v>0</v>
      </c>
      <c r="AD51" s="182" t="str">
        <f t="shared" si="28"/>
        <v xml:space="preserve"> </v>
      </c>
      <c r="AE51" s="182" t="str">
        <f t="shared" si="28"/>
        <v xml:space="preserve"> </v>
      </c>
      <c r="AF51" s="182" t="str">
        <f t="shared" si="28"/>
        <v xml:space="preserve"> </v>
      </c>
      <c r="AG51" s="182" t="str">
        <f t="shared" si="28"/>
        <v xml:space="preserve"> </v>
      </c>
      <c r="AH51" s="401">
        <f>IFERROR(INDEX((std_profil3_prt),MATCH($H51,Prt,0)),"")</f>
        <v>0</v>
      </c>
      <c r="AI51" s="401">
        <f>IFERROR(INDEX((std_profil2_prt),MATCH($H51,Prt,0)),"")</f>
        <v>0</v>
      </c>
      <c r="AJ51" s="401">
        <f>IFERROR(INDEX((std_profil_prt),MATCH($H51,Prt,0)),"")</f>
        <v>0</v>
      </c>
      <c r="AK51" s="401">
        <f t="shared" si="29"/>
        <v>0</v>
      </c>
      <c r="AL51" s="401">
        <f t="shared" si="30"/>
        <v>0</v>
      </c>
      <c r="AM51" s="189"/>
      <c r="AN51" s="829">
        <f>IFERROR(INDEX((std_rel_prt),MATCH($H51,Prt,0)),"")</f>
        <v>0</v>
      </c>
      <c r="AO51" s="830">
        <f>IFERROR(INDEX((std_engsel_prt),MATCH($H51,Prt,0)),"")</f>
        <v>0</v>
      </c>
      <c r="AP51" s="401" t="str">
        <f t="shared" si="31"/>
        <v/>
      </c>
      <c r="AQ51" s="401" t="str">
        <f t="shared" si="32"/>
        <v/>
      </c>
      <c r="AR51" s="401" t="str">
        <f>IFERROR(INDEX((std_anodizeh_proses),MATCH($I51,pk,0)),"")</f>
        <v/>
      </c>
      <c r="AS51" s="401">
        <f>IFERROR(INDEX((std_anodize_per_ukuran),MATCH($H51,Prt,0)),"")</f>
        <v>0</v>
      </c>
      <c r="AT51" s="403" t="str">
        <f>IF($AS51=edging7,L51,IF($AS51=edging8,L51,IF($AS51=edging9,L51,IF($AS51=Hand1,J50,IF($AS51=Hand2,L50,IF($AS51=hand3,"diisi manual",IF($AS51=hand4,"diisi manual",IF($AS51=hand5,"diisi manual",IF($AS51=mled02,J51,IF($AS51=mprf1,J51,IF($AS51=mlis1,J51,"")))))))))))</f>
        <v/>
      </c>
      <c r="AU51" s="403">
        <f>IF($AS51="","",Q51*BR51)</f>
        <v>0</v>
      </c>
      <c r="AV51" s="170"/>
      <c r="AW51" s="166" t="str">
        <f>CONCATENATE(VLOOKUP($V51,tabtf,2,0),VLOOKUP($X51,tabtf,2,0))</f>
        <v>33</v>
      </c>
      <c r="AX51" s="166" t="str">
        <f t="shared" si="33"/>
        <v>3333</v>
      </c>
      <c r="AY51" s="189" t="str">
        <f>IFERROR(VLOOKUP(AW51,descf,2,0),"")</f>
        <v>Polos</v>
      </c>
      <c r="AZ51" s="189" t="str">
        <f>IF($B51="alu",(VLOOKUP(AX51,descfr,2,0)),(VLOOKUP(AX51,desce,2,0)))</f>
        <v xml:space="preserve"> -</v>
      </c>
      <c r="BA51" s="196" t="str">
        <f>IF($R51=0,CONCATENATE(0,")"," ",$H51," ",$J51),CONCATENATE(VLOOKUP(H51,tabprt,2,0),")",$H51,"_",AY51))</f>
        <v>483)HPL Lembaran_Polos</v>
      </c>
      <c r="BB51" s="629" t="str">
        <f>IF($B51="…",CONCATENATE(0,$E51,")"," ",$H51),IF($B51="kc",CONCATENATE(VLOOKUP(H51,tabprt,2,0),")",$H51," ",$R51," ",$S51,"mm"," ","-"," "," ",";"," ",$AZ51,"  ",$I51),IF($B51="alu",CONCATENATE(VLOOKUP(H51,tabprt,2,0),")",$H51," ",$R51," ",$S51,"mm"," ","-"," "," ",";"," ",$AZ51,"  ",$I51),CONCATENATE(VLOOKUP(H51,tabprt,2,0),")",$H51," ",$R51," ",$S51,"mm"," ","-"," ",$AY51," ",";"," ",$AZ51,"  ",$I51))))</f>
        <v xml:space="preserve">483)HPL Lembaran WY_5216_D(V) 1mm - Polos ;  -  </v>
      </c>
      <c r="BC51" s="190"/>
      <c r="BD51" s="510">
        <f t="shared" si="34"/>
        <v>0</v>
      </c>
      <c r="BE51" s="510">
        <f t="shared" si="35"/>
        <v>0</v>
      </c>
      <c r="BF51" s="177">
        <f>IFERROR(INDEX((std_j_sikufr_prt),MATCH($H51,Prt,0)),"")*Q51</f>
        <v>0</v>
      </c>
      <c r="BG51" s="177">
        <f>IFERROR(INDEX((std_j_screwjf_prt),MATCH($H51,Prt,0)),"")*Q51</f>
        <v>0</v>
      </c>
      <c r="BH51" s="166">
        <f>IF($AM51=0,0,1)*Q51</f>
        <v>0</v>
      </c>
      <c r="BI51" s="474">
        <f>IF($AO51=0,0,IF(J51&lt;=fp,2,(ROUNDUP(J51/fp,0))))*Q51</f>
        <v>0</v>
      </c>
      <c r="BJ51" s="166">
        <f>IF($AN51=0,0,1)*Q51</f>
        <v>0</v>
      </c>
      <c r="BK51" s="474">
        <f t="shared" si="36"/>
        <v>4.08</v>
      </c>
      <c r="BL51" s="474">
        <f t="shared" si="37"/>
        <v>0.27</v>
      </c>
      <c r="BM51" s="474">
        <f>IF(R51=0,0,((2*((J51+tol_p)+(L51+tol_p))*Q51)/1000))</f>
        <v>8.6999999999999993</v>
      </c>
      <c r="BN51" s="166">
        <f>((J51*L51)/1000000)*Q51</f>
        <v>0.38</v>
      </c>
      <c r="BO51" s="166" t="str">
        <f>CONCATENATE(R51,"_",S51)</f>
        <v>WY_5216_D(V)_1</v>
      </c>
      <c r="BP51" s="204" t="str">
        <f>CONCATENATE(R51," ",S51," ",AY51)</f>
        <v>WY_5216_D(V) 1 Polos</v>
      </c>
      <c r="BQ51" s="475">
        <f>((J51*L51*Q51)/(2400*1200))+10%</f>
        <v>0.23194444444444445</v>
      </c>
      <c r="BR51" s="205">
        <f>IFERROR(INDEX((std_jml_anodize_per_uk),MATCH($H51,Prt,0)),"")</f>
        <v>0</v>
      </c>
      <c r="BS51" s="509">
        <f t="shared" si="38"/>
        <v>0</v>
      </c>
      <c r="BT51" s="509">
        <f t="shared" si="39"/>
        <v>0</v>
      </c>
      <c r="BU51" s="459">
        <f>BF51*$Q51</f>
        <v>0</v>
      </c>
      <c r="BV51" s="459">
        <f>BG51*$Q51</f>
        <v>0</v>
      </c>
      <c r="BW51" s="1">
        <f>+((J51*L51)*Q51)/1000000</f>
        <v>0.38</v>
      </c>
      <c r="BX51" s="1">
        <f>+((J51*L51*N51)*Q51)/1000000000</f>
        <v>3.8000000000000002E-4</v>
      </c>
      <c r="BY51" s="546" t="str">
        <f t="shared" si="40"/>
        <v/>
      </c>
      <c r="BZ51" s="546" t="str">
        <f t="shared" si="41"/>
        <v/>
      </c>
      <c r="CA51" s="546" t="str">
        <f t="shared" si="42"/>
        <v/>
      </c>
      <c r="CB51" s="546" t="str">
        <f t="shared" si="43"/>
        <v/>
      </c>
      <c r="CC51" s="728" t="str">
        <f>IFERROR((J51-CA51-CB51),"")</f>
        <v/>
      </c>
      <c r="CD51" s="728" t="str">
        <f>IFERROR((L51-BY51-BZ51),"")</f>
        <v/>
      </c>
      <c r="CE51" s="170" t="str">
        <f>IFERROR((CONCATENATE(CC51," ","x"," ",CD51," ","x"," ",N51)),"")</f>
        <v xml:space="preserve"> x  x 1</v>
      </c>
      <c r="CF51" t="str">
        <f>IF(F51=1,(CONCATENATE(J51,";",L51,";",Q51,";",BP51,";",N51,";",H51,";","-1",";",AF51,";",CA51,";",AG51,";",CB51,";",AD51,";",BY51,";",AE51,";",BZ51))," ")</f>
        <v>2000;95;2;WY_5216_D(V) 1 Polos;1;HPL Lembaran;-1; ;; ;; ;; ;</v>
      </c>
    </row>
    <row r="52" spans="1:84" customFormat="1">
      <c r="A52" s="701"/>
      <c r="B52" s="447"/>
      <c r="C52" s="161"/>
      <c r="D52" s="162"/>
      <c r="E52" s="1"/>
      <c r="F52" s="811"/>
      <c r="G52" s="440"/>
      <c r="H52" s="1"/>
      <c r="I52" s="55"/>
      <c r="J52" s="170"/>
      <c r="K52" s="1"/>
      <c r="L52" s="170"/>
      <c r="M52" s="1"/>
      <c r="N52" s="458"/>
      <c r="O52" s="170"/>
      <c r="P52" s="441"/>
      <c r="Q52" s="55"/>
      <c r="R52" s="177"/>
      <c r="S52" s="454"/>
      <c r="T52" s="178"/>
      <c r="U52" s="178"/>
      <c r="V52" s="179"/>
      <c r="W52" s="180"/>
      <c r="X52" s="179"/>
      <c r="Y52" s="180"/>
      <c r="Z52" s="178"/>
      <c r="AA52" s="178"/>
      <c r="AB52" s="178"/>
      <c r="AC52" s="178"/>
      <c r="AD52" s="182"/>
      <c r="AE52" s="182"/>
      <c r="AF52" s="182"/>
      <c r="AG52" s="182"/>
      <c r="AH52" s="401"/>
      <c r="AI52" s="401"/>
      <c r="AJ52" s="401"/>
      <c r="AK52" s="401"/>
      <c r="AL52" s="401"/>
      <c r="AM52" s="189"/>
      <c r="AN52" s="829"/>
      <c r="AO52" s="830"/>
      <c r="AP52" s="401"/>
      <c r="AQ52" s="401"/>
      <c r="AR52" s="401"/>
      <c r="AS52" s="401"/>
      <c r="AT52" s="403"/>
      <c r="AU52" s="403"/>
      <c r="AV52" s="170"/>
      <c r="AW52" s="166"/>
      <c r="AX52" s="166"/>
      <c r="AY52" s="189"/>
      <c r="AZ52" s="189"/>
      <c r="BA52" s="196"/>
      <c r="BB52" s="629"/>
      <c r="BC52" s="190"/>
      <c r="BD52" s="510"/>
      <c r="BE52" s="510"/>
      <c r="BF52" s="177"/>
      <c r="BG52" s="177"/>
      <c r="BH52" s="166"/>
      <c r="BI52" s="474"/>
      <c r="BJ52" s="166"/>
      <c r="BK52" s="474"/>
      <c r="BL52" s="474"/>
      <c r="BM52" s="474"/>
      <c r="BN52" s="166"/>
      <c r="BO52" s="166"/>
      <c r="BP52" s="204"/>
      <c r="BQ52" s="475"/>
      <c r="BR52" s="205"/>
      <c r="BS52" s="509"/>
      <c r="BT52" s="509"/>
      <c r="BU52" s="459"/>
      <c r="BV52" s="459"/>
      <c r="BW52" s="1"/>
      <c r="BX52" s="1"/>
      <c r="BY52" s="546"/>
      <c r="BZ52" s="546"/>
      <c r="CA52" s="546"/>
      <c r="CB52" s="546"/>
      <c r="CC52" s="728"/>
      <c r="CD52" s="728"/>
      <c r="CE52" s="170"/>
    </row>
    <row r="53" spans="1:84" customFormat="1">
      <c r="A53" s="701" t="str">
        <f>IFERROR(INDEX((ID),MATCH(H53,BARANG,0)),"…")</f>
        <v>…</v>
      </c>
      <c r="B53" s="447" t="str">
        <f t="shared" si="25"/>
        <v>…</v>
      </c>
      <c r="C53" s="1" t="s">
        <v>2605</v>
      </c>
      <c r="D53" s="538" t="str">
        <f>(INDEX(KS_Set,MATCH($H53,Set_prt,0)))</f>
        <v>[ks]</v>
      </c>
      <c r="E53" s="1" t="s">
        <v>2166</v>
      </c>
      <c r="F53" s="811" t="str">
        <f t="shared" si="26"/>
        <v/>
      </c>
      <c r="G53" s="440" t="str">
        <f t="shared" si="27"/>
        <v>•</v>
      </c>
      <c r="H53" s="1" t="s">
        <v>4703</v>
      </c>
      <c r="J53" s="171">
        <v>1490</v>
      </c>
      <c r="K53" s="55" t="s">
        <v>2137</v>
      </c>
      <c r="L53" s="171">
        <v>95</v>
      </c>
      <c r="M53" s="55" t="s">
        <v>2137</v>
      </c>
      <c r="N53" s="172">
        <v>75</v>
      </c>
      <c r="O53" s="170" t="str">
        <f>CONCATENATE(J53," ",K53," ",L53," ",M53," ",N53)</f>
        <v>1490 x 95 x 75</v>
      </c>
      <c r="P53" s="441"/>
      <c r="Q53" s="172">
        <v>1</v>
      </c>
      <c r="R53" s="181"/>
      <c r="S53" s="455"/>
      <c r="T53" s="170"/>
      <c r="U53" s="170"/>
      <c r="V53" s="1"/>
      <c r="W53" s="173"/>
      <c r="X53" s="1"/>
      <c r="Y53" s="166"/>
      <c r="Z53" s="170"/>
      <c r="AA53" s="170"/>
      <c r="AB53" s="170"/>
      <c r="AC53" s="170"/>
      <c r="AD53" s="182" t="str">
        <f t="shared" ref="AD53:AG55" si="44">IF($B53="alu",(INDEX((Fr),MATCH(Z53,cfr,0))),INDEX((te),MATCH(Z53,cte,0)))</f>
        <v xml:space="preserve"> </v>
      </c>
      <c r="AE53" s="182" t="str">
        <f t="shared" si="44"/>
        <v xml:space="preserve"> </v>
      </c>
      <c r="AF53" s="182" t="str">
        <f t="shared" si="44"/>
        <v xml:space="preserve"> </v>
      </c>
      <c r="AG53" s="182" t="str">
        <f t="shared" si="44"/>
        <v xml:space="preserve"> </v>
      </c>
      <c r="AH53" s="189"/>
      <c r="AI53" s="189"/>
      <c r="AJ53" s="189"/>
      <c r="AK53" s="401" t="str">
        <f t="shared" si="29"/>
        <v/>
      </c>
      <c r="AL53" s="401" t="str">
        <f t="shared" si="30"/>
        <v/>
      </c>
      <c r="AM53" s="189"/>
      <c r="AN53" s="782"/>
      <c r="AO53" s="189"/>
      <c r="AP53" s="401" t="str">
        <f t="shared" si="31"/>
        <v/>
      </c>
      <c r="AQ53" s="401" t="str">
        <f t="shared" si="32"/>
        <v/>
      </c>
      <c r="AR53" s="401" t="str">
        <f>IFERROR(INDEX((std_anodizeh_proses),MATCH($I53,pk,0)),"")</f>
        <v/>
      </c>
      <c r="AS53" s="188"/>
      <c r="AT53" s="1"/>
      <c r="AU53" s="403" t="str">
        <f>IF($AS53=0,"",Q53*BR53)</f>
        <v/>
      </c>
      <c r="AV53" s="1"/>
      <c r="AW53" s="166"/>
      <c r="AX53" s="166" t="str">
        <f t="shared" si="33"/>
        <v>3333</v>
      </c>
      <c r="AY53" s="189" t="str">
        <f>IFERROR(VLOOKUP(AW53,descf,2,0),"")</f>
        <v/>
      </c>
      <c r="AZ53" s="189" t="str">
        <f>IF($B53="alu",(VLOOKUP(AX53,descfr,2,0)),(VLOOKUP(AX53,desce,2,0)))</f>
        <v xml:space="preserve"> -</v>
      </c>
      <c r="BA53" s="196" t="str">
        <f>IF($R53=0,CONCATENATE(0,")"," ",$H53," ",$J53),CONCATENATE(VLOOKUP(H53,tabprt,2,0),")",$H53,"_",AY53))</f>
        <v>0) End Panel Rangka nat Duco (rakit tukang) 1490</v>
      </c>
      <c r="BB53" s="629" t="str">
        <f>IF($B53="…",CONCATENATE(0,$E53,")"," ",$H53),IF($B53="kc",CONCATENATE(VLOOKUP(H53,tabprt,2,0),")",$H53," ",$R53," ",$S53,"mm"," ","-"," "," ",";"," ",$AZ53,"  ",$I53),IF($B53="alu",CONCATENATE(VLOOKUP(H53,tabprt,2,0),")",$H53," ",$R53," ",$S53,"mm"," ","-"," "," ",";"," ",$AZ53,"  ",$I53),CONCATENATE(VLOOKUP(H53,tabprt,2,0),")",$H53," ",$R53," ",$S53,"mm"," ","-"," ",$AY53," ",";"," ",$AZ53,"  ",$I53))))</f>
        <v>0A) End Panel Rangka nat Duco (rakit tukang)</v>
      </c>
      <c r="BC53" s="197"/>
      <c r="BD53" s="510" t="str">
        <f t="shared" si="34"/>
        <v/>
      </c>
      <c r="BE53" s="510" t="str">
        <f t="shared" si="35"/>
        <v/>
      </c>
      <c r="BF53" s="177"/>
      <c r="BG53" s="177"/>
      <c r="BH53" s="166">
        <f>IF($AM53=0,0,1)*Q53</f>
        <v>0</v>
      </c>
      <c r="BI53" s="474">
        <f>IF($AO53=0,0,IF(J53&lt;=fp,2,(ROUNDUP(J53/fp,0))))*Q53</f>
        <v>0</v>
      </c>
      <c r="BJ53" s="166">
        <f>IF($AN53=0,0,1)*Q53</f>
        <v>0</v>
      </c>
      <c r="BK53" s="474">
        <f t="shared" si="36"/>
        <v>1.53</v>
      </c>
      <c r="BL53" s="474">
        <f t="shared" si="37"/>
        <v>0.13500000000000001</v>
      </c>
      <c r="BM53" s="474">
        <f>IF(R53=0,0,((2*((J53+tol_p)+(L53+tol_p))*Q53)/1000))</f>
        <v>0</v>
      </c>
      <c r="BN53" s="166"/>
      <c r="BO53" s="166" t="str">
        <f>CONCATENATE(R53,"_",S53)</f>
        <v>_</v>
      </c>
      <c r="BP53" s="204" t="str">
        <f>CONCATENATE(R53," ",S53," ",AY53)</f>
        <v xml:space="preserve">  </v>
      </c>
      <c r="BQ53" s="475">
        <f>((J53*L53*Q53)/(2400*1200))+10%</f>
        <v>0.14914930555555556</v>
      </c>
      <c r="BR53" s="205" t="str">
        <f>IFERROR(INDEX((std_jml_anodize_per_uk),MATCH($H53,Prt,0)),"")</f>
        <v/>
      </c>
      <c r="BS53" s="509">
        <f t="shared" si="38"/>
        <v>2</v>
      </c>
      <c r="BT53" s="509">
        <f t="shared" si="39"/>
        <v>2</v>
      </c>
      <c r="BU53" s="459"/>
      <c r="BV53" s="459"/>
      <c r="BW53" s="1">
        <f>+((J53*L53)*Q53)/1000000</f>
        <v>0.14155000000000001</v>
      </c>
      <c r="BX53" s="1">
        <f>+((J53*L53*N53)*Q53)/1000000000</f>
        <v>1.0616250000000001E-2</v>
      </c>
      <c r="BY53" s="546" t="str">
        <f t="shared" si="40"/>
        <v/>
      </c>
      <c r="BZ53" s="546" t="str">
        <f t="shared" si="41"/>
        <v/>
      </c>
      <c r="CA53" s="546" t="str">
        <f t="shared" si="42"/>
        <v/>
      </c>
      <c r="CB53" s="546" t="str">
        <f t="shared" si="43"/>
        <v/>
      </c>
      <c r="CC53" s="728" t="str">
        <f>IFERROR((J53-CA53-CB53),"")</f>
        <v/>
      </c>
      <c r="CD53" s="728" t="str">
        <f>IFERROR((L53-BY53-BZ53),"")</f>
        <v/>
      </c>
      <c r="CE53" s="170" t="str">
        <f>IFERROR((CONCATENATE(CC53," ","x"," ",CD53," ","x"," ",N53)),"")</f>
        <v xml:space="preserve"> x  x 75</v>
      </c>
      <c r="CF53" t="str">
        <f>IF(F53=1,(CONCATENATE(J53,";",L53,";",Q53,";",BP53,";",N53,";",H53,";","-1",";",AF53,";",CA53,";",AG53,";",CB53,";",AD53,";",BY53,";",AE53,";",BZ53))," ")</f>
        <v xml:space="preserve"> </v>
      </c>
    </row>
    <row r="54" spans="1:84" customFormat="1">
      <c r="A54" s="701" t="str">
        <f>IFERROR(INDEX((ID),MATCH(H54,BARANG,0)),"…")</f>
        <v>…</v>
      </c>
      <c r="B54" s="447" t="str">
        <f t="shared" si="25"/>
        <v>pintu</v>
      </c>
      <c r="C54" s="161" t="s">
        <v>1472</v>
      </c>
      <c r="D54" s="162" t="str">
        <f>IFERROR(INDEX((KS),MATCH($H54,Prt,0)),"")</f>
        <v>KS</v>
      </c>
      <c r="E54" s="1" t="s">
        <v>2166</v>
      </c>
      <c r="F54" s="811">
        <f t="shared" si="26"/>
        <v>1</v>
      </c>
      <c r="G54" s="440" t="str">
        <f t="shared" si="27"/>
        <v>...</v>
      </c>
      <c r="H54" s="1" t="s">
        <v>1833</v>
      </c>
      <c r="I54" s="55"/>
      <c r="J54" s="170">
        <f>+J53</f>
        <v>1490</v>
      </c>
      <c r="K54" s="1" t="s">
        <v>2137</v>
      </c>
      <c r="L54" s="170">
        <f>+L53</f>
        <v>95</v>
      </c>
      <c r="M54" s="1" t="s">
        <v>2137</v>
      </c>
      <c r="N54" s="458">
        <f>+(S54+W54+Y54)</f>
        <v>18.5</v>
      </c>
      <c r="O54" s="170" t="str">
        <f>CONCATENATE(J54," ",K54," ",L54," ",M54," ",N54)</f>
        <v>1490 x 95 x 18,5</v>
      </c>
      <c r="P54" s="441">
        <v>2</v>
      </c>
      <c r="Q54" s="55">
        <f>+P54*Q53</f>
        <v>2</v>
      </c>
      <c r="R54" s="177" t="str">
        <f>IFERROR(INDEX((std_bhn_prt),MATCH($H54,Prt,0)),"")</f>
        <v>Ply</v>
      </c>
      <c r="S54" s="454">
        <v>18</v>
      </c>
      <c r="T54" s="178">
        <v>7</v>
      </c>
      <c r="U54" s="178">
        <f>INDEX((std_lapisan_dalam_prt),MATCH($H54,Prt,0))</f>
        <v>0</v>
      </c>
      <c r="V54" s="179" t="str">
        <f>IFERROR(INDEX((tf),MATCH(T54,ctf,0)),"")</f>
        <v>Duco</v>
      </c>
      <c r="W54" s="180">
        <f>IFERROR(INDEX((tebal_lapisan),MATCH($V54,tf,0)),"")</f>
        <v>0.5</v>
      </c>
      <c r="X54" s="179" t="str">
        <f>IFERROR(INDEX((tf),MATCH(U54,ctf,0)),"")</f>
        <v>Polos</v>
      </c>
      <c r="Y54" s="180">
        <f>IFERROR(INDEX((tebal_lapisan),MATCH($X54,tf,0)),"")</f>
        <v>0</v>
      </c>
      <c r="Z54" s="178">
        <f>INDEX((std_edg_P1_prt),MATCH($H54,Prt,0))</f>
        <v>0</v>
      </c>
      <c r="AA54" s="178">
        <f>INDEX((std_edg_P2_prt),MATCH($H54,Prt,0))</f>
        <v>0</v>
      </c>
      <c r="AB54" s="178">
        <f>INDEX((std_edg_L1_prt),MATCH($H54,Prt,0))</f>
        <v>0</v>
      </c>
      <c r="AC54" s="178">
        <f>INDEX((std_edg_L2_prt),MATCH($H54,Prt,0))</f>
        <v>0</v>
      </c>
      <c r="AD54" s="182" t="str">
        <f t="shared" si="44"/>
        <v xml:space="preserve"> </v>
      </c>
      <c r="AE54" s="182" t="str">
        <f t="shared" si="44"/>
        <v xml:space="preserve"> </v>
      </c>
      <c r="AF54" s="182" t="str">
        <f t="shared" si="44"/>
        <v xml:space="preserve"> </v>
      </c>
      <c r="AG54" s="182" t="str">
        <f t="shared" si="44"/>
        <v xml:space="preserve"> </v>
      </c>
      <c r="AH54" s="401">
        <f>IFERROR(INDEX((std_profil3_prt),MATCH($H54,Prt,0)),"")</f>
        <v>0</v>
      </c>
      <c r="AI54" s="401">
        <f>IFERROR(INDEX((std_profil2_prt),MATCH($H54,Prt,0)),"")</f>
        <v>0</v>
      </c>
      <c r="AJ54" s="401">
        <f>IFERROR(INDEX((std_profil_prt),MATCH($H54,Prt,0)),"")</f>
        <v>0</v>
      </c>
      <c r="AK54" s="401">
        <f t="shared" si="29"/>
        <v>0</v>
      </c>
      <c r="AL54" s="401">
        <f t="shared" si="30"/>
        <v>0</v>
      </c>
      <c r="AM54" s="189"/>
      <c r="AN54" s="829">
        <f>IFERROR(INDEX((std_rel_prt),MATCH($H54,Prt,0)),"")</f>
        <v>0</v>
      </c>
      <c r="AO54" s="830">
        <f>IFERROR(INDEX((std_engsel_prt),MATCH($H54,Prt,0)),"")</f>
        <v>0</v>
      </c>
      <c r="AP54" s="401" t="str">
        <f t="shared" si="31"/>
        <v/>
      </c>
      <c r="AQ54" s="401" t="str">
        <f t="shared" si="32"/>
        <v/>
      </c>
      <c r="AR54" s="401" t="str">
        <f>edging1</f>
        <v>Edg_EAW_5216D1</v>
      </c>
      <c r="AS54" s="401">
        <f>IFERROR(INDEX((std_anodize_per_ukuran),MATCH($H54,Prt,0)),"")</f>
        <v>0</v>
      </c>
      <c r="AT54" s="403" t="str">
        <f>IF($AS54=edging7,L54,IF($AS54=edging8,L54,IF($AS54=edging9,L54,IF($AS54=Hand1,J53,IF($AS54=Hand2,L53,IF($AS54=hand3,"diisi manual",IF($AS54=hand4,"diisi manual",IF($AS54=hand5,"diisi manual",IF($AS54=mled02,J54,IF($AS54=mprf1,J54,IF($AS54=mlis1,J54,"")))))))))))</f>
        <v/>
      </c>
      <c r="AU54" s="403">
        <f>IF($AS54="","",Q54*BR54)</f>
        <v>0</v>
      </c>
      <c r="AV54" s="170"/>
      <c r="AW54" s="166" t="str">
        <f>CONCATENATE(VLOOKUP($V54,tabtf,2,0),VLOOKUP($X54,tabtf,2,0))</f>
        <v>123</v>
      </c>
      <c r="AX54" s="166" t="str">
        <f t="shared" si="33"/>
        <v>3333</v>
      </c>
      <c r="AY54" s="189" t="str">
        <f>IFERROR(VLOOKUP(AW54,descf,2,0),"")</f>
        <v>Duco_1mk_Polos</v>
      </c>
      <c r="AZ54" s="189" t="str">
        <f>IF($B54="alu",(VLOOKUP(AX54,descfr,2,0)),(VLOOKUP(AX54,desce,2,0)))</f>
        <v xml:space="preserve"> -</v>
      </c>
      <c r="BA54" s="196" t="str">
        <f>IF($R54=0,CONCATENATE(0,")"," ",$H54," ",$J54),CONCATENATE(VLOOKUP(H54,tabprt,2,0),")",$H54,"_",AY54))</f>
        <v>379)End Panel Rangka_Duco_1mk_Polos</v>
      </c>
      <c r="BB54" s="629" t="str">
        <f>IF($B54="…",CONCATENATE(0,$E54,")"," ",$H54),IF($B54="kc",CONCATENATE(VLOOKUP(H54,tabprt,2,0),")",$H54," ",$R54," ",$S54,"mm"," ","-"," "," ",";"," ",$AZ54,"  ",$I54),IF($B54="alu",CONCATENATE(VLOOKUP(H54,tabprt,2,0),")",$H54," ",$R54," ",$S54,"mm"," ","-"," "," ",";"," ",$AZ54,"  ",$I54),CONCATENATE(VLOOKUP(H54,tabprt,2,0),")",$H54," ",$R54," ",$S54,"mm"," ","-"," ",$AY54," ",";"," ",$AZ54,"  ",$I54))))</f>
        <v xml:space="preserve">379)End Panel Rangka Ply 18mm - Duco_1mk_Polos ;  -  </v>
      </c>
      <c r="BC54" s="190"/>
      <c r="BD54" s="510">
        <f t="shared" si="34"/>
        <v>0</v>
      </c>
      <c r="BE54" s="510">
        <f t="shared" si="35"/>
        <v>0</v>
      </c>
      <c r="BF54" s="177">
        <f>IFERROR(INDEX((std_j_sikufr_prt),MATCH($H54,Prt,0)),"")*Q54</f>
        <v>0</v>
      </c>
      <c r="BG54" s="177">
        <f>IFERROR(INDEX((std_j_screwjf_prt),MATCH($H54,Prt,0)),"")*Q54</f>
        <v>0</v>
      </c>
      <c r="BH54" s="166">
        <f>IF($AM54=0,0,1)*Q54</f>
        <v>0</v>
      </c>
      <c r="BI54" s="474">
        <f>IF($AO54=0,0,IF(J54&lt;=fp,2,(ROUNDUP(J54/fp,0))))*Q54</f>
        <v>0</v>
      </c>
      <c r="BJ54" s="166">
        <f>IF($AN54=0,0,1)*Q54</f>
        <v>0</v>
      </c>
      <c r="BK54" s="474">
        <f t="shared" si="36"/>
        <v>3.06</v>
      </c>
      <c r="BL54" s="474">
        <f t="shared" si="37"/>
        <v>0.27</v>
      </c>
      <c r="BM54" s="474">
        <f>IF(R54=0,0,((2*((J54+tol_p)+(L54+tol_p))*Q54)/1000))</f>
        <v>6.66</v>
      </c>
      <c r="BN54" s="166">
        <f>((J54*L54)/1000000)*Q54</f>
        <v>0.28310000000000002</v>
      </c>
      <c r="BO54" s="166" t="str">
        <f>CONCATENATE(R54,"_",S54)</f>
        <v>Ply_18</v>
      </c>
      <c r="BP54" s="204" t="str">
        <f>CONCATENATE(R54," ",S54," ",AY54)</f>
        <v>Ply 18 Duco_1mk_Polos</v>
      </c>
      <c r="BQ54" s="475">
        <f>((J54*L54*Q54)/(2400*1200))+10%</f>
        <v>0.19829861111111113</v>
      </c>
      <c r="BR54" s="205">
        <f>IFERROR(INDEX((std_jml_anodize_per_uk),MATCH($H54,Prt,0)),"")</f>
        <v>0</v>
      </c>
      <c r="BS54" s="509">
        <f t="shared" si="38"/>
        <v>0</v>
      </c>
      <c r="BT54" s="509">
        <f t="shared" si="39"/>
        <v>0</v>
      </c>
      <c r="BU54" s="459">
        <f>BF54*$Q54</f>
        <v>0</v>
      </c>
      <c r="BV54" s="459">
        <f>BG54*$Q54</f>
        <v>0</v>
      </c>
      <c r="BW54" s="1">
        <f>+((J54*L54)*Q54)/1000000</f>
        <v>0.28310000000000002</v>
      </c>
      <c r="BX54" s="1">
        <f>+((J54*L54*N54)*Q54)/1000000000</f>
        <v>5.23735E-3</v>
      </c>
      <c r="BY54" s="546" t="str">
        <f t="shared" si="40"/>
        <v/>
      </c>
      <c r="BZ54" s="546" t="str">
        <f t="shared" si="41"/>
        <v/>
      </c>
      <c r="CA54" s="546" t="str">
        <f t="shared" si="42"/>
        <v/>
      </c>
      <c r="CB54" s="546" t="str">
        <f t="shared" si="43"/>
        <v/>
      </c>
      <c r="CC54" s="728" t="str">
        <f>IFERROR((J54-CA54-CB54),"")</f>
        <v/>
      </c>
      <c r="CD54" s="728" t="str">
        <f>IFERROR((L54-BY54-BZ54),"")</f>
        <v/>
      </c>
      <c r="CE54" s="170" t="str">
        <f>IFERROR((CONCATENATE(CC54," ","x"," ",CD54," ","x"," ",N54)),"")</f>
        <v xml:space="preserve"> x  x 18,5</v>
      </c>
      <c r="CF54" t="str">
        <f>IF(F54=1,(CONCATENATE(J54,";",L54,";",Q54,";",BP54,";",N54,";",H54,";","-1",";",AF54,";",CA54,";",AG54,";",CB54,";",AD54,";",BY54,";",AE54,";",BZ54))," ")</f>
        <v>1490;95;2;Ply 18 Duco_1mk_Polos;18,5;End Panel Rangka;-1; ;; ;; ;; ;</v>
      </c>
    </row>
    <row r="55" spans="1:84" customFormat="1">
      <c r="A55" s="701" t="str">
        <f>IFERROR(INDEX((ID),MATCH(H55,BARANG,0)),"…")</f>
        <v>…</v>
      </c>
      <c r="B55" s="447" t="str">
        <f t="shared" si="25"/>
        <v>dc man</v>
      </c>
      <c r="C55" s="161" t="s">
        <v>1472</v>
      </c>
      <c r="D55" s="162" t="str">
        <f>IFERROR(INDEX((KS),MATCH($H55,Prt,0)),"")</f>
        <v>─</v>
      </c>
      <c r="E55" s="1" t="s">
        <v>2166</v>
      </c>
      <c r="F55" s="811">
        <f t="shared" si="26"/>
        <v>1</v>
      </c>
      <c r="G55" s="440" t="str">
        <f t="shared" si="27"/>
        <v>...</v>
      </c>
      <c r="H55" s="1" t="s">
        <v>1850</v>
      </c>
      <c r="I55" s="55"/>
      <c r="J55" s="170">
        <f>+J53</f>
        <v>1490</v>
      </c>
      <c r="K55" s="1" t="s">
        <v>2137</v>
      </c>
      <c r="L55" s="170">
        <f>+L53</f>
        <v>95</v>
      </c>
      <c r="M55" s="1" t="s">
        <v>2137</v>
      </c>
      <c r="N55" s="458">
        <f>+(S55+W55+Y55)</f>
        <v>1</v>
      </c>
      <c r="O55" s="170" t="str">
        <f>CONCATENATE(J55," ",K55," ",L55," ",M55," ",N55)</f>
        <v>1490 x 95 x 1</v>
      </c>
      <c r="P55" s="441">
        <v>2</v>
      </c>
      <c r="Q55" s="55">
        <f>+P55*Q53</f>
        <v>2</v>
      </c>
      <c r="R55" s="177" t="str">
        <f>IFERROR(INDEX((std_bhn_prt),MATCH($H55,Prt,0)),"")</f>
        <v>WY_5216_D(V)</v>
      </c>
      <c r="S55" s="454">
        <f>IFERROR(INDEX((std_Tbahan_prt),MATCH($H55,Prt,0)),"")</f>
        <v>1</v>
      </c>
      <c r="T55" s="178">
        <f>INDEX((std_lapisan_luar_prt),MATCH($H55,Prt,0))</f>
        <v>0</v>
      </c>
      <c r="U55" s="178">
        <f>INDEX((std_lapisan_dalam_prt),MATCH($H55,Prt,0))</f>
        <v>0</v>
      </c>
      <c r="V55" s="179" t="str">
        <f>IFERROR(INDEX((tf),MATCH(T55,ctf,0)),"")</f>
        <v>Polos</v>
      </c>
      <c r="W55" s="180">
        <f>IFERROR(INDEX((tebal_lapisan),MATCH($V55,tf,0)),"")</f>
        <v>0</v>
      </c>
      <c r="X55" s="179" t="str">
        <f>IFERROR(INDEX((tf),MATCH(U55,ctf,0)),"")</f>
        <v>Polos</v>
      </c>
      <c r="Y55" s="180">
        <f>IFERROR(INDEX((tebal_lapisan),MATCH($X55,tf,0)),"")</f>
        <v>0</v>
      </c>
      <c r="Z55" s="178">
        <f>INDEX((std_edg_P1_prt),MATCH($H55,Prt,0))</f>
        <v>0</v>
      </c>
      <c r="AA55" s="178">
        <f>INDEX((std_edg_P2_prt),MATCH($H55,Prt,0))</f>
        <v>0</v>
      </c>
      <c r="AB55" s="178">
        <f>INDEX((std_edg_L1_prt),MATCH($H55,Prt,0))</f>
        <v>0</v>
      </c>
      <c r="AC55" s="178">
        <f>INDEX((std_edg_L2_prt),MATCH($H55,Prt,0))</f>
        <v>0</v>
      </c>
      <c r="AD55" s="182" t="str">
        <f t="shared" si="44"/>
        <v xml:space="preserve"> </v>
      </c>
      <c r="AE55" s="182" t="str">
        <f t="shared" si="44"/>
        <v xml:space="preserve"> </v>
      </c>
      <c r="AF55" s="182" t="str">
        <f t="shared" si="44"/>
        <v xml:space="preserve"> </v>
      </c>
      <c r="AG55" s="182" t="str">
        <f t="shared" si="44"/>
        <v xml:space="preserve"> </v>
      </c>
      <c r="AH55" s="401">
        <f>IFERROR(INDEX((std_profil3_prt),MATCH($H55,Prt,0)),"")</f>
        <v>0</v>
      </c>
      <c r="AI55" s="401">
        <f>IFERROR(INDEX((std_profil2_prt),MATCH($H55,Prt,0)),"")</f>
        <v>0</v>
      </c>
      <c r="AJ55" s="401">
        <f>IFERROR(INDEX((std_profil_prt),MATCH($H55,Prt,0)),"")</f>
        <v>0</v>
      </c>
      <c r="AK55" s="401">
        <f t="shared" si="29"/>
        <v>0</v>
      </c>
      <c r="AL55" s="401">
        <f t="shared" si="30"/>
        <v>0</v>
      </c>
      <c r="AM55" s="189"/>
      <c r="AN55" s="829">
        <f>IFERROR(INDEX((std_rel_prt),MATCH($H55,Prt,0)),"")</f>
        <v>0</v>
      </c>
      <c r="AO55" s="830">
        <f>IFERROR(INDEX((std_engsel_prt),MATCH($H55,Prt,0)),"")</f>
        <v>0</v>
      </c>
      <c r="AP55" s="401" t="str">
        <f t="shared" si="31"/>
        <v/>
      </c>
      <c r="AQ55" s="401" t="str">
        <f t="shared" si="32"/>
        <v/>
      </c>
      <c r="AR55" s="401" t="str">
        <f>IFERROR(INDEX((std_anodizeh_proses),MATCH($I55,pk,0)),"")</f>
        <v/>
      </c>
      <c r="AS55" s="401">
        <f>IFERROR(INDEX((std_anodize_per_ukuran),MATCH($H55,Prt,0)),"")</f>
        <v>0</v>
      </c>
      <c r="AT55" s="403" t="str">
        <f>IF($AS55=edging7,L55,IF($AS55=edging8,L55,IF($AS55=edging9,L55,IF($AS55=Hand1,J54,IF($AS55=Hand2,L54,IF($AS55=hand3,"diisi manual",IF($AS55=hand4,"diisi manual",IF($AS55=hand5,"diisi manual",IF($AS55=mled02,J55,IF($AS55=mprf1,J55,IF($AS55=mlis1,J55,"")))))))))))</f>
        <v/>
      </c>
      <c r="AU55" s="403">
        <f>IF($AS55="","",Q55*BR55)</f>
        <v>0</v>
      </c>
      <c r="AV55" s="170"/>
      <c r="AW55" s="166" t="str">
        <f>CONCATENATE(VLOOKUP($V55,tabtf,2,0),VLOOKUP($X55,tabtf,2,0))</f>
        <v>33</v>
      </c>
      <c r="AX55" s="166" t="str">
        <f t="shared" si="33"/>
        <v>3333</v>
      </c>
      <c r="AY55" s="189" t="str">
        <f>IFERROR(VLOOKUP(AW55,descf,2,0),"")</f>
        <v>Polos</v>
      </c>
      <c r="AZ55" s="189" t="str">
        <f>IF($B55="alu",(VLOOKUP(AX55,descfr,2,0)),(VLOOKUP(AX55,desce,2,0)))</f>
        <v xml:space="preserve"> -</v>
      </c>
      <c r="BA55" s="196" t="str">
        <f>IF($R55=0,CONCATENATE(0,")"," ",$H55," ",$J55),CONCATENATE(VLOOKUP(H55,tabprt,2,0),")",$H55,"_",AY55))</f>
        <v>483)HPL Lembaran_Polos</v>
      </c>
      <c r="BB55" s="629" t="str">
        <f>IF($B55="…",CONCATENATE(0,$E55,")"," ",$H55),IF($B55="kc",CONCATENATE(VLOOKUP(H55,tabprt,2,0),")",$H55," ",$R55," ",$S55,"mm"," ","-"," "," ",";"," ",$AZ55,"  ",$I55),IF($B55="alu",CONCATENATE(VLOOKUP(H55,tabprt,2,0),")",$H55," ",$R55," ",$S55,"mm"," ","-"," "," ",";"," ",$AZ55,"  ",$I55),CONCATENATE(VLOOKUP(H55,tabprt,2,0),")",$H55," ",$R55," ",$S55,"mm"," ","-"," ",$AY55," ",";"," ",$AZ55,"  ",$I55))))</f>
        <v xml:space="preserve">483)HPL Lembaran WY_5216_D(V) 1mm - Polos ;  -  </v>
      </c>
      <c r="BC55" s="190"/>
      <c r="BD55" s="510">
        <f t="shared" si="34"/>
        <v>0</v>
      </c>
      <c r="BE55" s="510">
        <f t="shared" si="35"/>
        <v>0</v>
      </c>
      <c r="BF55" s="177">
        <f>IFERROR(INDEX((std_j_sikufr_prt),MATCH($H55,Prt,0)),"")*Q55</f>
        <v>0</v>
      </c>
      <c r="BG55" s="177">
        <f>IFERROR(INDEX((std_j_screwjf_prt),MATCH($H55,Prt,0)),"")*Q55</f>
        <v>0</v>
      </c>
      <c r="BH55" s="166">
        <f>IF($AM55=0,0,1)*Q55</f>
        <v>0</v>
      </c>
      <c r="BI55" s="474">
        <f>IF($AO55=0,0,IF(J55&lt;=fp,2,(ROUNDUP(J55/fp,0))))*Q55</f>
        <v>0</v>
      </c>
      <c r="BJ55" s="166">
        <f>IF($AN55=0,0,1)*Q55</f>
        <v>0</v>
      </c>
      <c r="BK55" s="474">
        <f t="shared" si="36"/>
        <v>3.06</v>
      </c>
      <c r="BL55" s="474">
        <f t="shared" si="37"/>
        <v>0.27</v>
      </c>
      <c r="BM55" s="474">
        <f>IF(R55=0,0,((2*((J55+tol_p)+(L55+tol_p))*Q55)/1000))</f>
        <v>6.66</v>
      </c>
      <c r="BN55" s="166">
        <f>((J55*L55)/1000000)*Q55</f>
        <v>0.28310000000000002</v>
      </c>
      <c r="BO55" s="166" t="str">
        <f>CONCATENATE(R55,"_",S55)</f>
        <v>WY_5216_D(V)_1</v>
      </c>
      <c r="BP55" s="204" t="str">
        <f>CONCATENATE(R55," ",S55," ",AY55)</f>
        <v>WY_5216_D(V) 1 Polos</v>
      </c>
      <c r="BQ55" s="475">
        <f>((J55*L55*Q55)/(2400*1200))+10%</f>
        <v>0.19829861111111113</v>
      </c>
      <c r="BR55" s="205">
        <f>IFERROR(INDEX((std_jml_anodize_per_uk),MATCH($H55,Prt,0)),"")</f>
        <v>0</v>
      </c>
      <c r="BS55" s="509">
        <f t="shared" si="38"/>
        <v>0</v>
      </c>
      <c r="BT55" s="509">
        <f t="shared" si="39"/>
        <v>0</v>
      </c>
      <c r="BU55" s="459">
        <f>BF55*$Q55</f>
        <v>0</v>
      </c>
      <c r="BV55" s="459">
        <f>BG55*$Q55</f>
        <v>0</v>
      </c>
      <c r="BW55" s="1">
        <f>+((J55*L55)*Q55)/1000000</f>
        <v>0.28310000000000002</v>
      </c>
      <c r="BX55" s="1">
        <f>+((J55*L55*N55)*Q55)/1000000000</f>
        <v>2.831E-4</v>
      </c>
      <c r="BY55" s="546" t="str">
        <f t="shared" si="40"/>
        <v/>
      </c>
      <c r="BZ55" s="546" t="str">
        <f t="shared" si="41"/>
        <v/>
      </c>
      <c r="CA55" s="546" t="str">
        <f t="shared" si="42"/>
        <v/>
      </c>
      <c r="CB55" s="546" t="str">
        <f t="shared" si="43"/>
        <v/>
      </c>
      <c r="CC55" s="728" t="str">
        <f>IFERROR((J55-CA55-CB55),"")</f>
        <v/>
      </c>
      <c r="CD55" s="728" t="str">
        <f>IFERROR((L55-BY55-BZ55),"")</f>
        <v/>
      </c>
      <c r="CE55" s="170" t="str">
        <f>IFERROR((CONCATENATE(CC55," ","x"," ",CD55," ","x"," ",N55)),"")</f>
        <v xml:space="preserve"> x  x 1</v>
      </c>
      <c r="CF55" t="str">
        <f>IF(F55=1,(CONCATENATE(J55,";",L55,";",Q55,";",BP55,";",N55,";",H55,";","-1",";",AF55,";",CA55,";",AG55,";",CB55,";",AD55,";",BY55,";",AE55,";",BZ55))," ")</f>
        <v>1490;95;2;WY_5216_D(V) 1 Polos;1;HPL Lembaran;-1; ;; ;; ;; ;</v>
      </c>
    </row>
    <row r="56" spans="1:84" customFormat="1">
      <c r="A56" s="701"/>
      <c r="B56" s="447"/>
      <c r="C56" s="161"/>
      <c r="D56" s="162"/>
      <c r="E56" s="1"/>
      <c r="F56" s="811"/>
      <c r="G56" s="440"/>
      <c r="H56" s="1"/>
      <c r="I56" s="55"/>
      <c r="J56" s="170"/>
      <c r="K56" s="1"/>
      <c r="L56" s="170"/>
      <c r="M56" s="1"/>
      <c r="N56" s="458"/>
      <c r="O56" s="170"/>
      <c r="P56" s="441"/>
      <c r="Q56" s="55"/>
      <c r="R56" s="177"/>
      <c r="S56" s="454"/>
      <c r="T56" s="178"/>
      <c r="U56" s="178"/>
      <c r="V56" s="179"/>
      <c r="W56" s="180"/>
      <c r="X56" s="179"/>
      <c r="Y56" s="180"/>
      <c r="Z56" s="178"/>
      <c r="AA56" s="178"/>
      <c r="AB56" s="178"/>
      <c r="AC56" s="178"/>
      <c r="AD56" s="182"/>
      <c r="AE56" s="182"/>
      <c r="AF56" s="182"/>
      <c r="AG56" s="182"/>
      <c r="AH56" s="401"/>
      <c r="AI56" s="401"/>
      <c r="AJ56" s="401"/>
      <c r="AK56" s="401"/>
      <c r="AL56" s="401"/>
      <c r="AM56" s="189"/>
      <c r="AN56" s="829"/>
      <c r="AO56" s="830"/>
      <c r="AP56" s="401"/>
      <c r="AQ56" s="401"/>
      <c r="AR56" s="401"/>
      <c r="AS56" s="401"/>
      <c r="AT56" s="403"/>
      <c r="AU56" s="403"/>
      <c r="AV56" s="170"/>
      <c r="AW56" s="166"/>
      <c r="AX56" s="166"/>
      <c r="AY56" s="189"/>
      <c r="AZ56" s="189"/>
      <c r="BA56" s="196"/>
      <c r="BB56" s="629"/>
      <c r="BC56" s="190"/>
      <c r="BD56" s="510"/>
      <c r="BE56" s="510"/>
      <c r="BF56" s="177"/>
      <c r="BG56" s="177"/>
      <c r="BH56" s="166"/>
      <c r="BI56" s="474"/>
      <c r="BJ56" s="166"/>
      <c r="BK56" s="474"/>
      <c r="BL56" s="474"/>
      <c r="BM56" s="474"/>
      <c r="BN56" s="166"/>
      <c r="BO56" s="166"/>
      <c r="BP56" s="204"/>
      <c r="BQ56" s="475"/>
      <c r="BR56" s="205"/>
      <c r="BS56" s="509"/>
      <c r="BT56" s="509"/>
      <c r="BU56" s="459"/>
      <c r="BV56" s="459"/>
      <c r="BW56" s="1"/>
      <c r="BX56" s="1"/>
      <c r="BY56" s="546"/>
      <c r="BZ56" s="546"/>
      <c r="CA56" s="546"/>
      <c r="CB56" s="546"/>
      <c r="CC56" s="728"/>
      <c r="CD56" s="728"/>
      <c r="CE56" s="170"/>
    </row>
    <row r="57" spans="1:84" customFormat="1">
      <c r="A57" s="701" t="str">
        <f>IFERROR(INDEX((ID),MATCH(H57,BARANG,0)),"…")</f>
        <v>…</v>
      </c>
      <c r="B57" s="447" t="str">
        <f t="shared" si="25"/>
        <v>…</v>
      </c>
      <c r="C57" s="1" t="s">
        <v>2605</v>
      </c>
      <c r="D57" s="538" t="str">
        <f>(INDEX(KS_Set,MATCH($H57,Set_prt,0)))</f>
        <v>[ks]</v>
      </c>
      <c r="E57" s="1" t="s">
        <v>2166</v>
      </c>
      <c r="F57" s="811" t="str">
        <f t="shared" si="26"/>
        <v/>
      </c>
      <c r="G57" s="440" t="str">
        <f t="shared" si="27"/>
        <v>•</v>
      </c>
      <c r="H57" s="1" t="s">
        <v>4703</v>
      </c>
      <c r="J57" s="171">
        <v>2000</v>
      </c>
      <c r="K57" s="55" t="s">
        <v>2137</v>
      </c>
      <c r="L57" s="171">
        <v>840</v>
      </c>
      <c r="M57" s="55" t="s">
        <v>2137</v>
      </c>
      <c r="N57" s="172">
        <v>75</v>
      </c>
      <c r="O57" s="170" t="str">
        <f>CONCATENATE(J57," ",K57," ",L57," ",M57," ",N57)</f>
        <v>2000 x 840 x 75</v>
      </c>
      <c r="P57" s="441"/>
      <c r="Q57" s="172">
        <v>1</v>
      </c>
      <c r="R57" s="181"/>
      <c r="S57" s="455"/>
      <c r="T57" s="170"/>
      <c r="U57" s="170"/>
      <c r="V57" s="1"/>
      <c r="W57" s="173"/>
      <c r="X57" s="1"/>
      <c r="Y57" s="166"/>
      <c r="Z57" s="170"/>
      <c r="AA57" s="170"/>
      <c r="AB57" s="170"/>
      <c r="AC57" s="170"/>
      <c r="AD57" s="182" t="str">
        <f t="shared" ref="AD57:AG59" si="45">IF($B57="alu",(INDEX((Fr),MATCH(Z57,cfr,0))),INDEX((te),MATCH(Z57,cte,0)))</f>
        <v xml:space="preserve"> </v>
      </c>
      <c r="AE57" s="182" t="str">
        <f t="shared" si="45"/>
        <v xml:space="preserve"> </v>
      </c>
      <c r="AF57" s="182" t="str">
        <f t="shared" si="45"/>
        <v xml:space="preserve"> </v>
      </c>
      <c r="AG57" s="182" t="str">
        <f t="shared" si="45"/>
        <v xml:space="preserve"> </v>
      </c>
      <c r="AH57" s="189"/>
      <c r="AI57" s="189"/>
      <c r="AJ57" s="189"/>
      <c r="AK57" s="401" t="str">
        <f t="shared" si="29"/>
        <v/>
      </c>
      <c r="AL57" s="401" t="str">
        <f t="shared" si="30"/>
        <v/>
      </c>
      <c r="AM57" s="189"/>
      <c r="AN57" s="782"/>
      <c r="AO57" s="189"/>
      <c r="AP57" s="401" t="str">
        <f t="shared" si="31"/>
        <v/>
      </c>
      <c r="AQ57" s="401" t="str">
        <f t="shared" si="32"/>
        <v/>
      </c>
      <c r="AR57" s="401" t="str">
        <f>IFERROR(INDEX((std_anodizeh_proses),MATCH($I57,pk,0)),"")</f>
        <v/>
      </c>
      <c r="AS57" s="188"/>
      <c r="AT57" s="1"/>
      <c r="AU57" s="403" t="str">
        <f>IF($AS57=0,"",Q57*BR57)</f>
        <v/>
      </c>
      <c r="AV57" s="1"/>
      <c r="AW57" s="166"/>
      <c r="AX57" s="166" t="str">
        <f t="shared" si="33"/>
        <v>3333</v>
      </c>
      <c r="AY57" s="189" t="str">
        <f>IFERROR(VLOOKUP(AW57,descf,2,0),"")</f>
        <v/>
      </c>
      <c r="AZ57" s="189" t="str">
        <f>IF($B57="alu",(VLOOKUP(AX57,descfr,2,0)),(VLOOKUP(AX57,desce,2,0)))</f>
        <v xml:space="preserve"> -</v>
      </c>
      <c r="BA57" s="196" t="str">
        <f>IF($R57=0,CONCATENATE(0,")"," ",$H57," ",$J57),CONCATENATE(VLOOKUP(H57,tabprt,2,0),")",$H57,"_",AY57))</f>
        <v>0) End Panel Rangka nat Duco (rakit tukang) 2000</v>
      </c>
      <c r="BB57" s="629" t="str">
        <f>IF($B57="…",CONCATENATE(0,$E57,")"," ",$H57),IF($B57="kc",CONCATENATE(VLOOKUP(H57,tabprt,2,0),")",$H57," ",$R57," ",$S57,"mm"," ","-"," "," ",";"," ",$AZ57,"  ",$I57),IF($B57="alu",CONCATENATE(VLOOKUP(H57,tabprt,2,0),")",$H57," ",$R57," ",$S57,"mm"," ","-"," "," ",";"," ",$AZ57,"  ",$I57),CONCATENATE(VLOOKUP(H57,tabprt,2,0),")",$H57," ",$R57," ",$S57,"mm"," ","-"," ",$AY57," ",";"," ",$AZ57,"  ",$I57))))</f>
        <v>0A) End Panel Rangka nat Duco (rakit tukang)</v>
      </c>
      <c r="BC57" s="197"/>
      <c r="BD57" s="510" t="str">
        <f t="shared" si="34"/>
        <v/>
      </c>
      <c r="BE57" s="510" t="str">
        <f t="shared" si="35"/>
        <v/>
      </c>
      <c r="BF57" s="177"/>
      <c r="BG57" s="177"/>
      <c r="BH57" s="166">
        <f>IF($AM57=0,0,1)*Q57</f>
        <v>0</v>
      </c>
      <c r="BI57" s="474">
        <f>IF($AO57=0,0,IF(J57&lt;=fp,2,(ROUNDUP(J57/fp,0))))*Q57</f>
        <v>0</v>
      </c>
      <c r="BJ57" s="166">
        <f>IF($AN57=0,0,1)*Q57</f>
        <v>0</v>
      </c>
      <c r="BK57" s="474">
        <f t="shared" si="36"/>
        <v>2.04</v>
      </c>
      <c r="BL57" s="474">
        <f t="shared" si="37"/>
        <v>0.88</v>
      </c>
      <c r="BM57" s="474">
        <f>IF(R57=0,0,((2*((J57+tol_p)+(L57+tol_p))*Q57)/1000))</f>
        <v>0</v>
      </c>
      <c r="BN57" s="166"/>
      <c r="BO57" s="166" t="str">
        <f>CONCATENATE(R57,"_",S57)</f>
        <v>_</v>
      </c>
      <c r="BP57" s="204" t="str">
        <f>CONCATENATE(R57," ",S57," ",AY57)</f>
        <v xml:space="preserve">  </v>
      </c>
      <c r="BQ57" s="475">
        <f>((J57*L57*Q57)/(2400*1200))+10%</f>
        <v>0.68333333333333335</v>
      </c>
      <c r="BR57" s="205" t="str">
        <f>IFERROR(INDEX((std_jml_anodize_per_uk),MATCH($H57,Prt,0)),"")</f>
        <v/>
      </c>
      <c r="BS57" s="509">
        <f t="shared" si="38"/>
        <v>8</v>
      </c>
      <c r="BT57" s="509">
        <f t="shared" si="39"/>
        <v>10</v>
      </c>
      <c r="BU57" s="459"/>
      <c r="BV57" s="459"/>
      <c r="BW57" s="1">
        <f>+((J57*L57)*Q57)/1000000</f>
        <v>1.68</v>
      </c>
      <c r="BX57" s="1">
        <f>+((J57*L57*N57)*Q57)/1000000000</f>
        <v>0.126</v>
      </c>
      <c r="BY57" s="546" t="str">
        <f t="shared" si="40"/>
        <v/>
      </c>
      <c r="BZ57" s="546" t="str">
        <f t="shared" si="41"/>
        <v/>
      </c>
      <c r="CA57" s="546" t="str">
        <f t="shared" si="42"/>
        <v/>
      </c>
      <c r="CB57" s="546" t="str">
        <f t="shared" si="43"/>
        <v/>
      </c>
      <c r="CC57" s="728" t="str">
        <f>IFERROR((J57-CA57-CB57),"")</f>
        <v/>
      </c>
      <c r="CD57" s="728" t="str">
        <f>IFERROR((L57-BY57-BZ57),"")</f>
        <v/>
      </c>
      <c r="CE57" s="170" t="str">
        <f>IFERROR((CONCATENATE(CC57," ","x"," ",CD57," ","x"," ",N57)),"")</f>
        <v xml:space="preserve"> x  x 75</v>
      </c>
      <c r="CF57" t="str">
        <f>IF(F57=1,(CONCATENATE(J57,";",L57,";",Q57,";",BP57,";",N57,";",H57,";","-1",";",AF57,";",CA57,";",AG57,";",CB57,";",AD57,";",BY57,";",AE57,";",BZ57))," ")</f>
        <v xml:space="preserve"> </v>
      </c>
    </row>
    <row r="58" spans="1:84" customFormat="1">
      <c r="A58" s="701" t="str">
        <f>IFERROR(INDEX((ID),MATCH(H58,BARANG,0)),"…")</f>
        <v>…</v>
      </c>
      <c r="B58" s="447" t="str">
        <f t="shared" si="25"/>
        <v>pintu</v>
      </c>
      <c r="C58" s="161" t="s">
        <v>1472</v>
      </c>
      <c r="D58" s="162" t="str">
        <f>IFERROR(INDEX((KS),MATCH($H58,Prt,0)),"")</f>
        <v>KS</v>
      </c>
      <c r="E58" s="1" t="s">
        <v>2166</v>
      </c>
      <c r="F58" s="811">
        <f t="shared" si="26"/>
        <v>1</v>
      </c>
      <c r="G58" s="440" t="str">
        <f t="shared" si="27"/>
        <v>...</v>
      </c>
      <c r="H58" s="1" t="s">
        <v>1833</v>
      </c>
      <c r="I58" s="55"/>
      <c r="J58" s="170">
        <f>+J57</f>
        <v>2000</v>
      </c>
      <c r="K58" s="1" t="s">
        <v>2137</v>
      </c>
      <c r="L58" s="170">
        <f>+L57</f>
        <v>840</v>
      </c>
      <c r="M58" s="1" t="s">
        <v>2137</v>
      </c>
      <c r="N58" s="458">
        <f>+(S58+W58+Y58)</f>
        <v>18.5</v>
      </c>
      <c r="O58" s="170" t="str">
        <f>CONCATENATE(J58," ",K58," ",L58," ",M58," ",N58)</f>
        <v>2000 x 840 x 18,5</v>
      </c>
      <c r="P58" s="441">
        <v>2</v>
      </c>
      <c r="Q58" s="55">
        <f>+P58*Q57</f>
        <v>2</v>
      </c>
      <c r="R58" s="177" t="str">
        <f>IFERROR(INDEX((std_bhn_prt),MATCH($H58,Prt,0)),"")</f>
        <v>Ply</v>
      </c>
      <c r="S58" s="454">
        <v>18</v>
      </c>
      <c r="T58" s="178">
        <v>7</v>
      </c>
      <c r="U58" s="178">
        <f>INDEX((std_lapisan_dalam_prt),MATCH($H58,Prt,0))</f>
        <v>0</v>
      </c>
      <c r="V58" s="179" t="str">
        <f>IFERROR(INDEX((tf),MATCH(T58,ctf,0)),"")</f>
        <v>Duco</v>
      </c>
      <c r="W58" s="180">
        <f>IFERROR(INDEX((tebal_lapisan),MATCH($V58,tf,0)),"")</f>
        <v>0.5</v>
      </c>
      <c r="X58" s="179" t="str">
        <f>IFERROR(INDEX((tf),MATCH(U58,ctf,0)),"")</f>
        <v>Polos</v>
      </c>
      <c r="Y58" s="180">
        <f>IFERROR(INDEX((tebal_lapisan),MATCH($X58,tf,0)),"")</f>
        <v>0</v>
      </c>
      <c r="Z58" s="178">
        <f>INDEX((std_edg_P1_prt),MATCH($H58,Prt,0))</f>
        <v>0</v>
      </c>
      <c r="AA58" s="178">
        <f>INDEX((std_edg_P2_prt),MATCH($H58,Prt,0))</f>
        <v>0</v>
      </c>
      <c r="AB58" s="178">
        <f>INDEX((std_edg_L1_prt),MATCH($H58,Prt,0))</f>
        <v>0</v>
      </c>
      <c r="AC58" s="178">
        <f>INDEX((std_edg_L2_prt),MATCH($H58,Prt,0))</f>
        <v>0</v>
      </c>
      <c r="AD58" s="182" t="str">
        <f t="shared" si="45"/>
        <v xml:space="preserve"> </v>
      </c>
      <c r="AE58" s="182" t="str">
        <f t="shared" si="45"/>
        <v xml:space="preserve"> </v>
      </c>
      <c r="AF58" s="182" t="str">
        <f t="shared" si="45"/>
        <v xml:space="preserve"> </v>
      </c>
      <c r="AG58" s="182" t="str">
        <f t="shared" si="45"/>
        <v xml:space="preserve"> </v>
      </c>
      <c r="AH58" s="401">
        <f>IFERROR(INDEX((std_profil3_prt),MATCH($H58,Prt,0)),"")</f>
        <v>0</v>
      </c>
      <c r="AI58" s="401">
        <f>IFERROR(INDEX((std_profil2_prt),MATCH($H58,Prt,0)),"")</f>
        <v>0</v>
      </c>
      <c r="AJ58" s="401">
        <f>IFERROR(INDEX((std_profil_prt),MATCH($H58,Prt,0)),"")</f>
        <v>0</v>
      </c>
      <c r="AK58" s="401">
        <f t="shared" si="29"/>
        <v>0</v>
      </c>
      <c r="AL58" s="401">
        <f t="shared" si="30"/>
        <v>0</v>
      </c>
      <c r="AM58" s="189"/>
      <c r="AN58" s="829">
        <f>IFERROR(INDEX((std_rel_prt),MATCH($H58,Prt,0)),"")</f>
        <v>0</v>
      </c>
      <c r="AO58" s="830">
        <f>IFERROR(INDEX((std_engsel_prt),MATCH($H58,Prt,0)),"")</f>
        <v>0</v>
      </c>
      <c r="AP58" s="401" t="str">
        <f t="shared" si="31"/>
        <v/>
      </c>
      <c r="AQ58" s="401" t="str">
        <f t="shared" si="32"/>
        <v/>
      </c>
      <c r="AR58" s="401" t="str">
        <f>edging1</f>
        <v>Edg_EAW_5216D1</v>
      </c>
      <c r="AS58" s="401">
        <f>IFERROR(INDEX((std_anodize_per_ukuran),MATCH($H58,Prt,0)),"")</f>
        <v>0</v>
      </c>
      <c r="AT58" s="403" t="str">
        <f>IF($AS58=edging7,L58,IF($AS58=edging8,L58,IF($AS58=edging9,L58,IF($AS58=Hand1,J57,IF($AS58=Hand2,L57,IF($AS58=hand3,"diisi manual",IF($AS58=hand4,"diisi manual",IF($AS58=hand5,"diisi manual",IF($AS58=mled02,J58,IF($AS58=mprf1,J58,IF($AS58=mlis1,J58,"")))))))))))</f>
        <v/>
      </c>
      <c r="AU58" s="403">
        <f>IF($AS58="","",Q58*BR58)</f>
        <v>0</v>
      </c>
      <c r="AV58" s="170"/>
      <c r="AW58" s="166" t="str">
        <f>CONCATENATE(VLOOKUP($V58,tabtf,2,0),VLOOKUP($X58,tabtf,2,0))</f>
        <v>123</v>
      </c>
      <c r="AX58" s="166" t="str">
        <f t="shared" si="33"/>
        <v>3333</v>
      </c>
      <c r="AY58" s="189" t="str">
        <f>IFERROR(VLOOKUP(AW58,descf,2,0),"")</f>
        <v>Duco_1mk_Polos</v>
      </c>
      <c r="AZ58" s="189" t="str">
        <f>IF($B58="alu",(VLOOKUP(AX58,descfr,2,0)),(VLOOKUP(AX58,desce,2,0)))</f>
        <v xml:space="preserve"> -</v>
      </c>
      <c r="BA58" s="196" t="str">
        <f>IF($R58=0,CONCATENATE(0,")"," ",$H58," ",$J58),CONCATENATE(VLOOKUP(H58,tabprt,2,0),")",$H58,"_",AY58))</f>
        <v>379)End Panel Rangka_Duco_1mk_Polos</v>
      </c>
      <c r="BB58" s="629" t="str">
        <f>IF($B58="…",CONCATENATE(0,$E58,")"," ",$H58),IF($B58="kc",CONCATENATE(VLOOKUP(H58,tabprt,2,0),")",$H58," ",$R58," ",$S58,"mm"," ","-"," "," ",";"," ",$AZ58,"  ",$I58),IF($B58="alu",CONCATENATE(VLOOKUP(H58,tabprt,2,0),")",$H58," ",$R58," ",$S58,"mm"," ","-"," "," ",";"," ",$AZ58,"  ",$I58),CONCATENATE(VLOOKUP(H58,tabprt,2,0),")",$H58," ",$R58," ",$S58,"mm"," ","-"," ",$AY58," ",";"," ",$AZ58,"  ",$I58))))</f>
        <v xml:space="preserve">379)End Panel Rangka Ply 18mm - Duco_1mk_Polos ;  -  </v>
      </c>
      <c r="BC58" s="190"/>
      <c r="BD58" s="510">
        <f t="shared" si="34"/>
        <v>0</v>
      </c>
      <c r="BE58" s="510">
        <f t="shared" si="35"/>
        <v>0</v>
      </c>
      <c r="BF58" s="177">
        <f>IFERROR(INDEX((std_j_sikufr_prt),MATCH($H58,Prt,0)),"")*Q58</f>
        <v>0</v>
      </c>
      <c r="BG58" s="177">
        <f>IFERROR(INDEX((std_j_screwjf_prt),MATCH($H58,Prt,0)),"")*Q58</f>
        <v>0</v>
      </c>
      <c r="BH58" s="166">
        <f>IF($AM58=0,0,1)*Q58</f>
        <v>0</v>
      </c>
      <c r="BI58" s="474">
        <f>IF($AO58=0,0,IF(J58&lt;=fp,2,(ROUNDUP(J58/fp,0))))*Q58</f>
        <v>0</v>
      </c>
      <c r="BJ58" s="166">
        <f>IF($AN58=0,0,1)*Q58</f>
        <v>0</v>
      </c>
      <c r="BK58" s="474">
        <f t="shared" si="36"/>
        <v>4.08</v>
      </c>
      <c r="BL58" s="474">
        <f t="shared" si="37"/>
        <v>1.76</v>
      </c>
      <c r="BM58" s="474">
        <f>IF(R58=0,0,((2*((J58+tol_p)+(L58+tol_p))*Q58)/1000))</f>
        <v>11.68</v>
      </c>
      <c r="BN58" s="166">
        <f>((J58*L58)/1000000)*Q58</f>
        <v>3.36</v>
      </c>
      <c r="BO58" s="166" t="str">
        <f>CONCATENATE(R58,"_",S58)</f>
        <v>Ply_18</v>
      </c>
      <c r="BP58" s="204" t="str">
        <f>CONCATENATE(R58," ",S58," ",AY58)</f>
        <v>Ply 18 Duco_1mk_Polos</v>
      </c>
      <c r="BQ58" s="475">
        <f>((J58*L58*Q58)/(2400*1200))+10%</f>
        <v>1.2666666666666668</v>
      </c>
      <c r="BR58" s="205">
        <f>IFERROR(INDEX((std_jml_anodize_per_uk),MATCH($H58,Prt,0)),"")</f>
        <v>0</v>
      </c>
      <c r="BS58" s="509">
        <f t="shared" si="38"/>
        <v>0</v>
      </c>
      <c r="BT58" s="509">
        <f t="shared" si="39"/>
        <v>0</v>
      </c>
      <c r="BU58" s="459">
        <f>BF58*$Q58</f>
        <v>0</v>
      </c>
      <c r="BV58" s="459">
        <f>BG58*$Q58</f>
        <v>0</v>
      </c>
      <c r="BW58" s="1">
        <f>+((J58*L58)*Q58)/1000000</f>
        <v>3.36</v>
      </c>
      <c r="BX58" s="1">
        <f>+((J58*L58*N58)*Q58)/1000000000</f>
        <v>6.216E-2</v>
      </c>
      <c r="BY58" s="546" t="str">
        <f t="shared" si="40"/>
        <v/>
      </c>
      <c r="BZ58" s="546" t="str">
        <f t="shared" si="41"/>
        <v/>
      </c>
      <c r="CA58" s="546" t="str">
        <f t="shared" si="42"/>
        <v/>
      </c>
      <c r="CB58" s="546" t="str">
        <f t="shared" si="43"/>
        <v/>
      </c>
      <c r="CC58" s="728" t="str">
        <f>IFERROR((J58-CA58-CB58),"")</f>
        <v/>
      </c>
      <c r="CD58" s="728" t="str">
        <f>IFERROR((L58-BY58-BZ58),"")</f>
        <v/>
      </c>
      <c r="CE58" s="170" t="str">
        <f>IFERROR((CONCATENATE(CC58," ","x"," ",CD58," ","x"," ",N58)),"")</f>
        <v xml:space="preserve"> x  x 18,5</v>
      </c>
      <c r="CF58" t="str">
        <f>IF(F58=1,(CONCATENATE(J58,";",L58,";",Q58,";",BP58,";",N58,";",H58,";","-1",";",AF58,";",CA58,";",AG58,";",CB58,";",AD58,";",BY58,";",AE58,";",BZ58))," ")</f>
        <v>2000;840;2;Ply 18 Duco_1mk_Polos;18,5;End Panel Rangka;-1; ;; ;; ;; ;</v>
      </c>
    </row>
    <row r="59" spans="1:84" customFormat="1">
      <c r="A59" s="701" t="str">
        <f>IFERROR(INDEX((ID),MATCH(H59,BARANG,0)),"…")</f>
        <v>…</v>
      </c>
      <c r="B59" s="447" t="str">
        <f t="shared" si="25"/>
        <v>dc man</v>
      </c>
      <c r="C59" s="161" t="s">
        <v>1472</v>
      </c>
      <c r="D59" s="162" t="str">
        <f>IFERROR(INDEX((KS),MATCH($H59,Prt,0)),"")</f>
        <v>─</v>
      </c>
      <c r="E59" s="1" t="s">
        <v>2166</v>
      </c>
      <c r="F59" s="811">
        <f t="shared" si="26"/>
        <v>1</v>
      </c>
      <c r="G59" s="440" t="str">
        <f t="shared" si="27"/>
        <v>...</v>
      </c>
      <c r="H59" s="1" t="s">
        <v>1850</v>
      </c>
      <c r="I59" s="55"/>
      <c r="J59" s="170">
        <f>+J57</f>
        <v>2000</v>
      </c>
      <c r="K59" s="1" t="s">
        <v>2137</v>
      </c>
      <c r="L59" s="170">
        <f>+L57</f>
        <v>840</v>
      </c>
      <c r="M59" s="1" t="s">
        <v>2137</v>
      </c>
      <c r="N59" s="458">
        <f>+(S59+W59+Y59)</f>
        <v>1</v>
      </c>
      <c r="O59" s="170" t="str">
        <f>CONCATENATE(J59," ",K59," ",L59," ",M59," ",N59)</f>
        <v>2000 x 840 x 1</v>
      </c>
      <c r="P59" s="441">
        <v>2</v>
      </c>
      <c r="Q59" s="55">
        <f>+P59*Q57</f>
        <v>2</v>
      </c>
      <c r="R59" s="177" t="str">
        <f>IFERROR(INDEX((std_bhn_prt),MATCH($H59,Prt,0)),"")</f>
        <v>WY_5216_D(V)</v>
      </c>
      <c r="S59" s="454">
        <f>IFERROR(INDEX((std_Tbahan_prt),MATCH($H59,Prt,0)),"")</f>
        <v>1</v>
      </c>
      <c r="T59" s="178">
        <f>INDEX((std_lapisan_luar_prt),MATCH($H59,Prt,0))</f>
        <v>0</v>
      </c>
      <c r="U59" s="178">
        <f>INDEX((std_lapisan_dalam_prt),MATCH($H59,Prt,0))</f>
        <v>0</v>
      </c>
      <c r="V59" s="179" t="str">
        <f>IFERROR(INDEX((tf),MATCH(T59,ctf,0)),"")</f>
        <v>Polos</v>
      </c>
      <c r="W59" s="180">
        <f>IFERROR(INDEX((tebal_lapisan),MATCH($V59,tf,0)),"")</f>
        <v>0</v>
      </c>
      <c r="X59" s="179" t="str">
        <f>IFERROR(INDEX((tf),MATCH(U59,ctf,0)),"")</f>
        <v>Polos</v>
      </c>
      <c r="Y59" s="180">
        <f>IFERROR(INDEX((tebal_lapisan),MATCH($X59,tf,0)),"")</f>
        <v>0</v>
      </c>
      <c r="Z59" s="178">
        <f>INDEX((std_edg_P1_prt),MATCH($H59,Prt,0))</f>
        <v>0</v>
      </c>
      <c r="AA59" s="178">
        <f>INDEX((std_edg_P2_prt),MATCH($H59,Prt,0))</f>
        <v>0</v>
      </c>
      <c r="AB59" s="178">
        <f>INDEX((std_edg_L1_prt),MATCH($H59,Prt,0))</f>
        <v>0</v>
      </c>
      <c r="AC59" s="178">
        <f>INDEX((std_edg_L2_prt),MATCH($H59,Prt,0))</f>
        <v>0</v>
      </c>
      <c r="AD59" s="182" t="str">
        <f t="shared" si="45"/>
        <v xml:space="preserve"> </v>
      </c>
      <c r="AE59" s="182" t="str">
        <f t="shared" si="45"/>
        <v xml:space="preserve"> </v>
      </c>
      <c r="AF59" s="182" t="str">
        <f t="shared" si="45"/>
        <v xml:space="preserve"> </v>
      </c>
      <c r="AG59" s="182" t="str">
        <f t="shared" si="45"/>
        <v xml:space="preserve"> </v>
      </c>
      <c r="AH59" s="401">
        <f>IFERROR(INDEX((std_profil3_prt),MATCH($H59,Prt,0)),"")</f>
        <v>0</v>
      </c>
      <c r="AI59" s="401">
        <f>IFERROR(INDEX((std_profil2_prt),MATCH($H59,Prt,0)),"")</f>
        <v>0</v>
      </c>
      <c r="AJ59" s="401">
        <f>IFERROR(INDEX((std_profil_prt),MATCH($H59,Prt,0)),"")</f>
        <v>0</v>
      </c>
      <c r="AK59" s="401">
        <f t="shared" si="29"/>
        <v>0</v>
      </c>
      <c r="AL59" s="401">
        <f t="shared" si="30"/>
        <v>0</v>
      </c>
      <c r="AM59" s="189"/>
      <c r="AN59" s="829">
        <f>IFERROR(INDEX((std_rel_prt),MATCH($H59,Prt,0)),"")</f>
        <v>0</v>
      </c>
      <c r="AO59" s="830">
        <f>IFERROR(INDEX((std_engsel_prt),MATCH($H59,Prt,0)),"")</f>
        <v>0</v>
      </c>
      <c r="AP59" s="401" t="str">
        <f t="shared" si="31"/>
        <v/>
      </c>
      <c r="AQ59" s="401" t="str">
        <f t="shared" si="32"/>
        <v/>
      </c>
      <c r="AR59" s="401" t="str">
        <f>IFERROR(INDEX((std_anodizeh_proses),MATCH($I59,pk,0)),"")</f>
        <v/>
      </c>
      <c r="AS59" s="401">
        <f>IFERROR(INDEX((std_anodize_per_ukuran),MATCH($H59,Prt,0)),"")</f>
        <v>0</v>
      </c>
      <c r="AT59" s="403" t="str">
        <f>IF($AS59=edging7,L59,IF($AS59=edging8,L59,IF($AS59=edging9,L59,IF($AS59=Hand1,J58,IF($AS59=Hand2,L58,IF($AS59=hand3,"diisi manual",IF($AS59=hand4,"diisi manual",IF($AS59=hand5,"diisi manual",IF($AS59=mled02,J59,IF($AS59=mprf1,J59,IF($AS59=mlis1,J59,"")))))))))))</f>
        <v/>
      </c>
      <c r="AU59" s="403">
        <f>IF($AS59="","",Q59*BR59)</f>
        <v>0</v>
      </c>
      <c r="AV59" s="170"/>
      <c r="AW59" s="166" t="str">
        <f>CONCATENATE(VLOOKUP($V59,tabtf,2,0),VLOOKUP($X59,tabtf,2,0))</f>
        <v>33</v>
      </c>
      <c r="AX59" s="166" t="str">
        <f t="shared" si="33"/>
        <v>3333</v>
      </c>
      <c r="AY59" s="189" t="str">
        <f>IFERROR(VLOOKUP(AW59,descf,2,0),"")</f>
        <v>Polos</v>
      </c>
      <c r="AZ59" s="189" t="str">
        <f>IF($B59="alu",(VLOOKUP(AX59,descfr,2,0)),(VLOOKUP(AX59,desce,2,0)))</f>
        <v xml:space="preserve"> -</v>
      </c>
      <c r="BA59" s="196" t="str">
        <f>IF($R59=0,CONCATENATE(0,")"," ",$H59," ",$J59),CONCATENATE(VLOOKUP(H59,tabprt,2,0),")",$H59,"_",AY59))</f>
        <v>483)HPL Lembaran_Polos</v>
      </c>
      <c r="BB59" s="629" t="str">
        <f>IF($B59="…",CONCATENATE(0,$E59,")"," ",$H59),IF($B59="kc",CONCATENATE(VLOOKUP(H59,tabprt,2,0),")",$H59," ",$R59," ",$S59,"mm"," ","-"," "," ",";"," ",$AZ59,"  ",$I59),IF($B59="alu",CONCATENATE(VLOOKUP(H59,tabprt,2,0),")",$H59," ",$R59," ",$S59,"mm"," ","-"," "," ",";"," ",$AZ59,"  ",$I59),CONCATENATE(VLOOKUP(H59,tabprt,2,0),")",$H59," ",$R59," ",$S59,"mm"," ","-"," ",$AY59," ",";"," ",$AZ59,"  ",$I59))))</f>
        <v xml:space="preserve">483)HPL Lembaran WY_5216_D(V) 1mm - Polos ;  -  </v>
      </c>
      <c r="BC59" s="190"/>
      <c r="BD59" s="510">
        <f t="shared" si="34"/>
        <v>0</v>
      </c>
      <c r="BE59" s="510">
        <f t="shared" si="35"/>
        <v>0</v>
      </c>
      <c r="BF59" s="177">
        <f>IFERROR(INDEX((std_j_sikufr_prt),MATCH($H59,Prt,0)),"")*Q59</f>
        <v>0</v>
      </c>
      <c r="BG59" s="177">
        <f>IFERROR(INDEX((std_j_screwjf_prt),MATCH($H59,Prt,0)),"")*Q59</f>
        <v>0</v>
      </c>
      <c r="BH59" s="166">
        <f>IF($AM59=0,0,1)*Q59</f>
        <v>0</v>
      </c>
      <c r="BI59" s="474">
        <f>IF($AO59=0,0,IF(J59&lt;=fp,2,(ROUNDUP(J59/fp,0))))*Q59</f>
        <v>0</v>
      </c>
      <c r="BJ59" s="166">
        <f>IF($AN59=0,0,1)*Q59</f>
        <v>0</v>
      </c>
      <c r="BK59" s="474">
        <f t="shared" si="36"/>
        <v>4.08</v>
      </c>
      <c r="BL59" s="474">
        <f t="shared" si="37"/>
        <v>1.76</v>
      </c>
      <c r="BM59" s="474">
        <f>IF(R59=0,0,((2*((J59+tol_p)+(L59+tol_p))*Q59)/1000))</f>
        <v>11.68</v>
      </c>
      <c r="BN59" s="166">
        <f>((J59*L59)/1000000)*Q59</f>
        <v>3.36</v>
      </c>
      <c r="BO59" s="166" t="str">
        <f>CONCATENATE(R59,"_",S59)</f>
        <v>WY_5216_D(V)_1</v>
      </c>
      <c r="BP59" s="204" t="str">
        <f>CONCATENATE(R59," ",S59," ",AY59)</f>
        <v>WY_5216_D(V) 1 Polos</v>
      </c>
      <c r="BQ59" s="475">
        <f>((J59*L59*Q59)/(2400*1200))+10%</f>
        <v>1.2666666666666668</v>
      </c>
      <c r="BR59" s="205">
        <f>IFERROR(INDEX((std_jml_anodize_per_uk),MATCH($H59,Prt,0)),"")</f>
        <v>0</v>
      </c>
      <c r="BS59" s="509">
        <f t="shared" si="38"/>
        <v>0</v>
      </c>
      <c r="BT59" s="509">
        <f t="shared" si="39"/>
        <v>0</v>
      </c>
      <c r="BU59" s="459">
        <f>BF59*$Q59</f>
        <v>0</v>
      </c>
      <c r="BV59" s="459">
        <f>BG59*$Q59</f>
        <v>0</v>
      </c>
      <c r="BW59" s="1">
        <f>+((J59*L59)*Q59)/1000000</f>
        <v>3.36</v>
      </c>
      <c r="BX59" s="1">
        <f>+((J59*L59*N59)*Q59)/1000000000</f>
        <v>3.3600000000000001E-3</v>
      </c>
      <c r="BY59" s="546" t="str">
        <f t="shared" si="40"/>
        <v/>
      </c>
      <c r="BZ59" s="546" t="str">
        <f t="shared" si="41"/>
        <v/>
      </c>
      <c r="CA59" s="546" t="str">
        <f t="shared" si="42"/>
        <v/>
      </c>
      <c r="CB59" s="546" t="str">
        <f t="shared" si="43"/>
        <v/>
      </c>
      <c r="CC59" s="728" t="str">
        <f>IFERROR((J59-CA59-CB59),"")</f>
        <v/>
      </c>
      <c r="CD59" s="728" t="str">
        <f>IFERROR((L59-BY59-BZ59),"")</f>
        <v/>
      </c>
      <c r="CE59" s="170" t="str">
        <f>IFERROR((CONCATENATE(CC59," ","x"," ",CD59," ","x"," ",N59)),"")</f>
        <v xml:space="preserve"> x  x 1</v>
      </c>
      <c r="CF59" t="str">
        <f>IF(F59=1,(CONCATENATE(J59,";",L59,";",Q59,";",BP59,";",N59,";",H59,";","-1",";",AF59,";",CA59,";",AG59,";",CB59,";",AD59,";",BY59,";",AE59,";",BZ59))," ")</f>
        <v>2000;840;2;WY_5216_D(V) 1 Polos;1;HPL Lembaran;-1; ;; ;; ;; ;</v>
      </c>
    </row>
    <row r="60" spans="1:84" customFormat="1">
      <c r="A60" s="701"/>
      <c r="B60" s="447"/>
      <c r="C60" s="161"/>
      <c r="D60" s="162"/>
      <c r="E60" s="1"/>
      <c r="F60" s="811"/>
      <c r="G60" s="440"/>
      <c r="H60" s="1"/>
      <c r="I60" s="55"/>
      <c r="J60" s="170"/>
      <c r="K60" s="1"/>
      <c r="L60" s="170"/>
      <c r="M60" s="1"/>
      <c r="N60" s="458"/>
      <c r="O60" s="170"/>
      <c r="P60" s="441"/>
      <c r="Q60" s="55"/>
      <c r="R60" s="177"/>
      <c r="S60" s="454"/>
      <c r="T60" s="178"/>
      <c r="U60" s="178"/>
      <c r="V60" s="179"/>
      <c r="W60" s="180"/>
      <c r="X60" s="179"/>
      <c r="Y60" s="180"/>
      <c r="Z60" s="178"/>
      <c r="AA60" s="178"/>
      <c r="AB60" s="178"/>
      <c r="AC60" s="178"/>
      <c r="AD60" s="182"/>
      <c r="AE60" s="182"/>
      <c r="AF60" s="182"/>
      <c r="AG60" s="182"/>
      <c r="AH60" s="401"/>
      <c r="AI60" s="401"/>
      <c r="AJ60" s="401"/>
      <c r="AK60" s="401"/>
      <c r="AL60" s="401"/>
      <c r="AM60" s="189"/>
      <c r="AN60" s="829"/>
      <c r="AO60" s="830"/>
      <c r="AP60" s="401"/>
      <c r="AQ60" s="401"/>
      <c r="AR60" s="401"/>
      <c r="AS60" s="401"/>
      <c r="AT60" s="403"/>
      <c r="AU60" s="403"/>
      <c r="AV60" s="170"/>
      <c r="AW60" s="166"/>
      <c r="AX60" s="166"/>
      <c r="AY60" s="189"/>
      <c r="AZ60" s="189"/>
      <c r="BA60" s="196"/>
      <c r="BB60" s="629"/>
      <c r="BC60" s="190"/>
      <c r="BD60" s="510"/>
      <c r="BE60" s="510"/>
      <c r="BF60" s="177"/>
      <c r="BG60" s="177"/>
      <c r="BH60" s="166"/>
      <c r="BI60" s="474"/>
      <c r="BJ60" s="166"/>
      <c r="BK60" s="474"/>
      <c r="BL60" s="474"/>
      <c r="BM60" s="474"/>
      <c r="BN60" s="166"/>
      <c r="BO60" s="166"/>
      <c r="BP60" s="204"/>
      <c r="BQ60" s="475"/>
      <c r="BR60" s="205"/>
      <c r="BS60" s="509"/>
      <c r="BT60" s="509"/>
      <c r="BU60" s="459"/>
      <c r="BV60" s="459"/>
      <c r="BW60" s="1"/>
      <c r="BX60" s="1"/>
      <c r="BY60" s="546"/>
      <c r="BZ60" s="546"/>
      <c r="CA60" s="546"/>
      <c r="CB60" s="546"/>
      <c r="CC60" s="728"/>
      <c r="CD60" s="728"/>
      <c r="CE60" s="170"/>
    </row>
    <row r="61" spans="1:84" customFormat="1">
      <c r="A61" s="701" t="str">
        <f>IFERROR(INDEX((ID),MATCH(H61,BARANG,0)),"…")</f>
        <v>…</v>
      </c>
      <c r="B61" s="447" t="str">
        <f t="shared" si="25"/>
        <v>…</v>
      </c>
      <c r="C61" s="1" t="s">
        <v>2605</v>
      </c>
      <c r="D61" s="538" t="str">
        <f>(INDEX(KS_Set,MATCH($H61,Set_prt,0)))</f>
        <v>[ks]</v>
      </c>
      <c r="E61" s="1" t="s">
        <v>2166</v>
      </c>
      <c r="F61" s="811" t="str">
        <f t="shared" si="26"/>
        <v/>
      </c>
      <c r="G61" s="440" t="str">
        <f t="shared" si="27"/>
        <v>•</v>
      </c>
      <c r="H61" s="1" t="s">
        <v>4703</v>
      </c>
      <c r="J61" s="171">
        <v>1490</v>
      </c>
      <c r="K61" s="55" t="s">
        <v>2137</v>
      </c>
      <c r="L61" s="171">
        <v>840</v>
      </c>
      <c r="M61" s="55" t="s">
        <v>2137</v>
      </c>
      <c r="N61" s="172">
        <v>75</v>
      </c>
      <c r="O61" s="170" t="str">
        <f>CONCATENATE(J61," ",K61," ",L61," ",M61," ",N61)</f>
        <v>1490 x 840 x 75</v>
      </c>
      <c r="P61" s="441"/>
      <c r="Q61" s="172">
        <v>1</v>
      </c>
      <c r="R61" s="181"/>
      <c r="S61" s="455"/>
      <c r="T61" s="170"/>
      <c r="U61" s="170"/>
      <c r="V61" s="1"/>
      <c r="W61" s="173"/>
      <c r="X61" s="1"/>
      <c r="Y61" s="166"/>
      <c r="Z61" s="170"/>
      <c r="AA61" s="170"/>
      <c r="AB61" s="170"/>
      <c r="AC61" s="170"/>
      <c r="AD61" s="182" t="str">
        <f t="shared" ref="AD61:AG63" si="46">IF($B61="alu",(INDEX((Fr),MATCH(Z61,cfr,0))),INDEX((te),MATCH(Z61,cte,0)))</f>
        <v xml:space="preserve"> </v>
      </c>
      <c r="AE61" s="182" t="str">
        <f t="shared" si="46"/>
        <v xml:space="preserve"> </v>
      </c>
      <c r="AF61" s="182" t="str">
        <f t="shared" si="46"/>
        <v xml:space="preserve"> </v>
      </c>
      <c r="AG61" s="182" t="str">
        <f t="shared" si="46"/>
        <v xml:space="preserve"> </v>
      </c>
      <c r="AH61" s="189"/>
      <c r="AI61" s="189"/>
      <c r="AJ61" s="189"/>
      <c r="AK61" s="401" t="str">
        <f t="shared" si="29"/>
        <v/>
      </c>
      <c r="AL61" s="401" t="str">
        <f t="shared" si="30"/>
        <v/>
      </c>
      <c r="AM61" s="189"/>
      <c r="AN61" s="782"/>
      <c r="AO61" s="189"/>
      <c r="AP61" s="401" t="str">
        <f t="shared" si="31"/>
        <v/>
      </c>
      <c r="AQ61" s="401" t="str">
        <f t="shared" si="32"/>
        <v/>
      </c>
      <c r="AR61" s="401" t="str">
        <f>IFERROR(INDEX((std_anodizeh_proses),MATCH($I61,pk,0)),"")</f>
        <v/>
      </c>
      <c r="AS61" s="188"/>
      <c r="AT61" s="1"/>
      <c r="AU61" s="403" t="str">
        <f>IF($AS61=0,"",Q61*BR61)</f>
        <v/>
      </c>
      <c r="AV61" s="1"/>
      <c r="AW61" s="166"/>
      <c r="AX61" s="166" t="str">
        <f t="shared" si="33"/>
        <v>3333</v>
      </c>
      <c r="AY61" s="189" t="str">
        <f>IFERROR(VLOOKUP(AW61,descf,2,0),"")</f>
        <v/>
      </c>
      <c r="AZ61" s="189" t="str">
        <f>IF($B61="alu",(VLOOKUP(AX61,descfr,2,0)),(VLOOKUP(AX61,desce,2,0)))</f>
        <v xml:space="preserve"> -</v>
      </c>
      <c r="BA61" s="196" t="str">
        <f>IF($R61=0,CONCATENATE(0,")"," ",$H61," ",$J61),CONCATENATE(VLOOKUP(H61,tabprt,2,0),")",$H61,"_",AY61))</f>
        <v>0) End Panel Rangka nat Duco (rakit tukang) 1490</v>
      </c>
      <c r="BB61" s="629" t="str">
        <f>IF($B61="…",CONCATENATE(0,$E61,")"," ",$H61),IF($B61="kc",CONCATENATE(VLOOKUP(H61,tabprt,2,0),")",$H61," ",$R61," ",$S61,"mm"," ","-"," "," ",";"," ",$AZ61,"  ",$I61),IF($B61="alu",CONCATENATE(VLOOKUP(H61,tabprt,2,0),")",$H61," ",$R61," ",$S61,"mm"," ","-"," "," ",";"," ",$AZ61,"  ",$I61),CONCATENATE(VLOOKUP(H61,tabprt,2,0),")",$H61," ",$R61," ",$S61,"mm"," ","-"," ",$AY61," ",";"," ",$AZ61,"  ",$I61))))</f>
        <v>0A) End Panel Rangka nat Duco (rakit tukang)</v>
      </c>
      <c r="BC61" s="197"/>
      <c r="BD61" s="510" t="str">
        <f t="shared" si="34"/>
        <v/>
      </c>
      <c r="BE61" s="510" t="str">
        <f t="shared" si="35"/>
        <v/>
      </c>
      <c r="BF61" s="177"/>
      <c r="BG61" s="177"/>
      <c r="BH61" s="166">
        <f>IF($AM61=0,0,1)*Q61</f>
        <v>0</v>
      </c>
      <c r="BI61" s="474">
        <f>IF($AO61=0,0,IF(J61&lt;=fp,2,(ROUNDUP(J61/fp,0))))*Q61</f>
        <v>0</v>
      </c>
      <c r="BJ61" s="166">
        <f>IF($AN61=0,0,1)*Q61</f>
        <v>0</v>
      </c>
      <c r="BK61" s="474">
        <f t="shared" si="36"/>
        <v>1.53</v>
      </c>
      <c r="BL61" s="474">
        <f t="shared" si="37"/>
        <v>0.88</v>
      </c>
      <c r="BM61" s="474">
        <f>IF(R61=0,0,((2*((J61+tol_p)+(L61+tol_p))*Q61)/1000))</f>
        <v>0</v>
      </c>
      <c r="BN61" s="166"/>
      <c r="BO61" s="166" t="str">
        <f>CONCATENATE(R61,"_",S61)</f>
        <v>_</v>
      </c>
      <c r="BP61" s="204" t="str">
        <f>CONCATENATE(R61," ",S61," ",AY61)</f>
        <v xml:space="preserve">  </v>
      </c>
      <c r="BQ61" s="475">
        <f>((J61*L61*Q61)/(2400*1200))+10%</f>
        <v>0.5345833333333333</v>
      </c>
      <c r="BR61" s="205" t="str">
        <f>IFERROR(INDEX((std_jml_anodize_per_uk),MATCH($H61,Prt,0)),"")</f>
        <v/>
      </c>
      <c r="BS61" s="509">
        <f t="shared" si="38"/>
        <v>8</v>
      </c>
      <c r="BT61" s="509">
        <f t="shared" si="39"/>
        <v>10</v>
      </c>
      <c r="BU61" s="459"/>
      <c r="BV61" s="459"/>
      <c r="BW61" s="1">
        <f>+((J61*L61)*Q61)/1000000</f>
        <v>1.2516</v>
      </c>
      <c r="BX61" s="1">
        <f>+((J61*L61*N61)*Q61)/1000000000</f>
        <v>9.3869999999999995E-2</v>
      </c>
      <c r="BY61" s="546" t="str">
        <f t="shared" si="40"/>
        <v/>
      </c>
      <c r="BZ61" s="546" t="str">
        <f t="shared" si="41"/>
        <v/>
      </c>
      <c r="CA61" s="546" t="str">
        <f t="shared" si="42"/>
        <v/>
      </c>
      <c r="CB61" s="546" t="str">
        <f t="shared" si="43"/>
        <v/>
      </c>
      <c r="CC61" s="728" t="str">
        <f>IFERROR((J61-CA61-CB61),"")</f>
        <v/>
      </c>
      <c r="CD61" s="728" t="str">
        <f>IFERROR((L61-BY61-BZ61),"")</f>
        <v/>
      </c>
      <c r="CE61" s="170" t="str">
        <f>IFERROR((CONCATENATE(CC61," ","x"," ",CD61," ","x"," ",N61)),"")</f>
        <v xml:space="preserve"> x  x 75</v>
      </c>
      <c r="CF61" t="str">
        <f>IF(F61=1,(CONCATENATE(J61,";",L61,";",Q61,";",BP61,";",N61,";",H61,";","-1",";",AF61,";",CA61,";",AG61,";",CB61,";",AD61,";",BY61,";",AE61,";",BZ61))," ")</f>
        <v xml:space="preserve"> </v>
      </c>
    </row>
    <row r="62" spans="1:84" customFormat="1">
      <c r="A62" s="701" t="str">
        <f>IFERROR(INDEX((ID),MATCH(H62,BARANG,0)),"…")</f>
        <v>…</v>
      </c>
      <c r="B62" s="447" t="str">
        <f t="shared" si="25"/>
        <v>pintu</v>
      </c>
      <c r="C62" s="161" t="s">
        <v>1472</v>
      </c>
      <c r="D62" s="162" t="str">
        <f>IFERROR(INDEX((KS),MATCH($H62,Prt,0)),"")</f>
        <v>KS</v>
      </c>
      <c r="E62" s="1" t="s">
        <v>2166</v>
      </c>
      <c r="F62" s="811">
        <f t="shared" si="26"/>
        <v>1</v>
      </c>
      <c r="G62" s="440" t="str">
        <f t="shared" si="27"/>
        <v>...</v>
      </c>
      <c r="H62" s="1" t="s">
        <v>1833</v>
      </c>
      <c r="I62" s="55"/>
      <c r="J62" s="170">
        <f>+J61</f>
        <v>1490</v>
      </c>
      <c r="K62" s="1" t="s">
        <v>2137</v>
      </c>
      <c r="L62" s="170">
        <f>+L61</f>
        <v>840</v>
      </c>
      <c r="M62" s="1" t="s">
        <v>2137</v>
      </c>
      <c r="N62" s="458">
        <f>+(S62+W62+Y62)</f>
        <v>18.5</v>
      </c>
      <c r="O62" s="170" t="str">
        <f>CONCATENATE(J62," ",K62," ",L62," ",M62," ",N62)</f>
        <v>1490 x 840 x 18,5</v>
      </c>
      <c r="P62" s="441">
        <v>2</v>
      </c>
      <c r="Q62" s="55">
        <f>+P62*Q61</f>
        <v>2</v>
      </c>
      <c r="R62" s="177" t="str">
        <f>IFERROR(INDEX((std_bhn_prt),MATCH($H62,Prt,0)),"")</f>
        <v>Ply</v>
      </c>
      <c r="S62" s="454">
        <v>18</v>
      </c>
      <c r="T62" s="178">
        <v>7</v>
      </c>
      <c r="U62" s="178">
        <f>INDEX((std_lapisan_dalam_prt),MATCH($H62,Prt,0))</f>
        <v>0</v>
      </c>
      <c r="V62" s="179" t="str">
        <f>IFERROR(INDEX((tf),MATCH(T62,ctf,0)),"")</f>
        <v>Duco</v>
      </c>
      <c r="W62" s="180">
        <f>IFERROR(INDEX((tebal_lapisan),MATCH($V62,tf,0)),"")</f>
        <v>0.5</v>
      </c>
      <c r="X62" s="179" t="str">
        <f>IFERROR(INDEX((tf),MATCH(U62,ctf,0)),"")</f>
        <v>Polos</v>
      </c>
      <c r="Y62" s="180">
        <f>IFERROR(INDEX((tebal_lapisan),MATCH($X62,tf,0)),"")</f>
        <v>0</v>
      </c>
      <c r="Z62" s="178">
        <f>INDEX((std_edg_P1_prt),MATCH($H62,Prt,0))</f>
        <v>0</v>
      </c>
      <c r="AA62" s="178">
        <f>INDEX((std_edg_P2_prt),MATCH($H62,Prt,0))</f>
        <v>0</v>
      </c>
      <c r="AB62" s="178">
        <f>INDEX((std_edg_L1_prt),MATCH($H62,Prt,0))</f>
        <v>0</v>
      </c>
      <c r="AC62" s="178">
        <f>INDEX((std_edg_L2_prt),MATCH($H62,Prt,0))</f>
        <v>0</v>
      </c>
      <c r="AD62" s="182" t="str">
        <f t="shared" si="46"/>
        <v xml:space="preserve"> </v>
      </c>
      <c r="AE62" s="182" t="str">
        <f t="shared" si="46"/>
        <v xml:space="preserve"> </v>
      </c>
      <c r="AF62" s="182" t="str">
        <f t="shared" si="46"/>
        <v xml:space="preserve"> </v>
      </c>
      <c r="AG62" s="182" t="str">
        <f t="shared" si="46"/>
        <v xml:space="preserve"> </v>
      </c>
      <c r="AH62" s="401">
        <f>IFERROR(INDEX((std_profil3_prt),MATCH($H62,Prt,0)),"")</f>
        <v>0</v>
      </c>
      <c r="AI62" s="401">
        <f>IFERROR(INDEX((std_profil2_prt),MATCH($H62,Prt,0)),"")</f>
        <v>0</v>
      </c>
      <c r="AJ62" s="401">
        <f>IFERROR(INDEX((std_profil_prt),MATCH($H62,Prt,0)),"")</f>
        <v>0</v>
      </c>
      <c r="AK62" s="401">
        <f t="shared" si="29"/>
        <v>0</v>
      </c>
      <c r="AL62" s="401">
        <f t="shared" si="30"/>
        <v>0</v>
      </c>
      <c r="AM62" s="189"/>
      <c r="AN62" s="829">
        <f>IFERROR(INDEX((std_rel_prt),MATCH($H62,Prt,0)),"")</f>
        <v>0</v>
      </c>
      <c r="AO62" s="830">
        <f>IFERROR(INDEX((std_engsel_prt),MATCH($H62,Prt,0)),"")</f>
        <v>0</v>
      </c>
      <c r="AP62" s="401" t="str">
        <f t="shared" si="31"/>
        <v/>
      </c>
      <c r="AQ62" s="401" t="str">
        <f t="shared" si="32"/>
        <v/>
      </c>
      <c r="AR62" s="401" t="str">
        <f>edging1</f>
        <v>Edg_EAW_5216D1</v>
      </c>
      <c r="AS62" s="401">
        <f>IFERROR(INDEX((std_anodize_per_ukuran),MATCH($H62,Prt,0)),"")</f>
        <v>0</v>
      </c>
      <c r="AT62" s="403" t="str">
        <f>IF($AS62=edging7,L62,IF($AS62=edging8,L62,IF($AS62=edging9,L62,IF($AS62=Hand1,J61,IF($AS62=Hand2,L61,IF($AS62=hand3,"diisi manual",IF($AS62=hand4,"diisi manual",IF($AS62=hand5,"diisi manual",IF($AS62=mled02,J62,IF($AS62=mprf1,J62,IF($AS62=mlis1,J62,"")))))))))))</f>
        <v/>
      </c>
      <c r="AU62" s="403">
        <f>IF($AS62="","",Q62*BR62)</f>
        <v>0</v>
      </c>
      <c r="AV62" s="170"/>
      <c r="AW62" s="166" t="str">
        <f>CONCATENATE(VLOOKUP($V62,tabtf,2,0),VLOOKUP($X62,tabtf,2,0))</f>
        <v>123</v>
      </c>
      <c r="AX62" s="166" t="str">
        <f t="shared" si="33"/>
        <v>3333</v>
      </c>
      <c r="AY62" s="189" t="str">
        <f>IFERROR(VLOOKUP(AW62,descf,2,0),"")</f>
        <v>Duco_1mk_Polos</v>
      </c>
      <c r="AZ62" s="189" t="str">
        <f>IF($B62="alu",(VLOOKUP(AX62,descfr,2,0)),(VLOOKUP(AX62,desce,2,0)))</f>
        <v xml:space="preserve"> -</v>
      </c>
      <c r="BA62" s="196" t="str">
        <f>IF($R62=0,CONCATENATE(0,")"," ",$H62," ",$J62),CONCATENATE(VLOOKUP(H62,tabprt,2,0),")",$H62,"_",AY62))</f>
        <v>379)End Panel Rangka_Duco_1mk_Polos</v>
      </c>
      <c r="BB62" s="629" t="str">
        <f>IF($B62="…",CONCATENATE(0,$E62,")"," ",$H62),IF($B62="kc",CONCATENATE(VLOOKUP(H62,tabprt,2,0),")",$H62," ",$R62," ",$S62,"mm"," ","-"," "," ",";"," ",$AZ62,"  ",$I62),IF($B62="alu",CONCATENATE(VLOOKUP(H62,tabprt,2,0),")",$H62," ",$R62," ",$S62,"mm"," ","-"," "," ",";"," ",$AZ62,"  ",$I62),CONCATENATE(VLOOKUP(H62,tabprt,2,0),")",$H62," ",$R62," ",$S62,"mm"," ","-"," ",$AY62," ",";"," ",$AZ62,"  ",$I62))))</f>
        <v xml:space="preserve">379)End Panel Rangka Ply 18mm - Duco_1mk_Polos ;  -  </v>
      </c>
      <c r="BC62" s="190"/>
      <c r="BD62" s="510">
        <f t="shared" si="34"/>
        <v>0</v>
      </c>
      <c r="BE62" s="510">
        <f t="shared" si="35"/>
        <v>0</v>
      </c>
      <c r="BF62" s="177">
        <f>IFERROR(INDEX((std_j_sikufr_prt),MATCH($H62,Prt,0)),"")*Q62</f>
        <v>0</v>
      </c>
      <c r="BG62" s="177">
        <f>IFERROR(INDEX((std_j_screwjf_prt),MATCH($H62,Prt,0)),"")*Q62</f>
        <v>0</v>
      </c>
      <c r="BH62" s="166">
        <f>IF($AM62=0,0,1)*Q62</f>
        <v>0</v>
      </c>
      <c r="BI62" s="474">
        <f>IF($AO62=0,0,IF(J62&lt;=fp,2,(ROUNDUP(J62/fp,0))))*Q62</f>
        <v>0</v>
      </c>
      <c r="BJ62" s="166">
        <f>IF($AN62=0,0,1)*Q62</f>
        <v>0</v>
      </c>
      <c r="BK62" s="474">
        <f t="shared" si="36"/>
        <v>3.06</v>
      </c>
      <c r="BL62" s="474">
        <f t="shared" si="37"/>
        <v>1.76</v>
      </c>
      <c r="BM62" s="474">
        <f>IF(R62=0,0,((2*((J62+tol_p)+(L62+tol_p))*Q62)/1000))</f>
        <v>9.64</v>
      </c>
      <c r="BN62" s="166">
        <f>((J62*L62)/1000000)*Q62</f>
        <v>2.5032000000000001</v>
      </c>
      <c r="BO62" s="166" t="str">
        <f>CONCATENATE(R62,"_",S62)</f>
        <v>Ply_18</v>
      </c>
      <c r="BP62" s="204" t="str">
        <f>CONCATENATE(R62," ",S62," ",AY62)</f>
        <v>Ply 18 Duco_1mk_Polos</v>
      </c>
      <c r="BQ62" s="475">
        <f>((J62*L62*Q62)/(2400*1200))+10%</f>
        <v>0.96916666666666662</v>
      </c>
      <c r="BR62" s="205">
        <f>IFERROR(INDEX((std_jml_anodize_per_uk),MATCH($H62,Prt,0)),"")</f>
        <v>0</v>
      </c>
      <c r="BS62" s="509">
        <f t="shared" si="38"/>
        <v>0</v>
      </c>
      <c r="BT62" s="509">
        <f t="shared" si="39"/>
        <v>0</v>
      </c>
      <c r="BU62" s="459">
        <f>BF62*$Q62</f>
        <v>0</v>
      </c>
      <c r="BV62" s="459">
        <f>BG62*$Q62</f>
        <v>0</v>
      </c>
      <c r="BW62" s="1">
        <f>+((J62*L62)*Q62)/1000000</f>
        <v>2.5032000000000001</v>
      </c>
      <c r="BX62" s="1">
        <f>+((J62*L62*N62)*Q62)/1000000000</f>
        <v>4.6309200000000002E-2</v>
      </c>
      <c r="BY62" s="546" t="str">
        <f t="shared" si="40"/>
        <v/>
      </c>
      <c r="BZ62" s="546" t="str">
        <f t="shared" si="41"/>
        <v/>
      </c>
      <c r="CA62" s="546" t="str">
        <f t="shared" si="42"/>
        <v/>
      </c>
      <c r="CB62" s="546" t="str">
        <f t="shared" si="43"/>
        <v/>
      </c>
      <c r="CC62" s="728" t="str">
        <f>IFERROR((J62-CA62-CB62),"")</f>
        <v/>
      </c>
      <c r="CD62" s="728" t="str">
        <f>IFERROR((L62-BY62-BZ62),"")</f>
        <v/>
      </c>
      <c r="CE62" s="170" t="str">
        <f>IFERROR((CONCATENATE(CC62," ","x"," ",CD62," ","x"," ",N62)),"")</f>
        <v xml:space="preserve"> x  x 18,5</v>
      </c>
      <c r="CF62" t="str">
        <f>IF(F62=1,(CONCATENATE(J62,";",L62,";",Q62,";",BP62,";",N62,";",H62,";","-1",";",AF62,";",CA62,";",AG62,";",CB62,";",AD62,";",BY62,";",AE62,";",BZ62))," ")</f>
        <v>1490;840;2;Ply 18 Duco_1mk_Polos;18,5;End Panel Rangka;-1; ;; ;; ;; ;</v>
      </c>
    </row>
    <row r="63" spans="1:84" customFormat="1">
      <c r="A63" s="701" t="str">
        <f>IFERROR(INDEX((ID),MATCH(H63,BARANG,0)),"…")</f>
        <v>…</v>
      </c>
      <c r="B63" s="447" t="str">
        <f t="shared" si="25"/>
        <v>dc man</v>
      </c>
      <c r="C63" s="161" t="s">
        <v>1472</v>
      </c>
      <c r="D63" s="162" t="str">
        <f>IFERROR(INDEX((KS),MATCH($H63,Prt,0)),"")</f>
        <v>─</v>
      </c>
      <c r="E63" s="1" t="s">
        <v>2166</v>
      </c>
      <c r="F63" s="811">
        <f t="shared" si="26"/>
        <v>1</v>
      </c>
      <c r="G63" s="440" t="str">
        <f t="shared" si="27"/>
        <v>...</v>
      </c>
      <c r="H63" s="1" t="s">
        <v>1850</v>
      </c>
      <c r="I63" s="55"/>
      <c r="J63" s="170">
        <f>+J61</f>
        <v>1490</v>
      </c>
      <c r="K63" s="1" t="s">
        <v>2137</v>
      </c>
      <c r="L63" s="170">
        <f>+L61</f>
        <v>840</v>
      </c>
      <c r="M63" s="1" t="s">
        <v>2137</v>
      </c>
      <c r="N63" s="458">
        <f>+(S63+W63+Y63)</f>
        <v>1</v>
      </c>
      <c r="O63" s="170" t="str">
        <f>CONCATENATE(J63," ",K63," ",L63," ",M63," ",N63)</f>
        <v>1490 x 840 x 1</v>
      </c>
      <c r="P63" s="441">
        <v>2</v>
      </c>
      <c r="Q63" s="55">
        <f>+P63*Q61</f>
        <v>2</v>
      </c>
      <c r="R63" s="177" t="str">
        <f>IFERROR(INDEX((std_bhn_prt),MATCH($H63,Prt,0)),"")</f>
        <v>WY_5216_D(V)</v>
      </c>
      <c r="S63" s="454">
        <f>IFERROR(INDEX((std_Tbahan_prt),MATCH($H63,Prt,0)),"")</f>
        <v>1</v>
      </c>
      <c r="T63" s="178">
        <f>INDEX((std_lapisan_luar_prt),MATCH($H63,Prt,0))</f>
        <v>0</v>
      </c>
      <c r="U63" s="178">
        <f>INDEX((std_lapisan_dalam_prt),MATCH($H63,Prt,0))</f>
        <v>0</v>
      </c>
      <c r="V63" s="179" t="str">
        <f>IFERROR(INDEX((tf),MATCH(T63,ctf,0)),"")</f>
        <v>Polos</v>
      </c>
      <c r="W63" s="180">
        <f>IFERROR(INDEX((tebal_lapisan),MATCH($V63,tf,0)),"")</f>
        <v>0</v>
      </c>
      <c r="X63" s="179" t="str">
        <f>IFERROR(INDEX((tf),MATCH(U63,ctf,0)),"")</f>
        <v>Polos</v>
      </c>
      <c r="Y63" s="180">
        <f>IFERROR(INDEX((tebal_lapisan),MATCH($X63,tf,0)),"")</f>
        <v>0</v>
      </c>
      <c r="Z63" s="178">
        <f>INDEX((std_edg_P1_prt),MATCH($H63,Prt,0))</f>
        <v>0</v>
      </c>
      <c r="AA63" s="178">
        <f>INDEX((std_edg_P2_prt),MATCH($H63,Prt,0))</f>
        <v>0</v>
      </c>
      <c r="AB63" s="178">
        <f>INDEX((std_edg_L1_prt),MATCH($H63,Prt,0))</f>
        <v>0</v>
      </c>
      <c r="AC63" s="178">
        <f>INDEX((std_edg_L2_prt),MATCH($H63,Prt,0))</f>
        <v>0</v>
      </c>
      <c r="AD63" s="182" t="str">
        <f t="shared" si="46"/>
        <v xml:space="preserve"> </v>
      </c>
      <c r="AE63" s="182" t="str">
        <f t="shared" si="46"/>
        <v xml:space="preserve"> </v>
      </c>
      <c r="AF63" s="182" t="str">
        <f t="shared" si="46"/>
        <v xml:space="preserve"> </v>
      </c>
      <c r="AG63" s="182" t="str">
        <f t="shared" si="46"/>
        <v xml:space="preserve"> </v>
      </c>
      <c r="AH63" s="401">
        <f>IFERROR(INDEX((std_profil3_prt),MATCH($H63,Prt,0)),"")</f>
        <v>0</v>
      </c>
      <c r="AI63" s="401">
        <f>IFERROR(INDEX((std_profil2_prt),MATCH($H63,Prt,0)),"")</f>
        <v>0</v>
      </c>
      <c r="AJ63" s="401">
        <f>IFERROR(INDEX((std_profil_prt),MATCH($H63,Prt,0)),"")</f>
        <v>0</v>
      </c>
      <c r="AK63" s="401">
        <f t="shared" si="29"/>
        <v>0</v>
      </c>
      <c r="AL63" s="401">
        <f t="shared" si="30"/>
        <v>0</v>
      </c>
      <c r="AM63" s="189"/>
      <c r="AN63" s="829">
        <f>IFERROR(INDEX((std_rel_prt),MATCH($H63,Prt,0)),"")</f>
        <v>0</v>
      </c>
      <c r="AO63" s="830">
        <f>IFERROR(INDEX((std_engsel_prt),MATCH($H63,Prt,0)),"")</f>
        <v>0</v>
      </c>
      <c r="AP63" s="401" t="str">
        <f t="shared" si="31"/>
        <v/>
      </c>
      <c r="AQ63" s="401" t="str">
        <f t="shared" si="32"/>
        <v/>
      </c>
      <c r="AR63" s="401" t="str">
        <f>IFERROR(INDEX((std_anodizeh_proses),MATCH($I63,pk,0)),"")</f>
        <v/>
      </c>
      <c r="AS63" s="401">
        <f>IFERROR(INDEX((std_anodize_per_ukuran),MATCH($H63,Prt,0)),"")</f>
        <v>0</v>
      </c>
      <c r="AT63" s="403" t="str">
        <f>IF($AS63=edging7,L63,IF($AS63=edging8,L63,IF($AS63=edging9,L63,IF($AS63=Hand1,J62,IF($AS63=Hand2,L62,IF($AS63=hand3,"diisi manual",IF($AS63=hand4,"diisi manual",IF($AS63=hand5,"diisi manual",IF($AS63=mled02,J63,IF($AS63=mprf1,J63,IF($AS63=mlis1,J63,"")))))))))))</f>
        <v/>
      </c>
      <c r="AU63" s="403">
        <f>IF($AS63="","",Q63*BR63)</f>
        <v>0</v>
      </c>
      <c r="AV63" s="170"/>
      <c r="AW63" s="166" t="str">
        <f>CONCATENATE(VLOOKUP($V63,tabtf,2,0),VLOOKUP($X63,tabtf,2,0))</f>
        <v>33</v>
      </c>
      <c r="AX63" s="166" t="str">
        <f t="shared" si="33"/>
        <v>3333</v>
      </c>
      <c r="AY63" s="189" t="str">
        <f>IFERROR(VLOOKUP(AW63,descf,2,0),"")</f>
        <v>Polos</v>
      </c>
      <c r="AZ63" s="189" t="str">
        <f>IF($B63="alu",(VLOOKUP(AX63,descfr,2,0)),(VLOOKUP(AX63,desce,2,0)))</f>
        <v xml:space="preserve"> -</v>
      </c>
      <c r="BA63" s="196" t="str">
        <f>IF($R63=0,CONCATENATE(0,")"," ",$H63," ",$J63),CONCATENATE(VLOOKUP(H63,tabprt,2,0),")",$H63,"_",AY63))</f>
        <v>483)HPL Lembaran_Polos</v>
      </c>
      <c r="BB63" s="629" t="str">
        <f>IF($B63="…",CONCATENATE(0,$E63,")"," ",$H63),IF($B63="kc",CONCATENATE(VLOOKUP(H63,tabprt,2,0),")",$H63," ",$R63," ",$S63,"mm"," ","-"," "," ",";"," ",$AZ63,"  ",$I63),IF($B63="alu",CONCATENATE(VLOOKUP(H63,tabprt,2,0),")",$H63," ",$R63," ",$S63,"mm"," ","-"," "," ",";"," ",$AZ63,"  ",$I63),CONCATENATE(VLOOKUP(H63,tabprt,2,0),")",$H63," ",$R63," ",$S63,"mm"," ","-"," ",$AY63," ",";"," ",$AZ63,"  ",$I63))))</f>
        <v xml:space="preserve">483)HPL Lembaran WY_5216_D(V) 1mm - Polos ;  -  </v>
      </c>
      <c r="BC63" s="190"/>
      <c r="BD63" s="510">
        <f t="shared" si="34"/>
        <v>0</v>
      </c>
      <c r="BE63" s="510">
        <f t="shared" si="35"/>
        <v>0</v>
      </c>
      <c r="BF63" s="177">
        <f>IFERROR(INDEX((std_j_sikufr_prt),MATCH($H63,Prt,0)),"")*Q63</f>
        <v>0</v>
      </c>
      <c r="BG63" s="177">
        <f>IFERROR(INDEX((std_j_screwjf_prt),MATCH($H63,Prt,0)),"")*Q63</f>
        <v>0</v>
      </c>
      <c r="BH63" s="166">
        <f>IF($AM63=0,0,1)*Q63</f>
        <v>0</v>
      </c>
      <c r="BI63" s="474">
        <f>IF($AO63=0,0,IF(J63&lt;=fp,2,(ROUNDUP(J63/fp,0))))*Q63</f>
        <v>0</v>
      </c>
      <c r="BJ63" s="166">
        <f>IF($AN63=0,0,1)*Q63</f>
        <v>0</v>
      </c>
      <c r="BK63" s="474">
        <f t="shared" si="36"/>
        <v>3.06</v>
      </c>
      <c r="BL63" s="474">
        <f t="shared" si="37"/>
        <v>1.76</v>
      </c>
      <c r="BM63" s="474">
        <f>IF(R63=0,0,((2*((J63+tol_p)+(L63+tol_p))*Q63)/1000))</f>
        <v>9.64</v>
      </c>
      <c r="BN63" s="166">
        <f>((J63*L63)/1000000)*Q63</f>
        <v>2.5032000000000001</v>
      </c>
      <c r="BO63" s="166" t="str">
        <f>CONCATENATE(R63,"_",S63)</f>
        <v>WY_5216_D(V)_1</v>
      </c>
      <c r="BP63" s="204" t="str">
        <f>CONCATENATE(R63," ",S63," ",AY63)</f>
        <v>WY_5216_D(V) 1 Polos</v>
      </c>
      <c r="BQ63" s="475">
        <f>((J63*L63*Q63)/(2400*1200))+10%</f>
        <v>0.96916666666666662</v>
      </c>
      <c r="BR63" s="205">
        <f>IFERROR(INDEX((std_jml_anodize_per_uk),MATCH($H63,Prt,0)),"")</f>
        <v>0</v>
      </c>
      <c r="BS63" s="509">
        <f t="shared" si="38"/>
        <v>0</v>
      </c>
      <c r="BT63" s="509">
        <f t="shared" si="39"/>
        <v>0</v>
      </c>
      <c r="BU63" s="459">
        <f>BF63*$Q63</f>
        <v>0</v>
      </c>
      <c r="BV63" s="459">
        <f>BG63*$Q63</f>
        <v>0</v>
      </c>
      <c r="BW63" s="1">
        <f>+((J63*L63)*Q63)/1000000</f>
        <v>2.5032000000000001</v>
      </c>
      <c r="BX63" s="1">
        <f>+((J63*L63*N63)*Q63)/1000000000</f>
        <v>2.5032000000000001E-3</v>
      </c>
      <c r="BY63" s="546" t="str">
        <f t="shared" si="40"/>
        <v/>
      </c>
      <c r="BZ63" s="546" t="str">
        <f t="shared" si="41"/>
        <v/>
      </c>
      <c r="CA63" s="546" t="str">
        <f t="shared" si="42"/>
        <v/>
      </c>
      <c r="CB63" s="546" t="str">
        <f t="shared" si="43"/>
        <v/>
      </c>
      <c r="CC63" s="728" t="str">
        <f>IFERROR((J63-CA63-CB63),"")</f>
        <v/>
      </c>
      <c r="CD63" s="728" t="str">
        <f>IFERROR((L63-BY63-BZ63),"")</f>
        <v/>
      </c>
      <c r="CE63" s="170" t="str">
        <f>IFERROR((CONCATENATE(CC63," ","x"," ",CD63," ","x"," ",N63)),"")</f>
        <v xml:space="preserve"> x  x 1</v>
      </c>
      <c r="CF63" t="str">
        <f>IF(F63=1,(CONCATENATE(J63,";",L63,";",Q63,";",BP63,";",N63,";",H63,";","-1",";",AF63,";",CA63,";",AG63,";",CB63,";",AD63,";",BY63,";",AE63,";",BZ63))," ")</f>
        <v>1490;840;2;WY_5216_D(V) 1 Polos;1;HPL Lembaran;-1; ;; ;; ;; ;</v>
      </c>
    </row>
    <row r="64" spans="1:84" customFormat="1">
      <c r="A64" s="701"/>
      <c r="B64" s="447"/>
      <c r="C64" s="161"/>
      <c r="D64" s="162"/>
      <c r="E64" s="1"/>
      <c r="F64" s="811"/>
      <c r="G64" s="440"/>
      <c r="H64" s="1"/>
      <c r="I64" s="55"/>
      <c r="J64" s="170"/>
      <c r="K64" s="1"/>
      <c r="L64" s="170"/>
      <c r="M64" s="1"/>
      <c r="N64" s="458"/>
      <c r="O64" s="170"/>
      <c r="P64" s="441"/>
      <c r="Q64" s="55"/>
      <c r="R64" s="177"/>
      <c r="S64" s="454"/>
      <c r="T64" s="178"/>
      <c r="U64" s="178"/>
      <c r="V64" s="179"/>
      <c r="W64" s="180"/>
      <c r="X64" s="179"/>
      <c r="Y64" s="180"/>
      <c r="Z64" s="178"/>
      <c r="AA64" s="178"/>
      <c r="AB64" s="178"/>
      <c r="AC64" s="178"/>
      <c r="AD64" s="182"/>
      <c r="AE64" s="182"/>
      <c r="AF64" s="182"/>
      <c r="AG64" s="182"/>
      <c r="AH64" s="401"/>
      <c r="AI64" s="401"/>
      <c r="AJ64" s="401"/>
      <c r="AK64" s="401"/>
      <c r="AL64" s="401"/>
      <c r="AM64" s="189"/>
      <c r="AN64" s="829"/>
      <c r="AO64" s="830"/>
      <c r="AP64" s="401"/>
      <c r="AQ64" s="401"/>
      <c r="AR64" s="401"/>
      <c r="AS64" s="401"/>
      <c r="AT64" s="403"/>
      <c r="AU64" s="403"/>
      <c r="AV64" s="170"/>
      <c r="AW64" s="166"/>
      <c r="AX64" s="166"/>
      <c r="AY64" s="189"/>
      <c r="AZ64" s="189"/>
      <c r="BA64" s="196"/>
      <c r="BB64" s="629"/>
      <c r="BC64" s="190"/>
      <c r="BD64" s="510"/>
      <c r="BE64" s="510"/>
      <c r="BF64" s="177"/>
      <c r="BG64" s="177"/>
      <c r="BH64" s="166"/>
      <c r="BI64" s="474"/>
      <c r="BJ64" s="166"/>
      <c r="BK64" s="474"/>
      <c r="BL64" s="474"/>
      <c r="BM64" s="474"/>
      <c r="BN64" s="166"/>
      <c r="BO64" s="166"/>
      <c r="BP64" s="204"/>
      <c r="BQ64" s="475"/>
      <c r="BR64" s="205"/>
      <c r="BS64" s="509"/>
      <c r="BT64" s="509"/>
      <c r="BU64" s="459"/>
      <c r="BV64" s="459"/>
      <c r="BW64" s="1"/>
      <c r="BX64" s="1"/>
      <c r="BY64" s="546"/>
      <c r="BZ64" s="546"/>
      <c r="CA64" s="546"/>
      <c r="CB64" s="546"/>
      <c r="CC64" s="728"/>
      <c r="CD64" s="728"/>
      <c r="CE64" s="170"/>
    </row>
    <row r="65" spans="1:84" customFormat="1">
      <c r="A65" s="701"/>
      <c r="B65" s="447"/>
      <c r="C65" s="161"/>
      <c r="D65" s="162"/>
      <c r="E65" s="1"/>
      <c r="F65" s="811"/>
      <c r="G65" s="440"/>
      <c r="H65" s="1"/>
      <c r="I65" s="55"/>
      <c r="J65" s="170"/>
      <c r="K65" s="1"/>
      <c r="L65" s="170"/>
      <c r="M65" s="1"/>
      <c r="N65" s="458"/>
      <c r="O65" s="170"/>
      <c r="P65" s="441"/>
      <c r="Q65" s="55"/>
      <c r="R65" s="177"/>
      <c r="S65" s="454"/>
      <c r="T65" s="178"/>
      <c r="U65" s="178"/>
      <c r="V65" s="179"/>
      <c r="W65" s="180"/>
      <c r="X65" s="179"/>
      <c r="Y65" s="180"/>
      <c r="Z65" s="178"/>
      <c r="AA65" s="178"/>
      <c r="AB65" s="178"/>
      <c r="AC65" s="178"/>
      <c r="AD65" s="182"/>
      <c r="AE65" s="182"/>
      <c r="AF65" s="182"/>
      <c r="AG65" s="182"/>
      <c r="AH65" s="401"/>
      <c r="AI65" s="401"/>
      <c r="AJ65" s="401"/>
      <c r="AK65" s="401"/>
      <c r="AL65" s="401"/>
      <c r="AM65" s="189"/>
      <c r="AN65" s="829"/>
      <c r="AO65" s="830"/>
      <c r="AP65" s="401"/>
      <c r="AQ65" s="401"/>
      <c r="AR65" s="401"/>
      <c r="AS65" s="401"/>
      <c r="AT65" s="403"/>
      <c r="AU65" s="403"/>
      <c r="AV65" s="170"/>
      <c r="AW65" s="166"/>
      <c r="AX65" s="166"/>
      <c r="AY65" s="189"/>
      <c r="AZ65" s="189"/>
      <c r="BA65" s="196"/>
      <c r="BB65" s="629"/>
      <c r="BC65" s="190"/>
      <c r="BD65" s="510"/>
      <c r="BE65" s="510"/>
      <c r="BF65" s="177"/>
      <c r="BG65" s="177"/>
      <c r="BH65" s="166"/>
      <c r="BI65" s="474"/>
      <c r="BJ65" s="166"/>
      <c r="BK65" s="474"/>
      <c r="BL65" s="474"/>
      <c r="BM65" s="474"/>
      <c r="BN65" s="166"/>
      <c r="BO65" s="166"/>
      <c r="BP65" s="204"/>
      <c r="BQ65" s="475"/>
      <c r="BR65" s="205"/>
      <c r="BS65" s="509"/>
      <c r="BT65" s="509"/>
      <c r="BU65" s="459"/>
      <c r="BV65" s="459"/>
      <c r="BW65" s="1"/>
      <c r="BX65" s="1"/>
      <c r="BY65" s="546"/>
      <c r="BZ65" s="546"/>
      <c r="CA65" s="546"/>
      <c r="CB65" s="546"/>
      <c r="CC65" s="728"/>
      <c r="CD65" s="728"/>
      <c r="CE65" s="170"/>
    </row>
    <row r="66" spans="1:84" customFormat="1">
      <c r="A66" s="701" t="str">
        <f>IFERROR(INDEX((ID),MATCH(H66,BARANG,0)),"…")</f>
        <v>…</v>
      </c>
      <c r="B66" s="447" t="str">
        <f>IFERROR(INDEX((cprt),MATCH($H66,Prt,0)),"…")</f>
        <v>…</v>
      </c>
      <c r="C66" s="1" t="s">
        <v>2605</v>
      </c>
      <c r="D66" s="538" t="str">
        <f>(INDEX(KS_Set,MATCH($H66,Set_prt,0)))</f>
        <v>[ks]</v>
      </c>
      <c r="E66" s="1" t="s">
        <v>2166</v>
      </c>
      <c r="F66" s="811" t="str">
        <f>IFERROR(INDEX((opt),MATCH($H66,Prt,0)),"")</f>
        <v/>
      </c>
      <c r="G66" s="440" t="str">
        <f>IFERROR(INDEX((no_ref),MATCH($H66,ref,0)),"...")</f>
        <v>•</v>
      </c>
      <c r="H66" s="1" t="s">
        <v>4704</v>
      </c>
      <c r="J66" s="171">
        <v>1333</v>
      </c>
      <c r="K66" s="55" t="s">
        <v>2137</v>
      </c>
      <c r="L66" s="171">
        <v>600</v>
      </c>
      <c r="M66" s="55" t="s">
        <v>2137</v>
      </c>
      <c r="N66" s="172">
        <v>100</v>
      </c>
      <c r="O66" s="170" t="str">
        <f>CONCATENATE(J66," ",K66," ",L66," ",M66," ",N66)</f>
        <v>1333 x 600 x 100</v>
      </c>
      <c r="P66" s="441"/>
      <c r="Q66" s="172">
        <v>1</v>
      </c>
      <c r="R66" s="181"/>
      <c r="S66" s="455"/>
      <c r="T66" s="170"/>
      <c r="U66" s="170"/>
      <c r="V66" s="1"/>
      <c r="W66" s="173"/>
      <c r="X66" s="1"/>
      <c r="Y66" s="166"/>
      <c r="Z66" s="170"/>
      <c r="AA66" s="170"/>
      <c r="AB66" s="170"/>
      <c r="AC66" s="170"/>
      <c r="AD66" s="182" t="str">
        <f t="shared" ref="AD66:AG69" si="47">IF($B66="alu",(INDEX((Fr),MATCH(Z66,cfr,0))),INDEX((te),MATCH(Z66,cte,0)))</f>
        <v xml:space="preserve"> </v>
      </c>
      <c r="AE66" s="182" t="str">
        <f t="shared" si="47"/>
        <v xml:space="preserve"> </v>
      </c>
      <c r="AF66" s="182" t="str">
        <f t="shared" si="47"/>
        <v xml:space="preserve"> </v>
      </c>
      <c r="AG66" s="182" t="str">
        <f t="shared" si="47"/>
        <v xml:space="preserve"> </v>
      </c>
      <c r="AH66" s="189"/>
      <c r="AI66" s="189"/>
      <c r="AJ66" s="189"/>
      <c r="AK66" s="401" t="str">
        <f>IFERROR(INDEX((std_siku_prt),MATCH($H66,Prt,0)),"")</f>
        <v/>
      </c>
      <c r="AL66" s="401" t="str">
        <f>IFERROR(INDEX((std_screw_prt),MATCH($H66,Prt,0)),"")</f>
        <v/>
      </c>
      <c r="AM66" s="189"/>
      <c r="AN66" s="782"/>
      <c r="AO66" s="189"/>
      <c r="AP66" s="401" t="str">
        <f>IFERROR(INDEX((std_anodizev_proses),MATCH($I66,pk,0)),"")</f>
        <v/>
      </c>
      <c r="AQ66" s="401" t="str">
        <f>IFERROR(INDEX((std_anodizev2_proses),MATCH($I66,pk,0)),"")</f>
        <v/>
      </c>
      <c r="AR66" s="401" t="str">
        <f>IFERROR(INDEX((std_anodizeh_proses),MATCH($I66,pk,0)),"")</f>
        <v/>
      </c>
      <c r="AS66" s="188"/>
      <c r="AT66" s="1"/>
      <c r="AU66" s="403" t="str">
        <f>IF($AS66=0,"",Q66*BR66)</f>
        <v/>
      </c>
      <c r="AV66" s="1"/>
      <c r="AW66" s="166"/>
      <c r="AX66" s="166" t="str">
        <f>IF($B66="alu",(CONCATENATE(VLOOKUP($AD66,tabfr,2,0),VLOOKUP($AE66,tabfr,2,0),VLOOKUP($AF66,tabfr,2,0),VLOOKUP($AG66,tabfr,2,0))),(CONCATENATE(VLOOKUP($AD66,tabte,2,0),VLOOKUP($AE66,tabte,2,0),VLOOKUP($AF66,tabte,2,0),VLOOKUP($AG66,tabte,2,0))))</f>
        <v>3333</v>
      </c>
      <c r="AY66" s="189" t="str">
        <f>IFERROR(VLOOKUP(AW66,descf,2,0),"")</f>
        <v/>
      </c>
      <c r="AZ66" s="189" t="str">
        <f>IF($B66="alu",(VLOOKUP(AX66,descfr,2,0)),(VLOOKUP(AX66,desce,2,0)))</f>
        <v xml:space="preserve"> -</v>
      </c>
      <c r="BA66" s="196" t="str">
        <f>IF($R66=0,CONCATENATE(0,")"," ",$H66," ",$J66),CONCATENATE(VLOOKUP(H66,tabprt,2,0),")",$H66,"_",AY66))</f>
        <v>0) Plinth Rangka DUCO (rakit tukang) 1333</v>
      </c>
      <c r="BB66" s="629" t="str">
        <f>IF($B66="…",CONCATENATE(0,$E66,")"," ",$H66),IF($B66="kc",CONCATENATE(VLOOKUP(H66,tabprt,2,0),")",$H66," ",$R66," ",$S66,"mm"," ","-"," "," ",";"," ",$AZ66,"  ",$I66),IF($B66="alu",CONCATENATE(VLOOKUP(H66,tabprt,2,0),")",$H66," ",$R66," ",$S66,"mm"," ","-"," "," ",";"," ",$AZ66,"  ",$I66),CONCATENATE(VLOOKUP(H66,tabprt,2,0),")",$H66," ",$R66," ",$S66,"mm"," ","-"," ",$AY66," ",";"," ",$AZ66,"  ",$I66))))</f>
        <v>0A) Plinth Rangka DUCO (rakit tukang)</v>
      </c>
      <c r="BC66" s="197"/>
      <c r="BD66" s="510" t="str">
        <f>IFERROR(INDEX((std_minifix_prt),MATCH($H66,Prt,0)),"")</f>
        <v/>
      </c>
      <c r="BE66" s="510" t="str">
        <f>IFERROR(INDEX((std_dowel_prt),MATCH($H66,Prt,0)),"")</f>
        <v/>
      </c>
      <c r="BF66" s="177"/>
      <c r="BG66" s="177"/>
      <c r="BH66" s="166">
        <f>IF($AM66=0,0,1)*Q66</f>
        <v>0</v>
      </c>
      <c r="BI66" s="474">
        <f>IF($AO66=0,0,IF(J66&lt;=fp,2,(ROUNDUP(J66/fp,0))))*Q66</f>
        <v>0</v>
      </c>
      <c r="BJ66" s="166">
        <f>IF($AN66=0,0,1)*Q66</f>
        <v>0</v>
      </c>
      <c r="BK66" s="474">
        <f>(($J66+tol_p)*$Q66)/1000</f>
        <v>1.373</v>
      </c>
      <c r="BL66" s="474">
        <f>(($L66+tol_p)*$Q66)/1000</f>
        <v>0.64</v>
      </c>
      <c r="BM66" s="474">
        <f>IF(R66=0,0,((2*((J66+tol_p)+(L66+tol_p))*Q66)/1000))</f>
        <v>0</v>
      </c>
      <c r="BN66" s="166"/>
      <c r="BO66" s="166" t="str">
        <f>CONCATENATE(R66,"_",S66)</f>
        <v>_</v>
      </c>
      <c r="BP66" s="204" t="str">
        <f>CONCATENATE(R66," ",S66," ",AY66)</f>
        <v xml:space="preserve">  </v>
      </c>
      <c r="BQ66" s="475">
        <f>((J66*L66*Q66)/(2400*1200))+10%</f>
        <v>0.37770833333333331</v>
      </c>
      <c r="BR66" s="205" t="str">
        <f>IFERROR(INDEX((std_jml_anodize_per_uk),MATCH($H66,Prt,0)),"")</f>
        <v/>
      </c>
      <c r="BS66" s="509">
        <f>IF($BD66=0,0,IF($L66&lt;150,2,((ROUNDUP($L66/fm,0)*2))))*$Q66</f>
        <v>6</v>
      </c>
      <c r="BT66" s="509">
        <f>IF($BE66=0,0,IF($L66&lt;150,2,((ROUNDUP($L66/fd,0)*2))))*$Q66</f>
        <v>8</v>
      </c>
      <c r="BU66" s="459"/>
      <c r="BV66" s="459"/>
      <c r="BW66" s="1">
        <f>+((J66*L66)*Q66)/1000000</f>
        <v>0.79979999999999996</v>
      </c>
      <c r="BX66" s="1">
        <f>+((J66*L66*N66)*Q66)/1000000000</f>
        <v>7.9979999999999996E-2</v>
      </c>
      <c r="BY66" s="546" t="str">
        <f>IFERROR(INDEX((tbl_edg),MATCH($AD66,Edg,0)),"")</f>
        <v/>
      </c>
      <c r="BZ66" s="546" t="str">
        <f>IFERROR(INDEX((tbl_edg),MATCH($AE66,Edg,0)),"")</f>
        <v/>
      </c>
      <c r="CA66" s="546" t="str">
        <f>IFERROR(INDEX((tbl_edg),MATCH($AF66,Edg,0)),"")</f>
        <v/>
      </c>
      <c r="CB66" s="546" t="str">
        <f>IFERROR(INDEX((tbl_edg),MATCH($AG66,Edg,0)),"")</f>
        <v/>
      </c>
      <c r="CC66" s="728" t="str">
        <f>IFERROR((J66-CA66-CB66),"")</f>
        <v/>
      </c>
      <c r="CD66" s="728" t="str">
        <f>IFERROR((L66-BY66-BZ66),"")</f>
        <v/>
      </c>
      <c r="CE66" s="170" t="str">
        <f>IFERROR((CONCATENATE(CC66," ","x"," ",CD66," ","x"," ",N66)),"")</f>
        <v xml:space="preserve"> x  x 100</v>
      </c>
      <c r="CF66" t="str">
        <f>IF(F66=1,(CONCATENATE(J66,";",L66,";",Q66,";",BP66,";",N66,";",H66,";","-1",";",AF66,";",CA66,";",AG66,";",CB66,";",AD66,";",BY66,";",AE66,";",BZ66))," ")</f>
        <v xml:space="preserve"> </v>
      </c>
    </row>
    <row r="67" spans="1:84" customFormat="1">
      <c r="A67" s="701" t="str">
        <f>IFERROR(INDEX((ID),MATCH(H67,BARANG,0)),"…")</f>
        <v>…</v>
      </c>
      <c r="B67" s="447" t="str">
        <f>IFERROR(INDEX((cprt),MATCH($H67,Prt,0)),"…")</f>
        <v>pintu</v>
      </c>
      <c r="C67" s="161" t="s">
        <v>1472</v>
      </c>
      <c r="D67" s="162" t="str">
        <f>IFERROR(INDEX((KS),MATCH($H67,Prt,0)),"")</f>
        <v>KS</v>
      </c>
      <c r="E67" s="1" t="s">
        <v>2380</v>
      </c>
      <c r="F67" s="811">
        <f>IFERROR(INDEX((opt),MATCH($H67,Prt,0)),"")</f>
        <v>1</v>
      </c>
      <c r="G67" s="440" t="str">
        <f>IFERROR(INDEX((no_ref),MATCH($H67,ref,0)),"...")</f>
        <v>...</v>
      </c>
      <c r="H67" s="1" t="s">
        <v>1833</v>
      </c>
      <c r="I67" s="55"/>
      <c r="J67" s="170">
        <v>2430</v>
      </c>
      <c r="K67" s="1" t="s">
        <v>2137</v>
      </c>
      <c r="L67" s="170">
        <v>100</v>
      </c>
      <c r="M67" s="1" t="s">
        <v>2137</v>
      </c>
      <c r="N67" s="458">
        <f>+(S67+W67+Y67)</f>
        <v>18.5</v>
      </c>
      <c r="O67" s="170" t="str">
        <f>CONCATENATE(J67," ",K67," ",L67," ",M67," ",N67)</f>
        <v>2430 x 100 x 18,5</v>
      </c>
      <c r="P67" s="441">
        <v>1</v>
      </c>
      <c r="Q67" s="55">
        <f>+P67*Q66</f>
        <v>1</v>
      </c>
      <c r="R67" s="177" t="str">
        <f>IFERROR(INDEX((std_bhn_prt),MATCH($H67,Prt,0)),"")</f>
        <v>Ply</v>
      </c>
      <c r="S67" s="454">
        <v>18</v>
      </c>
      <c r="T67" s="178">
        <v>7</v>
      </c>
      <c r="U67" s="178">
        <f>INDEX((std_lapisan_dalam_prt),MATCH($H67,Prt,0))</f>
        <v>0</v>
      </c>
      <c r="V67" s="179" t="str">
        <f>IFERROR(INDEX((tf),MATCH(T67,ctf,0)),"")</f>
        <v>Duco</v>
      </c>
      <c r="W67" s="180">
        <f>IFERROR(INDEX((tebal_lapisan),MATCH($V67,tf,0)),"")</f>
        <v>0.5</v>
      </c>
      <c r="X67" s="179" t="str">
        <f>IFERROR(INDEX((tf),MATCH(U67,ctf,0)),"")</f>
        <v>Polos</v>
      </c>
      <c r="Y67" s="180">
        <f>IFERROR(INDEX((tebal_lapisan),MATCH($X67,tf,0)),"")</f>
        <v>0</v>
      </c>
      <c r="Z67" s="178">
        <f>INDEX((std_edg_P1_prt),MATCH($H67,Prt,0))</f>
        <v>0</v>
      </c>
      <c r="AA67" s="178">
        <f>INDEX((std_edg_P2_prt),MATCH($H67,Prt,0))</f>
        <v>0</v>
      </c>
      <c r="AB67" s="178">
        <f>INDEX((std_edg_L1_prt),MATCH($H67,Prt,0))</f>
        <v>0</v>
      </c>
      <c r="AC67" s="178">
        <f>INDEX((std_edg_L2_prt),MATCH($H67,Prt,0))</f>
        <v>0</v>
      </c>
      <c r="AD67" s="182" t="str">
        <f t="shared" si="47"/>
        <v xml:space="preserve"> </v>
      </c>
      <c r="AE67" s="182" t="str">
        <f t="shared" si="47"/>
        <v xml:space="preserve"> </v>
      </c>
      <c r="AF67" s="182" t="str">
        <f t="shared" si="47"/>
        <v xml:space="preserve"> </v>
      </c>
      <c r="AG67" s="182" t="str">
        <f t="shared" si="47"/>
        <v xml:space="preserve"> </v>
      </c>
      <c r="AH67" s="401">
        <f>IFERROR(INDEX((std_profil3_prt),MATCH($H67,Prt,0)),"")</f>
        <v>0</v>
      </c>
      <c r="AI67" s="401">
        <f>IFERROR(INDEX((std_profil2_prt),MATCH($H67,Prt,0)),"")</f>
        <v>0</v>
      </c>
      <c r="AJ67" s="401">
        <f>IFERROR(INDEX((std_profil_prt),MATCH($H67,Prt,0)),"")</f>
        <v>0</v>
      </c>
      <c r="AK67" s="401">
        <f>IFERROR(INDEX((std_siku_prt),MATCH($H67,Prt,0)),"")</f>
        <v>0</v>
      </c>
      <c r="AL67" s="401">
        <f>IFERROR(INDEX((std_screw_prt),MATCH($H67,Prt,0)),"")</f>
        <v>0</v>
      </c>
      <c r="AM67" s="189"/>
      <c r="AN67" s="829">
        <f>IFERROR(INDEX((std_rel_prt),MATCH($H67,Prt,0)),"")</f>
        <v>0</v>
      </c>
      <c r="AO67" s="830">
        <f>IFERROR(INDEX((std_engsel_prt),MATCH($H67,Prt,0)),"")</f>
        <v>0</v>
      </c>
      <c r="AP67" s="401" t="str">
        <f>IFERROR(INDEX((std_anodizev_proses),MATCH($I67,pk,0)),"")</f>
        <v/>
      </c>
      <c r="AQ67" s="401" t="str">
        <f>IFERROR(INDEX((std_anodizev2_proses),MATCH($I67,pk,0)),"")</f>
        <v/>
      </c>
      <c r="AR67" s="401" t="str">
        <f>edging1</f>
        <v>Edg_EAW_5216D1</v>
      </c>
      <c r="AS67" s="401">
        <f>IFERROR(INDEX((std_anodize_per_ukuran),MATCH($H67,Prt,0)),"")</f>
        <v>0</v>
      </c>
      <c r="AT67" s="403" t="str">
        <f>IF($AS67=edging7,L67,IF($AS67=edging8,L67,IF($AS67=edging9,L67,IF($AS67=Hand1,J66,IF($AS67=Hand2,L66,IF($AS67=hand3,"diisi manual",IF($AS67=hand4,"diisi manual",IF($AS67=hand5,"diisi manual",IF($AS67=mled02,J67,IF($AS67=mprf1,J67,IF($AS67=mlis1,J67,"")))))))))))</f>
        <v/>
      </c>
      <c r="AU67" s="403">
        <f>IF($AS67="","",Q67*BR67)</f>
        <v>0</v>
      </c>
      <c r="AV67" s="170"/>
      <c r="AW67" s="166" t="str">
        <f>CONCATENATE(VLOOKUP($V67,tabtf,2,0),VLOOKUP($X67,tabtf,2,0))</f>
        <v>123</v>
      </c>
      <c r="AX67" s="166" t="str">
        <f>IF($B67="alu",(CONCATENATE(VLOOKUP($AD67,tabfr,2,0),VLOOKUP($AE67,tabfr,2,0),VLOOKUP($AF67,tabfr,2,0),VLOOKUP($AG67,tabfr,2,0))),(CONCATENATE(VLOOKUP($AD67,tabte,2,0),VLOOKUP($AE67,tabte,2,0),VLOOKUP($AF67,tabte,2,0),VLOOKUP($AG67,tabte,2,0))))</f>
        <v>3333</v>
      </c>
      <c r="AY67" s="189" t="str">
        <f>IFERROR(VLOOKUP(AW67,descf,2,0),"")</f>
        <v>Duco_1mk_Polos</v>
      </c>
      <c r="AZ67" s="189" t="str">
        <f>IF($B67="alu",(VLOOKUP(AX67,descfr,2,0)),(VLOOKUP(AX67,desce,2,0)))</f>
        <v xml:space="preserve"> -</v>
      </c>
      <c r="BA67" s="196" t="str">
        <f>IF($R67=0,CONCATENATE(0,")"," ",$H67," ",$J67),CONCATENATE(VLOOKUP(H67,tabprt,2,0),")",$H67,"_",AY67))</f>
        <v>379)End Panel Rangka_Duco_1mk_Polos</v>
      </c>
      <c r="BB67" s="629" t="str">
        <f>IF($B67="…",CONCATENATE(0,$E67,")"," ",$H67),IF($B67="kc",CONCATENATE(VLOOKUP(H67,tabprt,2,0),")",$H67," ",$R67," ",$S67,"mm"," ","-"," "," ",";"," ",$AZ67,"  ",$I67),IF($B67="alu",CONCATENATE(VLOOKUP(H67,tabprt,2,0),")",$H67," ",$R67," ",$S67,"mm"," ","-"," "," ",";"," ",$AZ67,"  ",$I67),CONCATENATE(VLOOKUP(H67,tabprt,2,0),")",$H67," ",$R67," ",$S67,"mm"," ","-"," ",$AY67," ",";"," ",$AZ67,"  ",$I67))))</f>
        <v xml:space="preserve">379)End Panel Rangka Ply 18mm - Duco_1mk_Polos ;  -  </v>
      </c>
      <c r="BC67" s="190"/>
      <c r="BD67" s="510">
        <f>IFERROR(INDEX((std_minifix_prt),MATCH($H67,Prt,0)),"")</f>
        <v>0</v>
      </c>
      <c r="BE67" s="510">
        <f>IFERROR(INDEX((std_dowel_prt),MATCH($H67,Prt,0)),"")</f>
        <v>0</v>
      </c>
      <c r="BF67" s="177">
        <f>IFERROR(INDEX((std_j_sikufr_prt),MATCH($H67,Prt,0)),"")*Q67</f>
        <v>0</v>
      </c>
      <c r="BG67" s="177">
        <f>IFERROR(INDEX((std_j_screwjf_prt),MATCH($H67,Prt,0)),"")*Q67</f>
        <v>0</v>
      </c>
      <c r="BH67" s="166">
        <f>IF($AM67=0,0,1)*Q67</f>
        <v>0</v>
      </c>
      <c r="BI67" s="474">
        <f>IF($AO67=0,0,IF(J67&lt;=fp,2,(ROUNDUP(J67/fp,0))))*Q67</f>
        <v>0</v>
      </c>
      <c r="BJ67" s="166">
        <f>IF($AN67=0,0,1)*Q67</f>
        <v>0</v>
      </c>
      <c r="BK67" s="474">
        <f>(($J67+tol_p)*$Q67)/1000</f>
        <v>2.4700000000000002</v>
      </c>
      <c r="BL67" s="474">
        <f>(($L67+tol_p)*$Q67)/1000</f>
        <v>0.14000000000000001</v>
      </c>
      <c r="BM67" s="474">
        <f>IF(R67=0,0,((2*((J67+tol_p)+(L67+tol_p))*Q67)/1000))</f>
        <v>5.22</v>
      </c>
      <c r="BN67" s="166">
        <f>((J67*L67)/1000000)*Q67</f>
        <v>0.24299999999999999</v>
      </c>
      <c r="BO67" s="166" t="str">
        <f>CONCATENATE(R67,"_",S67)</f>
        <v>Ply_18</v>
      </c>
      <c r="BP67" s="204" t="str">
        <f>CONCATENATE(R67," ",S67," ",AY67)</f>
        <v>Ply 18 Duco_1mk_Polos</v>
      </c>
      <c r="BQ67" s="475">
        <f>((J67*L67*Q67)/(2400*1200))+10%</f>
        <v>0.18437500000000001</v>
      </c>
      <c r="BR67" s="205">
        <f>IFERROR(INDEX((std_jml_anodize_per_uk),MATCH($H67,Prt,0)),"")</f>
        <v>0</v>
      </c>
      <c r="BS67" s="509">
        <f>IF($BD67=0,0,IF($L67&lt;150,2,((ROUNDUP($L67/fm,0)*2))))*$Q67</f>
        <v>0</v>
      </c>
      <c r="BT67" s="509">
        <f>IF($BE67=0,0,IF($L67&lt;150,2,((ROUNDUP($L67/fd,0)*2))))*$Q67</f>
        <v>0</v>
      </c>
      <c r="BU67" s="459">
        <f t="shared" ref="BU67:BV69" si="48">BF67*$Q67</f>
        <v>0</v>
      </c>
      <c r="BV67" s="459">
        <f t="shared" si="48"/>
        <v>0</v>
      </c>
      <c r="BW67" s="1">
        <f>+((J67*L67)*Q67)/1000000</f>
        <v>0.24299999999999999</v>
      </c>
      <c r="BX67" s="1">
        <f>+((J67*L67*N67)*Q67)/1000000000</f>
        <v>4.4955000000000004E-3</v>
      </c>
      <c r="BY67" s="546" t="str">
        <f>IFERROR(INDEX((tbl_edg),MATCH($AD67,Edg,0)),"")</f>
        <v/>
      </c>
      <c r="BZ67" s="546" t="str">
        <f>IFERROR(INDEX((tbl_edg),MATCH($AE67,Edg,0)),"")</f>
        <v/>
      </c>
      <c r="CA67" s="546" t="str">
        <f>IFERROR(INDEX((tbl_edg),MATCH($AF67,Edg,0)),"")</f>
        <v/>
      </c>
      <c r="CB67" s="546" t="str">
        <f>IFERROR(INDEX((tbl_edg),MATCH($AG67,Edg,0)),"")</f>
        <v/>
      </c>
      <c r="CC67" s="728" t="str">
        <f>IFERROR((J67-CA67-CB67),"")</f>
        <v/>
      </c>
      <c r="CD67" s="728" t="str">
        <f>IFERROR((L67-BY67-BZ67),"")</f>
        <v/>
      </c>
      <c r="CE67" s="170" t="str">
        <f>IFERROR((CONCATENATE(CC67," ","x"," ",CD67," ","x"," ",N67)),"")</f>
        <v xml:space="preserve"> x  x 18,5</v>
      </c>
      <c r="CF67" t="str">
        <f>IF(F67=1,(CONCATENATE(J67,";",L67,";",Q67,";",BP67,";",N67,";",H67,";","-1",";",AF67,";",CA67,";",AG67,";",CB67,";",AD67,";",BY67,";",AE67,";",BZ67))," ")</f>
        <v>2430;100;1;Ply 18 Duco_1mk_Polos;18,5;End Panel Rangka;-1; ;; ;; ;; ;</v>
      </c>
    </row>
    <row r="68" spans="1:84" customFormat="1">
      <c r="A68" s="701" t="str">
        <f>IFERROR(INDEX((ID),MATCH(H68,BARANG,0)),"…")</f>
        <v>…</v>
      </c>
      <c r="B68" s="447" t="str">
        <f>IFERROR(INDEX((cprt),MATCH($H68,Prt,0)),"…")</f>
        <v>pintu</v>
      </c>
      <c r="C68" s="161" t="s">
        <v>1472</v>
      </c>
      <c r="D68" s="162" t="str">
        <f>IFERROR(INDEX((KS),MATCH($H68,Prt,0)),"")</f>
        <v>KS</v>
      </c>
      <c r="E68" s="1" t="s">
        <v>2380</v>
      </c>
      <c r="F68" s="811">
        <f>IFERROR(INDEX((opt),MATCH($H68,Prt,0)),"")</f>
        <v>1</v>
      </c>
      <c r="G68" s="440" t="str">
        <f>IFERROR(INDEX((no_ref),MATCH($H68,ref,0)),"...")</f>
        <v>...</v>
      </c>
      <c r="H68" s="1" t="s">
        <v>1833</v>
      </c>
      <c r="I68" s="55"/>
      <c r="J68" s="170">
        <v>1026</v>
      </c>
      <c r="K68" s="1" t="s">
        <v>2137</v>
      </c>
      <c r="L68" s="170">
        <f>+ROUNDDOWN(L66-N67,0)</f>
        <v>581</v>
      </c>
      <c r="M68" s="1" t="s">
        <v>2137</v>
      </c>
      <c r="N68" s="458">
        <f>+(S68+W68+Y68)</f>
        <v>18.5</v>
      </c>
      <c r="O68" s="170" t="str">
        <f>CONCATENATE(J68," ",K68," ",L68," ",M68," ",N68)</f>
        <v>1026 x 581 x 18,5</v>
      </c>
      <c r="P68" s="441">
        <v>1</v>
      </c>
      <c r="Q68" s="55">
        <f>+P68*Q66</f>
        <v>1</v>
      </c>
      <c r="R68" s="177" t="str">
        <f>IFERROR(INDEX((std_bhn_prt),MATCH($H68,Prt,0)),"")</f>
        <v>Ply</v>
      </c>
      <c r="S68" s="454">
        <v>18</v>
      </c>
      <c r="T68" s="178">
        <v>7</v>
      </c>
      <c r="U68" s="178">
        <f>INDEX((std_lapisan_dalam_prt),MATCH($H68,Prt,0))</f>
        <v>0</v>
      </c>
      <c r="V68" s="179" t="str">
        <f>IFERROR(INDEX((tf),MATCH(T68,ctf,0)),"")</f>
        <v>Duco</v>
      </c>
      <c r="W68" s="180">
        <f>IFERROR(INDEX((tebal_lapisan),MATCH($V68,tf,0)),"")</f>
        <v>0.5</v>
      </c>
      <c r="X68" s="179" t="str">
        <f>IFERROR(INDEX((tf),MATCH(U68,ctf,0)),"")</f>
        <v>Polos</v>
      </c>
      <c r="Y68" s="180">
        <f>IFERROR(INDEX((tebal_lapisan),MATCH($X68,tf,0)),"")</f>
        <v>0</v>
      </c>
      <c r="Z68" s="178">
        <f>INDEX((std_edg_P1_prt),MATCH($H68,Prt,0))</f>
        <v>0</v>
      </c>
      <c r="AA68" s="178">
        <f>INDEX((std_edg_P2_prt),MATCH($H68,Prt,0))</f>
        <v>0</v>
      </c>
      <c r="AB68" s="178">
        <f>INDEX((std_edg_L1_prt),MATCH($H68,Prt,0))</f>
        <v>0</v>
      </c>
      <c r="AC68" s="178">
        <f>INDEX((std_edg_L2_prt),MATCH($H68,Prt,0))</f>
        <v>0</v>
      </c>
      <c r="AD68" s="182" t="str">
        <f t="shared" si="47"/>
        <v xml:space="preserve"> </v>
      </c>
      <c r="AE68" s="182" t="str">
        <f t="shared" si="47"/>
        <v xml:space="preserve"> </v>
      </c>
      <c r="AF68" s="182" t="str">
        <f t="shared" si="47"/>
        <v xml:space="preserve"> </v>
      </c>
      <c r="AG68" s="182" t="str">
        <f t="shared" si="47"/>
        <v xml:space="preserve"> </v>
      </c>
      <c r="AH68" s="401">
        <f>IFERROR(INDEX((std_profil3_prt),MATCH($H68,Prt,0)),"")</f>
        <v>0</v>
      </c>
      <c r="AI68" s="401">
        <f>IFERROR(INDEX((std_profil2_prt),MATCH($H68,Prt,0)),"")</f>
        <v>0</v>
      </c>
      <c r="AJ68" s="401">
        <f>IFERROR(INDEX((std_profil_prt),MATCH($H68,Prt,0)),"")</f>
        <v>0</v>
      </c>
      <c r="AK68" s="401">
        <f>IFERROR(INDEX((std_siku_prt),MATCH($H68,Prt,0)),"")</f>
        <v>0</v>
      </c>
      <c r="AL68" s="401">
        <f>IFERROR(INDEX((std_screw_prt),MATCH($H68,Prt,0)),"")</f>
        <v>0</v>
      </c>
      <c r="AM68" s="189"/>
      <c r="AN68" s="829">
        <f>IFERROR(INDEX((std_rel_prt),MATCH($H68,Prt,0)),"")</f>
        <v>0</v>
      </c>
      <c r="AO68" s="830">
        <f>IFERROR(INDEX((std_engsel_prt),MATCH($H68,Prt,0)),"")</f>
        <v>0</v>
      </c>
      <c r="AP68" s="401" t="str">
        <f>IFERROR(INDEX((std_anodizev_proses),MATCH($I68,pk,0)),"")</f>
        <v/>
      </c>
      <c r="AQ68" s="401" t="str">
        <f>IFERROR(INDEX((std_anodizev2_proses),MATCH($I68,pk,0)),"")</f>
        <v/>
      </c>
      <c r="AR68" s="401" t="str">
        <f>edging1</f>
        <v>Edg_EAW_5216D1</v>
      </c>
      <c r="AS68" s="401">
        <f>IFERROR(INDEX((std_anodize_per_ukuran),MATCH($H68,Prt,0)),"")</f>
        <v>0</v>
      </c>
      <c r="AT68" s="403" t="str">
        <f>IF($AS68=edging7,L68,IF($AS68=edging8,L68,IF($AS68=edging9,L68,IF($AS68=Hand1,J67,IF($AS68=Hand2,L67,IF($AS68=hand3,"diisi manual",IF($AS68=hand4,"diisi manual",IF($AS68=hand5,"diisi manual",IF($AS68=mled02,J68,IF($AS68=mprf1,J68,IF($AS68=mlis1,J68,"")))))))))))</f>
        <v/>
      </c>
      <c r="AU68" s="403">
        <f>IF($AS68="","",Q68*BR68)</f>
        <v>0</v>
      </c>
      <c r="AV68" s="170"/>
      <c r="AW68" s="166" t="str">
        <f>CONCATENATE(VLOOKUP($V68,tabtf,2,0),VLOOKUP($X68,tabtf,2,0))</f>
        <v>123</v>
      </c>
      <c r="AX68" s="166" t="str">
        <f>IF($B68="alu",(CONCATENATE(VLOOKUP($AD68,tabfr,2,0),VLOOKUP($AE68,tabfr,2,0),VLOOKUP($AF68,tabfr,2,0),VLOOKUP($AG68,tabfr,2,0))),(CONCATENATE(VLOOKUP($AD68,tabte,2,0),VLOOKUP($AE68,tabte,2,0),VLOOKUP($AF68,tabte,2,0),VLOOKUP($AG68,tabte,2,0))))</f>
        <v>3333</v>
      </c>
      <c r="AY68" s="189" t="str">
        <f>IFERROR(VLOOKUP(AW68,descf,2,0),"")</f>
        <v>Duco_1mk_Polos</v>
      </c>
      <c r="AZ68" s="189" t="str">
        <f>IF($B68="alu",(VLOOKUP(AX68,descfr,2,0)),(VLOOKUP(AX68,desce,2,0)))</f>
        <v xml:space="preserve"> -</v>
      </c>
      <c r="BA68" s="196" t="str">
        <f>IF($R68=0,CONCATENATE(0,")"," ",$H68," ",$J68),CONCATENATE(VLOOKUP(H68,tabprt,2,0),")",$H68,"_",AY68))</f>
        <v>379)End Panel Rangka_Duco_1mk_Polos</v>
      </c>
      <c r="BB68" s="629" t="str">
        <f>IF($B68="…",CONCATENATE(0,$E68,")"," ",$H68),IF($B68="kc",CONCATENATE(VLOOKUP(H68,tabprt,2,0),")",$H68," ",$R68," ",$S68,"mm"," ","-"," "," ",";"," ",$AZ68,"  ",$I68),IF($B68="alu",CONCATENATE(VLOOKUP(H68,tabprt,2,0),")",$H68," ",$R68," ",$S68,"mm"," ","-"," "," ",";"," ",$AZ68,"  ",$I68),CONCATENATE(VLOOKUP(H68,tabprt,2,0),")",$H68," ",$R68," ",$S68,"mm"," ","-"," ",$AY68," ",";"," ",$AZ68,"  ",$I68))))</f>
        <v xml:space="preserve">379)End Panel Rangka Ply 18mm - Duco_1mk_Polos ;  -  </v>
      </c>
      <c r="BC68" s="190"/>
      <c r="BD68" s="510">
        <f>IFERROR(INDEX((std_minifix_prt),MATCH($H68,Prt,0)),"")</f>
        <v>0</v>
      </c>
      <c r="BE68" s="510">
        <f>IFERROR(INDEX((std_dowel_prt),MATCH($H68,Prt,0)),"")</f>
        <v>0</v>
      </c>
      <c r="BF68" s="177">
        <f>IFERROR(INDEX((std_j_sikufr_prt),MATCH($H68,Prt,0)),"")*Q68</f>
        <v>0</v>
      </c>
      <c r="BG68" s="177">
        <f>IFERROR(INDEX((std_j_screwjf_prt),MATCH($H68,Prt,0)),"")*Q68</f>
        <v>0</v>
      </c>
      <c r="BH68" s="166">
        <f>IF($AM68=0,0,1)*Q68</f>
        <v>0</v>
      </c>
      <c r="BI68" s="474">
        <f>IF($AO68=0,0,IF(J68&lt;=fp,2,(ROUNDUP(J68/fp,0))))*Q68</f>
        <v>0</v>
      </c>
      <c r="BJ68" s="166">
        <f>IF($AN68=0,0,1)*Q68</f>
        <v>0</v>
      </c>
      <c r="BK68" s="474">
        <f>(($J68+tol_p)*$Q68)/1000</f>
        <v>1.0660000000000001</v>
      </c>
      <c r="BL68" s="474">
        <f>(($L68+tol_p)*$Q68)/1000</f>
        <v>0.621</v>
      </c>
      <c r="BM68" s="474">
        <f>IF(R68=0,0,((2*((J68+tol_p)+(L68+tol_p))*Q68)/1000))</f>
        <v>3.3740000000000001</v>
      </c>
      <c r="BN68" s="166">
        <f>((J68*L68)/1000000)*Q68</f>
        <v>0.59610600000000002</v>
      </c>
      <c r="BO68" s="166" t="str">
        <f>CONCATENATE(R68,"_",S68)</f>
        <v>Ply_18</v>
      </c>
      <c r="BP68" s="204" t="str">
        <f>CONCATENATE(R68," ",S68," ",AY68)</f>
        <v>Ply 18 Duco_1mk_Polos</v>
      </c>
      <c r="BQ68" s="475">
        <f>((J68*L68*Q68)/(2400*1200))+10%</f>
        <v>0.30698124999999998</v>
      </c>
      <c r="BR68" s="205">
        <f>IFERROR(INDEX((std_jml_anodize_per_uk),MATCH($H68,Prt,0)),"")</f>
        <v>0</v>
      </c>
      <c r="BS68" s="509">
        <f>IF($BD68=0,0,IF($L68&lt;150,2,((ROUNDUP($L68/fm,0)*2))))*$Q68</f>
        <v>0</v>
      </c>
      <c r="BT68" s="509">
        <f>IF($BE68=0,0,IF($L68&lt;150,2,((ROUNDUP($L68/fd,0)*2))))*$Q68</f>
        <v>0</v>
      </c>
      <c r="BU68" s="459">
        <f t="shared" si="48"/>
        <v>0</v>
      </c>
      <c r="BV68" s="459">
        <f t="shared" si="48"/>
        <v>0</v>
      </c>
      <c r="BW68" s="1">
        <f>+((J68*L68)*Q68)/1000000</f>
        <v>0.59610600000000002</v>
      </c>
      <c r="BX68" s="1">
        <f>+((J68*L68*N68)*Q68)/1000000000</f>
        <v>1.1027960999999999E-2</v>
      </c>
      <c r="BY68" s="546" t="str">
        <f>IFERROR(INDEX((tbl_edg),MATCH($AD68,Edg,0)),"")</f>
        <v/>
      </c>
      <c r="BZ68" s="546" t="str">
        <f>IFERROR(INDEX((tbl_edg),MATCH($AE68,Edg,0)),"")</f>
        <v/>
      </c>
      <c r="CA68" s="546" t="str">
        <f>IFERROR(INDEX((tbl_edg),MATCH($AF68,Edg,0)),"")</f>
        <v/>
      </c>
      <c r="CB68" s="546" t="str">
        <f>IFERROR(INDEX((tbl_edg),MATCH($AG68,Edg,0)),"")</f>
        <v/>
      </c>
      <c r="CC68" s="728" t="str">
        <f>IFERROR((J68-CA68-CB68),"")</f>
        <v/>
      </c>
      <c r="CD68" s="728" t="str">
        <f>IFERROR((L68-BY68-BZ68),"")</f>
        <v/>
      </c>
      <c r="CE68" s="170" t="str">
        <f>IFERROR((CONCATENATE(CC68," ","x"," ",CD68," ","x"," ",N68)),"")</f>
        <v xml:space="preserve"> x  x 18,5</v>
      </c>
      <c r="CF68" t="str">
        <f>IF(F68=1,(CONCATENATE(J68,";",L68,";",Q68,";",BP68,";",N68,";",H68,";","-1",";",AF68,";",CA68,";",AG68,";",CB68,";",AD68,";",BY68,";",AE68,";",BZ68))," ")</f>
        <v>1026;581;1;Ply 18 Duco_1mk_Polos;18,5;End Panel Rangka;-1; ;; ;; ;; ;</v>
      </c>
    </row>
    <row r="69" spans="1:84" customFormat="1">
      <c r="A69" s="701" t="str">
        <f>IFERROR(INDEX((ID),MATCH(H69,BARANG,0)),"…")</f>
        <v>…</v>
      </c>
      <c r="B69" s="447" t="str">
        <f>IFERROR(INDEX((cprt),MATCH($H69,Prt,0)),"…")</f>
        <v>pintu</v>
      </c>
      <c r="C69" s="161" t="s">
        <v>1472</v>
      </c>
      <c r="D69" s="162" t="str">
        <f>IFERROR(INDEX((KS),MATCH($H69,Prt,0)),"")</f>
        <v>KS</v>
      </c>
      <c r="E69" s="1" t="s">
        <v>2380</v>
      </c>
      <c r="F69" s="811">
        <f>IFERROR(INDEX((opt),MATCH($H69,Prt,0)),"")</f>
        <v>1</v>
      </c>
      <c r="G69" s="440" t="str">
        <f>IFERROR(INDEX((no_ref),MATCH($H69,ref,0)),"...")</f>
        <v>...</v>
      </c>
      <c r="H69" s="1" t="s">
        <v>1833</v>
      </c>
      <c r="I69" s="55"/>
      <c r="J69" s="170">
        <v>2430</v>
      </c>
      <c r="K69" s="1" t="s">
        <v>2137</v>
      </c>
      <c r="L69" s="170">
        <f>+ROUNDDOWN(L67-N68,0)</f>
        <v>81</v>
      </c>
      <c r="M69" s="1" t="s">
        <v>2137</v>
      </c>
      <c r="N69" s="458">
        <f>+(S69+W69+Y69)</f>
        <v>18.5</v>
      </c>
      <c r="O69" s="170" t="str">
        <f>CONCATENATE(J69," ",K69," ",L69," ",M69," ",N69)</f>
        <v>2430 x 81 x 18,5</v>
      </c>
      <c r="P69" s="441">
        <v>3</v>
      </c>
      <c r="Q69" s="55">
        <f>+P69*Q66</f>
        <v>3</v>
      </c>
      <c r="R69" s="177" t="str">
        <f>IFERROR(INDEX((std_bhn_prt),MATCH($H69,Prt,0)),"")</f>
        <v>Ply</v>
      </c>
      <c r="S69" s="454">
        <v>18</v>
      </c>
      <c r="T69" s="178">
        <v>7</v>
      </c>
      <c r="U69" s="178">
        <f>INDEX((std_lapisan_dalam_prt),MATCH($H69,Prt,0))</f>
        <v>0</v>
      </c>
      <c r="V69" s="179" t="str">
        <f>IFERROR(INDEX((tf),MATCH(T69,ctf,0)),"")</f>
        <v>Duco</v>
      </c>
      <c r="W69" s="180">
        <f>IFERROR(INDEX((tebal_lapisan),MATCH($V69,tf,0)),"")</f>
        <v>0.5</v>
      </c>
      <c r="X69" s="179" t="str">
        <f>IFERROR(INDEX((tf),MATCH(U69,ctf,0)),"")</f>
        <v>Polos</v>
      </c>
      <c r="Y69" s="180">
        <f>IFERROR(INDEX((tebal_lapisan),MATCH($X69,tf,0)),"")</f>
        <v>0</v>
      </c>
      <c r="Z69" s="178">
        <f>INDEX((std_edg_P1_prt),MATCH($H69,Prt,0))</f>
        <v>0</v>
      </c>
      <c r="AA69" s="178">
        <f>INDEX((std_edg_P2_prt),MATCH($H69,Prt,0))</f>
        <v>0</v>
      </c>
      <c r="AB69" s="178">
        <f>INDEX((std_edg_L1_prt),MATCH($H69,Prt,0))</f>
        <v>0</v>
      </c>
      <c r="AC69" s="178">
        <f>INDEX((std_edg_L2_prt),MATCH($H69,Prt,0))</f>
        <v>0</v>
      </c>
      <c r="AD69" s="182" t="str">
        <f t="shared" si="47"/>
        <v xml:space="preserve"> </v>
      </c>
      <c r="AE69" s="182" t="str">
        <f t="shared" si="47"/>
        <v xml:space="preserve"> </v>
      </c>
      <c r="AF69" s="182" t="str">
        <f t="shared" si="47"/>
        <v xml:space="preserve"> </v>
      </c>
      <c r="AG69" s="182" t="str">
        <f t="shared" si="47"/>
        <v xml:space="preserve"> </v>
      </c>
      <c r="AH69" s="401">
        <f>IFERROR(INDEX((std_profil3_prt),MATCH($H69,Prt,0)),"")</f>
        <v>0</v>
      </c>
      <c r="AI69" s="401">
        <f>IFERROR(INDEX((std_profil2_prt),MATCH($H69,Prt,0)),"")</f>
        <v>0</v>
      </c>
      <c r="AJ69" s="401">
        <f>IFERROR(INDEX((std_profil_prt),MATCH($H69,Prt,0)),"")</f>
        <v>0</v>
      </c>
      <c r="AK69" s="401">
        <f>IFERROR(INDEX((std_siku_prt),MATCH($H69,Prt,0)),"")</f>
        <v>0</v>
      </c>
      <c r="AL69" s="401">
        <f>IFERROR(INDEX((std_screw_prt),MATCH($H69,Prt,0)),"")</f>
        <v>0</v>
      </c>
      <c r="AM69" s="189"/>
      <c r="AN69" s="829">
        <f>IFERROR(INDEX((std_rel_prt),MATCH($H69,Prt,0)),"")</f>
        <v>0</v>
      </c>
      <c r="AO69" s="830">
        <f>IFERROR(INDEX((std_engsel_prt),MATCH($H69,Prt,0)),"")</f>
        <v>0</v>
      </c>
      <c r="AP69" s="401" t="str">
        <f>IFERROR(INDEX((std_anodizev_proses),MATCH($I69,pk,0)),"")</f>
        <v/>
      </c>
      <c r="AQ69" s="401" t="str">
        <f>IFERROR(INDEX((std_anodizev2_proses),MATCH($I69,pk,0)),"")</f>
        <v/>
      </c>
      <c r="AR69" s="401" t="str">
        <f>edging1</f>
        <v>Edg_EAW_5216D1</v>
      </c>
      <c r="AS69" s="401">
        <f>IFERROR(INDEX((std_anodize_per_ukuran),MATCH($H69,Prt,0)),"")</f>
        <v>0</v>
      </c>
      <c r="AT69" s="403" t="str">
        <f>IF($AS69=edging7,L69,IF($AS69=edging8,L69,IF($AS69=edging9,L69,IF($AS69=Hand1,J68,IF($AS69=Hand2,L68,IF($AS69=hand3,"diisi manual",IF($AS69=hand4,"diisi manual",IF($AS69=hand5,"diisi manual",IF($AS69=mled02,J69,IF($AS69=mprf1,J69,IF($AS69=mlis1,J69,"")))))))))))</f>
        <v/>
      </c>
      <c r="AU69" s="403">
        <f>IF($AS69="","",Q69*BR69)</f>
        <v>0</v>
      </c>
      <c r="AV69" s="170"/>
      <c r="AW69" s="166" t="str">
        <f>CONCATENATE(VLOOKUP($V69,tabtf,2,0),VLOOKUP($X69,tabtf,2,0))</f>
        <v>123</v>
      </c>
      <c r="AX69" s="166" t="str">
        <f>IF($B69="alu",(CONCATENATE(VLOOKUP($AD69,tabfr,2,0),VLOOKUP($AE69,tabfr,2,0),VLOOKUP($AF69,tabfr,2,0),VLOOKUP($AG69,tabfr,2,0))),(CONCATENATE(VLOOKUP($AD69,tabte,2,0),VLOOKUP($AE69,tabte,2,0),VLOOKUP($AF69,tabte,2,0),VLOOKUP($AG69,tabte,2,0))))</f>
        <v>3333</v>
      </c>
      <c r="AY69" s="189" t="str">
        <f>IFERROR(VLOOKUP(AW69,descf,2,0),"")</f>
        <v>Duco_1mk_Polos</v>
      </c>
      <c r="AZ69" s="189" t="str">
        <f>IF($B69="alu",(VLOOKUP(AX69,descfr,2,0)),(VLOOKUP(AX69,desce,2,0)))</f>
        <v xml:space="preserve"> -</v>
      </c>
      <c r="BA69" s="196" t="str">
        <f>IF($R69=0,CONCATENATE(0,")"," ",$H69," ",$J69),CONCATENATE(VLOOKUP(H69,tabprt,2,0),")",$H69,"_",AY69))</f>
        <v>379)End Panel Rangka_Duco_1mk_Polos</v>
      </c>
      <c r="BB69" s="629" t="str">
        <f>IF($B69="…",CONCATENATE(0,$E69,")"," ",$H69),IF($B69="kc",CONCATENATE(VLOOKUP(H69,tabprt,2,0),")",$H69," ",$R69," ",$S69,"mm"," ","-"," "," ",";"," ",$AZ69,"  ",$I69),IF($B69="alu",CONCATENATE(VLOOKUP(H69,tabprt,2,0),")",$H69," ",$R69," ",$S69,"mm"," ","-"," "," ",";"," ",$AZ69,"  ",$I69),CONCATENATE(VLOOKUP(H69,tabprt,2,0),")",$H69," ",$R69," ",$S69,"mm"," ","-"," ",$AY69," ",";"," ",$AZ69,"  ",$I69))))</f>
        <v xml:space="preserve">379)End Panel Rangka Ply 18mm - Duco_1mk_Polos ;  -  </v>
      </c>
      <c r="BC69" s="190"/>
      <c r="BD69" s="510">
        <f>IFERROR(INDEX((std_minifix_prt),MATCH($H69,Prt,0)),"")</f>
        <v>0</v>
      </c>
      <c r="BE69" s="510">
        <f>IFERROR(INDEX((std_dowel_prt),MATCH($H69,Prt,0)),"")</f>
        <v>0</v>
      </c>
      <c r="BF69" s="177">
        <f>IFERROR(INDEX((std_j_sikufr_prt),MATCH($H69,Prt,0)),"")*Q69</f>
        <v>0</v>
      </c>
      <c r="BG69" s="177">
        <f>IFERROR(INDEX((std_j_screwjf_prt),MATCH($H69,Prt,0)),"")*Q69</f>
        <v>0</v>
      </c>
      <c r="BH69" s="166">
        <f>IF($AM69=0,0,1)*Q69</f>
        <v>0</v>
      </c>
      <c r="BI69" s="474">
        <f>IF($AO69=0,0,IF(J69&lt;=fp,2,(ROUNDUP(J69/fp,0))))*Q69</f>
        <v>0</v>
      </c>
      <c r="BJ69" s="166">
        <f>IF($AN69=0,0,1)*Q69</f>
        <v>0</v>
      </c>
      <c r="BK69" s="474">
        <f>(($J69+tol_p)*$Q69)/1000</f>
        <v>7.41</v>
      </c>
      <c r="BL69" s="474">
        <f>(($L69+tol_p)*$Q69)/1000</f>
        <v>0.36299999999999999</v>
      </c>
      <c r="BM69" s="474">
        <f>IF(R69=0,0,((2*((J69+tol_p)+(L69+tol_p))*Q69)/1000))</f>
        <v>15.545999999999999</v>
      </c>
      <c r="BN69" s="166">
        <f>((J69*L69)/1000000)*Q69</f>
        <v>0.59048999999999996</v>
      </c>
      <c r="BO69" s="166" t="str">
        <f>CONCATENATE(R69,"_",S69)</f>
        <v>Ply_18</v>
      </c>
      <c r="BP69" s="204" t="str">
        <f>CONCATENATE(R69," ",S69," ",AY69)</f>
        <v>Ply 18 Duco_1mk_Polos</v>
      </c>
      <c r="BQ69" s="475">
        <f>((J69*L69*Q69)/(2400*1200))+10%</f>
        <v>0.30503124999999998</v>
      </c>
      <c r="BR69" s="205">
        <f>IFERROR(INDEX((std_jml_anodize_per_uk),MATCH($H69,Prt,0)),"")</f>
        <v>0</v>
      </c>
      <c r="BS69" s="509">
        <f>IF($BD69=0,0,IF($L69&lt;150,2,((ROUNDUP($L69/fm,0)*2))))*$Q69</f>
        <v>0</v>
      </c>
      <c r="BT69" s="509">
        <f>IF($BE69=0,0,IF($L69&lt;150,2,((ROUNDUP($L69/fd,0)*2))))*$Q69</f>
        <v>0</v>
      </c>
      <c r="BU69" s="459">
        <f t="shared" si="48"/>
        <v>0</v>
      </c>
      <c r="BV69" s="459">
        <f t="shared" si="48"/>
        <v>0</v>
      </c>
      <c r="BW69" s="1">
        <f>+((J69*L69)*Q69)/1000000</f>
        <v>0.59048999999999996</v>
      </c>
      <c r="BX69" s="1">
        <f>+((J69*L69*N69)*Q69)/1000000000</f>
        <v>1.0924065E-2</v>
      </c>
      <c r="BY69" s="546" t="str">
        <f>IFERROR(INDEX((tbl_edg),MATCH($AD69,Edg,0)),"")</f>
        <v/>
      </c>
      <c r="BZ69" s="546" t="str">
        <f>IFERROR(INDEX((tbl_edg),MATCH($AE69,Edg,0)),"")</f>
        <v/>
      </c>
      <c r="CA69" s="546" t="str">
        <f>IFERROR(INDEX((tbl_edg),MATCH($AF69,Edg,0)),"")</f>
        <v/>
      </c>
      <c r="CB69" s="546" t="str">
        <f>IFERROR(INDEX((tbl_edg),MATCH($AG69,Edg,0)),"")</f>
        <v/>
      </c>
      <c r="CC69" s="728" t="str">
        <f>IFERROR((J69-CA69-CB69),"")</f>
        <v/>
      </c>
      <c r="CD69" s="728" t="str">
        <f>IFERROR((L69-BY69-BZ69),"")</f>
        <v/>
      </c>
      <c r="CE69" s="170" t="str">
        <f>IFERROR((CONCATENATE(CC69," ","x"," ",CD69," ","x"," ",N69)),"")</f>
        <v xml:space="preserve"> x  x 18,5</v>
      </c>
      <c r="CF69" t="str">
        <f>IF(F69=1,(CONCATENATE(J69,";",L69,";",Q69,";",BP69,";",N69,";",H69,";","-1",";",AF69,";",CA69,";",AG69,";",CB69,";",AD69,";",BY69,";",AE69,";",BZ69))," ")</f>
        <v>2430;81;3;Ply 18 Duco_1mk_Polos;18,5;End Panel Rangka;-1; ;; ;; ;; ;</v>
      </c>
    </row>
    <row r="70" spans="1:84" customFormat="1">
      <c r="A70" s="701"/>
      <c r="B70" s="447"/>
      <c r="C70" s="161"/>
      <c r="D70" s="162"/>
      <c r="E70" s="1"/>
      <c r="F70" s="811"/>
      <c r="G70" s="440"/>
      <c r="H70" s="1"/>
      <c r="I70" s="55"/>
      <c r="J70" s="170"/>
      <c r="K70" s="1"/>
      <c r="L70" s="170"/>
      <c r="M70" s="1"/>
      <c r="N70" s="458"/>
      <c r="O70" s="170"/>
      <c r="P70" s="441"/>
      <c r="Q70" s="55"/>
      <c r="R70" s="177"/>
      <c r="S70" s="454"/>
      <c r="T70" s="178"/>
      <c r="U70" s="178"/>
      <c r="V70" s="179"/>
      <c r="W70" s="180"/>
      <c r="X70" s="179"/>
      <c r="Y70" s="180"/>
      <c r="Z70" s="178"/>
      <c r="AA70" s="178"/>
      <c r="AB70" s="178"/>
      <c r="AC70" s="178"/>
      <c r="AD70" s="182"/>
      <c r="AE70" s="182"/>
      <c r="AF70" s="182"/>
      <c r="AG70" s="182"/>
      <c r="AH70" s="401"/>
      <c r="AI70" s="401"/>
      <c r="AJ70" s="401"/>
      <c r="AK70" s="401"/>
      <c r="AL70" s="401"/>
      <c r="AM70" s="189"/>
      <c r="AN70" s="829"/>
      <c r="AO70" s="830"/>
      <c r="AP70" s="401"/>
      <c r="AQ70" s="401"/>
      <c r="AR70" s="401"/>
      <c r="AS70" s="401"/>
      <c r="AT70" s="403"/>
      <c r="AU70" s="403"/>
      <c r="AV70" s="170"/>
      <c r="AW70" s="166"/>
      <c r="AX70" s="166"/>
      <c r="AY70" s="189"/>
      <c r="AZ70" s="189"/>
      <c r="BA70" s="196"/>
      <c r="BB70" s="629"/>
      <c r="BC70" s="190"/>
      <c r="BD70" s="510"/>
      <c r="BE70" s="510"/>
      <c r="BF70" s="177"/>
      <c r="BG70" s="177"/>
      <c r="BH70" s="166"/>
      <c r="BI70" s="474"/>
      <c r="BJ70" s="166"/>
      <c r="BK70" s="474"/>
      <c r="BL70" s="474"/>
      <c r="BM70" s="474"/>
      <c r="BN70" s="166"/>
      <c r="BO70" s="166"/>
      <c r="BP70" s="204"/>
      <c r="BQ70" s="475"/>
      <c r="BR70" s="205"/>
      <c r="BS70" s="509"/>
      <c r="BT70" s="509"/>
      <c r="BU70" s="459"/>
      <c r="BV70" s="459"/>
      <c r="BW70" s="1"/>
      <c r="BX70" s="1"/>
      <c r="BY70" s="546"/>
      <c r="BZ70" s="546"/>
      <c r="CA70" s="546"/>
      <c r="CB70" s="546"/>
      <c r="CC70" s="728"/>
      <c r="CD70" s="728"/>
      <c r="CE70" s="170"/>
    </row>
    <row r="71" spans="1:84" customFormat="1">
      <c r="A71" s="701"/>
      <c r="B71" s="447"/>
      <c r="C71" s="161"/>
      <c r="D71" s="162"/>
      <c r="E71" s="1"/>
      <c r="F71" s="811"/>
      <c r="G71" s="440"/>
      <c r="H71" s="1"/>
      <c r="I71" s="55"/>
      <c r="J71" s="170"/>
      <c r="K71" s="1"/>
      <c r="L71" s="170"/>
      <c r="M71" s="1"/>
      <c r="N71" s="458"/>
      <c r="O71" s="170"/>
      <c r="P71" s="441"/>
      <c r="Q71" s="55"/>
      <c r="R71" s="177"/>
      <c r="S71" s="454"/>
      <c r="T71" s="178"/>
      <c r="U71" s="178"/>
      <c r="V71" s="179"/>
      <c r="W71" s="180"/>
      <c r="X71" s="179"/>
      <c r="Y71" s="180"/>
      <c r="Z71" s="178"/>
      <c r="AA71" s="178"/>
      <c r="AB71" s="178"/>
      <c r="AC71" s="178"/>
      <c r="AD71" s="182"/>
      <c r="AE71" s="182"/>
      <c r="AF71" s="182"/>
      <c r="AG71" s="182"/>
      <c r="AH71" s="401"/>
      <c r="AI71" s="401"/>
      <c r="AJ71" s="401"/>
      <c r="AK71" s="401"/>
      <c r="AL71" s="401"/>
      <c r="AM71" s="189"/>
      <c r="AN71" s="829"/>
      <c r="AO71" s="830"/>
      <c r="AP71" s="401"/>
      <c r="AQ71" s="401"/>
      <c r="AR71" s="401"/>
      <c r="AS71" s="401"/>
      <c r="AT71" s="403"/>
      <c r="AU71" s="403"/>
      <c r="AV71" s="170"/>
      <c r="AW71" s="166"/>
      <c r="AX71" s="166"/>
      <c r="AY71" s="189"/>
      <c r="AZ71" s="189"/>
      <c r="BA71" s="196"/>
      <c r="BB71" s="629"/>
      <c r="BC71" s="190"/>
      <c r="BD71" s="510"/>
      <c r="BE71" s="510"/>
      <c r="BF71" s="177"/>
      <c r="BG71" s="177"/>
      <c r="BH71" s="166"/>
      <c r="BI71" s="474"/>
      <c r="BJ71" s="166"/>
      <c r="BK71" s="474"/>
      <c r="BL71" s="474"/>
      <c r="BM71" s="474"/>
      <c r="BN71" s="166"/>
      <c r="BO71" s="166"/>
      <c r="BP71" s="204"/>
      <c r="BQ71" s="475"/>
      <c r="BR71" s="205"/>
      <c r="BS71" s="509"/>
      <c r="BT71" s="509"/>
      <c r="BU71" s="459"/>
      <c r="BV71" s="459"/>
      <c r="BW71" s="1"/>
      <c r="BX71" s="1"/>
      <c r="BY71" s="546"/>
      <c r="BZ71" s="546"/>
      <c r="CA71" s="546"/>
      <c r="CB71" s="546"/>
      <c r="CC71" s="728"/>
      <c r="CD71" s="728"/>
      <c r="CE71" s="170"/>
    </row>
    <row r="72" spans="1:84" customFormat="1">
      <c r="A72" s="701"/>
      <c r="B72" s="447" t="str">
        <f>IFERROR(INDEX((cprt),MATCH($H72,Prt,0)),"…")</f>
        <v>…</v>
      </c>
      <c r="C72" s="1" t="s">
        <v>2605</v>
      </c>
      <c r="D72" s="538" t="str">
        <f>(INDEX(KS_Set,MATCH($H72,Set_prt,0)))</f>
        <v>[ks]</v>
      </c>
      <c r="E72" s="1" t="s">
        <v>2166</v>
      </c>
      <c r="F72" s="811" t="str">
        <f>IFERROR(INDEX((opt),MATCH($H72,Prt,0)),"")</f>
        <v/>
      </c>
      <c r="G72" s="440" t="str">
        <f>IFERROR(INDEX((no_ref),MATCH($H72,ref,0)),"...")</f>
        <v>•</v>
      </c>
      <c r="H72" s="1" t="s">
        <v>2348</v>
      </c>
      <c r="J72" s="171">
        <v>1844</v>
      </c>
      <c r="K72" s="55" t="s">
        <v>2137</v>
      </c>
      <c r="L72" s="171">
        <v>750</v>
      </c>
      <c r="M72" s="55" t="s">
        <v>2137</v>
      </c>
      <c r="N72" s="172">
        <v>26</v>
      </c>
      <c r="O72" s="170" t="str">
        <f>CONCATENATE(J72," ",K72," ",L72," ",M72," ",N72)</f>
        <v>1844 x 750 x 26</v>
      </c>
      <c r="P72" s="441"/>
      <c r="Q72" s="172">
        <v>2</v>
      </c>
      <c r="R72" s="181"/>
      <c r="S72" s="455"/>
      <c r="T72" s="170"/>
      <c r="U72" s="170"/>
      <c r="V72" s="1"/>
      <c r="W72" s="173"/>
      <c r="X72" s="1"/>
      <c r="Y72" s="166"/>
      <c r="Z72" s="170"/>
      <c r="AA72" s="170"/>
      <c r="AB72" s="170"/>
      <c r="AC72" s="170"/>
      <c r="AD72" s="182" t="str">
        <f t="shared" ref="AD72:AG74" si="49">IF($B72="alu",(INDEX((Fr),MATCH(Z72,cfr,0))),INDEX((te),MATCH(Z72,cte,0)))</f>
        <v xml:space="preserve"> </v>
      </c>
      <c r="AE72" s="182" t="str">
        <f t="shared" si="49"/>
        <v xml:space="preserve"> </v>
      </c>
      <c r="AF72" s="182" t="str">
        <f t="shared" si="49"/>
        <v xml:space="preserve"> </v>
      </c>
      <c r="AG72" s="182" t="str">
        <f t="shared" si="49"/>
        <v xml:space="preserve"> </v>
      </c>
      <c r="AH72" s="189"/>
      <c r="AI72" s="189"/>
      <c r="AJ72" s="189"/>
      <c r="AK72" s="401" t="str">
        <f>IFERROR(INDEX((std_siku_prt),MATCH($H72,Prt,0)),"")</f>
        <v/>
      </c>
      <c r="AL72" s="401" t="str">
        <f>IFERROR(INDEX((std_screw_prt),MATCH($H72,Prt,0)),"")</f>
        <v/>
      </c>
      <c r="AM72" s="189"/>
      <c r="AN72" s="782"/>
      <c r="AO72" s="189"/>
      <c r="AP72" s="401" t="str">
        <f>IFERROR(INDEX((std_anodizev_proses),MATCH($I72,pk,0)),"")</f>
        <v/>
      </c>
      <c r="AQ72" s="401" t="str">
        <f>IFERROR(INDEX((std_anodizev2_proses),MATCH($I72,pk,0)),"")</f>
        <v/>
      </c>
      <c r="AR72" s="401" t="str">
        <f>IFERROR(INDEX((std_anodizeh_proses),MATCH($I72,pk,0)),"")</f>
        <v/>
      </c>
      <c r="AS72" s="188"/>
      <c r="AT72" s="1"/>
      <c r="AU72" s="403" t="str">
        <f>IF($AS72=0,"",Q72*BR72)</f>
        <v/>
      </c>
      <c r="AV72" s="1"/>
      <c r="AW72" s="166"/>
      <c r="AX72" s="166" t="str">
        <f>IF($B72="alu",(CONCATENATE(VLOOKUP($AD72,tabfr,2,0),VLOOKUP($AE72,tabfr,2,0),VLOOKUP($AF72,tabfr,2,0),VLOOKUP($AG72,tabfr,2,0))),(CONCATENATE(VLOOKUP($AD72,tabte,2,0),VLOOKUP($AE72,tabte,2,0),VLOOKUP($AF72,tabte,2,0),VLOOKUP($AG72,tabte,2,0))))</f>
        <v>3333</v>
      </c>
      <c r="AY72" s="189" t="str">
        <f>IFERROR(VLOOKUP(AW72,descf,2,0),"")</f>
        <v/>
      </c>
      <c r="AZ72" s="189" t="str">
        <f>IF($B72="alu",(VLOOKUP(AX72,descfr,2,0)),(VLOOKUP(AX72,desce,2,0)))</f>
        <v xml:space="preserve"> -</v>
      </c>
      <c r="BA72" s="196" t="str">
        <f>IF($R72=0,CONCATENATE(0,")"," ",$H72," ",$J72),CONCATENATE(VLOOKUP(H72,tabprt,2,0),")",$H72,"_",AY72))</f>
        <v>0) Panel Partisi (rakit tukang) 1844</v>
      </c>
      <c r="BB72" s="629" t="str">
        <f>IF($B72="…",CONCATENATE(0,$E72,")"," ",$H72),IF($B72="kc",CONCATENATE(VLOOKUP(H72,tabprt,2,0),")",$H72," ",$R72," ",$S72,"mm"," ","-"," "," ",";"," ",$AZ72,"  ",$I72),IF($B72="alu",CONCATENATE(VLOOKUP(H72,tabprt,2,0),")",$H72," ",$R72," ",$S72,"mm"," ","-"," "," ",";"," ",$AZ72,"  ",$I72),CONCATENATE(VLOOKUP(H72,tabprt,2,0),")",$H72," ",$R72," ",$S72,"mm"," ","-"," ",$AY72," ",";"," ",$AZ72,"  ",$I72))))</f>
        <v>0A) Panel Partisi (rakit tukang)</v>
      </c>
      <c r="BC72" s="197"/>
      <c r="BD72" s="510" t="str">
        <f>IFERROR(INDEX((std_minifix_prt),MATCH($H72,Prt,0)),"")</f>
        <v/>
      </c>
      <c r="BE72" s="510" t="str">
        <f>IFERROR(INDEX((std_dowel_prt),MATCH($H72,Prt,0)),"")</f>
        <v/>
      </c>
      <c r="BF72" s="177"/>
      <c r="BG72" s="177"/>
      <c r="BH72" s="166">
        <f>IF($AM72=0,0,1)*Q72</f>
        <v>0</v>
      </c>
      <c r="BI72" s="474">
        <f>IF($AO72=0,0,IF(J72&lt;=fp,2,(ROUNDUP(J72/fp,0))))*Q72</f>
        <v>0</v>
      </c>
      <c r="BJ72" s="166">
        <f>IF($AN72=0,0,1)*Q72</f>
        <v>0</v>
      </c>
      <c r="BK72" s="474">
        <f>(($J72+tol_p)*$Q72)/1000</f>
        <v>3.7679999999999998</v>
      </c>
      <c r="BL72" s="474">
        <f>(($L72+tol_p)*$Q72)/1000</f>
        <v>1.58</v>
      </c>
      <c r="BM72" s="474">
        <f>IF(R72=0,0,((2*((J72+tol_p)+(L72+tol_p))*Q72)/1000))</f>
        <v>0</v>
      </c>
      <c r="BN72" s="166"/>
      <c r="BO72" s="166" t="str">
        <f>CONCATENATE(R72,"_",S72)</f>
        <v>_</v>
      </c>
      <c r="BP72" s="204" t="str">
        <f>CONCATENATE(R72," ",S72," ",AY72)</f>
        <v xml:space="preserve">  </v>
      </c>
      <c r="BQ72" s="475">
        <f>((J72*L72*Q72)/(2400*1200))+10%</f>
        <v>1.0604166666666668</v>
      </c>
      <c r="BR72" s="205" t="str">
        <f>IFERROR(INDEX((std_jml_anodize_per_uk),MATCH($H72,Prt,0)),"")</f>
        <v/>
      </c>
      <c r="BS72" s="509">
        <f>IF($BD72=0,0,IF($L72&lt;150,2,((ROUNDUP($L72/fm,0)*2))))*$Q72</f>
        <v>12</v>
      </c>
      <c r="BT72" s="509">
        <f>IF($BE72=0,0,IF($L72&lt;150,2,((ROUNDUP($L72/fd,0)*2))))*$Q72</f>
        <v>16</v>
      </c>
      <c r="BU72" s="459"/>
      <c r="BV72" s="459"/>
      <c r="BW72" s="1">
        <f>+((J72*L72)*Q72)/1000000</f>
        <v>2.766</v>
      </c>
      <c r="BX72" s="1">
        <f>+((J72*L72*N72)*Q72)/1000000000</f>
        <v>7.1915999999999994E-2</v>
      </c>
      <c r="BY72" s="546" t="str">
        <f>IFERROR(INDEX((tbl_edg),MATCH($AD72,Edg,0)),"")</f>
        <v/>
      </c>
      <c r="BZ72" s="546" t="str">
        <f>IFERROR(INDEX((tbl_edg),MATCH($AE72,Edg,0)),"")</f>
        <v/>
      </c>
      <c r="CA72" s="546" t="str">
        <f>IFERROR(INDEX((tbl_edg),MATCH($AF72,Edg,0)),"")</f>
        <v/>
      </c>
      <c r="CB72" s="546" t="str">
        <f>IFERROR(INDEX((tbl_edg),MATCH($AG72,Edg,0)),"")</f>
        <v/>
      </c>
      <c r="CC72" s="728" t="str">
        <f>IFERROR((J72-CA72-CB72),"")</f>
        <v/>
      </c>
      <c r="CD72" s="728" t="str">
        <f>IFERROR((L72-BY72-BZ72),"")</f>
        <v/>
      </c>
      <c r="CE72" s="170" t="str">
        <f>IFERROR((CONCATENATE(CC72," ","x"," ",CD72," ","x"," ",N72)),"")</f>
        <v xml:space="preserve"> x  x 26</v>
      </c>
      <c r="CF72" t="str">
        <f>IF(F72=1,(CONCATENATE(J72,";",L72,";",Q72,";",BP72,";",N72,";",H72,";","-1",";",AF72,";",CA72,";",AG72,";",CB72,";",AD72,";",BY72,";",AE72,";",BZ72))," ")</f>
        <v xml:space="preserve"> </v>
      </c>
    </row>
    <row r="73" spans="1:84" customFormat="1">
      <c r="A73" s="701" t="str">
        <f>IFERROR(INDEX((ID),MATCH(H73,BARANG,0)),"…")</f>
        <v>…</v>
      </c>
      <c r="B73" s="447" t="str">
        <f>IFERROR(INDEX((cprt),MATCH($H73,Prt,0)),"…")</f>
        <v>pintu</v>
      </c>
      <c r="C73" s="161" t="s">
        <v>1472</v>
      </c>
      <c r="D73" s="162" t="str">
        <f>IFERROR(INDEX((KS),MATCH($H73,Prt,0)),"")</f>
        <v>KS</v>
      </c>
      <c r="E73" s="1" t="s">
        <v>2166</v>
      </c>
      <c r="F73" s="811">
        <f>IFERROR(INDEX((opt),MATCH($H73,Prt,0)),"")</f>
        <v>1</v>
      </c>
      <c r="G73" s="440" t="str">
        <f>IFERROR(INDEX((no_ref),MATCH($H73,ref,0)),"...")</f>
        <v>...</v>
      </c>
      <c r="H73" s="1" t="s">
        <v>2666</v>
      </c>
      <c r="I73" s="55"/>
      <c r="J73" s="170">
        <f>+J72</f>
        <v>1844</v>
      </c>
      <c r="K73" s="1" t="s">
        <v>2137</v>
      </c>
      <c r="L73" s="170">
        <f>+L72</f>
        <v>750</v>
      </c>
      <c r="M73" s="1" t="s">
        <v>2137</v>
      </c>
      <c r="N73" s="458">
        <f>+(S73+W73+Y73)</f>
        <v>12.5</v>
      </c>
      <c r="O73" s="170" t="str">
        <f>CONCATENATE(J73," ",K73," ",L73," ",M73," ",N73)</f>
        <v>1844 x 750 x 12,5</v>
      </c>
      <c r="P73" s="441">
        <v>1</v>
      </c>
      <c r="Q73" s="55">
        <f>+P73*Q72</f>
        <v>2</v>
      </c>
      <c r="R73" s="177" t="str">
        <f>IFERROR(INDEX((std_bhn_prt),MATCH($H73,Prt,0)),"")</f>
        <v>Ply</v>
      </c>
      <c r="S73" s="454">
        <f>IFERROR(INDEX((std_Tbahan_prt),MATCH($H73,Prt,0)),"")</f>
        <v>12</v>
      </c>
      <c r="T73" s="178">
        <f>INDEX((std_lapisan_luar_prt),MATCH($H73,Prt,0))</f>
        <v>0</v>
      </c>
      <c r="U73" s="178">
        <f>INDEX((std_lapisan_dalam_prt),MATCH($H73,Prt,0))</f>
        <v>22</v>
      </c>
      <c r="V73" s="179" t="str">
        <f>IFERROR(INDEX((tf),MATCH(T73,ctf,0)),"")</f>
        <v>Polos</v>
      </c>
      <c r="W73" s="180">
        <f>IFERROR(INDEX((tebal_lapisan),MATCH($V73,tf,0)),"")</f>
        <v>0</v>
      </c>
      <c r="X73" s="179" t="str">
        <f>IFERROR(INDEX((tf),MATCH(U73,ctf,0)),"")</f>
        <v>Aica</v>
      </c>
      <c r="Y73" s="180">
        <f>IFERROR(INDEX((tebal_lapisan),MATCH($X73,tf,0)),"")</f>
        <v>0.5</v>
      </c>
      <c r="Z73" s="178">
        <f>INDEX((std_edg_P1_prt),MATCH($H73,Prt,0))</f>
        <v>0</v>
      </c>
      <c r="AA73" s="178">
        <f>INDEX((std_edg_P2_prt),MATCH($H73,Prt,0))</f>
        <v>0</v>
      </c>
      <c r="AB73" s="178">
        <f>INDEX((std_edg_L1_prt),MATCH($H73,Prt,0))</f>
        <v>0</v>
      </c>
      <c r="AC73" s="178">
        <f>INDEX((std_edg_L2_prt),MATCH($H73,Prt,0))</f>
        <v>0</v>
      </c>
      <c r="AD73" s="182" t="str">
        <f t="shared" si="49"/>
        <v xml:space="preserve"> </v>
      </c>
      <c r="AE73" s="182" t="str">
        <f t="shared" si="49"/>
        <v xml:space="preserve"> </v>
      </c>
      <c r="AF73" s="182" t="str">
        <f t="shared" si="49"/>
        <v xml:space="preserve"> </v>
      </c>
      <c r="AG73" s="182" t="str">
        <f t="shared" si="49"/>
        <v xml:space="preserve"> </v>
      </c>
      <c r="AH73" s="401">
        <f>IFERROR(INDEX((std_profil3_prt),MATCH($H73,Prt,0)),"")</f>
        <v>0</v>
      </c>
      <c r="AI73" s="401">
        <f>IFERROR(INDEX((std_profil2_prt),MATCH($H73,Prt,0)),"")</f>
        <v>0</v>
      </c>
      <c r="AJ73" s="401">
        <f>IFERROR(INDEX((std_profil_prt),MATCH($H73,Prt,0)),"")</f>
        <v>0</v>
      </c>
      <c r="AK73" s="401">
        <f>IFERROR(INDEX((std_siku_prt),MATCH($H73,Prt,0)),"")</f>
        <v>0</v>
      </c>
      <c r="AL73" s="401">
        <f>IFERROR(INDEX((std_screw_prt),MATCH($H73,Prt,0)),"")</f>
        <v>0</v>
      </c>
      <c r="AM73" s="189"/>
      <c r="AN73" s="829">
        <f>IFERROR(INDEX((std_rel_prt),MATCH($H73,Prt,0)),"")</f>
        <v>0</v>
      </c>
      <c r="AO73" s="830">
        <f>IFERROR(INDEX((std_engsel_prt),MATCH($H73,Prt,0)),"")</f>
        <v>0</v>
      </c>
      <c r="AP73" s="401" t="str">
        <f>IFERROR(INDEX((std_anodizev_proses),MATCH($I73,pk,0)),"")</f>
        <v/>
      </c>
      <c r="AQ73" s="401" t="str">
        <f>IFERROR(INDEX((std_anodizev2_proses),MATCH($I73,pk,0)),"")</f>
        <v/>
      </c>
      <c r="AR73" s="401" t="str">
        <f>IFERROR(INDEX((std_anodizeh_proses),MATCH($I73,pk,0)),"")</f>
        <v/>
      </c>
      <c r="AS73" s="401">
        <f>IFERROR(INDEX((std_anodize_per_ukuran),MATCH($H73,Prt,0)),"")</f>
        <v>0</v>
      </c>
      <c r="AT73" s="403" t="str">
        <f>IF($AS73=edging7,L73,IF($AS73=edging8,L73,IF($AS73=edging9,L73,IF($AS73=Hand1,J72,IF($AS73=Hand2,L72,IF($AS73=hand3,"diisi manual",IF($AS73=hand4,"diisi manual",IF($AS73=hand5,"diisi manual",IF($AS73=mled02,J73,IF($AS73=mprf1,J73,IF($AS73=mlis1,J73,"")))))))))))</f>
        <v/>
      </c>
      <c r="AU73" s="403">
        <f>IF($AS73="","",Q73*BR73)</f>
        <v>0</v>
      </c>
      <c r="AV73" s="170"/>
      <c r="AW73" s="166" t="str">
        <f>CONCATENATE(VLOOKUP($V73,tabtf,2,0),VLOOKUP($X73,tabtf,2,0))</f>
        <v>37</v>
      </c>
      <c r="AX73" s="166" t="str">
        <f>IF($B73="alu",(CONCATENATE(VLOOKUP($AD73,tabfr,2,0),VLOOKUP($AE73,tabfr,2,0),VLOOKUP($AF73,tabfr,2,0),VLOOKUP($AG73,tabfr,2,0))),(CONCATENATE(VLOOKUP($AD73,tabte,2,0),VLOOKUP($AE73,tabte,2,0),VLOOKUP($AF73,tabte,2,0),VLOOKUP($AG73,tabte,2,0))))</f>
        <v>3333</v>
      </c>
      <c r="AY73" s="189" t="str">
        <f>IFERROR(VLOOKUP(AW73,descf,2,0),"")</f>
        <v>Aica_1mk_Polos</v>
      </c>
      <c r="AZ73" s="189" t="str">
        <f>IF($B73="alu",(VLOOKUP(AX73,descfr,2,0)),(VLOOKUP(AX73,desce,2,0)))</f>
        <v xml:space="preserve"> -</v>
      </c>
      <c r="BA73" s="196" t="str">
        <f>IF($R73=0,CONCATENATE(0,")"," ",$H73," ",$J73),CONCATENATE(VLOOKUP(H73,tabprt,2,0),")",$H73,"_",AY73))</f>
        <v>430)Tatakan Quadra_Aica_1mk_Polos</v>
      </c>
      <c r="BB73" s="629" t="str">
        <f>IF($B73="…",CONCATENATE(0,$E73,")"," ",$H73),IF($B73="kc",CONCATENATE(VLOOKUP(H73,tabprt,2,0),")",$H73," ",$R73," ",$S73,"mm"," ","-"," "," ",";"," ",$AZ73,"  ",$I73),IF($B73="alu",CONCATENATE(VLOOKUP(H73,tabprt,2,0),")",$H73," ",$R73," ",$S73,"mm"," ","-"," "," ",";"," ",$AZ73,"  ",$I73),CONCATENATE(VLOOKUP(H73,tabprt,2,0),")",$H73," ",$R73," ",$S73,"mm"," ","-"," ",$AY73," ",";"," ",$AZ73,"  ",$I73))))</f>
        <v xml:space="preserve">430)Tatakan Quadra Ply 12mm - Aica_1mk_Polos ;  -  </v>
      </c>
      <c r="BC73" s="190"/>
      <c r="BD73" s="510">
        <f>IFERROR(INDEX((std_minifix_prt),MATCH($H73,Prt,0)),"")</f>
        <v>0</v>
      </c>
      <c r="BE73" s="510">
        <f>IFERROR(INDEX((std_dowel_prt),MATCH($H73,Prt,0)),"")</f>
        <v>0</v>
      </c>
      <c r="BF73" s="177">
        <f>IFERROR(INDEX((std_j_sikufr_prt),MATCH($H73,Prt,0)),"")*Q73</f>
        <v>0</v>
      </c>
      <c r="BG73" s="177">
        <f>IFERROR(INDEX((std_j_screwjf_prt),MATCH($H73,Prt,0)),"")*Q73</f>
        <v>0</v>
      </c>
      <c r="BH73" s="166">
        <f>IF($AM73=0,0,1)*Q73</f>
        <v>0</v>
      </c>
      <c r="BI73" s="474">
        <f>IF($AO73=0,0,IF(J73&lt;=fp,2,(ROUNDUP(J73/fp,0))))*Q73</f>
        <v>0</v>
      </c>
      <c r="BJ73" s="166">
        <f>IF($AN73=0,0,1)*Q73</f>
        <v>0</v>
      </c>
      <c r="BK73" s="474">
        <f>(($J73+tol_p)*$Q73)/1000</f>
        <v>3.7679999999999998</v>
      </c>
      <c r="BL73" s="474">
        <f>(($L73+tol_p)*$Q73)/1000</f>
        <v>1.58</v>
      </c>
      <c r="BM73" s="474">
        <f>IF(R73=0,0,((2*((J73+tol_p)+(L73+tol_p))*Q73)/1000))</f>
        <v>10.696</v>
      </c>
      <c r="BN73" s="166">
        <f>((J73*L73)/1000000)*Q73</f>
        <v>2.766</v>
      </c>
      <c r="BO73" s="166" t="str">
        <f>CONCATENATE(R73,"_",S73)</f>
        <v>Ply_12</v>
      </c>
      <c r="BP73" s="204" t="str">
        <f>CONCATENATE(R73," ",S73," ",AY73)</f>
        <v>Ply 12 Aica_1mk_Polos</v>
      </c>
      <c r="BQ73" s="475">
        <f>((J73*L73*Q73)/(2400*1200))+10%</f>
        <v>1.0604166666666668</v>
      </c>
      <c r="BR73" s="205">
        <f>IFERROR(INDEX((std_jml_anodize_per_uk),MATCH($H73,Prt,0)),"")</f>
        <v>0</v>
      </c>
      <c r="BS73" s="509">
        <f>IF($BD73=0,0,IF($L73&lt;150,2,((ROUNDUP($L73/fm,0)*2))))*$Q73</f>
        <v>0</v>
      </c>
      <c r="BT73" s="509">
        <f>IF($BE73=0,0,IF($L73&lt;150,2,((ROUNDUP($L73/fd,0)*2))))*$Q73</f>
        <v>0</v>
      </c>
      <c r="BU73" s="459">
        <f>BF73*$Q73</f>
        <v>0</v>
      </c>
      <c r="BV73" s="459">
        <f>BG73*$Q73</f>
        <v>0</v>
      </c>
      <c r="BW73" s="1">
        <f>+((J73*L73)*Q73)/1000000</f>
        <v>2.766</v>
      </c>
      <c r="BX73" s="1">
        <f>+((J73*L73*N73)*Q73)/1000000000</f>
        <v>3.4575000000000002E-2</v>
      </c>
      <c r="BY73" s="546" t="str">
        <f>IFERROR(INDEX((tbl_edg),MATCH($AD73,Edg,0)),"")</f>
        <v/>
      </c>
      <c r="BZ73" s="546" t="str">
        <f>IFERROR(INDEX((tbl_edg),MATCH($AE73,Edg,0)),"")</f>
        <v/>
      </c>
      <c r="CA73" s="546" t="str">
        <f>IFERROR(INDEX((tbl_edg),MATCH($AF73,Edg,0)),"")</f>
        <v/>
      </c>
      <c r="CB73" s="546" t="str">
        <f>IFERROR(INDEX((tbl_edg),MATCH($AG73,Edg,0)),"")</f>
        <v/>
      </c>
      <c r="CC73" s="728" t="str">
        <f>IFERROR((J73-CA73-CB73),"")</f>
        <v/>
      </c>
      <c r="CD73" s="728" t="str">
        <f>IFERROR((L73-BY73-BZ73),"")</f>
        <v/>
      </c>
      <c r="CE73" s="170" t="str">
        <f>IFERROR((CONCATENATE(CC73," ","x"," ",CD73," ","x"," ",N73)),"")</f>
        <v xml:space="preserve"> x  x 12,5</v>
      </c>
      <c r="CF73" t="str">
        <f>IF(F73=1,(CONCATENATE(J73,";",L73,";",Q73,";",BP73,";",N73,";",H73,";","-1",";",AF73,";",CA73,";",AG73,";",CB73,";",AD73,";",BY73,";",AE73,";",BZ73))," ")</f>
        <v>1844;750;2;Ply 12 Aica_1mk_Polos;12,5;Tatakan Quadra;-1; ;; ;; ;; ;</v>
      </c>
    </row>
    <row r="74" spans="1:84" customFormat="1">
      <c r="A74" s="701" t="str">
        <f>IFERROR(INDEX((ID),MATCH(H74,BARANG,0)),"…")</f>
        <v>…</v>
      </c>
      <c r="B74" s="447" t="str">
        <f>IFERROR(INDEX((cprt),MATCH($H74,Prt,0)),"…")</f>
        <v>pintu</v>
      </c>
      <c r="C74" s="161" t="s">
        <v>1472</v>
      </c>
      <c r="D74" s="162" t="str">
        <f>IFERROR(INDEX((KS),MATCH($H74,Prt,0)),"")</f>
        <v>KS</v>
      </c>
      <c r="E74" s="1" t="s">
        <v>2166</v>
      </c>
      <c r="F74" s="811">
        <f>IFERROR(INDEX((opt),MATCH($H74,Prt,0)),"")</f>
        <v>1</v>
      </c>
      <c r="G74" s="440" t="str">
        <f>IFERROR(INDEX((no_ref),MATCH($H74,ref,0)),"...")</f>
        <v>...</v>
      </c>
      <c r="H74" s="1" t="s">
        <v>2666</v>
      </c>
      <c r="I74" s="55"/>
      <c r="J74" s="170">
        <v>2430</v>
      </c>
      <c r="K74" s="1" t="s">
        <v>2137</v>
      </c>
      <c r="L74" s="170">
        <v>50</v>
      </c>
      <c r="M74" s="1" t="s">
        <v>2137</v>
      </c>
      <c r="N74" s="458">
        <f>+(S74+W74+Y74)</f>
        <v>12.5</v>
      </c>
      <c r="O74" s="170" t="str">
        <f>CONCATENATE(J74," ",K74," ",L74," ",M74," ",N74)</f>
        <v>2430 x 50 x 12,5</v>
      </c>
      <c r="P74" s="441">
        <f>ROUNDUP((((2*J72)+(4*L72))/2440),0)</f>
        <v>3</v>
      </c>
      <c r="Q74" s="55">
        <f>+P74*Q72</f>
        <v>6</v>
      </c>
      <c r="R74" s="177" t="str">
        <f>IFERROR(INDEX((std_bhn_prt),MATCH($H74,Prt,0)),"")</f>
        <v>Ply</v>
      </c>
      <c r="S74" s="454">
        <f>IFERROR(INDEX((std_Tbahan_prt),MATCH($H74,Prt,0)),"")</f>
        <v>12</v>
      </c>
      <c r="T74" s="178">
        <f>INDEX((std_lapisan_luar_prt),MATCH($H74,Prt,0))</f>
        <v>0</v>
      </c>
      <c r="U74" s="178">
        <f>INDEX((std_lapisan_dalam_prt),MATCH($H74,Prt,0))</f>
        <v>22</v>
      </c>
      <c r="V74" s="179" t="str">
        <f>IFERROR(INDEX((tf),MATCH(T74,ctf,0)),"")</f>
        <v>Polos</v>
      </c>
      <c r="W74" s="180">
        <f>IFERROR(INDEX((tebal_lapisan),MATCH($V74,tf,0)),"")</f>
        <v>0</v>
      </c>
      <c r="X74" s="179" t="str">
        <f>IFERROR(INDEX((tf),MATCH(U74,ctf,0)),"")</f>
        <v>Aica</v>
      </c>
      <c r="Y74" s="180">
        <f>IFERROR(INDEX((tebal_lapisan),MATCH($X74,tf,0)),"")</f>
        <v>0.5</v>
      </c>
      <c r="Z74" s="178">
        <f>INDEX((std_edg_P1_prt),MATCH($H74,Prt,0))</f>
        <v>0</v>
      </c>
      <c r="AA74" s="178">
        <f>INDEX((std_edg_P2_prt),MATCH($H74,Prt,0))</f>
        <v>0</v>
      </c>
      <c r="AB74" s="178">
        <f>INDEX((std_edg_L1_prt),MATCH($H74,Prt,0))</f>
        <v>0</v>
      </c>
      <c r="AC74" s="178">
        <f>INDEX((std_edg_L2_prt),MATCH($H74,Prt,0))</f>
        <v>0</v>
      </c>
      <c r="AD74" s="182" t="str">
        <f t="shared" si="49"/>
        <v xml:space="preserve"> </v>
      </c>
      <c r="AE74" s="182" t="str">
        <f t="shared" si="49"/>
        <v xml:space="preserve"> </v>
      </c>
      <c r="AF74" s="182" t="str">
        <f t="shared" si="49"/>
        <v xml:space="preserve"> </v>
      </c>
      <c r="AG74" s="182" t="str">
        <f t="shared" si="49"/>
        <v xml:space="preserve"> </v>
      </c>
      <c r="AH74" s="401">
        <f>IFERROR(INDEX((std_profil3_prt),MATCH($H74,Prt,0)),"")</f>
        <v>0</v>
      </c>
      <c r="AI74" s="401">
        <f>IFERROR(INDEX((std_profil2_prt),MATCH($H74,Prt,0)),"")</f>
        <v>0</v>
      </c>
      <c r="AJ74" s="401">
        <f>IFERROR(INDEX((std_profil_prt),MATCH($H74,Prt,0)),"")</f>
        <v>0</v>
      </c>
      <c r="AK74" s="401">
        <f>IFERROR(INDEX((std_siku_prt),MATCH($H74,Prt,0)),"")</f>
        <v>0</v>
      </c>
      <c r="AL74" s="401">
        <f>IFERROR(INDEX((std_screw_prt),MATCH($H74,Prt,0)),"")</f>
        <v>0</v>
      </c>
      <c r="AM74" s="189"/>
      <c r="AN74" s="829">
        <f>IFERROR(INDEX((std_rel_prt),MATCH($H74,Prt,0)),"")</f>
        <v>0</v>
      </c>
      <c r="AO74" s="830">
        <f>IFERROR(INDEX((std_engsel_prt),MATCH($H74,Prt,0)),"")</f>
        <v>0</v>
      </c>
      <c r="AP74" s="401" t="str">
        <f>IFERROR(INDEX((std_anodizev_proses),MATCH($I74,pk,0)),"")</f>
        <v/>
      </c>
      <c r="AQ74" s="401" t="str">
        <f>IFERROR(INDEX((std_anodizev2_proses),MATCH($I74,pk,0)),"")</f>
        <v/>
      </c>
      <c r="AR74" s="401" t="str">
        <f>IFERROR(INDEX((std_anodizeh_proses),MATCH($I74,pk,0)),"")</f>
        <v/>
      </c>
      <c r="AS74" s="401">
        <f>IFERROR(INDEX((std_anodize_per_ukuran),MATCH($H74,Prt,0)),"")</f>
        <v>0</v>
      </c>
      <c r="AT74" s="403" t="str">
        <f>IF($AS74=edging7,L74,IF($AS74=edging8,L74,IF($AS74=edging9,L74,IF($AS74=Hand1,J73,IF($AS74=Hand2,L73,IF($AS74=hand3,"diisi manual",IF($AS74=hand4,"diisi manual",IF($AS74=hand5,"diisi manual",IF($AS74=mled02,J74,IF($AS74=mprf1,J74,IF($AS74=mlis1,J74,"")))))))))))</f>
        <v/>
      </c>
      <c r="AU74" s="403">
        <f>IF($AS74="","",Q74*BR74)</f>
        <v>0</v>
      </c>
      <c r="AV74" s="170"/>
      <c r="AW74" s="166" t="str">
        <f>CONCATENATE(VLOOKUP($V74,tabtf,2,0),VLOOKUP($X74,tabtf,2,0))</f>
        <v>37</v>
      </c>
      <c r="AX74" s="166" t="str">
        <f>IF($B74="alu",(CONCATENATE(VLOOKUP($AD74,tabfr,2,0),VLOOKUP($AE74,tabfr,2,0),VLOOKUP($AF74,tabfr,2,0),VLOOKUP($AG74,tabfr,2,0))),(CONCATENATE(VLOOKUP($AD74,tabte,2,0),VLOOKUP($AE74,tabte,2,0),VLOOKUP($AF74,tabte,2,0),VLOOKUP($AG74,tabte,2,0))))</f>
        <v>3333</v>
      </c>
      <c r="AY74" s="189" t="str">
        <f>IFERROR(VLOOKUP(AW74,descf,2,0),"")</f>
        <v>Aica_1mk_Polos</v>
      </c>
      <c r="AZ74" s="189" t="str">
        <f>IF($B74="alu",(VLOOKUP(AX74,descfr,2,0)),(VLOOKUP(AX74,desce,2,0)))</f>
        <v xml:space="preserve"> -</v>
      </c>
      <c r="BA74" s="196" t="str">
        <f>IF($R74=0,CONCATENATE(0,")"," ",$H74," ",$J74),CONCATENATE(VLOOKUP(H74,tabprt,2,0),")",$H74,"_",AY74))</f>
        <v>430)Tatakan Quadra_Aica_1mk_Polos</v>
      </c>
      <c r="BB74" s="629" t="str">
        <f>IF($B74="…",CONCATENATE(0,$E74,")"," ",$H74),IF($B74="kc",CONCATENATE(VLOOKUP(H74,tabprt,2,0),")",$H74," ",$R74," ",$S74,"mm"," ","-"," "," ",";"," ",$AZ74,"  ",$I74),IF($B74="alu",CONCATENATE(VLOOKUP(H74,tabprt,2,0),")",$H74," ",$R74," ",$S74,"mm"," ","-"," "," ",";"," ",$AZ74,"  ",$I74),CONCATENATE(VLOOKUP(H74,tabprt,2,0),")",$H74," ",$R74," ",$S74,"mm"," ","-"," ",$AY74," ",";"," ",$AZ74,"  ",$I74))))</f>
        <v xml:space="preserve">430)Tatakan Quadra Ply 12mm - Aica_1mk_Polos ;  -  </v>
      </c>
      <c r="BC74" s="190"/>
      <c r="BD74" s="510">
        <f>IFERROR(INDEX((std_minifix_prt),MATCH($H74,Prt,0)),"")</f>
        <v>0</v>
      </c>
      <c r="BE74" s="510">
        <f>IFERROR(INDEX((std_dowel_prt),MATCH($H74,Prt,0)),"")</f>
        <v>0</v>
      </c>
      <c r="BF74" s="177">
        <f>IFERROR(INDEX((std_j_sikufr_prt),MATCH($H74,Prt,0)),"")*Q74</f>
        <v>0</v>
      </c>
      <c r="BG74" s="177">
        <f>IFERROR(INDEX((std_j_screwjf_prt),MATCH($H74,Prt,0)),"")*Q74</f>
        <v>0</v>
      </c>
      <c r="BH74" s="166">
        <f>IF($AM74=0,0,1)*Q74</f>
        <v>0</v>
      </c>
      <c r="BI74" s="474">
        <f>IF($AO74=0,0,IF(J74&lt;=fp,2,(ROUNDUP(J74/fp,0))))*Q74</f>
        <v>0</v>
      </c>
      <c r="BJ74" s="166">
        <f>IF($AN74=0,0,1)*Q74</f>
        <v>0</v>
      </c>
      <c r="BK74" s="474">
        <f>(($J74+tol_p)*$Q74)/1000</f>
        <v>14.82</v>
      </c>
      <c r="BL74" s="474">
        <f>(($L74+tol_p)*$Q74)/1000</f>
        <v>0.54</v>
      </c>
      <c r="BM74" s="474">
        <f>IF(R74=0,0,((2*((J74+tol_p)+(L74+tol_p))*Q74)/1000))</f>
        <v>30.72</v>
      </c>
      <c r="BN74" s="166">
        <f>((J74*L74)/1000000)*Q74</f>
        <v>0.72899999999999998</v>
      </c>
      <c r="BO74" s="166" t="str">
        <f>CONCATENATE(R74,"_",S74)</f>
        <v>Ply_12</v>
      </c>
      <c r="BP74" s="204" t="str">
        <f>CONCATENATE(R74," ",S74," ",AY74)</f>
        <v>Ply 12 Aica_1mk_Polos</v>
      </c>
      <c r="BQ74" s="475">
        <f>((J74*L74*Q74)/(2400*1200))+10%</f>
        <v>0.35312500000000002</v>
      </c>
      <c r="BR74" s="205">
        <f>IFERROR(INDEX((std_jml_anodize_per_uk),MATCH($H74,Prt,0)),"")</f>
        <v>0</v>
      </c>
      <c r="BS74" s="509">
        <f>IF($BD74=0,0,IF($L74&lt;150,2,((ROUNDUP($L74/fm,0)*2))))*$Q74</f>
        <v>0</v>
      </c>
      <c r="BT74" s="509">
        <f>IF($BE74=0,0,IF($L74&lt;150,2,((ROUNDUP($L74/fd,0)*2))))*$Q74</f>
        <v>0</v>
      </c>
      <c r="BU74" s="459">
        <f>BF74*$Q74</f>
        <v>0</v>
      </c>
      <c r="BV74" s="459">
        <f>BG74*$Q74</f>
        <v>0</v>
      </c>
      <c r="BW74" s="1">
        <f>+((J74*L74)*Q74)/1000000</f>
        <v>0.72899999999999998</v>
      </c>
      <c r="BX74" s="1">
        <f>+((J74*L74*N74)*Q74)/1000000000</f>
        <v>9.1125000000000008E-3</v>
      </c>
      <c r="BY74" s="546" t="str">
        <f>IFERROR(INDEX((tbl_edg),MATCH($AD74,Edg,0)),"")</f>
        <v/>
      </c>
      <c r="BZ74" s="546" t="str">
        <f>IFERROR(INDEX((tbl_edg),MATCH($AE74,Edg,0)),"")</f>
        <v/>
      </c>
      <c r="CA74" s="546" t="str">
        <f>IFERROR(INDEX((tbl_edg),MATCH($AF74,Edg,0)),"")</f>
        <v/>
      </c>
      <c r="CB74" s="546" t="str">
        <f>IFERROR(INDEX((tbl_edg),MATCH($AG74,Edg,0)),"")</f>
        <v/>
      </c>
      <c r="CC74" s="728" t="str">
        <f>IFERROR((J74-CA74-CB74),"")</f>
        <v/>
      </c>
      <c r="CD74" s="728" t="str">
        <f>IFERROR((L74-BY74-BZ74),"")</f>
        <v/>
      </c>
      <c r="CE74" s="170" t="str">
        <f>IFERROR((CONCATENATE(CC74," ","x"," ",CD74," ","x"," ",N74)),"")</f>
        <v xml:space="preserve"> x  x 12,5</v>
      </c>
      <c r="CF74" t="str">
        <f>IF(F74=1,(CONCATENATE(J74,";",L74,";",Q74,";",BP74,";",N74,";",H74,";","-1",";",AF74,";",CA74,";",AG74,";",CB74,";",AD74,";",BY74,";",AE74,";",BZ74))," ")</f>
        <v>2430;50;6;Ply 12 Aica_1mk_Polos;12,5;Tatakan Quadra;-1; ;; ;; ;; ;</v>
      </c>
    </row>
    <row r="75" spans="1:84" customFormat="1">
      <c r="A75" s="701"/>
      <c r="B75" s="447"/>
      <c r="C75" s="161"/>
      <c r="D75" s="162"/>
      <c r="E75" s="1"/>
      <c r="F75" s="811"/>
      <c r="G75" s="440"/>
      <c r="H75" s="1"/>
      <c r="I75" s="55"/>
      <c r="J75" s="170"/>
      <c r="K75" s="1"/>
      <c r="L75" s="170"/>
      <c r="M75" s="1"/>
      <c r="N75" s="458"/>
      <c r="O75" s="170"/>
      <c r="P75" s="441"/>
      <c r="Q75" s="55"/>
      <c r="R75" s="177"/>
      <c r="S75" s="454"/>
      <c r="T75" s="178"/>
      <c r="U75" s="178"/>
      <c r="V75" s="179"/>
      <c r="W75" s="180"/>
      <c r="X75" s="179"/>
      <c r="Y75" s="180"/>
      <c r="Z75" s="178"/>
      <c r="AA75" s="178"/>
      <c r="AB75" s="178"/>
      <c r="AC75" s="178"/>
      <c r="AD75" s="182"/>
      <c r="AE75" s="182"/>
      <c r="AF75" s="182"/>
      <c r="AG75" s="182"/>
      <c r="AH75" s="401"/>
      <c r="AI75" s="401"/>
      <c r="AJ75" s="401"/>
      <c r="AK75" s="401"/>
      <c r="AL75" s="401"/>
      <c r="AM75" s="189"/>
      <c r="AN75" s="829"/>
      <c r="AO75" s="830"/>
      <c r="AP75" s="401"/>
      <c r="AQ75" s="401"/>
      <c r="AR75" s="401"/>
      <c r="AS75" s="401"/>
      <c r="AT75" s="403"/>
      <c r="AU75" s="403"/>
      <c r="AV75" s="170"/>
      <c r="AW75" s="166"/>
      <c r="AX75" s="166"/>
      <c r="AY75" s="189"/>
      <c r="AZ75" s="189"/>
      <c r="BA75" s="196"/>
      <c r="BB75" s="629"/>
      <c r="BC75" s="190"/>
      <c r="BD75" s="510"/>
      <c r="BE75" s="510"/>
      <c r="BF75" s="177"/>
      <c r="BG75" s="177"/>
      <c r="BH75" s="166"/>
      <c r="BI75" s="474"/>
      <c r="BJ75" s="166"/>
      <c r="BK75" s="474"/>
      <c r="BL75" s="474"/>
      <c r="BM75" s="474"/>
      <c r="BN75" s="166"/>
      <c r="BO75" s="166"/>
      <c r="BP75" s="204"/>
      <c r="BQ75" s="475"/>
      <c r="BR75" s="205"/>
      <c r="BS75" s="509"/>
      <c r="BT75" s="509"/>
      <c r="BU75" s="459"/>
      <c r="BV75" s="459"/>
      <c r="BW75" s="1"/>
      <c r="BX75" s="1"/>
      <c r="BY75" s="546"/>
      <c r="BZ75" s="546"/>
      <c r="CA75" s="546"/>
      <c r="CB75" s="546"/>
      <c r="CC75" s="728"/>
      <c r="CD75" s="728"/>
      <c r="CE75" s="170"/>
    </row>
    <row r="76" spans="1:84" customFormat="1">
      <c r="A76" s="701"/>
      <c r="B76" s="447"/>
      <c r="C76" s="161"/>
      <c r="D76" s="162"/>
      <c r="E76" s="1"/>
      <c r="F76" s="811"/>
      <c r="G76" s="440"/>
      <c r="H76" s="1"/>
      <c r="I76" s="55"/>
      <c r="J76" s="170"/>
      <c r="K76" s="1"/>
      <c r="L76" s="170"/>
      <c r="M76" s="1"/>
      <c r="N76" s="458"/>
      <c r="O76" s="170"/>
      <c r="P76" s="441"/>
      <c r="Q76" s="55"/>
      <c r="R76" s="177"/>
      <c r="S76" s="454"/>
      <c r="T76" s="178"/>
      <c r="U76" s="178"/>
      <c r="V76" s="179"/>
      <c r="W76" s="180"/>
      <c r="X76" s="179"/>
      <c r="Y76" s="180"/>
      <c r="Z76" s="178"/>
      <c r="AA76" s="178"/>
      <c r="AB76" s="178"/>
      <c r="AC76" s="178"/>
      <c r="AD76" s="182"/>
      <c r="AE76" s="182"/>
      <c r="AF76" s="182"/>
      <c r="AG76" s="182"/>
      <c r="AH76" s="401"/>
      <c r="AI76" s="401"/>
      <c r="AJ76" s="401"/>
      <c r="AK76" s="401"/>
      <c r="AL76" s="401"/>
      <c r="AM76" s="189"/>
      <c r="AN76" s="829"/>
      <c r="AO76" s="830"/>
      <c r="AP76" s="401"/>
      <c r="AQ76" s="401"/>
      <c r="AR76" s="401"/>
      <c r="AS76" s="401"/>
      <c r="AT76" s="403"/>
      <c r="AU76" s="403"/>
      <c r="AV76" s="170"/>
      <c r="AW76" s="166"/>
      <c r="AX76" s="166"/>
      <c r="AY76" s="189"/>
      <c r="AZ76" s="189"/>
      <c r="BA76" s="196"/>
      <c r="BB76" s="629"/>
      <c r="BC76" s="190"/>
      <c r="BD76" s="510"/>
      <c r="BE76" s="510"/>
      <c r="BF76" s="177"/>
      <c r="BG76" s="177"/>
      <c r="BH76" s="166"/>
      <c r="BI76" s="474"/>
      <c r="BJ76" s="166"/>
      <c r="BK76" s="474"/>
      <c r="BL76" s="474"/>
      <c r="BM76" s="474"/>
      <c r="BN76" s="166"/>
      <c r="BO76" s="166"/>
      <c r="BP76" s="204"/>
      <c r="BQ76" s="475"/>
      <c r="BR76" s="205"/>
      <c r="BS76" s="509"/>
      <c r="BT76" s="509"/>
      <c r="BU76" s="459"/>
      <c r="BV76" s="459"/>
      <c r="BW76" s="1"/>
      <c r="BX76" s="1"/>
      <c r="BY76" s="546"/>
      <c r="BZ76" s="546"/>
      <c r="CA76" s="546"/>
      <c r="CB76" s="546"/>
      <c r="CC76" s="728"/>
      <c r="CD76" s="728"/>
      <c r="CE76" s="170"/>
    </row>
    <row r="77" spans="1:84" customFormat="1">
      <c r="A77" s="701"/>
      <c r="B77" s="447"/>
      <c r="C77" s="161"/>
      <c r="D77" s="162"/>
      <c r="E77" s="1"/>
      <c r="F77" s="811"/>
      <c r="G77" s="440"/>
      <c r="H77" s="1"/>
      <c r="I77" s="55"/>
      <c r="J77" s="170"/>
      <c r="K77" s="1"/>
      <c r="L77" s="170"/>
      <c r="M77" s="1"/>
      <c r="N77" s="458"/>
      <c r="O77" s="170"/>
      <c r="P77" s="441"/>
      <c r="Q77" s="55"/>
      <c r="R77" s="177"/>
      <c r="S77" s="454"/>
      <c r="T77" s="178"/>
      <c r="U77" s="178"/>
      <c r="V77" s="179"/>
      <c r="W77" s="180"/>
      <c r="X77" s="179"/>
      <c r="Y77" s="180"/>
      <c r="Z77" s="178"/>
      <c r="AA77" s="178"/>
      <c r="AB77" s="178"/>
      <c r="AC77" s="178"/>
      <c r="AD77" s="182"/>
      <c r="AE77" s="182"/>
      <c r="AF77" s="182"/>
      <c r="AG77" s="182"/>
      <c r="AH77" s="401"/>
      <c r="AI77" s="401"/>
      <c r="AJ77" s="401"/>
      <c r="AK77" s="401"/>
      <c r="AL77" s="401"/>
      <c r="AM77" s="189"/>
      <c r="AN77" s="829"/>
      <c r="AO77" s="830"/>
      <c r="AP77" s="401"/>
      <c r="AQ77" s="401"/>
      <c r="AR77" s="401"/>
      <c r="AS77" s="401"/>
      <c r="AT77" s="403"/>
      <c r="AU77" s="403"/>
      <c r="AV77" s="170"/>
      <c r="AW77" s="166"/>
      <c r="AX77" s="166"/>
      <c r="AY77" s="189"/>
      <c r="AZ77" s="189"/>
      <c r="BA77" s="196"/>
      <c r="BB77" s="629"/>
      <c r="BC77" s="190"/>
      <c r="BD77" s="510"/>
      <c r="BE77" s="510"/>
      <c r="BF77" s="177"/>
      <c r="BG77" s="177"/>
      <c r="BH77" s="166"/>
      <c r="BI77" s="474"/>
      <c r="BJ77" s="166"/>
      <c r="BK77" s="474"/>
      <c r="BL77" s="474"/>
      <c r="BM77" s="474"/>
      <c r="BN77" s="166"/>
      <c r="BO77" s="166"/>
      <c r="BP77" s="204"/>
      <c r="BQ77" s="475"/>
      <c r="BR77" s="205"/>
      <c r="BS77" s="509"/>
      <c r="BT77" s="509"/>
      <c r="BU77" s="459"/>
      <c r="BV77" s="459"/>
      <c r="BW77" s="1"/>
      <c r="BX77" s="1"/>
      <c r="BY77" s="546"/>
      <c r="BZ77" s="546"/>
      <c r="CA77" s="546"/>
      <c r="CB77" s="546"/>
      <c r="CC77" s="728"/>
      <c r="CD77" s="728"/>
      <c r="CE77" s="170"/>
    </row>
    <row r="78" spans="1:84" customFormat="1">
      <c r="A78" s="701" t="str">
        <f>IFERROR(INDEX((ID),MATCH(H78,BARANG,0)),"…")</f>
        <v>…</v>
      </c>
      <c r="B78" s="447" t="str">
        <f t="shared" ref="B78:B85" si="50">IFERROR(INDEX((cprt),MATCH($H78,Prt,0)),"…")</f>
        <v>…</v>
      </c>
      <c r="C78" s="1" t="s">
        <v>2605</v>
      </c>
      <c r="D78" s="538" t="str">
        <f>(INDEX(KS_Set,MATCH($H78,Set_prt,0)))</f>
        <v>[ks]</v>
      </c>
      <c r="E78" s="1" t="s">
        <v>2166</v>
      </c>
      <c r="F78" s="811" t="str">
        <f t="shared" ref="F78:F85" si="51">IFERROR(INDEX((opt),MATCH($H78,Prt,0)),"")</f>
        <v/>
      </c>
      <c r="G78" s="440" t="str">
        <f t="shared" ref="G78:G85" si="52">IFERROR(INDEX((no_ref),MATCH($H78,ref,0)),"...")</f>
        <v>•</v>
      </c>
      <c r="H78" s="1" t="s">
        <v>2168</v>
      </c>
      <c r="J78" s="171">
        <f>895+5+1985+5</f>
        <v>2890</v>
      </c>
      <c r="K78" s="55" t="s">
        <v>2137</v>
      </c>
      <c r="L78" s="171">
        <v>130</v>
      </c>
      <c r="M78" s="55" t="s">
        <v>2137</v>
      </c>
      <c r="N78" s="172">
        <v>80</v>
      </c>
      <c r="O78" s="170" t="str">
        <f>CONCATENATE(J78," ",K78," ",L78," ",M78," ",N78)</f>
        <v>2890 x 130 x 80</v>
      </c>
      <c r="P78" s="139"/>
      <c r="Q78" s="172">
        <v>1</v>
      </c>
      <c r="R78" s="181"/>
      <c r="S78" s="455"/>
      <c r="T78" s="170"/>
      <c r="U78" s="170"/>
      <c r="V78" s="1"/>
      <c r="W78" s="173"/>
      <c r="X78" s="1"/>
      <c r="Y78" s="166"/>
      <c r="Z78" s="170"/>
      <c r="AA78" s="170"/>
      <c r="AB78" s="170"/>
      <c r="AC78" s="170"/>
      <c r="AD78" s="182" t="str">
        <f t="shared" ref="AD78:AG81" si="53">IF($B78="alu",(INDEX((Fr),MATCH(Z78,cfr,0))),INDEX((te),MATCH(Z78,cte,0)))</f>
        <v xml:space="preserve"> </v>
      </c>
      <c r="AE78" s="182" t="str">
        <f t="shared" si="53"/>
        <v xml:space="preserve"> </v>
      </c>
      <c r="AF78" s="182" t="str">
        <f t="shared" si="53"/>
        <v xml:space="preserve"> </v>
      </c>
      <c r="AG78" s="182" t="str">
        <f t="shared" si="53"/>
        <v xml:space="preserve"> </v>
      </c>
      <c r="AH78" s="189"/>
      <c r="AI78" s="189"/>
      <c r="AJ78" s="189"/>
      <c r="AK78" s="401" t="str">
        <f t="shared" ref="AK78:AK85" si="54">IFERROR(INDEX((std_siku_prt),MATCH($H78,Prt,0)),"")</f>
        <v/>
      </c>
      <c r="AL78" s="401" t="str">
        <f t="shared" ref="AL78:AL85" si="55">IFERROR(INDEX((std_screw_prt),MATCH($H78,Prt,0)),"")</f>
        <v/>
      </c>
      <c r="AM78" s="189"/>
      <c r="AN78" s="782"/>
      <c r="AO78" s="189"/>
      <c r="AP78" s="401" t="str">
        <f t="shared" ref="AP78:AP85" si="56">IFERROR(INDEX((std_anodizev_proses),MATCH($I78,pk,0)),"")</f>
        <v/>
      </c>
      <c r="AQ78" s="401" t="str">
        <f t="shared" ref="AQ78:AQ85" si="57">IFERROR(INDEX((std_anodizev2_proses),MATCH($I78,pk,0)),"")</f>
        <v/>
      </c>
      <c r="AR78" s="401" t="str">
        <f t="shared" ref="AR78:AR85" si="58">IFERROR(INDEX((std_anodizeh_proses),MATCH($I78,pk,0)),"")</f>
        <v/>
      </c>
      <c r="AS78" s="188"/>
      <c r="AT78" s="1"/>
      <c r="AU78" s="403" t="str">
        <f>IF($AS78=0,"",Q78*BR78)</f>
        <v/>
      </c>
      <c r="AV78" s="1"/>
      <c r="AW78" s="166"/>
      <c r="AX78" s="166" t="str">
        <f t="shared" ref="AX78:AX85" si="59">IF($B78="alu",(CONCATENATE(VLOOKUP($AD78,tabfr,2,0),VLOOKUP($AE78,tabfr,2,0),VLOOKUP($AF78,tabfr,2,0),VLOOKUP($AG78,tabfr,2,0))),(CONCATENATE(VLOOKUP($AD78,tabte,2,0),VLOOKUP($AE78,tabte,2,0),VLOOKUP($AF78,tabte,2,0),VLOOKUP($AG78,tabte,2,0))))</f>
        <v>3333</v>
      </c>
      <c r="AY78" s="189" t="str">
        <f>IFERROR(VLOOKUP(AW78,descf,2,0),"")</f>
        <v/>
      </c>
      <c r="AZ78" s="189" t="str">
        <f>IF($B78="alu",(VLOOKUP(AX78,descfr,2,0)),(VLOOKUP(AX78,desce,2,0)))</f>
        <v xml:space="preserve"> -</v>
      </c>
      <c r="BA78" s="196" t="str">
        <f>IF($R78=0,CONCATENATE(0,")"," ",$H78," ",$J78),CONCATENATE(VLOOKUP(H78,tabprt,2,0),")",$H78,"_",AY78))</f>
        <v>0) Back Panel Rangka (rakit tukang) 2890</v>
      </c>
      <c r="BB78" s="629" t="str">
        <f>IF($B78="…",CONCATENATE(0,$E78,")"," ",$H78),IF($B78="kc",CONCATENATE(VLOOKUP(H78,tabprt,2,0),")",$H78," ",$R78," ",$S78,"mm"," ","-"," "," ",";"," ",$AZ78,"  ",$I78),IF($B78="alu",CONCATENATE(VLOOKUP(H78,tabprt,2,0),")",$H78," ",$R78," ",$S78,"mm"," ","-"," "," ",";"," ",$AZ78,"  ",$I78),CONCATENATE(VLOOKUP(H78,tabprt,2,0),")",$H78," ",$R78," ",$S78,"mm"," ","-"," ",$AY78," ",";"," ",$AZ78,"  ",$I78))))</f>
        <v>0A) Back Panel Rangka (rakit tukang)</v>
      </c>
      <c r="BC78" s="197"/>
      <c r="BD78" s="510" t="str">
        <f t="shared" ref="BD78:BD85" si="60">IFERROR(INDEX((std_minifix_prt),MATCH($H78,Prt,0)),"")</f>
        <v/>
      </c>
      <c r="BE78" s="510" t="str">
        <f t="shared" ref="BE78:BE85" si="61">IFERROR(INDEX((std_dowel_prt),MATCH($H78,Prt,0)),"")</f>
        <v/>
      </c>
      <c r="BF78" s="177"/>
      <c r="BG78" s="177"/>
      <c r="BH78" s="166">
        <f>IF($AM78=0,0,1)*Q78</f>
        <v>0</v>
      </c>
      <c r="BI78" s="474">
        <f>IF($AO78=0,0,IF(J78&lt;=fp,2,(ROUNDUP(J78/fp,0))))*Q78</f>
        <v>0</v>
      </c>
      <c r="BJ78" s="166">
        <f>IF($AN78=0,0,1)*Q78</f>
        <v>0</v>
      </c>
      <c r="BK78" s="474">
        <f t="shared" ref="BK78:BK85" si="62">(($J78+tol_p)*$Q78)/1000</f>
        <v>2.93</v>
      </c>
      <c r="BL78" s="474">
        <f t="shared" ref="BL78:BL85" si="63">(($L78+tol_p)*$Q78)/1000</f>
        <v>0.17</v>
      </c>
      <c r="BM78" s="474">
        <f>IF(R78=0,0,((2*((J78+tol_p)+(L78+tol_p))*Q78)/1000))</f>
        <v>0</v>
      </c>
      <c r="BN78" s="166"/>
      <c r="BO78" s="166" t="str">
        <f>CONCATENATE(R78,"_",S78)</f>
        <v>_</v>
      </c>
      <c r="BP78" s="204" t="str">
        <f>CONCATENATE(R78," ",S78," ",AY78)</f>
        <v xml:space="preserve">  </v>
      </c>
      <c r="BQ78" s="475">
        <f>((J78*L78*Q78)/(2400*1200))+10%</f>
        <v>0.23045138888888889</v>
      </c>
      <c r="BR78" s="205" t="str">
        <f>IFERROR(INDEX((std_jml_anodize_per_uk),MATCH($H78,Prt,0)),"")</f>
        <v/>
      </c>
      <c r="BS78" s="509">
        <f t="shared" ref="BS78:BS85" si="64">IF($BD78=0,0,IF($L78&lt;150,2,((ROUNDUP($L78/fm,0)*2))))*$Q78</f>
        <v>2</v>
      </c>
      <c r="BT78" s="509">
        <f t="shared" ref="BT78:BT85" si="65">IF($BE78=0,0,IF($L78&lt;150,2,((ROUNDUP($L78/fd,0)*2))))*$Q78</f>
        <v>2</v>
      </c>
      <c r="BU78" s="459"/>
      <c r="BV78" s="459"/>
      <c r="BW78" s="1">
        <f>+((J78*L78)*Q78)/1000000</f>
        <v>0.37569999999999998</v>
      </c>
      <c r="BX78" s="1">
        <f>+((J78*L78*N78)*Q78)/1000000000</f>
        <v>3.0055999999999999E-2</v>
      </c>
      <c r="BY78" s="546" t="str">
        <f t="shared" ref="BY78:BY85" si="66">IFERROR(INDEX((tbl_edg),MATCH($AD78,Edg,0)),"")</f>
        <v/>
      </c>
      <c r="BZ78" s="546" t="str">
        <f t="shared" ref="BZ78:BZ85" si="67">IFERROR(INDEX((tbl_edg),MATCH($AE78,Edg,0)),"")</f>
        <v/>
      </c>
      <c r="CA78" s="546" t="str">
        <f t="shared" ref="CA78:CA85" si="68">IFERROR(INDEX((tbl_edg),MATCH($AF78,Edg,0)),"")</f>
        <v/>
      </c>
      <c r="CB78" s="546" t="str">
        <f t="shared" ref="CB78:CB85" si="69">IFERROR(INDEX((tbl_edg),MATCH($AG78,Edg,0)),"")</f>
        <v/>
      </c>
      <c r="CC78" s="728" t="str">
        <f>IFERROR((J78-CA78-CB78),"")</f>
        <v/>
      </c>
      <c r="CD78" s="728" t="str">
        <f>IFERROR((L78-BY78-BZ78),"")</f>
        <v/>
      </c>
      <c r="CE78" s="170" t="str">
        <f>IFERROR((CONCATENATE(CC78," ","x"," ",CD78," ","x"," ",N78)),"")</f>
        <v xml:space="preserve"> x  x 80</v>
      </c>
      <c r="CF78" t="str">
        <f>IF(F78=1,(CONCATENATE(J78,";",L78,";",Q78,";",BP78,";",N78,";",H78,";","-1",";",AF78,";",CA78,";",AG78,";",CB78,";",AD78,";",BY78,";",AE78,";",BZ78))," ")</f>
        <v xml:space="preserve"> </v>
      </c>
    </row>
    <row r="79" spans="1:84" customFormat="1">
      <c r="A79" s="701" t="str">
        <f>IFERROR(INDEX((ID),MATCH(H79,BARANG,0)),"…")</f>
        <v>…</v>
      </c>
      <c r="B79" s="447" t="str">
        <f t="shared" si="50"/>
        <v>pintu</v>
      </c>
      <c r="C79" s="161" t="s">
        <v>1472</v>
      </c>
      <c r="D79" s="162" t="str">
        <f>IFERROR(INDEX((KS),MATCH($H79,Prt,0)),"")</f>
        <v>KS</v>
      </c>
      <c r="E79" s="1" t="s">
        <v>2391</v>
      </c>
      <c r="F79" s="811">
        <f t="shared" si="51"/>
        <v>0</v>
      </c>
      <c r="G79" s="440" t="str">
        <f t="shared" si="52"/>
        <v>...</v>
      </c>
      <c r="H79" s="1" t="s">
        <v>3097</v>
      </c>
      <c r="I79" s="55"/>
      <c r="J79" s="170">
        <v>900</v>
      </c>
      <c r="K79" s="1" t="s">
        <v>2137</v>
      </c>
      <c r="L79" s="170">
        <f>+L78</f>
        <v>130</v>
      </c>
      <c r="M79" s="1" t="s">
        <v>2137</v>
      </c>
      <c r="N79" s="458">
        <f>+(S79+W79+Y79)</f>
        <v>19</v>
      </c>
      <c r="O79" s="170" t="str">
        <f>CONCATENATE(J79," ",K79," ",L79," ",M79," ",N79)</f>
        <v>900 x 130 x 19</v>
      </c>
      <c r="P79" s="441">
        <f>IFERROR(INDEX((std_sub_prt),MATCH($H79,Prt,0)),"")</f>
        <v>1</v>
      </c>
      <c r="Q79" s="55">
        <f>P79*Q78</f>
        <v>1</v>
      </c>
      <c r="R79" s="177" t="str">
        <f>IFERROR(INDEX((std_bhn_prt),MATCH($H79,Prt,0)),"")</f>
        <v>Ply</v>
      </c>
      <c r="S79" s="454">
        <f>IFERROR(INDEX((std_Tbahan_prt),MATCH($H79,Prt,0)),"")</f>
        <v>18</v>
      </c>
      <c r="T79" s="178">
        <f>INDEX((std_lapisan_luar_prt),MATCH($H79,Prt,0))</f>
        <v>5</v>
      </c>
      <c r="U79" s="178">
        <f>INDEX((std_lapisan_dalam_prt),MATCH($H79,Prt,0))</f>
        <v>0</v>
      </c>
      <c r="V79" s="179" t="str">
        <f>IFERROR(INDEX((tf),MATCH(T79,ctf,0)),"")</f>
        <v>DXO_1338_D</v>
      </c>
      <c r="W79" s="180">
        <f>IFERROR(INDEX((tebal_lapisan),MATCH($V79,tf,0)),"")</f>
        <v>1</v>
      </c>
      <c r="X79" s="179" t="str">
        <f>IFERROR(INDEX((tf),MATCH(U79,ctf,0)),"")</f>
        <v>Polos</v>
      </c>
      <c r="Y79" s="180">
        <f>IFERROR(INDEX((tebal_lapisan),MATCH($X79,tf,0)),"")</f>
        <v>0</v>
      </c>
      <c r="Z79" s="178">
        <f>INDEX((std_edg_P1_prt),MATCH($H79,Prt,0))</f>
        <v>5</v>
      </c>
      <c r="AA79" s="178">
        <f>INDEX((std_edg_P2_prt),MATCH($H79,Prt,0))</f>
        <v>5</v>
      </c>
      <c r="AB79" s="178">
        <f>INDEX((std_edg_L1_prt),MATCH($H79,Prt,0))</f>
        <v>5</v>
      </c>
      <c r="AC79" s="178">
        <f>INDEX((std_edg_L2_prt),MATCH($H79,Prt,0))</f>
        <v>5</v>
      </c>
      <c r="AD79" s="182" t="str">
        <f t="shared" si="53"/>
        <v>Edg_EAP_1338_DO</v>
      </c>
      <c r="AE79" s="182" t="str">
        <f t="shared" si="53"/>
        <v>Edg_EAP_1338_DO</v>
      </c>
      <c r="AF79" s="182" t="str">
        <f t="shared" si="53"/>
        <v>Edg_EAP_1338_DO</v>
      </c>
      <c r="AG79" s="182" t="str">
        <f t="shared" si="53"/>
        <v>Edg_EAP_1338_DO</v>
      </c>
      <c r="AH79" s="401">
        <f>IFERROR(INDEX((std_profil3_prt),MATCH($H79,Prt,0)),"")</f>
        <v>0</v>
      </c>
      <c r="AI79" s="401">
        <f>IFERROR(INDEX((std_profil2_prt),MATCH($H79,Prt,0)),"")</f>
        <v>0</v>
      </c>
      <c r="AJ79" s="401">
        <f>IFERROR(INDEX((std_profil_prt),MATCH($H79,Prt,0)),"")</f>
        <v>0</v>
      </c>
      <c r="AK79" s="401">
        <f t="shared" si="54"/>
        <v>0</v>
      </c>
      <c r="AL79" s="401">
        <f t="shared" si="55"/>
        <v>0</v>
      </c>
      <c r="AM79" s="189"/>
      <c r="AN79" s="829">
        <f>IFERROR(INDEX((std_rel_prt),MATCH($H79,Prt,0)),"")</f>
        <v>0</v>
      </c>
      <c r="AO79" s="830">
        <f>IFERROR(INDEX((std_engsel_prt),MATCH($H79,Prt,0)),"")</f>
        <v>0</v>
      </c>
      <c r="AP79" s="401" t="str">
        <f t="shared" si="56"/>
        <v/>
      </c>
      <c r="AQ79" s="401" t="str">
        <f t="shared" si="57"/>
        <v/>
      </c>
      <c r="AR79" s="401" t="str">
        <f t="shared" si="58"/>
        <v/>
      </c>
      <c r="AS79" s="401">
        <f>IFERROR(INDEX((std_anodize_per_ukuran),MATCH($H79,Prt,0)),"")</f>
        <v>0</v>
      </c>
      <c r="AT79" s="403" t="str">
        <f>IF($AS79=edging7,L79,IF($AS79=edging8,L79,IF($AS79=edging9,L79,IF($AS79=Hand1,J78,IF($AS79=Hand2,L78,IF($AS79=hand3,"diisi manual",IF($AS79=hand4,"diisi manual",IF($AS79=hand5,"diisi manual",IF($AS79=mled02,J79,IF($AS79=mprf1,J79,IF($AS79=mlis1,J79,"")))))))))))</f>
        <v/>
      </c>
      <c r="AU79" s="403">
        <f>IF($AS79="","",Q79*BR79)</f>
        <v>0</v>
      </c>
      <c r="AV79" s="170"/>
      <c r="AW79" s="166" t="str">
        <f>CONCATENATE(VLOOKUP($V79,tabtf,2,0),VLOOKUP($X79,tabtf,2,0))</f>
        <v>93</v>
      </c>
      <c r="AX79" s="166" t="str">
        <f t="shared" si="59"/>
        <v>13131313</v>
      </c>
      <c r="AY79" s="189" t="str">
        <f>IFERROR(VLOOKUP(AW79,descf,2,0),"")</f>
        <v>DXO_1338_D_1mk_Polos</v>
      </c>
      <c r="AZ79" s="189" t="str">
        <f>IF($B79="alu",(VLOOKUP(AX79,descfr,2,0)),(VLOOKUP(AX79,desce,2,0)))</f>
        <v>Edg_EAP_1338_DO_Keliling</v>
      </c>
      <c r="BA79" s="196" t="str">
        <f>IF($R79=0,CONCATENATE(0,")"," ",$H79," ",$J79),CONCATENATE(VLOOKUP(H79,tabprt,2,0),")",$H79,"_",AY79))</f>
        <v>406)Back Panel Rangka♦_DXO_1338_D_1mk_Polos</v>
      </c>
      <c r="BB79" s="629" t="str">
        <f>IF($B79="…",CONCATENATE(0,$E79,")"," ",$H79),IF($B79="kc",CONCATENATE(VLOOKUP(H79,tabprt,2,0),")",$H79," ",$R79," ",$S79,"mm"," ","-"," "," ",";"," ",$AZ79,"  ",$I79),IF($B79="alu",CONCATENATE(VLOOKUP(H79,tabprt,2,0),")",$H79," ",$R79," ",$S79,"mm"," ","-"," "," ",";"," ",$AZ79,"  ",$I79),CONCATENATE(VLOOKUP(H79,tabprt,2,0),")",$H79," ",$R79," ",$S79,"mm"," ","-"," ",$AY79," ",";"," ",$AZ79,"  ",$I79))))</f>
        <v xml:space="preserve">406)Back Panel Rangka♦ Ply 18mm - DXO_1338_D_1mk_Polos ; Edg_EAP_1338_DO_Keliling  </v>
      </c>
      <c r="BC79" s="190"/>
      <c r="BD79" s="510">
        <f t="shared" si="60"/>
        <v>0</v>
      </c>
      <c r="BE79" s="510">
        <f t="shared" si="61"/>
        <v>0</v>
      </c>
      <c r="BF79" s="177">
        <f>IFERROR(INDEX((std_j_sikufr_prt),MATCH($H79,Prt,0)),"")*Q79</f>
        <v>0</v>
      </c>
      <c r="BG79" s="177">
        <f>IFERROR(INDEX((std_j_screwjf_prt),MATCH($H79,Prt,0)),"")*Q79</f>
        <v>0</v>
      </c>
      <c r="BH79" s="166">
        <f>IF($AM79=0,0,1)*Q79</f>
        <v>0</v>
      </c>
      <c r="BI79" s="474">
        <f>IF($AO79=0,0,IF(J79&lt;=fp,2,(ROUNDUP(J79/fp,0))))*Q79</f>
        <v>0</v>
      </c>
      <c r="BJ79" s="166">
        <f>IF($AN79=0,0,1)*Q79</f>
        <v>0</v>
      </c>
      <c r="BK79" s="474">
        <f t="shared" si="62"/>
        <v>0.94</v>
      </c>
      <c r="BL79" s="474">
        <f t="shared" si="63"/>
        <v>0.17</v>
      </c>
      <c r="BM79" s="474">
        <f>IF(R79=0,0,((2*((J79+tol_p)+(L79+tol_p))*Q79)/1000))</f>
        <v>2.2200000000000002</v>
      </c>
      <c r="BN79" s="166">
        <f>((J79*L79)/1000000)*Q79</f>
        <v>0.11700000000000001</v>
      </c>
      <c r="BO79" s="166" t="str">
        <f>CONCATENATE(R79,"_",S79)</f>
        <v>Ply_18</v>
      </c>
      <c r="BP79" s="204" t="str">
        <f>CONCATENATE(R79," ",S79," ",AY79)</f>
        <v>Ply 18 DXO_1338_D_1mk_Polos</v>
      </c>
      <c r="BQ79" s="475">
        <f>((J79*L79*Q79)/(2400*1200))+10%</f>
        <v>0.140625</v>
      </c>
      <c r="BR79" s="205">
        <f>IFERROR(INDEX((std_jml_anodize_per_uk),MATCH($H79,Prt,0)),"")</f>
        <v>0</v>
      </c>
      <c r="BS79" s="509">
        <f t="shared" si="64"/>
        <v>0</v>
      </c>
      <c r="BT79" s="509">
        <f t="shared" si="65"/>
        <v>0</v>
      </c>
      <c r="BU79" s="459">
        <f t="shared" ref="BU79:BV81" si="70">BF79*$Q79</f>
        <v>0</v>
      </c>
      <c r="BV79" s="459">
        <f t="shared" si="70"/>
        <v>0</v>
      </c>
      <c r="BW79" s="1">
        <f>+((J79*L79)*Q79)/1000000</f>
        <v>0.11700000000000001</v>
      </c>
      <c r="BX79" s="1">
        <f>+((J79*L79*N79)*Q79)/1000000000</f>
        <v>2.2230000000000001E-3</v>
      </c>
      <c r="BY79" s="546">
        <f t="shared" si="66"/>
        <v>1</v>
      </c>
      <c r="BZ79" s="546">
        <f t="shared" si="67"/>
        <v>1</v>
      </c>
      <c r="CA79" s="546">
        <f t="shared" si="68"/>
        <v>1</v>
      </c>
      <c r="CB79" s="546">
        <f t="shared" si="69"/>
        <v>1</v>
      </c>
      <c r="CC79" s="728">
        <f>IFERROR((J79-CA79-CB79),"")</f>
        <v>898</v>
      </c>
      <c r="CD79" s="728">
        <f>IFERROR((L79-BY79-BZ79),"")</f>
        <v>128</v>
      </c>
      <c r="CE79" s="170" t="str">
        <f>IFERROR((CONCATENATE(CC79," ","x"," ",CD79," ","x"," ",N79)),"")</f>
        <v>898 x 128 x 19</v>
      </c>
      <c r="CF79" t="str">
        <f>IF(F79=1,(CONCATENATE(J79,";",L79,";",Q79,";",BP79,";",N79,";",H79,";","-1",";",AF79,";",CA79,";",AG79,";",CB79,";",AD79,";",BY79,";",AE79,";",BZ79))," ")</f>
        <v xml:space="preserve"> </v>
      </c>
    </row>
    <row r="80" spans="1:84" customFormat="1">
      <c r="A80" s="701" t="str">
        <f>IFERROR(INDEX((ID),MATCH(H80,BARANG,0)),"…")</f>
        <v>…</v>
      </c>
      <c r="B80" s="447" t="str">
        <f t="shared" si="50"/>
        <v>pintu</v>
      </c>
      <c r="C80" s="161" t="s">
        <v>1472</v>
      </c>
      <c r="D80" s="162" t="str">
        <f>IFERROR(INDEX((KS),MATCH($H80,Prt,0)),"")</f>
        <v>KS</v>
      </c>
      <c r="E80" s="1" t="s">
        <v>2391</v>
      </c>
      <c r="F80" s="811">
        <f t="shared" si="51"/>
        <v>0</v>
      </c>
      <c r="G80" s="440" t="str">
        <f t="shared" si="52"/>
        <v>...</v>
      </c>
      <c r="H80" s="1" t="s">
        <v>3097</v>
      </c>
      <c r="I80" s="55"/>
      <c r="J80" s="170">
        <f>+J78-J79</f>
        <v>1990</v>
      </c>
      <c r="K80" s="1" t="s">
        <v>2137</v>
      </c>
      <c r="L80" s="170">
        <f>+L78</f>
        <v>130</v>
      </c>
      <c r="M80" s="1" t="s">
        <v>2137</v>
      </c>
      <c r="N80" s="458">
        <f>+(S80+W80+Y80)</f>
        <v>19</v>
      </c>
      <c r="O80" s="170" t="str">
        <f>CONCATENATE(J80," ",K80," ",L80," ",M80," ",N80)</f>
        <v>1990 x 130 x 19</v>
      </c>
      <c r="P80" s="441">
        <f>IFERROR(INDEX((std_sub_prt),MATCH($H80,Prt,0)),"")</f>
        <v>1</v>
      </c>
      <c r="Q80" s="55">
        <f>P80*Q78</f>
        <v>1</v>
      </c>
      <c r="R80" s="177" t="str">
        <f>IFERROR(INDEX((std_bhn_prt),MATCH($H80,Prt,0)),"")</f>
        <v>Ply</v>
      </c>
      <c r="S80" s="454">
        <f>IFERROR(INDEX((std_Tbahan_prt),MATCH($H80,Prt,0)),"")</f>
        <v>18</v>
      </c>
      <c r="T80" s="178">
        <f>INDEX((std_lapisan_luar_prt),MATCH($H80,Prt,0))</f>
        <v>5</v>
      </c>
      <c r="U80" s="178">
        <f>INDEX((std_lapisan_dalam_prt),MATCH($H80,Prt,0))</f>
        <v>0</v>
      </c>
      <c r="V80" s="179" t="str">
        <f>IFERROR(INDEX((tf),MATCH(T80,ctf,0)),"")</f>
        <v>DXO_1338_D</v>
      </c>
      <c r="W80" s="180">
        <f>IFERROR(INDEX((tebal_lapisan),MATCH($V80,tf,0)),"")</f>
        <v>1</v>
      </c>
      <c r="X80" s="179" t="str">
        <f>IFERROR(INDEX((tf),MATCH(U80,ctf,0)),"")</f>
        <v>Polos</v>
      </c>
      <c r="Y80" s="180">
        <f>IFERROR(INDEX((tebal_lapisan),MATCH($X80,tf,0)),"")</f>
        <v>0</v>
      </c>
      <c r="Z80" s="178">
        <f>INDEX((std_edg_P1_prt),MATCH($H80,Prt,0))</f>
        <v>5</v>
      </c>
      <c r="AA80" s="178">
        <f>INDEX((std_edg_P2_prt),MATCH($H80,Prt,0))</f>
        <v>5</v>
      </c>
      <c r="AB80" s="178">
        <f>INDEX((std_edg_L1_prt),MATCH($H80,Prt,0))</f>
        <v>5</v>
      </c>
      <c r="AC80" s="178">
        <f>INDEX((std_edg_L2_prt),MATCH($H80,Prt,0))</f>
        <v>5</v>
      </c>
      <c r="AD80" s="182" t="str">
        <f t="shared" si="53"/>
        <v>Edg_EAP_1338_DO</v>
      </c>
      <c r="AE80" s="182" t="str">
        <f t="shared" si="53"/>
        <v>Edg_EAP_1338_DO</v>
      </c>
      <c r="AF80" s="182" t="str">
        <f t="shared" si="53"/>
        <v>Edg_EAP_1338_DO</v>
      </c>
      <c r="AG80" s="182" t="str">
        <f t="shared" si="53"/>
        <v>Edg_EAP_1338_DO</v>
      </c>
      <c r="AH80" s="401">
        <f>IFERROR(INDEX((std_profil3_prt),MATCH($H80,Prt,0)),"")</f>
        <v>0</v>
      </c>
      <c r="AI80" s="401">
        <f>IFERROR(INDEX((std_profil2_prt),MATCH($H80,Prt,0)),"")</f>
        <v>0</v>
      </c>
      <c r="AJ80" s="401">
        <f>IFERROR(INDEX((std_profil_prt),MATCH($H80,Prt,0)),"")</f>
        <v>0</v>
      </c>
      <c r="AK80" s="401">
        <f t="shared" si="54"/>
        <v>0</v>
      </c>
      <c r="AL80" s="401">
        <f t="shared" si="55"/>
        <v>0</v>
      </c>
      <c r="AM80" s="189"/>
      <c r="AN80" s="829">
        <f>IFERROR(INDEX((std_rel_prt),MATCH($H80,Prt,0)),"")</f>
        <v>0</v>
      </c>
      <c r="AO80" s="830">
        <f>IFERROR(INDEX((std_engsel_prt),MATCH($H80,Prt,0)),"")</f>
        <v>0</v>
      </c>
      <c r="AP80" s="401" t="str">
        <f t="shared" si="56"/>
        <v/>
      </c>
      <c r="AQ80" s="401" t="str">
        <f t="shared" si="57"/>
        <v/>
      </c>
      <c r="AR80" s="401" t="str">
        <f t="shared" si="58"/>
        <v/>
      </c>
      <c r="AS80" s="401">
        <f>IFERROR(INDEX((std_anodize_per_ukuran),MATCH($H80,Prt,0)),"")</f>
        <v>0</v>
      </c>
      <c r="AT80" s="403" t="str">
        <f>IF($AS80=edging7,L80,IF($AS80=edging8,L80,IF($AS80=edging9,L80,IF($AS80=Hand1,J79,IF($AS80=Hand2,L79,IF($AS80=hand3,"diisi manual",IF($AS80=hand4,"diisi manual",IF($AS80=hand5,"diisi manual",IF($AS80=mled02,J80,IF($AS80=mprf1,J80,IF($AS80=mlis1,J80,"")))))))))))</f>
        <v/>
      </c>
      <c r="AU80" s="403">
        <f>IF($AS80="","",Q80*BR80)</f>
        <v>0</v>
      </c>
      <c r="AV80" s="170"/>
      <c r="AW80" s="166" t="str">
        <f>CONCATENATE(VLOOKUP($V80,tabtf,2,0),VLOOKUP($X80,tabtf,2,0))</f>
        <v>93</v>
      </c>
      <c r="AX80" s="166" t="str">
        <f t="shared" si="59"/>
        <v>13131313</v>
      </c>
      <c r="AY80" s="189" t="str">
        <f>IFERROR(VLOOKUP(AW80,descf,2,0),"")</f>
        <v>DXO_1338_D_1mk_Polos</v>
      </c>
      <c r="AZ80" s="189" t="str">
        <f>IF($B80="alu",(VLOOKUP(AX80,descfr,2,0)),(VLOOKUP(AX80,desce,2,0)))</f>
        <v>Edg_EAP_1338_DO_Keliling</v>
      </c>
      <c r="BA80" s="196" t="str">
        <f>IF($R80=0,CONCATENATE(0,")"," ",$H80," ",$J80),CONCATENATE(VLOOKUP(H80,tabprt,2,0),")",$H80,"_",AY80))</f>
        <v>406)Back Panel Rangka♦_DXO_1338_D_1mk_Polos</v>
      </c>
      <c r="BB80" s="629" t="str">
        <f>IF($B80="…",CONCATENATE(0,$E80,")"," ",$H80),IF($B80="kc",CONCATENATE(VLOOKUP(H80,tabprt,2,0),")",$H80," ",$R80," ",$S80,"mm"," ","-"," "," ",";"," ",$AZ80,"  ",$I80),IF($B80="alu",CONCATENATE(VLOOKUP(H80,tabprt,2,0),")",$H80," ",$R80," ",$S80,"mm"," ","-"," "," ",";"," ",$AZ80,"  ",$I80),CONCATENATE(VLOOKUP(H80,tabprt,2,0),")",$H80," ",$R80," ",$S80,"mm"," ","-"," ",$AY80," ",";"," ",$AZ80,"  ",$I80))))</f>
        <v xml:space="preserve">406)Back Panel Rangka♦ Ply 18mm - DXO_1338_D_1mk_Polos ; Edg_EAP_1338_DO_Keliling  </v>
      </c>
      <c r="BC80" s="190"/>
      <c r="BD80" s="510">
        <f t="shared" si="60"/>
        <v>0</v>
      </c>
      <c r="BE80" s="510">
        <f t="shared" si="61"/>
        <v>0</v>
      </c>
      <c r="BF80" s="177">
        <f>IFERROR(INDEX((std_j_sikufr_prt),MATCH($H80,Prt,0)),"")*Q80</f>
        <v>0</v>
      </c>
      <c r="BG80" s="177">
        <f>IFERROR(INDEX((std_j_screwjf_prt),MATCH($H80,Prt,0)),"")*Q80</f>
        <v>0</v>
      </c>
      <c r="BH80" s="166">
        <f>IF($AM80=0,0,1)*Q80</f>
        <v>0</v>
      </c>
      <c r="BI80" s="474">
        <f>IF($AO80=0,0,IF(J80&lt;=fp,2,(ROUNDUP(J80/fp,0))))*Q80</f>
        <v>0</v>
      </c>
      <c r="BJ80" s="166">
        <f>IF($AN80=0,0,1)*Q80</f>
        <v>0</v>
      </c>
      <c r="BK80" s="474">
        <f t="shared" si="62"/>
        <v>2.0299999999999998</v>
      </c>
      <c r="BL80" s="474">
        <f t="shared" si="63"/>
        <v>0.17</v>
      </c>
      <c r="BM80" s="474">
        <f>IF(R80=0,0,((2*((J80+tol_p)+(L80+tol_p))*Q80)/1000))</f>
        <v>4.4000000000000004</v>
      </c>
      <c r="BN80" s="166">
        <f>((J80*L80)/1000000)*Q80</f>
        <v>0.25869999999999999</v>
      </c>
      <c r="BO80" s="166" t="str">
        <f>CONCATENATE(R80,"_",S80)</f>
        <v>Ply_18</v>
      </c>
      <c r="BP80" s="204" t="str">
        <f>CONCATENATE(R80," ",S80," ",AY80)</f>
        <v>Ply 18 DXO_1338_D_1mk_Polos</v>
      </c>
      <c r="BQ80" s="475">
        <f>((J80*L80*Q80)/(2400*1200))+10%</f>
        <v>0.18982638888888889</v>
      </c>
      <c r="BR80" s="205">
        <f>IFERROR(INDEX((std_jml_anodize_per_uk),MATCH($H80,Prt,0)),"")</f>
        <v>0</v>
      </c>
      <c r="BS80" s="509">
        <f t="shared" si="64"/>
        <v>0</v>
      </c>
      <c r="BT80" s="509">
        <f t="shared" si="65"/>
        <v>0</v>
      </c>
      <c r="BU80" s="459">
        <f t="shared" si="70"/>
        <v>0</v>
      </c>
      <c r="BV80" s="459">
        <f t="shared" si="70"/>
        <v>0</v>
      </c>
      <c r="BW80" s="1">
        <f>+((J80*L80)*Q80)/1000000</f>
        <v>0.25869999999999999</v>
      </c>
      <c r="BX80" s="1">
        <f>+((J80*L80*N80)*Q80)/1000000000</f>
        <v>4.9153000000000001E-3</v>
      </c>
      <c r="BY80" s="546">
        <f t="shared" si="66"/>
        <v>1</v>
      </c>
      <c r="BZ80" s="546">
        <f t="shared" si="67"/>
        <v>1</v>
      </c>
      <c r="CA80" s="546">
        <f t="shared" si="68"/>
        <v>1</v>
      </c>
      <c r="CB80" s="546">
        <f t="shared" si="69"/>
        <v>1</v>
      </c>
      <c r="CC80" s="728">
        <f>IFERROR((J80-CA80-CB80),"")</f>
        <v>1988</v>
      </c>
      <c r="CD80" s="728">
        <f>IFERROR((L80-BY80-BZ80),"")</f>
        <v>128</v>
      </c>
      <c r="CE80" s="170" t="str">
        <f>IFERROR((CONCATENATE(CC80," ","x"," ",CD80," ","x"," ",N80)),"")</f>
        <v>1988 x 128 x 19</v>
      </c>
      <c r="CF80" t="str">
        <f>IF(F80=1,(CONCATENATE(J80,";",L80,";",Q80,";",BP80,";",N80,";",H80,";","-1",";",AF80,";",CA80,";",AG80,";",CB80,";",AD80,";",BY80,";",AE80,";",BZ80))," ")</f>
        <v xml:space="preserve"> </v>
      </c>
    </row>
    <row r="81" spans="1:84" customFormat="1">
      <c r="A81" s="701" t="str">
        <f>IFERROR(INDEX((ID),MATCH(H81,BARANG,0)),"…")</f>
        <v>…</v>
      </c>
      <c r="B81" s="447" t="str">
        <f t="shared" si="50"/>
        <v>pintu</v>
      </c>
      <c r="C81" s="161" t="s">
        <v>1472</v>
      </c>
      <c r="D81" s="162" t="str">
        <f>IFERROR(INDEX((KS),MATCH($H81,Prt,0)),"")</f>
        <v>KS</v>
      </c>
      <c r="E81" s="1" t="s">
        <v>2166</v>
      </c>
      <c r="F81" s="811">
        <f t="shared" si="51"/>
        <v>1</v>
      </c>
      <c r="G81" s="440" t="str">
        <f t="shared" si="52"/>
        <v>...</v>
      </c>
      <c r="H81" s="1" t="s">
        <v>1842</v>
      </c>
      <c r="I81" s="55"/>
      <c r="J81" s="170">
        <v>2430</v>
      </c>
      <c r="K81" s="1" t="s">
        <v>2137</v>
      </c>
      <c r="L81" s="457">
        <f>ROUNDDOWN(N78-N79-tol,0)</f>
        <v>60</v>
      </c>
      <c r="M81" s="1" t="s">
        <v>2137</v>
      </c>
      <c r="N81" s="458">
        <f>+(S81+W81+Y81)</f>
        <v>18.5</v>
      </c>
      <c r="O81" s="170" t="str">
        <f>CONCATENATE(J81," ",K81," ",L81," ",M81," ",N81)</f>
        <v>2430 x 60 x 18,5</v>
      </c>
      <c r="P81" s="441">
        <f>ROUNDUP((((2*J78)+(4*L78))/2440),0)</f>
        <v>3</v>
      </c>
      <c r="Q81" s="55">
        <f>+P81*Q78</f>
        <v>3</v>
      </c>
      <c r="R81" s="177" t="str">
        <f>IFERROR(INDEX((std_bhn_prt),MATCH($H81,Prt,0)),"")</f>
        <v>Ply</v>
      </c>
      <c r="S81" s="454">
        <f>IFERROR(INDEX((std_Tbahan_prt),MATCH($H81,Prt,0)),"")</f>
        <v>18</v>
      </c>
      <c r="T81" s="178">
        <f>INDEX((std_lapisan_luar_prt),MATCH($H81,Prt,0))</f>
        <v>0</v>
      </c>
      <c r="U81" s="178">
        <f>INDEX((std_lapisan_dalam_prt),MATCH($H81,Prt,0))</f>
        <v>22</v>
      </c>
      <c r="V81" s="179" t="str">
        <f>IFERROR(INDEX((tf),MATCH(T81,ctf,0)),"")</f>
        <v>Polos</v>
      </c>
      <c r="W81" s="180">
        <f>IFERROR(INDEX((tebal_lapisan),MATCH($V81,tf,0)),"")</f>
        <v>0</v>
      </c>
      <c r="X81" s="179" t="str">
        <f>IFERROR(INDEX((tf),MATCH(U81,ctf,0)),"")</f>
        <v>Aica</v>
      </c>
      <c r="Y81" s="180">
        <f>IFERROR(INDEX((tebal_lapisan),MATCH($X81,tf,0)),"")</f>
        <v>0.5</v>
      </c>
      <c r="Z81" s="178">
        <f>INDEX((std_edg_P1_prt),MATCH($H81,Prt,0))</f>
        <v>0</v>
      </c>
      <c r="AA81" s="178">
        <f>INDEX((std_edg_P2_prt),MATCH($H81,Prt,0))</f>
        <v>9</v>
      </c>
      <c r="AB81" s="178">
        <f>INDEX((std_edg_L1_prt),MATCH($H81,Prt,0))</f>
        <v>0</v>
      </c>
      <c r="AC81" s="178">
        <f>INDEX((std_edg_L2_prt),MATCH($H81,Prt,0))</f>
        <v>0</v>
      </c>
      <c r="AD81" s="182" t="str">
        <f t="shared" si="53"/>
        <v xml:space="preserve"> </v>
      </c>
      <c r="AE81" s="182" t="str">
        <f t="shared" si="53"/>
        <v>Melanor</v>
      </c>
      <c r="AF81" s="182" t="str">
        <f t="shared" si="53"/>
        <v xml:space="preserve"> </v>
      </c>
      <c r="AG81" s="182" t="str">
        <f t="shared" si="53"/>
        <v xml:space="preserve"> </v>
      </c>
      <c r="AH81" s="401">
        <f>IFERROR(INDEX((std_profil3_prt),MATCH($H81,Prt,0)),"")</f>
        <v>0</v>
      </c>
      <c r="AI81" s="401">
        <f>IFERROR(INDEX((std_profil2_prt),MATCH($H81,Prt,0)),"")</f>
        <v>0</v>
      </c>
      <c r="AJ81" s="401">
        <f>IFERROR(INDEX((std_profil_prt),MATCH($H81,Prt,0)),"")</f>
        <v>0</v>
      </c>
      <c r="AK81" s="401">
        <f t="shared" si="54"/>
        <v>0</v>
      </c>
      <c r="AL81" s="401">
        <f t="shared" si="55"/>
        <v>0</v>
      </c>
      <c r="AM81" s="189"/>
      <c r="AN81" s="829">
        <f>IFERROR(INDEX((std_rel_prt),MATCH($H81,Prt,0)),"")</f>
        <v>0</v>
      </c>
      <c r="AO81" s="830">
        <f>IFERROR(INDEX((std_engsel_prt),MATCH($H81,Prt,0)),"")</f>
        <v>0</v>
      </c>
      <c r="AP81" s="401" t="str">
        <f t="shared" si="56"/>
        <v/>
      </c>
      <c r="AQ81" s="401" t="str">
        <f t="shared" si="57"/>
        <v/>
      </c>
      <c r="AR81" s="401" t="str">
        <f t="shared" si="58"/>
        <v/>
      </c>
      <c r="AS81" s="401">
        <f>IFERROR(INDEX((std_anodize_per_ukuran),MATCH($H81,Prt,0)),"")</f>
        <v>0</v>
      </c>
      <c r="AT81" s="403" t="str">
        <f>IF($AS81=edging7,L81,IF($AS81=edging8,L81,IF($AS81=edging9,L81,IF($AS81=Hand1,J79,IF($AS81=Hand2,L79,IF($AS81=hand3,"diisi manual",IF($AS81=hand4,"diisi manual",IF($AS81=hand5,"diisi manual",IF($AS81=mled02,J81,IF($AS81=mprf1,J81,IF($AS81=mlis1,J81,"")))))))))))</f>
        <v/>
      </c>
      <c r="AU81" s="403">
        <f>IF($AS81="","",Q81*BR81)</f>
        <v>0</v>
      </c>
      <c r="AV81" s="170"/>
      <c r="AW81" s="166" t="str">
        <f>CONCATENATE(VLOOKUP($V81,tabtf,2,0),VLOOKUP($X81,tabtf,2,0))</f>
        <v>37</v>
      </c>
      <c r="AX81" s="166" t="str">
        <f t="shared" si="59"/>
        <v>3233</v>
      </c>
      <c r="AY81" s="189" t="str">
        <f>IFERROR(VLOOKUP(AW81,descf,2,0),"")</f>
        <v>Aica_1mk_Polos</v>
      </c>
      <c r="AZ81" s="189" t="str">
        <f>IF($B81="alu",(VLOOKUP(AX81,descfr,2,0)),(VLOOKUP(AX81,desce,2,0)))</f>
        <v>Melanor_1sisi_pjg</v>
      </c>
      <c r="BA81" s="196" t="str">
        <f>IF($R81=0,CONCATENATE(0,")"," ",$H81," ",$J81),CONCATENATE(VLOOKUP(H81,tabprt,2,0),")",$H81,"_",AY81))</f>
        <v>414)Rangka back panel_Aica_1mk_Polos</v>
      </c>
      <c r="BB81" s="629" t="str">
        <f>IF($B81="…",CONCATENATE(0,$E81,")"," ",$H81),IF($B81="kc",CONCATENATE(VLOOKUP(H81,tabprt,2,0),")",$H81," ",$R81," ",$S81,"mm"," ","-"," "," ",";"," ",$AZ81,"  ",$I81),IF($B81="alu",CONCATENATE(VLOOKUP(H81,tabprt,2,0),")",$H81," ",$R81," ",$S81,"mm"," ","-"," "," ",";"," ",$AZ81,"  ",$I81),CONCATENATE(VLOOKUP(H81,tabprt,2,0),")",$H81," ",$R81," ",$S81,"mm"," ","-"," ",$AY81," ",";"," ",$AZ81,"  ",$I81))))</f>
        <v xml:space="preserve">414)Rangka back panel Ply 18mm - Aica_1mk_Polos ; Melanor_1sisi_pjg  </v>
      </c>
      <c r="BC81" s="190"/>
      <c r="BD81" s="510">
        <f t="shared" si="60"/>
        <v>0</v>
      </c>
      <c r="BE81" s="510">
        <f t="shared" si="61"/>
        <v>0</v>
      </c>
      <c r="BF81" s="177">
        <f>IFERROR(INDEX((std_j_sikufr_prt),MATCH($H81,Prt,0)),"")*Q81</f>
        <v>0</v>
      </c>
      <c r="BG81" s="177">
        <f>IFERROR(INDEX((std_j_screwjf_prt),MATCH($H81,Prt,0)),"")*Q81</f>
        <v>0</v>
      </c>
      <c r="BH81" s="166">
        <f>IF($AM81=0,0,1)*Q81</f>
        <v>0</v>
      </c>
      <c r="BI81" s="474">
        <f>IF($AO81=0,0,IF(J81&lt;=fp,2,(ROUNDUP(J81/fp,0))))*Q81</f>
        <v>0</v>
      </c>
      <c r="BJ81" s="166">
        <f>IF($AN81=0,0,1)*Q81</f>
        <v>0</v>
      </c>
      <c r="BK81" s="474">
        <f t="shared" si="62"/>
        <v>7.41</v>
      </c>
      <c r="BL81" s="474">
        <f t="shared" si="63"/>
        <v>0.3</v>
      </c>
      <c r="BM81" s="474">
        <f>IF(R81=0,0,((2*((J81+tol_p)+(L81+tol_p))*Q81)/1000))</f>
        <v>15.42</v>
      </c>
      <c r="BN81" s="166">
        <f>((J81*L81)/1000000)*Q81</f>
        <v>0.43740000000000001</v>
      </c>
      <c r="BO81" s="166" t="str">
        <f>CONCATENATE(R81,"_",S81)</f>
        <v>Ply_18</v>
      </c>
      <c r="BP81" s="204" t="str">
        <f>CONCATENATE(R81," ",S81," ",AY81)</f>
        <v>Ply 18 Aica_1mk_Polos</v>
      </c>
      <c r="BQ81" s="475">
        <f>((J81*L81*Q81)/(2400*1200))+10%</f>
        <v>0.25187500000000002</v>
      </c>
      <c r="BR81" s="205">
        <f>IFERROR(INDEX((std_jml_anodize_per_uk),MATCH($H81,Prt,0)),"")</f>
        <v>0</v>
      </c>
      <c r="BS81" s="509">
        <f t="shared" si="64"/>
        <v>0</v>
      </c>
      <c r="BT81" s="509">
        <f t="shared" si="65"/>
        <v>0</v>
      </c>
      <c r="BU81" s="459">
        <f t="shared" si="70"/>
        <v>0</v>
      </c>
      <c r="BV81" s="459">
        <f t="shared" si="70"/>
        <v>0</v>
      </c>
      <c r="BW81" s="1">
        <f>+((J81*L81)*Q81)/1000000</f>
        <v>0.43740000000000001</v>
      </c>
      <c r="BX81" s="1">
        <f>+((J81*L81*N81)*Q81)/1000000000</f>
        <v>8.0919000000000008E-3</v>
      </c>
      <c r="BY81" s="546" t="str">
        <f t="shared" si="66"/>
        <v/>
      </c>
      <c r="BZ81" s="546">
        <f t="shared" si="67"/>
        <v>0.5</v>
      </c>
      <c r="CA81" s="546" t="str">
        <f t="shared" si="68"/>
        <v/>
      </c>
      <c r="CB81" s="546" t="str">
        <f t="shared" si="69"/>
        <v/>
      </c>
      <c r="CC81" s="728" t="str">
        <f>IFERROR((J81-CA81-CB81),"")</f>
        <v/>
      </c>
      <c r="CD81" s="728" t="str">
        <f>IFERROR((L81-BY81-BZ81),"")</f>
        <v/>
      </c>
      <c r="CE81" s="170" t="str">
        <f>IFERROR((CONCATENATE(CC81," ","x"," ",CD81," ","x"," ",N81)),"")</f>
        <v xml:space="preserve"> x  x 18,5</v>
      </c>
      <c r="CF81" t="str">
        <f>IF(F81=1,(CONCATENATE(J81,";",L81,";",Q81,";",BP81,";",N81,";",H81,";","-1",";",AF81,";",CA81,";",AG81,";",CB81,";",AD81,";",BY81,";",AE81,";",BZ81))," ")</f>
        <v>2430;60;3;Ply 18 Aica_1mk_Polos;18,5;Rangka back panel;-1; ;; ;; ;;Melanor;0,5</v>
      </c>
    </row>
    <row r="82" spans="1:84" customFormat="1">
      <c r="A82" s="701"/>
      <c r="B82" s="447"/>
      <c r="C82" s="161"/>
      <c r="D82" s="162"/>
      <c r="E82" s="1"/>
      <c r="F82" s="811"/>
      <c r="G82" s="440"/>
      <c r="H82" s="1"/>
      <c r="I82" s="55"/>
      <c r="J82" s="170"/>
      <c r="K82" s="1"/>
      <c r="L82" s="170"/>
      <c r="M82" s="1"/>
      <c r="N82" s="458"/>
      <c r="O82" s="170"/>
      <c r="P82" s="441"/>
      <c r="Q82" s="55"/>
      <c r="R82" s="177"/>
      <c r="S82" s="454"/>
      <c r="T82" s="178"/>
      <c r="U82" s="178"/>
      <c r="V82" s="179"/>
      <c r="W82" s="180"/>
      <c r="X82" s="179"/>
      <c r="Y82" s="180"/>
      <c r="Z82" s="178"/>
      <c r="AA82" s="178"/>
      <c r="AB82" s="178"/>
      <c r="AC82" s="178"/>
      <c r="AD82" s="182"/>
      <c r="AE82" s="182"/>
      <c r="AF82" s="182"/>
      <c r="AG82" s="182"/>
      <c r="AH82" s="401"/>
      <c r="AI82" s="401"/>
      <c r="AJ82" s="401"/>
      <c r="AK82" s="401"/>
      <c r="AL82" s="401"/>
      <c r="AM82" s="189"/>
      <c r="AN82" s="829"/>
      <c r="AO82" s="830"/>
      <c r="AP82" s="401"/>
      <c r="AQ82" s="401"/>
      <c r="AR82" s="401"/>
      <c r="AS82" s="401"/>
      <c r="AT82" s="403"/>
      <c r="AU82" s="403"/>
      <c r="AV82" s="170"/>
      <c r="AW82" s="166"/>
      <c r="AX82" s="166"/>
      <c r="AY82" s="189"/>
      <c r="AZ82" s="189"/>
      <c r="BA82" s="196"/>
      <c r="BB82" s="629"/>
      <c r="BC82" s="190"/>
      <c r="BD82" s="510"/>
      <c r="BE82" s="510"/>
      <c r="BF82" s="177"/>
      <c r="BG82" s="177"/>
      <c r="BH82" s="166"/>
      <c r="BI82" s="474"/>
      <c r="BJ82" s="166"/>
      <c r="BK82" s="474"/>
      <c r="BL82" s="474"/>
      <c r="BM82" s="474"/>
      <c r="BN82" s="166"/>
      <c r="BO82" s="166"/>
      <c r="BP82" s="204"/>
      <c r="BQ82" s="475"/>
      <c r="BR82" s="205"/>
      <c r="BS82" s="509"/>
      <c r="BT82" s="509"/>
      <c r="BU82" s="459"/>
      <c r="BV82" s="459"/>
      <c r="BW82" s="1"/>
      <c r="BX82" s="1"/>
      <c r="BY82" s="546"/>
      <c r="BZ82" s="546"/>
      <c r="CA82" s="546"/>
      <c r="CB82" s="546"/>
      <c r="CC82" s="728"/>
      <c r="CD82" s="728"/>
      <c r="CE82" s="170"/>
    </row>
    <row r="83" spans="1:84" customFormat="1">
      <c r="A83" s="701" t="str">
        <f>IFERROR(INDEX((ID),MATCH(H83,BARANG,0)),"…")</f>
        <v>…</v>
      </c>
      <c r="B83" s="447" t="str">
        <f t="shared" si="50"/>
        <v>…</v>
      </c>
      <c r="C83" s="1" t="s">
        <v>2605</v>
      </c>
      <c r="D83" s="538" t="str">
        <f>(INDEX(KS_Set,MATCH($H83,Set_prt,0)))</f>
        <v>[ks]</v>
      </c>
      <c r="E83" s="1" t="s">
        <v>2166</v>
      </c>
      <c r="F83" s="811" t="str">
        <f t="shared" si="51"/>
        <v/>
      </c>
      <c r="G83" s="440" t="str">
        <f t="shared" si="52"/>
        <v>•</v>
      </c>
      <c r="H83" s="1" t="s">
        <v>2168</v>
      </c>
      <c r="J83" s="171">
        <v>600</v>
      </c>
      <c r="K83" s="55" t="s">
        <v>2137</v>
      </c>
      <c r="L83" s="171">
        <v>130</v>
      </c>
      <c r="M83" s="55" t="s">
        <v>2137</v>
      </c>
      <c r="N83" s="172">
        <v>80</v>
      </c>
      <c r="O83" s="170" t="str">
        <f>CONCATENATE(J83," ",K83," ",L83," ",M83," ",N83)</f>
        <v>600 x 130 x 80</v>
      </c>
      <c r="P83" s="139"/>
      <c r="Q83" s="172">
        <v>1</v>
      </c>
      <c r="R83" s="181"/>
      <c r="S83" s="455"/>
      <c r="T83" s="170"/>
      <c r="U83" s="170"/>
      <c r="V83" s="1"/>
      <c r="W83" s="173"/>
      <c r="X83" s="1"/>
      <c r="Y83" s="166"/>
      <c r="Z83" s="170"/>
      <c r="AA83" s="170"/>
      <c r="AB83" s="170"/>
      <c r="AC83" s="170"/>
      <c r="AD83" s="182" t="str">
        <f t="shared" ref="AD83:AG85" si="71">IF($B83="alu",(INDEX((Fr),MATCH(Z83,cfr,0))),INDEX((te),MATCH(Z83,cte,0)))</f>
        <v xml:space="preserve"> </v>
      </c>
      <c r="AE83" s="182" t="str">
        <f t="shared" si="71"/>
        <v xml:space="preserve"> </v>
      </c>
      <c r="AF83" s="182" t="str">
        <f t="shared" si="71"/>
        <v xml:space="preserve"> </v>
      </c>
      <c r="AG83" s="182" t="str">
        <f t="shared" si="71"/>
        <v xml:space="preserve"> </v>
      </c>
      <c r="AH83" s="189"/>
      <c r="AI83" s="189"/>
      <c r="AJ83" s="189"/>
      <c r="AK83" s="401" t="str">
        <f t="shared" si="54"/>
        <v/>
      </c>
      <c r="AL83" s="401" t="str">
        <f t="shared" si="55"/>
        <v/>
      </c>
      <c r="AM83" s="189"/>
      <c r="AN83" s="782"/>
      <c r="AO83" s="189"/>
      <c r="AP83" s="401" t="str">
        <f t="shared" si="56"/>
        <v/>
      </c>
      <c r="AQ83" s="401" t="str">
        <f t="shared" si="57"/>
        <v/>
      </c>
      <c r="AR83" s="401" t="str">
        <f t="shared" si="58"/>
        <v/>
      </c>
      <c r="AS83" s="188"/>
      <c r="AT83" s="1"/>
      <c r="AU83" s="403" t="str">
        <f>IF($AS83=0,"",Q83*BR83)</f>
        <v/>
      </c>
      <c r="AV83" s="1"/>
      <c r="AW83" s="166"/>
      <c r="AX83" s="166" t="str">
        <f t="shared" si="59"/>
        <v>3333</v>
      </c>
      <c r="AY83" s="189" t="str">
        <f>IFERROR(VLOOKUP(AW83,descf,2,0),"")</f>
        <v/>
      </c>
      <c r="AZ83" s="189" t="str">
        <f>IF($B83="alu",(VLOOKUP(AX83,descfr,2,0)),(VLOOKUP(AX83,desce,2,0)))</f>
        <v xml:space="preserve"> -</v>
      </c>
      <c r="BA83" s="196" t="str">
        <f>IF($R83=0,CONCATENATE(0,")"," ",$H83," ",$J83),CONCATENATE(VLOOKUP(H83,tabprt,2,0),")",$H83,"_",AY83))</f>
        <v>0) Back Panel Rangka (rakit tukang) 600</v>
      </c>
      <c r="BB83" s="629" t="str">
        <f>IF($B83="…",CONCATENATE(0,$E83,")"," ",$H83),IF($B83="kc",CONCATENATE(VLOOKUP(H83,tabprt,2,0),")",$H83," ",$R83," ",$S83,"mm"," ","-"," "," ",";"," ",$AZ83,"  ",$I83),IF($B83="alu",CONCATENATE(VLOOKUP(H83,tabprt,2,0),")",$H83," ",$R83," ",$S83,"mm"," ","-"," "," ",";"," ",$AZ83,"  ",$I83),CONCATENATE(VLOOKUP(H83,tabprt,2,0),")",$H83," ",$R83," ",$S83,"mm"," ","-"," ",$AY83," ",";"," ",$AZ83,"  ",$I83))))</f>
        <v>0A) Back Panel Rangka (rakit tukang)</v>
      </c>
      <c r="BC83" s="197"/>
      <c r="BD83" s="510" t="str">
        <f t="shared" si="60"/>
        <v/>
      </c>
      <c r="BE83" s="510" t="str">
        <f t="shared" si="61"/>
        <v/>
      </c>
      <c r="BF83" s="177"/>
      <c r="BG83" s="177"/>
      <c r="BH83" s="166">
        <f>IF($AM83=0,0,1)*Q83</f>
        <v>0</v>
      </c>
      <c r="BI83" s="474">
        <f>IF($AO83=0,0,IF(J83&lt;=fp,2,(ROUNDUP(J83/fp,0))))*Q83</f>
        <v>0</v>
      </c>
      <c r="BJ83" s="166">
        <f>IF($AN83=0,0,1)*Q83</f>
        <v>0</v>
      </c>
      <c r="BK83" s="474">
        <f t="shared" si="62"/>
        <v>0.64</v>
      </c>
      <c r="BL83" s="474">
        <f t="shared" si="63"/>
        <v>0.17</v>
      </c>
      <c r="BM83" s="474">
        <f>IF(R83=0,0,((2*((J83+tol_p)+(L83+tol_p))*Q83)/1000))</f>
        <v>0</v>
      </c>
      <c r="BN83" s="166"/>
      <c r="BO83" s="166" t="str">
        <f>CONCATENATE(R83,"_",S83)</f>
        <v>_</v>
      </c>
      <c r="BP83" s="204" t="str">
        <f>CONCATENATE(R83," ",S83," ",AY83)</f>
        <v xml:space="preserve">  </v>
      </c>
      <c r="BQ83" s="475">
        <f>((J83*L83*Q83)/(2400*1200))+10%</f>
        <v>0.12708333333333333</v>
      </c>
      <c r="BR83" s="205" t="str">
        <f>IFERROR(INDEX((std_jml_anodize_per_uk),MATCH($H83,Prt,0)),"")</f>
        <v/>
      </c>
      <c r="BS83" s="509">
        <f t="shared" si="64"/>
        <v>2</v>
      </c>
      <c r="BT83" s="509">
        <f t="shared" si="65"/>
        <v>2</v>
      </c>
      <c r="BU83" s="459"/>
      <c r="BV83" s="459"/>
      <c r="BW83" s="1">
        <f>+((J83*L83)*Q83)/1000000</f>
        <v>7.8E-2</v>
      </c>
      <c r="BX83" s="1">
        <f>+((J83*L83*N83)*Q83)/1000000000</f>
        <v>6.2399999999999999E-3</v>
      </c>
      <c r="BY83" s="546" t="str">
        <f t="shared" si="66"/>
        <v/>
      </c>
      <c r="BZ83" s="546" t="str">
        <f t="shared" si="67"/>
        <v/>
      </c>
      <c r="CA83" s="546" t="str">
        <f t="shared" si="68"/>
        <v/>
      </c>
      <c r="CB83" s="546" t="str">
        <f t="shared" si="69"/>
        <v/>
      </c>
      <c r="CC83" s="728" t="str">
        <f>IFERROR((J83-CA83-CB83),"")</f>
        <v/>
      </c>
      <c r="CD83" s="728" t="str">
        <f>IFERROR((L83-BY83-BZ83),"")</f>
        <v/>
      </c>
      <c r="CE83" s="170" t="str">
        <f>IFERROR((CONCATENATE(CC83," ","x"," ",CD83," ","x"," ",N83)),"")</f>
        <v xml:space="preserve"> x  x 80</v>
      </c>
      <c r="CF83" t="str">
        <f>IF(F83=1,(CONCATENATE(J83,";",L83,";",Q83,";",BP83,";",N83,";",H83,";","-1",";",AF83,";",CA83,";",AG83,";",CB83,";",AD83,";",BY83,";",AE83,";",BZ83))," ")</f>
        <v xml:space="preserve"> </v>
      </c>
    </row>
    <row r="84" spans="1:84" customFormat="1">
      <c r="A84" s="701" t="str">
        <f>IFERROR(INDEX((ID),MATCH(H84,BARANG,0)),"…")</f>
        <v>…</v>
      </c>
      <c r="B84" s="447" t="str">
        <f t="shared" si="50"/>
        <v>pintu</v>
      </c>
      <c r="C84" s="161" t="s">
        <v>1472</v>
      </c>
      <c r="D84" s="162" t="str">
        <f>IFERROR(INDEX((KS),MATCH($H84,Prt,0)),"")</f>
        <v>KS</v>
      </c>
      <c r="E84" s="1" t="s">
        <v>2166</v>
      </c>
      <c r="F84" s="811">
        <f t="shared" si="51"/>
        <v>0</v>
      </c>
      <c r="G84" s="440" t="str">
        <f t="shared" si="52"/>
        <v>...</v>
      </c>
      <c r="H84" s="1" t="s">
        <v>3097</v>
      </c>
      <c r="I84" s="55"/>
      <c r="J84" s="170">
        <f>+J83</f>
        <v>600</v>
      </c>
      <c r="K84" s="1" t="s">
        <v>2137</v>
      </c>
      <c r="L84" s="170">
        <f>+L83</f>
        <v>130</v>
      </c>
      <c r="M84" s="1" t="s">
        <v>2137</v>
      </c>
      <c r="N84" s="458">
        <f>+(S84+W84+Y84)</f>
        <v>19</v>
      </c>
      <c r="O84" s="170" t="str">
        <f>CONCATENATE(J84," ",K84," ",L84," ",M84," ",N84)</f>
        <v>600 x 130 x 19</v>
      </c>
      <c r="P84" s="441">
        <f>IFERROR(INDEX((std_sub_prt),MATCH($H84,Prt,0)),"")</f>
        <v>1</v>
      </c>
      <c r="Q84" s="55">
        <f>P84*Q83</f>
        <v>1</v>
      </c>
      <c r="R84" s="177" t="str">
        <f>IFERROR(INDEX((std_bhn_prt),MATCH($H84,Prt,0)),"")</f>
        <v>Ply</v>
      </c>
      <c r="S84" s="454">
        <f>IFERROR(INDEX((std_Tbahan_prt),MATCH($H84,Prt,0)),"")</f>
        <v>18</v>
      </c>
      <c r="T84" s="178">
        <f>INDEX((std_lapisan_luar_prt),MATCH($H84,Prt,0))</f>
        <v>5</v>
      </c>
      <c r="U84" s="178">
        <f>INDEX((std_lapisan_dalam_prt),MATCH($H84,Prt,0))</f>
        <v>0</v>
      </c>
      <c r="V84" s="179" t="str">
        <f>IFERROR(INDEX((tf),MATCH(T84,ctf,0)),"")</f>
        <v>DXO_1338_D</v>
      </c>
      <c r="W84" s="180">
        <f>IFERROR(INDEX((tebal_lapisan),MATCH($V84,tf,0)),"")</f>
        <v>1</v>
      </c>
      <c r="X84" s="179" t="str">
        <f>IFERROR(INDEX((tf),MATCH(U84,ctf,0)),"")</f>
        <v>Polos</v>
      </c>
      <c r="Y84" s="180">
        <f>IFERROR(INDEX((tebal_lapisan),MATCH($X84,tf,0)),"")</f>
        <v>0</v>
      </c>
      <c r="Z84" s="178">
        <f>INDEX((std_edg_P1_prt),MATCH($H84,Prt,0))</f>
        <v>5</v>
      </c>
      <c r="AA84" s="178">
        <f>INDEX((std_edg_P2_prt),MATCH($H84,Prt,0))</f>
        <v>5</v>
      </c>
      <c r="AB84" s="178">
        <f>INDEX((std_edg_L1_prt),MATCH($H84,Prt,0))</f>
        <v>5</v>
      </c>
      <c r="AC84" s="178">
        <f>INDEX((std_edg_L2_prt),MATCH($H84,Prt,0))</f>
        <v>5</v>
      </c>
      <c r="AD84" s="182" t="str">
        <f t="shared" si="71"/>
        <v>Edg_EAP_1338_DO</v>
      </c>
      <c r="AE84" s="182" t="str">
        <f t="shared" si="71"/>
        <v>Edg_EAP_1338_DO</v>
      </c>
      <c r="AF84" s="182" t="str">
        <f t="shared" si="71"/>
        <v>Edg_EAP_1338_DO</v>
      </c>
      <c r="AG84" s="182" t="str">
        <f t="shared" si="71"/>
        <v>Edg_EAP_1338_DO</v>
      </c>
      <c r="AH84" s="401">
        <f>IFERROR(INDEX((std_profil3_prt),MATCH($H84,Prt,0)),"")</f>
        <v>0</v>
      </c>
      <c r="AI84" s="401">
        <f>IFERROR(INDEX((std_profil2_prt),MATCH($H84,Prt,0)),"")</f>
        <v>0</v>
      </c>
      <c r="AJ84" s="401">
        <f>IFERROR(INDEX((std_profil_prt),MATCH($H84,Prt,0)),"")</f>
        <v>0</v>
      </c>
      <c r="AK84" s="401">
        <f t="shared" si="54"/>
        <v>0</v>
      </c>
      <c r="AL84" s="401">
        <f t="shared" si="55"/>
        <v>0</v>
      </c>
      <c r="AM84" s="189"/>
      <c r="AN84" s="829">
        <f>IFERROR(INDEX((std_rel_prt),MATCH($H84,Prt,0)),"")</f>
        <v>0</v>
      </c>
      <c r="AO84" s="830">
        <f>IFERROR(INDEX((std_engsel_prt),MATCH($H84,Prt,0)),"")</f>
        <v>0</v>
      </c>
      <c r="AP84" s="401" t="str">
        <f t="shared" si="56"/>
        <v/>
      </c>
      <c r="AQ84" s="401" t="str">
        <f t="shared" si="57"/>
        <v/>
      </c>
      <c r="AR84" s="401" t="str">
        <f t="shared" si="58"/>
        <v/>
      </c>
      <c r="AS84" s="401">
        <f>IFERROR(INDEX((std_anodize_per_ukuran),MATCH($H84,Prt,0)),"")</f>
        <v>0</v>
      </c>
      <c r="AT84" s="403" t="str">
        <f>IF($AS84=edging7,L84,IF($AS84=edging8,L84,IF($AS84=edging9,L84,IF($AS84=Hand1,#REF!,IF($AS84=Hand2,#REF!,IF($AS84=hand3,"diisi manual",IF($AS84=hand4,"diisi manual",IF($AS84=hand5,"diisi manual",IF($AS84=mled02,J84,IF($AS84=mprf1,J84,IF($AS84=mlis1,J84,"")))))))))))</f>
        <v/>
      </c>
      <c r="AU84" s="403">
        <f>IF($AS84="","",Q84*BR84)</f>
        <v>0</v>
      </c>
      <c r="AV84" s="170"/>
      <c r="AW84" s="166" t="str">
        <f>CONCATENATE(VLOOKUP($V84,tabtf,2,0),VLOOKUP($X84,tabtf,2,0))</f>
        <v>93</v>
      </c>
      <c r="AX84" s="166" t="str">
        <f t="shared" si="59"/>
        <v>13131313</v>
      </c>
      <c r="AY84" s="189" t="str">
        <f>IFERROR(VLOOKUP(AW84,descf,2,0),"")</f>
        <v>DXO_1338_D_1mk_Polos</v>
      </c>
      <c r="AZ84" s="189" t="str">
        <f>IF($B84="alu",(VLOOKUP(AX84,descfr,2,0)),(VLOOKUP(AX84,desce,2,0)))</f>
        <v>Edg_EAP_1338_DO_Keliling</v>
      </c>
      <c r="BA84" s="196" t="str">
        <f>IF($R84=0,CONCATENATE(0,")"," ",$H84," ",$J84),CONCATENATE(VLOOKUP(H84,tabprt,2,0),")",$H84,"_",AY84))</f>
        <v>406)Back Panel Rangka♦_DXO_1338_D_1mk_Polos</v>
      </c>
      <c r="BB84" s="629" t="str">
        <f>IF($B84="…",CONCATENATE(0,$E84,")"," ",$H84),IF($B84="kc",CONCATENATE(VLOOKUP(H84,tabprt,2,0),")",$H84," ",$R84," ",$S84,"mm"," ","-"," "," ",";"," ",$AZ84,"  ",$I84),IF($B84="alu",CONCATENATE(VLOOKUP(H84,tabprt,2,0),")",$H84," ",$R84," ",$S84,"mm"," ","-"," "," ",";"," ",$AZ84,"  ",$I84),CONCATENATE(VLOOKUP(H84,tabprt,2,0),")",$H84," ",$R84," ",$S84,"mm"," ","-"," ",$AY84," ",";"," ",$AZ84,"  ",$I84))))</f>
        <v xml:space="preserve">406)Back Panel Rangka♦ Ply 18mm - DXO_1338_D_1mk_Polos ; Edg_EAP_1338_DO_Keliling  </v>
      </c>
      <c r="BC84" s="190"/>
      <c r="BD84" s="510">
        <f t="shared" si="60"/>
        <v>0</v>
      </c>
      <c r="BE84" s="510">
        <f t="shared" si="61"/>
        <v>0</v>
      </c>
      <c r="BF84" s="177">
        <f>IFERROR(INDEX((std_j_sikufr_prt),MATCH($H84,Prt,0)),"")*Q84</f>
        <v>0</v>
      </c>
      <c r="BG84" s="177">
        <f>IFERROR(INDEX((std_j_screwjf_prt),MATCH($H84,Prt,0)),"")*Q84</f>
        <v>0</v>
      </c>
      <c r="BH84" s="166">
        <f>IF($AM84=0,0,1)*Q84</f>
        <v>0</v>
      </c>
      <c r="BI84" s="474">
        <f>IF($AO84=0,0,IF(J84&lt;=fp,2,(ROUNDUP(J84/fp,0))))*Q84</f>
        <v>0</v>
      </c>
      <c r="BJ84" s="166">
        <f>IF($AN84=0,0,1)*Q84</f>
        <v>0</v>
      </c>
      <c r="BK84" s="474">
        <f t="shared" si="62"/>
        <v>0.64</v>
      </c>
      <c r="BL84" s="474">
        <f t="shared" si="63"/>
        <v>0.17</v>
      </c>
      <c r="BM84" s="474">
        <f>IF(R84=0,0,((2*((J84+tol_p)+(L84+tol_p))*Q84)/1000))</f>
        <v>1.62</v>
      </c>
      <c r="BN84" s="166">
        <f>((J84*L84)/1000000)*Q84</f>
        <v>7.8E-2</v>
      </c>
      <c r="BO84" s="166" t="str">
        <f>CONCATENATE(R84,"_",S84)</f>
        <v>Ply_18</v>
      </c>
      <c r="BP84" s="204" t="str">
        <f>CONCATENATE(R84," ",S84," ",AY84)</f>
        <v>Ply 18 DXO_1338_D_1mk_Polos</v>
      </c>
      <c r="BQ84" s="475">
        <f>((J84*L84*Q84)/(2400*1200))+10%</f>
        <v>0.12708333333333333</v>
      </c>
      <c r="BR84" s="205">
        <f>IFERROR(INDEX((std_jml_anodize_per_uk),MATCH($H84,Prt,0)),"")</f>
        <v>0</v>
      </c>
      <c r="BS84" s="509">
        <f t="shared" si="64"/>
        <v>0</v>
      </c>
      <c r="BT84" s="509">
        <f t="shared" si="65"/>
        <v>0</v>
      </c>
      <c r="BU84" s="459">
        <f>BF84*$Q84</f>
        <v>0</v>
      </c>
      <c r="BV84" s="459">
        <f>BG84*$Q84</f>
        <v>0</v>
      </c>
      <c r="BW84" s="1">
        <f>+((J84*L84)*Q84)/1000000</f>
        <v>7.8E-2</v>
      </c>
      <c r="BX84" s="1">
        <f>+((J84*L84*N84)*Q84)/1000000000</f>
        <v>1.482E-3</v>
      </c>
      <c r="BY84" s="546">
        <f t="shared" si="66"/>
        <v>1</v>
      </c>
      <c r="BZ84" s="546">
        <f t="shared" si="67"/>
        <v>1</v>
      </c>
      <c r="CA84" s="546">
        <f t="shared" si="68"/>
        <v>1</v>
      </c>
      <c r="CB84" s="546">
        <f t="shared" si="69"/>
        <v>1</v>
      </c>
      <c r="CC84" s="728">
        <f>IFERROR((J84-CA84-CB84),"")</f>
        <v>598</v>
      </c>
      <c r="CD84" s="728">
        <f>IFERROR((L84-BY84-BZ84),"")</f>
        <v>128</v>
      </c>
      <c r="CE84" s="170" t="str">
        <f>IFERROR((CONCATENATE(CC84," ","x"," ",CD84," ","x"," ",N84)),"")</f>
        <v>598 x 128 x 19</v>
      </c>
      <c r="CF84" t="str">
        <f>IF(F84=1,(CONCATENATE(J84,";",L84,";",Q84,";",BP84,";",N84,";",H84,";","-1",";",AF84,";",CA84,";",AG84,";",CB84,";",AD84,";",BY84,";",AE84,";",BZ84))," ")</f>
        <v xml:space="preserve"> </v>
      </c>
    </row>
    <row r="85" spans="1:84" customFormat="1">
      <c r="A85" s="701" t="str">
        <f>IFERROR(INDEX((ID),MATCH(H85,BARANG,0)),"…")</f>
        <v>…</v>
      </c>
      <c r="B85" s="447" t="str">
        <f t="shared" si="50"/>
        <v>pintu</v>
      </c>
      <c r="C85" s="161" t="s">
        <v>1472</v>
      </c>
      <c r="D85" s="162" t="str">
        <f>IFERROR(INDEX((KS),MATCH($H85,Prt,0)),"")</f>
        <v>KS</v>
      </c>
      <c r="E85" s="1" t="s">
        <v>2166</v>
      </c>
      <c r="F85" s="811">
        <f t="shared" si="51"/>
        <v>1</v>
      </c>
      <c r="G85" s="440" t="str">
        <f t="shared" si="52"/>
        <v>...</v>
      </c>
      <c r="H85" s="1" t="s">
        <v>1842</v>
      </c>
      <c r="I85" s="55"/>
      <c r="J85" s="170">
        <v>2430</v>
      </c>
      <c r="K85" s="1" t="s">
        <v>2137</v>
      </c>
      <c r="L85" s="457">
        <f>ROUNDDOWN(N83-N84-tol,0)</f>
        <v>60</v>
      </c>
      <c r="M85" s="1" t="s">
        <v>2137</v>
      </c>
      <c r="N85" s="458">
        <f>+(S85+W85+Y85)</f>
        <v>18.5</v>
      </c>
      <c r="O85" s="170" t="str">
        <f>CONCATENATE(J85," ",K85," ",L85," ",M85," ",N85)</f>
        <v>2430 x 60 x 18,5</v>
      </c>
      <c r="P85" s="441">
        <f>ROUNDUP((((2*J83)+(4*L83))/2440),0)</f>
        <v>1</v>
      </c>
      <c r="Q85" s="55">
        <f>+P85*Q83</f>
        <v>1</v>
      </c>
      <c r="R85" s="177" t="str">
        <f>IFERROR(INDEX((std_bhn_prt),MATCH($H85,Prt,0)),"")</f>
        <v>Ply</v>
      </c>
      <c r="S85" s="454">
        <f>IFERROR(INDEX((std_Tbahan_prt),MATCH($H85,Prt,0)),"")</f>
        <v>18</v>
      </c>
      <c r="T85" s="178">
        <f>INDEX((std_lapisan_luar_prt),MATCH($H85,Prt,0))</f>
        <v>0</v>
      </c>
      <c r="U85" s="178">
        <f>INDEX((std_lapisan_dalam_prt),MATCH($H85,Prt,0))</f>
        <v>22</v>
      </c>
      <c r="V85" s="179" t="str">
        <f>IFERROR(INDEX((tf),MATCH(T85,ctf,0)),"")</f>
        <v>Polos</v>
      </c>
      <c r="W85" s="180">
        <f>IFERROR(INDEX((tebal_lapisan),MATCH($V85,tf,0)),"")</f>
        <v>0</v>
      </c>
      <c r="X85" s="179" t="str">
        <f>IFERROR(INDEX((tf),MATCH(U85,ctf,0)),"")</f>
        <v>Aica</v>
      </c>
      <c r="Y85" s="180">
        <f>IFERROR(INDEX((tebal_lapisan),MATCH($X85,tf,0)),"")</f>
        <v>0.5</v>
      </c>
      <c r="Z85" s="178">
        <f>INDEX((std_edg_P1_prt),MATCH($H85,Prt,0))</f>
        <v>0</v>
      </c>
      <c r="AA85" s="178">
        <f>INDEX((std_edg_P2_prt),MATCH($H85,Prt,0))</f>
        <v>9</v>
      </c>
      <c r="AB85" s="178">
        <f>INDEX((std_edg_L1_prt),MATCH($H85,Prt,0))</f>
        <v>0</v>
      </c>
      <c r="AC85" s="178">
        <f>INDEX((std_edg_L2_prt),MATCH($H85,Prt,0))</f>
        <v>0</v>
      </c>
      <c r="AD85" s="182" t="str">
        <f t="shared" si="71"/>
        <v xml:space="preserve"> </v>
      </c>
      <c r="AE85" s="182" t="str">
        <f t="shared" si="71"/>
        <v>Melanor</v>
      </c>
      <c r="AF85" s="182" t="str">
        <f t="shared" si="71"/>
        <v xml:space="preserve"> </v>
      </c>
      <c r="AG85" s="182" t="str">
        <f t="shared" si="71"/>
        <v xml:space="preserve"> </v>
      </c>
      <c r="AH85" s="401">
        <f>IFERROR(INDEX((std_profil3_prt),MATCH($H85,Prt,0)),"")</f>
        <v>0</v>
      </c>
      <c r="AI85" s="401">
        <f>IFERROR(INDEX((std_profil2_prt),MATCH($H85,Prt,0)),"")</f>
        <v>0</v>
      </c>
      <c r="AJ85" s="401">
        <f>IFERROR(INDEX((std_profil_prt),MATCH($H85,Prt,0)),"")</f>
        <v>0</v>
      </c>
      <c r="AK85" s="401">
        <f t="shared" si="54"/>
        <v>0</v>
      </c>
      <c r="AL85" s="401">
        <f t="shared" si="55"/>
        <v>0</v>
      </c>
      <c r="AM85" s="189"/>
      <c r="AN85" s="829">
        <f>IFERROR(INDEX((std_rel_prt),MATCH($H85,Prt,0)),"")</f>
        <v>0</v>
      </c>
      <c r="AO85" s="830">
        <f>IFERROR(INDEX((std_engsel_prt),MATCH($H85,Prt,0)),"")</f>
        <v>0</v>
      </c>
      <c r="AP85" s="401" t="str">
        <f t="shared" si="56"/>
        <v/>
      </c>
      <c r="AQ85" s="401" t="str">
        <f t="shared" si="57"/>
        <v/>
      </c>
      <c r="AR85" s="401" t="str">
        <f t="shared" si="58"/>
        <v/>
      </c>
      <c r="AS85" s="401">
        <f>IFERROR(INDEX((std_anodize_per_ukuran),MATCH($H85,Prt,0)),"")</f>
        <v>0</v>
      </c>
      <c r="AT85" s="403" t="str">
        <f>IF($AS85=edging7,L85,IF($AS85=edging8,L85,IF($AS85=edging9,L85,IF($AS85=Hand1,#REF!,IF($AS85=Hand2,#REF!,IF($AS85=hand3,"diisi manual",IF($AS85=hand4,"diisi manual",IF($AS85=hand5,"diisi manual",IF($AS85=mled02,J85,IF($AS85=mprf1,J85,IF($AS85=mlis1,J85,"")))))))))))</f>
        <v/>
      </c>
      <c r="AU85" s="403">
        <f>IF($AS85="","",Q85*BR85)</f>
        <v>0</v>
      </c>
      <c r="AV85" s="170"/>
      <c r="AW85" s="166" t="str">
        <f>CONCATENATE(VLOOKUP($V85,tabtf,2,0),VLOOKUP($X85,tabtf,2,0))</f>
        <v>37</v>
      </c>
      <c r="AX85" s="166" t="str">
        <f t="shared" si="59"/>
        <v>3233</v>
      </c>
      <c r="AY85" s="189" t="str">
        <f>IFERROR(VLOOKUP(AW85,descf,2,0),"")</f>
        <v>Aica_1mk_Polos</v>
      </c>
      <c r="AZ85" s="189" t="str">
        <f>IF($B85="alu",(VLOOKUP(AX85,descfr,2,0)),(VLOOKUP(AX85,desce,2,0)))</f>
        <v>Melanor_1sisi_pjg</v>
      </c>
      <c r="BA85" s="196" t="str">
        <f>IF($R85=0,CONCATENATE(0,")"," ",$H85," ",$J85),CONCATENATE(VLOOKUP(H85,tabprt,2,0),")",$H85,"_",AY85))</f>
        <v>414)Rangka back panel_Aica_1mk_Polos</v>
      </c>
      <c r="BB85" s="629" t="str">
        <f>IF($B85="…",CONCATENATE(0,$E85,")"," ",$H85),IF($B85="kc",CONCATENATE(VLOOKUP(H85,tabprt,2,0),")",$H85," ",$R85," ",$S85,"mm"," ","-"," "," ",";"," ",$AZ85,"  ",$I85),IF($B85="alu",CONCATENATE(VLOOKUP(H85,tabprt,2,0),")",$H85," ",$R85," ",$S85,"mm"," ","-"," "," ",";"," ",$AZ85,"  ",$I85),CONCATENATE(VLOOKUP(H85,tabprt,2,0),")",$H85," ",$R85," ",$S85,"mm"," ","-"," ",$AY85," ",";"," ",$AZ85,"  ",$I85))))</f>
        <v xml:space="preserve">414)Rangka back panel Ply 18mm - Aica_1mk_Polos ; Melanor_1sisi_pjg  </v>
      </c>
      <c r="BC85" s="190"/>
      <c r="BD85" s="510">
        <f t="shared" si="60"/>
        <v>0</v>
      </c>
      <c r="BE85" s="510">
        <f t="shared" si="61"/>
        <v>0</v>
      </c>
      <c r="BF85" s="177">
        <f>IFERROR(INDEX((std_j_sikufr_prt),MATCH($H85,Prt,0)),"")*Q85</f>
        <v>0</v>
      </c>
      <c r="BG85" s="177">
        <f>IFERROR(INDEX((std_j_screwjf_prt),MATCH($H85,Prt,0)),"")*Q85</f>
        <v>0</v>
      </c>
      <c r="BH85" s="166">
        <f>IF($AM85=0,0,1)*Q85</f>
        <v>0</v>
      </c>
      <c r="BI85" s="474">
        <f>IF($AO85=0,0,IF(J85&lt;=fp,2,(ROUNDUP(J85/fp,0))))*Q85</f>
        <v>0</v>
      </c>
      <c r="BJ85" s="166">
        <f>IF($AN85=0,0,1)*Q85</f>
        <v>0</v>
      </c>
      <c r="BK85" s="474">
        <f t="shared" si="62"/>
        <v>2.4700000000000002</v>
      </c>
      <c r="BL85" s="474">
        <f t="shared" si="63"/>
        <v>0.1</v>
      </c>
      <c r="BM85" s="474">
        <f>IF(R85=0,0,((2*((J85+tol_p)+(L85+tol_p))*Q85)/1000))</f>
        <v>5.14</v>
      </c>
      <c r="BN85" s="166">
        <f>((J85*L85)/1000000)*Q85</f>
        <v>0.14580000000000001</v>
      </c>
      <c r="BO85" s="166" t="str">
        <f>CONCATENATE(R85,"_",S85)</f>
        <v>Ply_18</v>
      </c>
      <c r="BP85" s="204" t="str">
        <f>CONCATENATE(R85," ",S85," ",AY85)</f>
        <v>Ply 18 Aica_1mk_Polos</v>
      </c>
      <c r="BQ85" s="475">
        <f>((J85*L85*Q85)/(2400*1200))+10%</f>
        <v>0.15062500000000001</v>
      </c>
      <c r="BR85" s="205">
        <f>IFERROR(INDEX((std_jml_anodize_per_uk),MATCH($H85,Prt,0)),"")</f>
        <v>0</v>
      </c>
      <c r="BS85" s="509">
        <f t="shared" si="64"/>
        <v>0</v>
      </c>
      <c r="BT85" s="509">
        <f t="shared" si="65"/>
        <v>0</v>
      </c>
      <c r="BU85" s="459">
        <f>BF85*$Q85</f>
        <v>0</v>
      </c>
      <c r="BV85" s="459">
        <f>BG85*$Q85</f>
        <v>0</v>
      </c>
      <c r="BW85" s="1">
        <f>+((J85*L85)*Q85)/1000000</f>
        <v>0.14580000000000001</v>
      </c>
      <c r="BX85" s="1">
        <f>+((J85*L85*N85)*Q85)/1000000000</f>
        <v>2.6973000000000001E-3</v>
      </c>
      <c r="BY85" s="546" t="str">
        <f t="shared" si="66"/>
        <v/>
      </c>
      <c r="BZ85" s="546">
        <f t="shared" si="67"/>
        <v>0.5</v>
      </c>
      <c r="CA85" s="546" t="str">
        <f t="shared" si="68"/>
        <v/>
      </c>
      <c r="CB85" s="546" t="str">
        <f t="shared" si="69"/>
        <v/>
      </c>
      <c r="CC85" s="728" t="str">
        <f>IFERROR((J85-CA85-CB85),"")</f>
        <v/>
      </c>
      <c r="CD85" s="728" t="str">
        <f>IFERROR((L85-BY85-BZ85),"")</f>
        <v/>
      </c>
      <c r="CE85" s="170" t="str">
        <f>IFERROR((CONCATENATE(CC85," ","x"," ",CD85," ","x"," ",N85)),"")</f>
        <v xml:space="preserve"> x  x 18,5</v>
      </c>
      <c r="CF85" t="str">
        <f>IF(F85=1,(CONCATENATE(J85,";",L85,";",Q85,";",BP85,";",N85,";",H85,";","-1",";",AF85,";",CA85,";",AG85,";",CB85,";",AD85,";",BY85,";",AE85,";",BZ85))," ")</f>
        <v>2430;60;1;Ply 18 Aica_1mk_Polos;18,5;Rangka back panel;-1; ;; ;; ;;Melanor;0,5</v>
      </c>
    </row>
    <row r="86" spans="1:84" customFormat="1">
      <c r="A86" s="701"/>
      <c r="B86" s="447"/>
      <c r="C86" s="161"/>
      <c r="D86" s="162"/>
      <c r="E86" s="1"/>
      <c r="F86" s="811"/>
      <c r="G86" s="440"/>
      <c r="H86" s="1"/>
      <c r="I86" s="55"/>
      <c r="J86" s="170"/>
      <c r="K86" s="1"/>
      <c r="L86" s="170"/>
      <c r="M86" s="1"/>
      <c r="N86" s="458"/>
      <c r="O86" s="170"/>
      <c r="P86" s="441"/>
      <c r="Q86" s="55"/>
      <c r="R86" s="177"/>
      <c r="S86" s="454"/>
      <c r="T86" s="178"/>
      <c r="U86" s="178"/>
      <c r="V86" s="179"/>
      <c r="W86" s="180"/>
      <c r="X86" s="179"/>
      <c r="Y86" s="180"/>
      <c r="Z86" s="178"/>
      <c r="AA86" s="178"/>
      <c r="AB86" s="178"/>
      <c r="AC86" s="178"/>
      <c r="AD86" s="182"/>
      <c r="AE86" s="182"/>
      <c r="AF86" s="182"/>
      <c r="AG86" s="182"/>
      <c r="AH86" s="401"/>
      <c r="AI86" s="401"/>
      <c r="AJ86" s="401"/>
      <c r="AK86" s="401"/>
      <c r="AL86" s="401"/>
      <c r="AM86" s="189"/>
      <c r="AN86" s="829"/>
      <c r="AO86" s="830"/>
      <c r="AP86" s="401"/>
      <c r="AQ86" s="401"/>
      <c r="AR86" s="401"/>
      <c r="AS86" s="401"/>
      <c r="AT86" s="403"/>
      <c r="AU86" s="403"/>
      <c r="AV86" s="170"/>
      <c r="AW86" s="166"/>
      <c r="AX86" s="166"/>
      <c r="AY86" s="189"/>
      <c r="AZ86" s="189"/>
      <c r="BA86" s="196"/>
      <c r="BB86" s="629"/>
      <c r="BC86" s="190"/>
      <c r="BD86" s="510"/>
      <c r="BE86" s="510"/>
      <c r="BF86" s="177"/>
      <c r="BG86" s="177"/>
      <c r="BH86" s="166"/>
      <c r="BI86" s="474"/>
      <c r="BJ86" s="166"/>
      <c r="BK86" s="474"/>
      <c r="BL86" s="474"/>
      <c r="BM86" s="474"/>
      <c r="BN86" s="166"/>
      <c r="BO86" s="166"/>
      <c r="BP86" s="204"/>
      <c r="BQ86" s="475"/>
      <c r="BR86" s="205"/>
      <c r="BS86" s="509"/>
      <c r="BT86" s="509"/>
      <c r="BU86" s="459"/>
      <c r="BV86" s="459"/>
      <c r="BW86" s="1"/>
      <c r="BX86" s="1"/>
      <c r="BY86" s="546"/>
      <c r="BZ86" s="546"/>
      <c r="CA86" s="546"/>
      <c r="CB86" s="546"/>
      <c r="CC86" s="728"/>
      <c r="CD86" s="728"/>
      <c r="CE86" s="170"/>
    </row>
    <row r="87" spans="1:84" customFormat="1">
      <c r="A87" s="701"/>
      <c r="B87" s="447"/>
      <c r="C87" s="161"/>
      <c r="D87" s="162"/>
      <c r="E87" s="1"/>
      <c r="F87" s="811"/>
      <c r="G87" s="440"/>
      <c r="H87" s="1"/>
      <c r="I87" s="55"/>
      <c r="J87" s="170"/>
      <c r="K87" s="1"/>
      <c r="L87" s="170"/>
      <c r="M87" s="1"/>
      <c r="N87" s="458"/>
      <c r="O87" s="170"/>
      <c r="P87" s="441"/>
      <c r="Q87" s="55"/>
      <c r="R87" s="177"/>
      <c r="S87" s="454"/>
      <c r="T87" s="178"/>
      <c r="U87" s="178"/>
      <c r="V87" s="179"/>
      <c r="W87" s="180"/>
      <c r="X87" s="179"/>
      <c r="Y87" s="180"/>
      <c r="Z87" s="178"/>
      <c r="AA87" s="178"/>
      <c r="AB87" s="178"/>
      <c r="AC87" s="178"/>
      <c r="AD87" s="182"/>
      <c r="AE87" s="182"/>
      <c r="AF87" s="182"/>
      <c r="AG87" s="182"/>
      <c r="AH87" s="401"/>
      <c r="AI87" s="401"/>
      <c r="AJ87" s="401"/>
      <c r="AK87" s="401"/>
      <c r="AL87" s="401"/>
      <c r="AM87" s="189"/>
      <c r="AN87" s="829"/>
      <c r="AO87" s="830"/>
      <c r="AP87" s="401"/>
      <c r="AQ87" s="401"/>
      <c r="AR87" s="401"/>
      <c r="AS87" s="401"/>
      <c r="AT87" s="403"/>
      <c r="AU87" s="403"/>
      <c r="AV87" s="170"/>
      <c r="AW87" s="166"/>
      <c r="AX87" s="166"/>
      <c r="AY87" s="189"/>
      <c r="AZ87" s="189"/>
      <c r="BA87" s="196"/>
      <c r="BB87" s="629"/>
      <c r="BC87" s="190"/>
      <c r="BD87" s="510"/>
      <c r="BE87" s="510"/>
      <c r="BF87" s="177"/>
      <c r="BG87" s="177"/>
      <c r="BH87" s="166"/>
      <c r="BI87" s="474"/>
      <c r="BJ87" s="166"/>
      <c r="BK87" s="474"/>
      <c r="BL87" s="474"/>
      <c r="BM87" s="474"/>
      <c r="BN87" s="166"/>
      <c r="BO87" s="166"/>
      <c r="BP87" s="204"/>
      <c r="BQ87" s="475"/>
      <c r="BR87" s="205"/>
      <c r="BS87" s="509"/>
      <c r="BT87" s="509"/>
      <c r="BU87" s="459"/>
      <c r="BV87" s="459"/>
      <c r="BW87" s="1"/>
      <c r="BX87" s="1"/>
      <c r="BY87" s="546"/>
      <c r="BZ87" s="546"/>
      <c r="CA87" s="546"/>
      <c r="CB87" s="546"/>
      <c r="CC87" s="728"/>
      <c r="CD87" s="728"/>
      <c r="CE87" s="170"/>
    </row>
    <row r="88" spans="1:84" customFormat="1">
      <c r="A88" s="701" t="str">
        <f>IFERROR(INDEX((ID),MATCH(H88,BARANG,0)),"…")</f>
        <v>…</v>
      </c>
      <c r="B88" s="447" t="str">
        <f t="shared" ref="B88:B98" si="72">IFERROR(INDEX((cprt),MATCH($H88,Prt,0)),"…")</f>
        <v>…</v>
      </c>
      <c r="C88" s="1" t="s">
        <v>2605</v>
      </c>
      <c r="D88" s="538" t="str">
        <f>(INDEX(KS_Set,MATCH($H88,Set_prt,0)))</f>
        <v>[ks]</v>
      </c>
      <c r="E88" s="1" t="s">
        <v>2166</v>
      </c>
      <c r="F88" s="811" t="str">
        <f t="shared" ref="F88:F98" si="73">IFERROR(INDEX((opt),MATCH($H88,Prt,0)),"")</f>
        <v/>
      </c>
      <c r="G88" s="440" t="str">
        <f t="shared" ref="G88:G98" si="74">IFERROR(INDEX((no_ref),MATCH($H88,ref,0)),"...")</f>
        <v>•</v>
      </c>
      <c r="H88" s="1" t="s">
        <v>4705</v>
      </c>
      <c r="J88" s="171">
        <v>2880</v>
      </c>
      <c r="K88" s="55" t="s">
        <v>2137</v>
      </c>
      <c r="L88" s="171">
        <f>960-6</f>
        <v>954</v>
      </c>
      <c r="M88" s="55" t="s">
        <v>2137</v>
      </c>
      <c r="N88" s="172">
        <v>40</v>
      </c>
      <c r="O88" s="170" t="str">
        <f>CONCATENATE(J88," ",K88," ",L88," ",M88," ",N88)</f>
        <v>2880 x 954 x 40</v>
      </c>
      <c r="P88" s="139"/>
      <c r="Q88" s="172">
        <v>1</v>
      </c>
      <c r="R88" s="181"/>
      <c r="S88" s="455"/>
      <c r="T88" s="170"/>
      <c r="U88" s="170"/>
      <c r="V88" s="1"/>
      <c r="W88" s="173"/>
      <c r="X88" s="1"/>
      <c r="Y88" s="166"/>
      <c r="Z88" s="170"/>
      <c r="AA88" s="170"/>
      <c r="AB88" s="170"/>
      <c r="AC88" s="170"/>
      <c r="AD88" s="182" t="str">
        <f t="shared" ref="AD88:AG92" si="75">IF($B88="alu",(INDEX((Fr),MATCH(Z88,cfr,0))),INDEX((te),MATCH(Z88,cte,0)))</f>
        <v xml:space="preserve"> </v>
      </c>
      <c r="AE88" s="182" t="str">
        <f t="shared" si="75"/>
        <v xml:space="preserve"> </v>
      </c>
      <c r="AF88" s="182" t="str">
        <f t="shared" si="75"/>
        <v xml:space="preserve"> </v>
      </c>
      <c r="AG88" s="182" t="str">
        <f t="shared" si="75"/>
        <v xml:space="preserve"> </v>
      </c>
      <c r="AH88" s="189"/>
      <c r="AI88" s="189"/>
      <c r="AJ88" s="189"/>
      <c r="AK88" s="401" t="str">
        <f t="shared" ref="AK88:AK98" si="76">IFERROR(INDEX((std_siku_prt),MATCH($H88,Prt,0)),"")</f>
        <v/>
      </c>
      <c r="AL88" s="401" t="str">
        <f t="shared" ref="AL88:AL98" si="77">IFERROR(INDEX((std_screw_prt),MATCH($H88,Prt,0)),"")</f>
        <v/>
      </c>
      <c r="AM88" s="189"/>
      <c r="AN88" s="782"/>
      <c r="AO88" s="189"/>
      <c r="AP88" s="401" t="str">
        <f t="shared" ref="AP88:AP98" si="78">IFERROR(INDEX((std_anodizev_proses),MATCH($I88,pk,0)),"")</f>
        <v/>
      </c>
      <c r="AQ88" s="401" t="str">
        <f t="shared" ref="AQ88:AQ98" si="79">IFERROR(INDEX((std_anodizev2_proses),MATCH($I88,pk,0)),"")</f>
        <v/>
      </c>
      <c r="AR88" s="401" t="str">
        <f>IFERROR(INDEX((std_anodizeh_proses),MATCH($I88,pk,0)),"")</f>
        <v/>
      </c>
      <c r="AS88" s="188"/>
      <c r="AT88" s="1"/>
      <c r="AU88" s="403" t="str">
        <f>IF($AS88=0,"",Q88*BR88)</f>
        <v/>
      </c>
      <c r="AV88" s="1"/>
      <c r="AW88" s="166"/>
      <c r="AX88" s="166" t="str">
        <f t="shared" ref="AX88:AX98" si="80">IF($B88="alu",(CONCATENATE(VLOOKUP($AD88,tabfr,2,0),VLOOKUP($AE88,tabfr,2,0),VLOOKUP($AF88,tabfr,2,0),VLOOKUP($AG88,tabfr,2,0))),(CONCATENATE(VLOOKUP($AD88,tabte,2,0),VLOOKUP($AE88,tabte,2,0),VLOOKUP($AF88,tabte,2,0),VLOOKUP($AG88,tabte,2,0))))</f>
        <v>3333</v>
      </c>
      <c r="AY88" s="189" t="str">
        <f>IFERROR(VLOOKUP(AW88,descf,2,0),"")</f>
        <v/>
      </c>
      <c r="AZ88" s="189" t="str">
        <f>IF($B88="alu",(VLOOKUP(AX88,descfr,2,0)),(VLOOKUP(AX88,desce,2,0)))</f>
        <v xml:space="preserve"> -</v>
      </c>
      <c r="BA88" s="196" t="str">
        <f>IF($R88=0,CONCATENATE(0,")"," ",$H88," ",$J88),CONCATENATE(VLOOKUP(H88,tabprt,2,0),")",$H88,"_",AY88))</f>
        <v>0) Pintu Akses engsel concealed (rakit tukang) 2880</v>
      </c>
      <c r="BB88" s="629" t="str">
        <f>IF($B88="…",CONCATENATE(0,$E88,")"," ",$H88),IF($B88="kc",CONCATENATE(VLOOKUP(H88,tabprt,2,0),")",$H88," ",$R88," ",$S88,"mm"," ","-"," "," ",";"," ",$AZ88,"  ",$I88),IF($B88="alu",CONCATENATE(VLOOKUP(H88,tabprt,2,0),")",$H88," ",$R88," ",$S88,"mm"," ","-"," "," ",";"," ",$AZ88,"  ",$I88),CONCATENATE(VLOOKUP(H88,tabprt,2,0),")",$H88," ",$R88," ",$S88,"mm"," ","-"," ",$AY88," ",";"," ",$AZ88,"  ",$I88))))</f>
        <v>0A) Pintu Akses engsel concealed (rakit tukang)</v>
      </c>
      <c r="BC88" s="197"/>
      <c r="BD88" s="510" t="str">
        <f t="shared" ref="BD88:BD98" si="81">IFERROR(INDEX((std_minifix_prt),MATCH($H88,Prt,0)),"")</f>
        <v/>
      </c>
      <c r="BE88" s="510" t="str">
        <f t="shared" ref="BE88:BE98" si="82">IFERROR(INDEX((std_dowel_prt),MATCH($H88,Prt,0)),"")</f>
        <v/>
      </c>
      <c r="BF88" s="177"/>
      <c r="BG88" s="177"/>
      <c r="BH88" s="166">
        <f>IF($AM88=0,0,1)*Q88</f>
        <v>0</v>
      </c>
      <c r="BI88" s="474">
        <f>IF($AO88=0,0,IF(J88&lt;=fp,2,(ROUNDUP(J88/fp,0))))*Q88</f>
        <v>0</v>
      </c>
      <c r="BJ88" s="166">
        <f>IF($AN88=0,0,1)*Q88</f>
        <v>0</v>
      </c>
      <c r="BK88" s="474">
        <f t="shared" ref="BK88:BK98" si="83">(($J88+tol_p)*$Q88)/1000</f>
        <v>2.92</v>
      </c>
      <c r="BL88" s="474">
        <f t="shared" ref="BL88:BL98" si="84">(($L88+tol_p)*$Q88)/1000</f>
        <v>0.99399999999999999</v>
      </c>
      <c r="BM88" s="474">
        <f>IF(R88=0,0,((2*((J88+tol_p)+(L88+tol_p))*Q88)/1000))</f>
        <v>0</v>
      </c>
      <c r="BN88" s="166"/>
      <c r="BO88" s="166" t="str">
        <f>CONCATENATE(R88,"_",S88)</f>
        <v>_</v>
      </c>
      <c r="BP88" s="204" t="str">
        <f>CONCATENATE(R88," ",S88," ",AY88)</f>
        <v xml:space="preserve">  </v>
      </c>
      <c r="BQ88" s="475">
        <f>((J88*L88*Q88)/(2400*1200))+10%</f>
        <v>1.054</v>
      </c>
      <c r="BR88" s="205" t="str">
        <f>IFERROR(INDEX((std_jml_anodize_per_uk),MATCH($H88,Prt,0)),"")</f>
        <v/>
      </c>
      <c r="BS88" s="509">
        <f t="shared" ref="BS88:BS98" si="85">IF($BD88=0,0,IF($L88&lt;150,2,((ROUNDUP($L88/fm,0)*2))))*$Q88</f>
        <v>8</v>
      </c>
      <c r="BT88" s="509">
        <f t="shared" ref="BT88:BT98" si="86">IF($BE88=0,0,IF($L88&lt;150,2,((ROUNDUP($L88/fd,0)*2))))*$Q88</f>
        <v>10</v>
      </c>
      <c r="BU88" s="459"/>
      <c r="BV88" s="459"/>
      <c r="BW88" s="1">
        <f>+((J88*L88)*Q88)/1000000</f>
        <v>2.7475200000000002</v>
      </c>
      <c r="BX88" s="1">
        <f>+((J88*L88*N88)*Q88)/1000000000</f>
        <v>0.10990080000000001</v>
      </c>
      <c r="BY88" s="546" t="str">
        <f t="shared" ref="BY88:BY98" si="87">IFERROR(INDEX((tbl_edg),MATCH($AD88,Edg,0)),"")</f>
        <v/>
      </c>
      <c r="BZ88" s="546" t="str">
        <f t="shared" ref="BZ88:BZ98" si="88">IFERROR(INDEX((tbl_edg),MATCH($AE88,Edg,0)),"")</f>
        <v/>
      </c>
      <c r="CA88" s="546" t="str">
        <f t="shared" ref="CA88:CA98" si="89">IFERROR(INDEX((tbl_edg),MATCH($AF88,Edg,0)),"")</f>
        <v/>
      </c>
      <c r="CB88" s="546" t="str">
        <f t="shared" ref="CB88:CB98" si="90">IFERROR(INDEX((tbl_edg),MATCH($AG88,Edg,0)),"")</f>
        <v/>
      </c>
      <c r="CC88" s="728" t="str">
        <f>IFERROR((J88-CA88-CB88),"")</f>
        <v/>
      </c>
      <c r="CD88" s="728" t="str">
        <f>IFERROR((L88-BY88-BZ88),"")</f>
        <v/>
      </c>
      <c r="CE88" s="170" t="str">
        <f>IFERROR((CONCATENATE(CC88," ","x"," ",CD88," ","x"," ",N88)),"")</f>
        <v xml:space="preserve"> x  x 40</v>
      </c>
      <c r="CF88" t="str">
        <f>IF(F88=1,(CONCATENATE(J88,";",L88,";",Q88,";",BP88,";",N88,";",H88,";","-1",";",AF88,";",CA88,";",AG88,";",CB88,";",AD88,";",BY88,";",AE88,";",BZ88))," ")</f>
        <v xml:space="preserve"> </v>
      </c>
    </row>
    <row r="89" spans="1:84" customFormat="1">
      <c r="A89" s="701" t="str">
        <f>IFERROR(INDEX((ID),MATCH(H89,BARANG,0)),"…")</f>
        <v>…</v>
      </c>
      <c r="B89" s="447" t="str">
        <f t="shared" si="72"/>
        <v>pintu</v>
      </c>
      <c r="C89" s="161" t="s">
        <v>1472</v>
      </c>
      <c r="D89" s="162" t="str">
        <f>IFERROR(INDEX((KS),MATCH($H89,Prt,0)),"")</f>
        <v>KS</v>
      </c>
      <c r="E89" s="1" t="s">
        <v>2166</v>
      </c>
      <c r="F89" s="811">
        <f t="shared" si="73"/>
        <v>1</v>
      </c>
      <c r="G89" s="440" t="str">
        <f t="shared" si="74"/>
        <v>...</v>
      </c>
      <c r="H89" s="1" t="s">
        <v>3861</v>
      </c>
      <c r="I89" s="55"/>
      <c r="J89" s="170">
        <v>2430</v>
      </c>
      <c r="K89" s="1" t="s">
        <v>2137</v>
      </c>
      <c r="L89" s="170">
        <f>+L88</f>
        <v>954</v>
      </c>
      <c r="M89" s="1" t="s">
        <v>2137</v>
      </c>
      <c r="N89" s="458">
        <f>+(S89+W89+Y89)</f>
        <v>12</v>
      </c>
      <c r="O89" s="170" t="str">
        <f>CONCATENATE(J89," ",K89," ",L89," ",M89," ",N89)</f>
        <v>2430 x 954 x 12</v>
      </c>
      <c r="P89" s="441">
        <v>3</v>
      </c>
      <c r="Q89" s="55">
        <f>+P89*Q88</f>
        <v>3</v>
      </c>
      <c r="R89" s="177" t="str">
        <f>IFERROR(INDEX((std_bhn_prt),MATCH($H89,Prt,0)),"")</f>
        <v>Ply</v>
      </c>
      <c r="S89" s="454">
        <v>12</v>
      </c>
      <c r="T89" s="178">
        <f>INDEX((std_lapisan_luar_prt),MATCH($H89,Prt,0))</f>
        <v>0</v>
      </c>
      <c r="U89" s="178">
        <v>0</v>
      </c>
      <c r="V89" s="179" t="str">
        <f>IFERROR(INDEX((tf),MATCH(T89,ctf,0)),"")</f>
        <v>Polos</v>
      </c>
      <c r="W89" s="180">
        <f>IFERROR(INDEX((tebal_lapisan),MATCH($V89,tf,0)),"")</f>
        <v>0</v>
      </c>
      <c r="X89" s="179" t="str">
        <f>IFERROR(INDEX((tf),MATCH(U89,ctf,0)),"")</f>
        <v>Polos</v>
      </c>
      <c r="Y89" s="180">
        <f>IFERROR(INDEX((tebal_lapisan),MATCH($X89,tf,0)),"")</f>
        <v>0</v>
      </c>
      <c r="Z89" s="178">
        <f>INDEX((std_edg_P1_prt),MATCH($H89,Prt,0))</f>
        <v>0</v>
      </c>
      <c r="AA89" s="178">
        <f>INDEX((std_edg_P2_prt),MATCH($H89,Prt,0))</f>
        <v>0</v>
      </c>
      <c r="AB89" s="178">
        <f>INDEX((std_edg_L1_prt),MATCH($H89,Prt,0))</f>
        <v>0</v>
      </c>
      <c r="AC89" s="178">
        <f>INDEX((std_edg_L2_prt),MATCH($H89,Prt,0))</f>
        <v>0</v>
      </c>
      <c r="AD89" s="182" t="str">
        <f t="shared" si="75"/>
        <v xml:space="preserve"> </v>
      </c>
      <c r="AE89" s="182" t="str">
        <f t="shared" si="75"/>
        <v xml:space="preserve"> </v>
      </c>
      <c r="AF89" s="182" t="str">
        <f t="shared" si="75"/>
        <v xml:space="preserve"> </v>
      </c>
      <c r="AG89" s="182" t="str">
        <f t="shared" si="75"/>
        <v xml:space="preserve"> </v>
      </c>
      <c r="AH89" s="401">
        <f>IFERROR(INDEX((std_profil3_prt),MATCH($H89,Prt,0)),"")</f>
        <v>0</v>
      </c>
      <c r="AI89" s="401">
        <f>IFERROR(INDEX((std_profil2_prt),MATCH($H89,Prt,0)),"")</f>
        <v>0</v>
      </c>
      <c r="AJ89" s="401">
        <f>IFERROR(INDEX((std_profil_prt),MATCH($H89,Prt,0)),"")</f>
        <v>0</v>
      </c>
      <c r="AK89" s="401">
        <f t="shared" si="76"/>
        <v>0</v>
      </c>
      <c r="AL89" s="401">
        <f t="shared" si="77"/>
        <v>0</v>
      </c>
      <c r="AM89" s="189"/>
      <c r="AN89" s="829">
        <f>IFERROR(INDEX((std_rel_prt),MATCH($H89,Prt,0)),"")</f>
        <v>0</v>
      </c>
      <c r="AO89" s="830">
        <f>IFERROR(INDEX((std_engsel_prt),MATCH($H89,Prt,0)),"")</f>
        <v>0</v>
      </c>
      <c r="AP89" s="401" t="str">
        <f t="shared" si="78"/>
        <v/>
      </c>
      <c r="AQ89" s="401" t="str">
        <f t="shared" si="79"/>
        <v/>
      </c>
      <c r="AR89" s="401" t="str">
        <f>IFERROR(INDEX((std_anodizeh_proses),MATCH($I89,pk,0)),"")</f>
        <v/>
      </c>
      <c r="AS89" s="401">
        <f>IFERROR(INDEX((std_anodize_per_ukuran),MATCH($H89,Prt,0)),"")</f>
        <v>0</v>
      </c>
      <c r="AT89" s="403" t="str">
        <f>IF($AS89=edging7,L89,IF($AS89=edging8,L89,IF($AS89=edging9,L89,IF($AS89=Hand1,J88,IF($AS89=Hand2,L88,IF($AS89=hand3,"diisi manual",IF($AS89=hand4,"diisi manual",IF($AS89=hand5,"diisi manual",IF($AS89=mled02,J89,IF($AS89=mprf1,J89,IF($AS89=mlis1,J89,"")))))))))))</f>
        <v/>
      </c>
      <c r="AU89" s="403">
        <f>IF($AS89="","",Q89*BR89)</f>
        <v>0</v>
      </c>
      <c r="AV89" s="170"/>
      <c r="AW89" s="166" t="str">
        <f>CONCATENATE(VLOOKUP($V89,tabtf,2,0),VLOOKUP($X89,tabtf,2,0))</f>
        <v>33</v>
      </c>
      <c r="AX89" s="166" t="str">
        <f t="shared" si="80"/>
        <v>3333</v>
      </c>
      <c r="AY89" s="189" t="str">
        <f>IFERROR(VLOOKUP(AW89,descf,2,0),"")</f>
        <v>Polos</v>
      </c>
      <c r="AZ89" s="189" t="str">
        <f>IF($B89="alu",(VLOOKUP(AX89,descfr,2,0)),(VLOOKUP(AX89,desce,2,0)))</f>
        <v xml:space="preserve"> -</v>
      </c>
      <c r="BA89" s="196" t="str">
        <f>IF($R89=0,CONCATENATE(0,")"," ",$H89," ",$J89),CONCATENATE(VLOOKUP(H89,tabprt,2,0),")",$H89,"_",AY89))</f>
        <v>317)Pintu/Panel Rangka Manual_Polos</v>
      </c>
      <c r="BB89" s="629" t="str">
        <f>IF($B89="…",CONCATENATE(0,$E89,")"," ",$H89),IF($B89="kc",CONCATENATE(VLOOKUP(H89,tabprt,2,0),")",$H89," ",$R89," ",$S89,"mm"," ","-"," "," ",";"," ",$AZ89,"  ",$I89),IF($B89="alu",CONCATENATE(VLOOKUP(H89,tabprt,2,0),")",$H89," ",$R89," ",$S89,"mm"," ","-"," "," ",";"," ",$AZ89,"  ",$I89),CONCATENATE(VLOOKUP(H89,tabprt,2,0),")",$H89," ",$R89," ",$S89,"mm"," ","-"," ",$AY89," ",";"," ",$AZ89,"  ",$I89))))</f>
        <v xml:space="preserve">317)Pintu/Panel Rangka Manual Ply 12mm - Polos ;  -  </v>
      </c>
      <c r="BC89" s="190"/>
      <c r="BD89" s="510">
        <f t="shared" si="81"/>
        <v>0</v>
      </c>
      <c r="BE89" s="510">
        <f t="shared" si="82"/>
        <v>0</v>
      </c>
      <c r="BF89" s="177">
        <f>IFERROR(INDEX((std_j_sikufr_prt),MATCH($H89,Prt,0)),"")*Q89</f>
        <v>0</v>
      </c>
      <c r="BG89" s="177">
        <f>IFERROR(INDEX((std_j_screwjf_prt),MATCH($H89,Prt,0)),"")*Q89</f>
        <v>0</v>
      </c>
      <c r="BH89" s="166">
        <f>IF($AM89=0,0,1)*Q89</f>
        <v>0</v>
      </c>
      <c r="BI89" s="474">
        <f>IF($AO89=0,0,IF(J89&lt;=fp,2,(ROUNDUP(J89/fp,0))))*Q89</f>
        <v>0</v>
      </c>
      <c r="BJ89" s="166">
        <f>IF($AN89=0,0,1)*Q89</f>
        <v>0</v>
      </c>
      <c r="BK89" s="474">
        <f t="shared" si="83"/>
        <v>7.41</v>
      </c>
      <c r="BL89" s="474">
        <f t="shared" si="84"/>
        <v>2.9820000000000002</v>
      </c>
      <c r="BM89" s="474">
        <f>IF(R89=0,0,((2*((J89+tol_p)+(L89+tol_p))*Q89)/1000))</f>
        <v>20.783999999999999</v>
      </c>
      <c r="BN89" s="166">
        <f>((J89*L89)/1000000)*Q89</f>
        <v>6.9546600000000005</v>
      </c>
      <c r="BO89" s="166" t="str">
        <f>CONCATENATE(R89,"_",S89)</f>
        <v>Ply_12</v>
      </c>
      <c r="BP89" s="204" t="str">
        <f>CONCATENATE(R89," ",S89," ",AY89)</f>
        <v>Ply 12 Polos</v>
      </c>
      <c r="BQ89" s="475">
        <f>((J89*L89*Q89)/(2400*1200))+10%</f>
        <v>2.5148125000000001</v>
      </c>
      <c r="BR89" s="205">
        <f>IFERROR(INDEX((std_jml_anodize_per_uk),MATCH($H89,Prt,0)),"")</f>
        <v>0</v>
      </c>
      <c r="BS89" s="509">
        <f t="shared" si="85"/>
        <v>0</v>
      </c>
      <c r="BT89" s="509">
        <f t="shared" si="86"/>
        <v>0</v>
      </c>
      <c r="BU89" s="459">
        <f t="shared" ref="BU89:BV92" si="91">BF89*$Q89</f>
        <v>0</v>
      </c>
      <c r="BV89" s="459">
        <f t="shared" si="91"/>
        <v>0</v>
      </c>
      <c r="BW89" s="1">
        <f>+((J89*L89)*Q89)/1000000</f>
        <v>6.9546599999999996</v>
      </c>
      <c r="BX89" s="1">
        <f>+((J89*L89*N89)*Q89)/1000000000</f>
        <v>8.3455920000000003E-2</v>
      </c>
      <c r="BY89" s="546" t="str">
        <f t="shared" si="87"/>
        <v/>
      </c>
      <c r="BZ89" s="546" t="str">
        <f t="shared" si="88"/>
        <v/>
      </c>
      <c r="CA89" s="546" t="str">
        <f t="shared" si="89"/>
        <v/>
      </c>
      <c r="CB89" s="546" t="str">
        <f t="shared" si="90"/>
        <v/>
      </c>
      <c r="CC89" s="728" t="str">
        <f>IFERROR((J89-CA89-CB89),"")</f>
        <v/>
      </c>
      <c r="CD89" s="728" t="str">
        <f>IFERROR((L89-BY89-BZ89),"")</f>
        <v/>
      </c>
      <c r="CE89" s="170" t="str">
        <f>IFERROR((CONCATENATE(CC89," ","x"," ",CD89," ","x"," ",N89)),"")</f>
        <v xml:space="preserve"> x  x 12</v>
      </c>
      <c r="CF89" t="str">
        <f>IF(F89=1,(CONCATENATE(J89,";",L89,";",Q89,";",BP89,";",N89,";",H89,";","-1",";",AF89,";",CA89,";",AG89,";",CB89,";",AD89,";",BY89,";",AE89,";",BZ89))," ")</f>
        <v>2430;954;3;Ply 12 Polos;12;Pintu/Panel Rangka Manual;-1; ;; ;; ;; ;</v>
      </c>
    </row>
    <row r="90" spans="1:84" customFormat="1">
      <c r="A90" s="701" t="str">
        <f>IFERROR(INDEX((ID),MATCH(H90,BARANG,0)),"…")</f>
        <v>…</v>
      </c>
      <c r="B90" s="447" t="str">
        <f t="shared" si="72"/>
        <v>pintu</v>
      </c>
      <c r="C90" s="161" t="s">
        <v>1472</v>
      </c>
      <c r="D90" s="162" t="str">
        <f>IFERROR(INDEX((KS),MATCH($H90,Prt,0)),"")</f>
        <v>KS</v>
      </c>
      <c r="E90" s="1" t="s">
        <v>2166</v>
      </c>
      <c r="F90" s="811">
        <f t="shared" si="73"/>
        <v>1</v>
      </c>
      <c r="G90" s="440" t="str">
        <f t="shared" si="74"/>
        <v>...</v>
      </c>
      <c r="H90" s="1" t="s">
        <v>1833</v>
      </c>
      <c r="I90" s="55"/>
      <c r="J90" s="170">
        <v>2430</v>
      </c>
      <c r="K90" s="1" t="s">
        <v>2137</v>
      </c>
      <c r="L90" s="170">
        <v>24</v>
      </c>
      <c r="M90" s="1" t="s">
        <v>2137</v>
      </c>
      <c r="N90" s="458">
        <f>+(S90+W90+Y90)</f>
        <v>18.5</v>
      </c>
      <c r="O90" s="170" t="str">
        <f>CONCATENATE(J90," ",K90," ",L90," ",M90," ",N90)</f>
        <v>2430 x 24 x 18,5</v>
      </c>
      <c r="P90" s="441">
        <v>8</v>
      </c>
      <c r="Q90" s="55">
        <f>+P90*Q88</f>
        <v>8</v>
      </c>
      <c r="R90" s="177" t="str">
        <f>IFERROR(INDEX((std_bhn_prt),MATCH($H90,Prt,0)),"")</f>
        <v>Ply</v>
      </c>
      <c r="S90" s="454">
        <v>18</v>
      </c>
      <c r="T90" s="178">
        <v>7</v>
      </c>
      <c r="U90" s="178">
        <f>INDEX((std_lapisan_dalam_prt),MATCH($H90,Prt,0))</f>
        <v>0</v>
      </c>
      <c r="V90" s="179" t="str">
        <f>IFERROR(INDEX((tf),MATCH(T90,ctf,0)),"")</f>
        <v>Duco</v>
      </c>
      <c r="W90" s="180">
        <f>IFERROR(INDEX((tebal_lapisan),MATCH($V90,tf,0)),"")</f>
        <v>0.5</v>
      </c>
      <c r="X90" s="179" t="str">
        <f>IFERROR(INDEX((tf),MATCH(U90,ctf,0)),"")</f>
        <v>Polos</v>
      </c>
      <c r="Y90" s="180">
        <f>IFERROR(INDEX((tebal_lapisan),MATCH($X90,tf,0)),"")</f>
        <v>0</v>
      </c>
      <c r="Z90" s="178">
        <f>INDEX((std_edg_P1_prt),MATCH($H90,Prt,0))</f>
        <v>0</v>
      </c>
      <c r="AA90" s="178">
        <f>INDEX((std_edg_P2_prt),MATCH($H90,Prt,0))</f>
        <v>0</v>
      </c>
      <c r="AB90" s="178">
        <f>INDEX((std_edg_L1_prt),MATCH($H90,Prt,0))</f>
        <v>0</v>
      </c>
      <c r="AC90" s="178">
        <f>INDEX((std_edg_L2_prt),MATCH($H90,Prt,0))</f>
        <v>0</v>
      </c>
      <c r="AD90" s="182" t="str">
        <f t="shared" si="75"/>
        <v xml:space="preserve"> </v>
      </c>
      <c r="AE90" s="182" t="str">
        <f t="shared" si="75"/>
        <v xml:space="preserve"> </v>
      </c>
      <c r="AF90" s="182" t="str">
        <f t="shared" si="75"/>
        <v xml:space="preserve"> </v>
      </c>
      <c r="AG90" s="182" t="str">
        <f t="shared" si="75"/>
        <v xml:space="preserve"> </v>
      </c>
      <c r="AH90" s="401">
        <f>IFERROR(INDEX((std_profil3_prt),MATCH($H90,Prt,0)),"")</f>
        <v>0</v>
      </c>
      <c r="AI90" s="401">
        <f>IFERROR(INDEX((std_profil2_prt),MATCH($H90,Prt,0)),"")</f>
        <v>0</v>
      </c>
      <c r="AJ90" s="401">
        <f>IFERROR(INDEX((std_profil_prt),MATCH($H90,Prt,0)),"")</f>
        <v>0</v>
      </c>
      <c r="AK90" s="401">
        <f t="shared" si="76"/>
        <v>0</v>
      </c>
      <c r="AL90" s="401">
        <f t="shared" si="77"/>
        <v>0</v>
      </c>
      <c r="AM90" s="189"/>
      <c r="AN90" s="829">
        <f>IFERROR(INDEX((std_rel_prt),MATCH($H90,Prt,0)),"")</f>
        <v>0</v>
      </c>
      <c r="AO90" s="830">
        <f>IFERROR(INDEX((std_engsel_prt),MATCH($H90,Prt,0)),"")</f>
        <v>0</v>
      </c>
      <c r="AP90" s="401" t="str">
        <f t="shared" si="78"/>
        <v/>
      </c>
      <c r="AQ90" s="401" t="str">
        <f t="shared" si="79"/>
        <v/>
      </c>
      <c r="AR90" s="401"/>
      <c r="AS90" s="401">
        <f>IFERROR(INDEX((std_anodize_per_ukuran),MATCH($H90,Prt,0)),"")</f>
        <v>0</v>
      </c>
      <c r="AT90" s="403" t="str">
        <f>IF($AS90=edging7,L90,IF($AS90=edging8,L90,IF($AS90=edging9,L90,IF($AS90=Hand1,J89,IF($AS90=Hand2,L89,IF($AS90=hand3,"diisi manual",IF($AS90=hand4,"diisi manual",IF($AS90=hand5,"diisi manual",IF($AS90=mled02,J90,IF($AS90=mprf1,J90,IF($AS90=mlis1,J90,"")))))))))))</f>
        <v/>
      </c>
      <c r="AU90" s="403">
        <f>IF($AS90="","",Q90*BR90)</f>
        <v>0</v>
      </c>
      <c r="AV90" s="170"/>
      <c r="AW90" s="166" t="str">
        <f>CONCATENATE(VLOOKUP($V90,tabtf,2,0),VLOOKUP($X90,tabtf,2,0))</f>
        <v>123</v>
      </c>
      <c r="AX90" s="166" t="str">
        <f t="shared" si="80"/>
        <v>3333</v>
      </c>
      <c r="AY90" s="189" t="str">
        <f>IFERROR(VLOOKUP(AW90,descf,2,0),"")</f>
        <v>Duco_1mk_Polos</v>
      </c>
      <c r="AZ90" s="189" t="str">
        <f>IF($B90="alu",(VLOOKUP(AX90,descfr,2,0)),(VLOOKUP(AX90,desce,2,0)))</f>
        <v xml:space="preserve"> -</v>
      </c>
      <c r="BA90" s="196" t="str">
        <f>IF($R90=0,CONCATENATE(0,")"," ",$H90," ",$J90),CONCATENATE(VLOOKUP(H90,tabprt,2,0),")",$H90,"_",AY90))</f>
        <v>379)End Panel Rangka_Duco_1mk_Polos</v>
      </c>
      <c r="BB90" s="629" t="str">
        <f>IF($B90="…",CONCATENATE(0,$E90,")"," ",$H90),IF($B90="kc",CONCATENATE(VLOOKUP(H90,tabprt,2,0),")",$H90," ",$R90," ",$S90,"mm"," ","-"," "," ",";"," ",$AZ90,"  ",$I90),IF($B90="alu",CONCATENATE(VLOOKUP(H90,tabprt,2,0),")",$H90," ",$R90," ",$S90,"mm"," ","-"," "," ",";"," ",$AZ90,"  ",$I90),CONCATENATE(VLOOKUP(H90,tabprt,2,0),")",$H90," ",$R90," ",$S90,"mm"," ","-"," ",$AY90," ",";"," ",$AZ90,"  ",$I90))))</f>
        <v xml:space="preserve">379)End Panel Rangka Ply 18mm - Duco_1mk_Polos ;  -  </v>
      </c>
      <c r="BC90" s="190"/>
      <c r="BD90" s="510">
        <f t="shared" si="81"/>
        <v>0</v>
      </c>
      <c r="BE90" s="510">
        <f t="shared" si="82"/>
        <v>0</v>
      </c>
      <c r="BF90" s="177">
        <f>IFERROR(INDEX((std_j_sikufr_prt),MATCH($H90,Prt,0)),"")*Q90</f>
        <v>0</v>
      </c>
      <c r="BG90" s="177">
        <f>IFERROR(INDEX((std_j_screwjf_prt),MATCH($H90,Prt,0)),"")*Q90</f>
        <v>0</v>
      </c>
      <c r="BH90" s="166">
        <f>IF($AM90=0,0,1)*Q90</f>
        <v>0</v>
      </c>
      <c r="BI90" s="474">
        <f>IF($AO90=0,0,IF(J90&lt;=fp,2,(ROUNDUP(J90/fp,0))))*Q90</f>
        <v>0</v>
      </c>
      <c r="BJ90" s="166">
        <f>IF($AN90=0,0,1)*Q90</f>
        <v>0</v>
      </c>
      <c r="BK90" s="474">
        <f t="shared" si="83"/>
        <v>19.760000000000002</v>
      </c>
      <c r="BL90" s="474">
        <f t="shared" si="84"/>
        <v>0.51200000000000001</v>
      </c>
      <c r="BM90" s="474">
        <f>IF(R90=0,0,((2*((J90+tol_p)+(L90+tol_p))*Q90)/1000))</f>
        <v>40.543999999999997</v>
      </c>
      <c r="BN90" s="166">
        <f>((J90*L90)/1000000)*Q90</f>
        <v>0.46655999999999997</v>
      </c>
      <c r="BO90" s="166" t="str">
        <f>CONCATENATE(R90,"_",S90)</f>
        <v>Ply_18</v>
      </c>
      <c r="BP90" s="204" t="str">
        <f>CONCATENATE(R90," ",S90," ",AY90)</f>
        <v>Ply 18 Duco_1mk_Polos</v>
      </c>
      <c r="BQ90" s="475">
        <f>((J90*L90*Q90)/(2400*1200))+10%</f>
        <v>0.26200000000000001</v>
      </c>
      <c r="BR90" s="205">
        <f>IFERROR(INDEX((std_jml_anodize_per_uk),MATCH($H90,Prt,0)),"")</f>
        <v>0</v>
      </c>
      <c r="BS90" s="509">
        <f t="shared" si="85"/>
        <v>0</v>
      </c>
      <c r="BT90" s="509">
        <f t="shared" si="86"/>
        <v>0</v>
      </c>
      <c r="BU90" s="459">
        <f t="shared" si="91"/>
        <v>0</v>
      </c>
      <c r="BV90" s="459">
        <f t="shared" si="91"/>
        <v>0</v>
      </c>
      <c r="BW90" s="1">
        <f>+((J90*L90)*Q90)/1000000</f>
        <v>0.46655999999999997</v>
      </c>
      <c r="BX90" s="1">
        <f>+((J90*L90*N90)*Q90)/1000000000</f>
        <v>8.6313599999999994E-3</v>
      </c>
      <c r="BY90" s="546" t="str">
        <f t="shared" si="87"/>
        <v/>
      </c>
      <c r="BZ90" s="546" t="str">
        <f t="shared" si="88"/>
        <v/>
      </c>
      <c r="CA90" s="546" t="str">
        <f t="shared" si="89"/>
        <v/>
      </c>
      <c r="CB90" s="546" t="str">
        <f t="shared" si="90"/>
        <v/>
      </c>
      <c r="CC90" s="728" t="str">
        <f>IFERROR((J90-CA90-CB90),"")</f>
        <v/>
      </c>
      <c r="CD90" s="728" t="str">
        <f>IFERROR((L90-BY90-BZ90),"")</f>
        <v/>
      </c>
      <c r="CE90" s="170" t="str">
        <f>IFERROR((CONCATENATE(CC90," ","x"," ",CD90," ","x"," ",N90)),"")</f>
        <v xml:space="preserve"> x  x 18,5</v>
      </c>
      <c r="CF90" t="str">
        <f>IF(F90=1,(CONCATENATE(J90,";",L90,";",Q90,";",BP90,";",N90,";",H90,";","-1",";",AF90,";",CA90,";",AG90,";",CB90,";",AD90,";",BY90,";",AE90,";",BZ90))," ")</f>
        <v>2430;24;8;Ply 18 Duco_1mk_Polos;18,5;End Panel Rangka;-1; ;; ;; ;; ;</v>
      </c>
    </row>
    <row r="91" spans="1:84" customFormat="1">
      <c r="A91" s="701" t="str">
        <f>IFERROR(INDEX((ID),MATCH(H91,BARANG,0)),"…")</f>
        <v>…</v>
      </c>
      <c r="B91" s="447" t="str">
        <f t="shared" si="72"/>
        <v>pintu</v>
      </c>
      <c r="C91" s="161" t="s">
        <v>1472</v>
      </c>
      <c r="D91" s="162" t="str">
        <f>IFERROR(INDEX((KS),MATCH($H91,Prt,0)),"")</f>
        <v>KS</v>
      </c>
      <c r="E91" s="1" t="s">
        <v>2166</v>
      </c>
      <c r="F91" s="811">
        <f t="shared" si="73"/>
        <v>1</v>
      </c>
      <c r="G91" s="440" t="str">
        <f t="shared" si="74"/>
        <v>...</v>
      </c>
      <c r="H91" s="1" t="s">
        <v>1833</v>
      </c>
      <c r="I91" s="55"/>
      <c r="J91" s="170">
        <v>2430</v>
      </c>
      <c r="K91" s="1" t="s">
        <v>2137</v>
      </c>
      <c r="L91" s="170">
        <v>100</v>
      </c>
      <c r="M91" s="1" t="s">
        <v>2137</v>
      </c>
      <c r="N91" s="458">
        <f>+(S91+W91+Y91)</f>
        <v>18.5</v>
      </c>
      <c r="O91" s="170" t="str">
        <f>CONCATENATE(J91," ",K91," ",L91," ",M91," ",N91)</f>
        <v>2430 x 100 x 18,5</v>
      </c>
      <c r="P91" s="441">
        <v>2</v>
      </c>
      <c r="Q91" s="55">
        <f>+P91*Q88</f>
        <v>2</v>
      </c>
      <c r="R91" s="177" t="str">
        <f>IFERROR(INDEX((std_bhn_prt),MATCH($H91,Prt,0)),"")</f>
        <v>Ply</v>
      </c>
      <c r="S91" s="454">
        <v>18</v>
      </c>
      <c r="T91" s="178">
        <v>7</v>
      </c>
      <c r="U91" s="178">
        <f>INDEX((std_lapisan_dalam_prt),MATCH($H91,Prt,0))</f>
        <v>0</v>
      </c>
      <c r="V91" s="179" t="str">
        <f>IFERROR(INDEX((tf),MATCH(T91,ctf,0)),"")</f>
        <v>Duco</v>
      </c>
      <c r="W91" s="180">
        <f>IFERROR(INDEX((tebal_lapisan),MATCH($V91,tf,0)),"")</f>
        <v>0.5</v>
      </c>
      <c r="X91" s="179" t="str">
        <f>IFERROR(INDEX((tf),MATCH(U91,ctf,0)),"")</f>
        <v>Polos</v>
      </c>
      <c r="Y91" s="180">
        <f>IFERROR(INDEX((tebal_lapisan),MATCH($X91,tf,0)),"")</f>
        <v>0</v>
      </c>
      <c r="Z91" s="178">
        <f>INDEX((std_edg_P1_prt),MATCH($H91,Prt,0))</f>
        <v>0</v>
      </c>
      <c r="AA91" s="178">
        <f>INDEX((std_edg_P2_prt),MATCH($H91,Prt,0))</f>
        <v>0</v>
      </c>
      <c r="AB91" s="178">
        <f>INDEX((std_edg_L1_prt),MATCH($H91,Prt,0))</f>
        <v>0</v>
      </c>
      <c r="AC91" s="178">
        <f>INDEX((std_edg_L2_prt),MATCH($H91,Prt,0))</f>
        <v>0</v>
      </c>
      <c r="AD91" s="182" t="str">
        <f t="shared" si="75"/>
        <v xml:space="preserve"> </v>
      </c>
      <c r="AE91" s="182" t="str">
        <f t="shared" si="75"/>
        <v xml:space="preserve"> </v>
      </c>
      <c r="AF91" s="182" t="str">
        <f t="shared" si="75"/>
        <v xml:space="preserve"> </v>
      </c>
      <c r="AG91" s="182" t="str">
        <f t="shared" si="75"/>
        <v xml:space="preserve"> </v>
      </c>
      <c r="AH91" s="401">
        <f>IFERROR(INDEX((std_profil3_prt),MATCH($H91,Prt,0)),"")</f>
        <v>0</v>
      </c>
      <c r="AI91" s="401">
        <f>IFERROR(INDEX((std_profil2_prt),MATCH($H91,Prt,0)),"")</f>
        <v>0</v>
      </c>
      <c r="AJ91" s="401">
        <f>IFERROR(INDEX((std_profil_prt),MATCH($H91,Prt,0)),"")</f>
        <v>0</v>
      </c>
      <c r="AK91" s="401">
        <f t="shared" si="76"/>
        <v>0</v>
      </c>
      <c r="AL91" s="401">
        <f t="shared" si="77"/>
        <v>0</v>
      </c>
      <c r="AM91" s="189"/>
      <c r="AN91" s="829">
        <f>IFERROR(INDEX((std_rel_prt),MATCH($H91,Prt,0)),"")</f>
        <v>0</v>
      </c>
      <c r="AO91" s="830">
        <f>IFERROR(INDEX((std_engsel_prt),MATCH($H91,Prt,0)),"")</f>
        <v>0</v>
      </c>
      <c r="AP91" s="401" t="str">
        <f t="shared" si="78"/>
        <v/>
      </c>
      <c r="AQ91" s="401" t="str">
        <f t="shared" si="79"/>
        <v/>
      </c>
      <c r="AR91" s="401"/>
      <c r="AS91" s="401">
        <f>IFERROR(INDEX((std_anodize_per_ukuran),MATCH($H91,Prt,0)),"")</f>
        <v>0</v>
      </c>
      <c r="AT91" s="403" t="str">
        <f>IF($AS91=edging7,L91,IF($AS91=edging8,L91,IF($AS91=edging9,L91,IF($AS91=Hand1,J90,IF($AS91=Hand2,L90,IF($AS91=hand3,"diisi manual",IF($AS91=hand4,"diisi manual",IF($AS91=hand5,"diisi manual",IF($AS91=mled02,J91,IF($AS91=mprf1,J91,IF($AS91=mlis1,J91,"")))))))))))</f>
        <v/>
      </c>
      <c r="AU91" s="403">
        <f>IF($AS91="","",Q91*BR91)</f>
        <v>0</v>
      </c>
      <c r="AV91" s="170"/>
      <c r="AW91" s="166" t="str">
        <f>CONCATENATE(VLOOKUP($V91,tabtf,2,0),VLOOKUP($X91,tabtf,2,0))</f>
        <v>123</v>
      </c>
      <c r="AX91" s="166" t="str">
        <f t="shared" si="80"/>
        <v>3333</v>
      </c>
      <c r="AY91" s="189" t="str">
        <f>IFERROR(VLOOKUP(AW91,descf,2,0),"")</f>
        <v>Duco_1mk_Polos</v>
      </c>
      <c r="AZ91" s="189" t="str">
        <f>IF($B91="alu",(VLOOKUP(AX91,descfr,2,0)),(VLOOKUP(AX91,desce,2,0)))</f>
        <v xml:space="preserve"> -</v>
      </c>
      <c r="BA91" s="196" t="str">
        <f>IF($R91=0,CONCATENATE(0,")"," ",$H91," ",$J91),CONCATENATE(VLOOKUP(H91,tabprt,2,0),")",$H91,"_",AY91))</f>
        <v>379)End Panel Rangka_Duco_1mk_Polos</v>
      </c>
      <c r="BB91" s="629" t="str">
        <f>IF($B91="…",CONCATENATE(0,$E91,")"," ",$H91),IF($B91="kc",CONCATENATE(VLOOKUP(H91,tabprt,2,0),")",$H91," ",$R91," ",$S91,"mm"," ","-"," "," ",";"," ",$AZ91,"  ",$I91),IF($B91="alu",CONCATENATE(VLOOKUP(H91,tabprt,2,0),")",$H91," ",$R91," ",$S91,"mm"," ","-"," "," ",";"," ",$AZ91,"  ",$I91),CONCATENATE(VLOOKUP(H91,tabprt,2,0),")",$H91," ",$R91," ",$S91,"mm"," ","-"," ",$AY91," ",";"," ",$AZ91,"  ",$I91))))</f>
        <v xml:space="preserve">379)End Panel Rangka Ply 18mm - Duco_1mk_Polos ;  -  </v>
      </c>
      <c r="BC91" s="190"/>
      <c r="BD91" s="510">
        <f t="shared" si="81"/>
        <v>0</v>
      </c>
      <c r="BE91" s="510">
        <f t="shared" si="82"/>
        <v>0</v>
      </c>
      <c r="BF91" s="177">
        <f>IFERROR(INDEX((std_j_sikufr_prt),MATCH($H91,Prt,0)),"")*Q91</f>
        <v>0</v>
      </c>
      <c r="BG91" s="177">
        <f>IFERROR(INDEX((std_j_screwjf_prt),MATCH($H91,Prt,0)),"")*Q91</f>
        <v>0</v>
      </c>
      <c r="BH91" s="166">
        <f>IF($AM91=0,0,1)*Q91</f>
        <v>0</v>
      </c>
      <c r="BI91" s="474">
        <f>IF($AO91=0,0,IF(J91&lt;=fp,2,(ROUNDUP(J91/fp,0))))*Q91</f>
        <v>0</v>
      </c>
      <c r="BJ91" s="166">
        <f>IF($AN91=0,0,1)*Q91</f>
        <v>0</v>
      </c>
      <c r="BK91" s="474">
        <f t="shared" si="83"/>
        <v>4.9400000000000004</v>
      </c>
      <c r="BL91" s="474">
        <f t="shared" si="84"/>
        <v>0.28000000000000003</v>
      </c>
      <c r="BM91" s="474">
        <f>IF(R91=0,0,((2*((J91+tol_p)+(L91+tol_p))*Q91)/1000))</f>
        <v>10.44</v>
      </c>
      <c r="BN91" s="166">
        <f>((J91*L91)/1000000)*Q91</f>
        <v>0.48599999999999999</v>
      </c>
      <c r="BO91" s="166" t="str">
        <f>CONCATENATE(R91,"_",S91)</f>
        <v>Ply_18</v>
      </c>
      <c r="BP91" s="204" t="str">
        <f>CONCATENATE(R91," ",S91," ",AY91)</f>
        <v>Ply 18 Duco_1mk_Polos</v>
      </c>
      <c r="BQ91" s="475">
        <f>((J91*L91*Q91)/(2400*1200))+10%</f>
        <v>0.26875000000000004</v>
      </c>
      <c r="BR91" s="205">
        <f>IFERROR(INDEX((std_jml_anodize_per_uk),MATCH($H91,Prt,0)),"")</f>
        <v>0</v>
      </c>
      <c r="BS91" s="509">
        <f t="shared" si="85"/>
        <v>0</v>
      </c>
      <c r="BT91" s="509">
        <f t="shared" si="86"/>
        <v>0</v>
      </c>
      <c r="BU91" s="459">
        <f t="shared" si="91"/>
        <v>0</v>
      </c>
      <c r="BV91" s="459">
        <f t="shared" si="91"/>
        <v>0</v>
      </c>
      <c r="BW91" s="1">
        <f>+((J91*L91)*Q91)/1000000</f>
        <v>0.48599999999999999</v>
      </c>
      <c r="BX91" s="1">
        <f>+((J91*L91*N91)*Q91)/1000000000</f>
        <v>8.9910000000000007E-3</v>
      </c>
      <c r="BY91" s="546" t="str">
        <f t="shared" si="87"/>
        <v/>
      </c>
      <c r="BZ91" s="546" t="str">
        <f t="shared" si="88"/>
        <v/>
      </c>
      <c r="CA91" s="546" t="str">
        <f t="shared" si="89"/>
        <v/>
      </c>
      <c r="CB91" s="546" t="str">
        <f t="shared" si="90"/>
        <v/>
      </c>
      <c r="CC91" s="728" t="str">
        <f>IFERROR((J91-CA91-CB91),"")</f>
        <v/>
      </c>
      <c r="CD91" s="728" t="str">
        <f>IFERROR((L91-BY91-BZ91),"")</f>
        <v/>
      </c>
      <c r="CE91" s="170" t="str">
        <f>IFERROR((CONCATENATE(CC91," ","x"," ",CD91," ","x"," ",N91)),"")</f>
        <v xml:space="preserve"> x  x 18,5</v>
      </c>
      <c r="CF91" t="str">
        <f>IF(F91=1,(CONCATENATE(J91,";",L91,";",Q91,";",BP91,";",N91,";",H91,";","-1",";",AF91,";",CA91,";",AG91,";",CB91,";",AD91,";",BY91,";",AE91,";",BZ91))," ")</f>
        <v>2430;100;2;Ply 18 Duco_1mk_Polos;18,5;End Panel Rangka;-1; ;; ;; ;; ;</v>
      </c>
    </row>
    <row r="92" spans="1:84" customFormat="1">
      <c r="A92" s="701" t="str">
        <f>IFERROR(INDEX((ID),MATCH(H92,BARANG,0)),"…")</f>
        <v>…</v>
      </c>
      <c r="B92" s="447" t="str">
        <f t="shared" si="72"/>
        <v>dc man</v>
      </c>
      <c r="C92" s="161" t="s">
        <v>1472</v>
      </c>
      <c r="D92" s="162" t="s">
        <v>1787</v>
      </c>
      <c r="E92" s="1" t="s">
        <v>2166</v>
      </c>
      <c r="F92" s="811">
        <f t="shared" si="73"/>
        <v>1</v>
      </c>
      <c r="G92" s="440" t="str">
        <f t="shared" si="74"/>
        <v>...</v>
      </c>
      <c r="H92" s="1" t="s">
        <v>3065</v>
      </c>
      <c r="I92" s="55"/>
      <c r="J92" s="170">
        <v>2430</v>
      </c>
      <c r="K92" s="1" t="s">
        <v>2137</v>
      </c>
      <c r="L92" s="170">
        <v>1220</v>
      </c>
      <c r="M92" s="1" t="s">
        <v>2137</v>
      </c>
      <c r="N92" s="458">
        <f>+(S92+W92+Y92)</f>
        <v>18.5</v>
      </c>
      <c r="O92" s="170" t="str">
        <f>CONCATENATE(J92," ",K92," ",L92," ",M92," ",N92)</f>
        <v>2430 x 1220 x 18,5</v>
      </c>
      <c r="P92" s="441">
        <v>3</v>
      </c>
      <c r="Q92" s="55">
        <f>+P92*Q88</f>
        <v>3</v>
      </c>
      <c r="R92" s="177" t="str">
        <f>IFERROR(INDEX((std_bhn_prt),MATCH($H92,Prt,0)),"")</f>
        <v>DXO_1338_D</v>
      </c>
      <c r="S92" s="454">
        <v>18</v>
      </c>
      <c r="T92" s="178">
        <v>7</v>
      </c>
      <c r="U92" s="178">
        <f>INDEX((std_lapisan_dalam_prt),MATCH($H92,Prt,0))</f>
        <v>0</v>
      </c>
      <c r="V92" s="179" t="str">
        <f>IFERROR(INDEX((tf),MATCH(T92,ctf,0)),"")</f>
        <v>Duco</v>
      </c>
      <c r="W92" s="180">
        <f>IFERROR(INDEX((tebal_lapisan),MATCH($V92,tf,0)),"")</f>
        <v>0.5</v>
      </c>
      <c r="X92" s="179" t="str">
        <f>IFERROR(INDEX((tf),MATCH(U92,ctf,0)),"")</f>
        <v>Polos</v>
      </c>
      <c r="Y92" s="180">
        <f>IFERROR(INDEX((tebal_lapisan),MATCH($X92,tf,0)),"")</f>
        <v>0</v>
      </c>
      <c r="Z92" s="178">
        <f>INDEX((std_edg_P1_prt),MATCH($H92,Prt,0))</f>
        <v>0</v>
      </c>
      <c r="AA92" s="178">
        <f>INDEX((std_edg_P2_prt),MATCH($H92,Prt,0))</f>
        <v>0</v>
      </c>
      <c r="AB92" s="178">
        <f>INDEX((std_edg_L1_prt),MATCH($H92,Prt,0))</f>
        <v>0</v>
      </c>
      <c r="AC92" s="178">
        <f>INDEX((std_edg_L2_prt),MATCH($H92,Prt,0))</f>
        <v>0</v>
      </c>
      <c r="AD92" s="182" t="str">
        <f t="shared" si="75"/>
        <v xml:space="preserve"> </v>
      </c>
      <c r="AE92" s="182" t="str">
        <f t="shared" si="75"/>
        <v xml:space="preserve"> </v>
      </c>
      <c r="AF92" s="182" t="str">
        <f t="shared" si="75"/>
        <v xml:space="preserve"> </v>
      </c>
      <c r="AG92" s="182" t="str">
        <f t="shared" si="75"/>
        <v xml:space="preserve"> </v>
      </c>
      <c r="AH92" s="401">
        <f>IFERROR(INDEX((std_profil3_prt),MATCH($H92,Prt,0)),"")</f>
        <v>0</v>
      </c>
      <c r="AI92" s="401">
        <f>IFERROR(INDEX((std_profil2_prt),MATCH($H92,Prt,0)),"")</f>
        <v>0</v>
      </c>
      <c r="AJ92" s="401">
        <f>IFERROR(INDEX((std_profil_prt),MATCH($H92,Prt,0)),"")</f>
        <v>0</v>
      </c>
      <c r="AK92" s="401">
        <f t="shared" si="76"/>
        <v>0</v>
      </c>
      <c r="AL92" s="401">
        <f t="shared" si="77"/>
        <v>0</v>
      </c>
      <c r="AM92" s="189"/>
      <c r="AN92" s="829">
        <f>IFERROR(INDEX((std_rel_prt),MATCH($H92,Prt,0)),"")</f>
        <v>0</v>
      </c>
      <c r="AO92" s="830">
        <f>IFERROR(INDEX((std_engsel_prt),MATCH($H92,Prt,0)),"")</f>
        <v>0</v>
      </c>
      <c r="AP92" s="401" t="str">
        <f t="shared" si="78"/>
        <v/>
      </c>
      <c r="AQ92" s="401" t="str">
        <f t="shared" si="79"/>
        <v/>
      </c>
      <c r="AR92" s="401"/>
      <c r="AS92" s="401">
        <f>IFERROR(INDEX((std_anodize_per_ukuran),MATCH($H92,Prt,0)),"")</f>
        <v>0</v>
      </c>
      <c r="AT92" s="403" t="str">
        <f>IF($AS92=edging7,L92,IF($AS92=edging8,L92,IF($AS92=edging9,L92,IF($AS92=Hand1,J91,IF($AS92=Hand2,L91,IF($AS92=hand3,"diisi manual",IF($AS92=hand4,"diisi manual",IF($AS92=hand5,"diisi manual",IF($AS92=mled02,J92,IF($AS92=mprf1,J92,IF($AS92=mlis1,J92,"")))))))))))</f>
        <v/>
      </c>
      <c r="AU92" s="403">
        <f>IF($AS92="","",Q92*BR92)</f>
        <v>0</v>
      </c>
      <c r="AV92" s="170"/>
      <c r="AW92" s="166" t="str">
        <f>CONCATENATE(VLOOKUP($V92,tabtf,2,0),VLOOKUP($X92,tabtf,2,0))</f>
        <v>123</v>
      </c>
      <c r="AX92" s="166" t="str">
        <f t="shared" si="80"/>
        <v>3333</v>
      </c>
      <c r="AY92" s="189" t="str">
        <f>IFERROR(VLOOKUP(AW92,descf,2,0),"")</f>
        <v>Duco_1mk_Polos</v>
      </c>
      <c r="AZ92" s="189" t="str">
        <f>IF($B92="alu",(VLOOKUP(AX92,descfr,2,0)),(VLOOKUP(AX92,desce,2,0)))</f>
        <v xml:space="preserve"> -</v>
      </c>
      <c r="BA92" s="196" t="str">
        <f>IF($R92=0,CONCATENATE(0,")"," ",$H92," ",$J92),CONCATENATE(VLOOKUP(H92,tabprt,2,0),")",$H92,"_",AY92))</f>
        <v>485)HPL Lembaran♦_Duco_1mk_Polos</v>
      </c>
      <c r="BB92" s="629" t="str">
        <f>IF($B92="…",CONCATENATE(0,$E92,")"," ",$H92),IF($B92="kc",CONCATENATE(VLOOKUP(H92,tabprt,2,0),")",$H92," ",$R92," ",$S92,"mm"," ","-"," "," ",";"," ",$AZ92,"  ",$I92),IF($B92="alu",CONCATENATE(VLOOKUP(H92,tabprt,2,0),")",$H92," ",$R92," ",$S92,"mm"," ","-"," "," ",";"," ",$AZ92,"  ",$I92),CONCATENATE(VLOOKUP(H92,tabprt,2,0),")",$H92," ",$R92," ",$S92,"mm"," ","-"," ",$AY92," ",";"," ",$AZ92,"  ",$I92))))</f>
        <v xml:space="preserve">485)HPL Lembaran♦ DXO_1338_D 18mm - Duco_1mk_Polos ;  -  </v>
      </c>
      <c r="BC92" s="190"/>
      <c r="BD92" s="510">
        <f t="shared" si="81"/>
        <v>0</v>
      </c>
      <c r="BE92" s="510">
        <f t="shared" si="82"/>
        <v>0</v>
      </c>
      <c r="BF92" s="177">
        <f>IFERROR(INDEX((std_j_sikufr_prt),MATCH($H92,Prt,0)),"")*Q92</f>
        <v>0</v>
      </c>
      <c r="BG92" s="177">
        <f>IFERROR(INDEX((std_j_screwjf_prt),MATCH($H92,Prt,0)),"")*Q92</f>
        <v>0</v>
      </c>
      <c r="BH92" s="166">
        <f>IF($AM92=0,0,1)*Q92</f>
        <v>0</v>
      </c>
      <c r="BI92" s="474">
        <f>IF($AO92=0,0,IF(J92&lt;=fp,2,(ROUNDUP(J92/fp,0))))*Q92</f>
        <v>0</v>
      </c>
      <c r="BJ92" s="166">
        <f>IF($AN92=0,0,1)*Q92</f>
        <v>0</v>
      </c>
      <c r="BK92" s="474">
        <f t="shared" si="83"/>
        <v>7.41</v>
      </c>
      <c r="BL92" s="474">
        <f t="shared" si="84"/>
        <v>3.78</v>
      </c>
      <c r="BM92" s="474">
        <f>IF(R92=0,0,((2*((J92+tol_p)+(L92+tol_p))*Q92)/1000))</f>
        <v>22.38</v>
      </c>
      <c r="BN92" s="166">
        <f>((J92*L92)/1000000)*Q92</f>
        <v>8.8937999999999988</v>
      </c>
      <c r="BO92" s="166" t="str">
        <f>CONCATENATE(R92,"_",S92)</f>
        <v>DXO_1338_D_18</v>
      </c>
      <c r="BP92" s="204" t="str">
        <f>CONCATENATE(R92," ",S92," ",AY92)</f>
        <v>DXO_1338_D 18 Duco_1mk_Polos</v>
      </c>
      <c r="BQ92" s="475">
        <f>((J92*L92*Q92)/(2400*1200))+10%</f>
        <v>3.1881249999999999</v>
      </c>
      <c r="BR92" s="205">
        <f>IFERROR(INDEX((std_jml_anodize_per_uk),MATCH($H92,Prt,0)),"")</f>
        <v>0</v>
      </c>
      <c r="BS92" s="509">
        <f t="shared" si="85"/>
        <v>0</v>
      </c>
      <c r="BT92" s="509">
        <f t="shared" si="86"/>
        <v>0</v>
      </c>
      <c r="BU92" s="459">
        <f t="shared" si="91"/>
        <v>0</v>
      </c>
      <c r="BV92" s="459">
        <f t="shared" si="91"/>
        <v>0</v>
      </c>
      <c r="BW92" s="1">
        <f>+((J92*L92)*Q92)/1000000</f>
        <v>8.8938000000000006</v>
      </c>
      <c r="BX92" s="1">
        <f>+((J92*L92*N92)*Q92)/1000000000</f>
        <v>0.1645353</v>
      </c>
      <c r="BY92" s="546" t="str">
        <f t="shared" si="87"/>
        <v/>
      </c>
      <c r="BZ92" s="546" t="str">
        <f t="shared" si="88"/>
        <v/>
      </c>
      <c r="CA92" s="546" t="str">
        <f t="shared" si="89"/>
        <v/>
      </c>
      <c r="CB92" s="546" t="str">
        <f t="shared" si="90"/>
        <v/>
      </c>
      <c r="CC92" s="728" t="str">
        <f>IFERROR((J92-CA92-CB92),"")</f>
        <v/>
      </c>
      <c r="CD92" s="728" t="str">
        <f>IFERROR((L92-BY92-BZ92),"")</f>
        <v/>
      </c>
      <c r="CE92" s="170" t="str">
        <f>IFERROR((CONCATENATE(CC92," ","x"," ",CD92," ","x"," ",N92)),"")</f>
        <v xml:space="preserve"> x  x 18,5</v>
      </c>
      <c r="CF92" t="str">
        <f>IF(F92=1,(CONCATENATE(J92,";",L92,";",Q92,";",BP92,";",N92,";",H92,";","-1",";",AF92,";",CA92,";",AG92,";",CB92,";",AD92,";",BY92,";",AE92,";",BZ92))," ")</f>
        <v>2430;1220;3;DXO_1338_D 18 Duco_1mk_Polos;18,5;HPL Lembaran♦;-1; ;; ;; ;; ;</v>
      </c>
    </row>
    <row r="93" spans="1:84" customFormat="1">
      <c r="A93" s="701"/>
      <c r="B93" s="447"/>
      <c r="C93" s="161"/>
      <c r="D93" s="162"/>
      <c r="E93" s="1"/>
      <c r="F93" s="811"/>
      <c r="G93" s="440"/>
      <c r="H93" s="1"/>
      <c r="I93" s="55"/>
      <c r="J93" s="170"/>
      <c r="K93" s="1"/>
      <c r="L93" s="170"/>
      <c r="M93" s="1"/>
      <c r="N93" s="458"/>
      <c r="O93" s="170"/>
      <c r="P93" s="441"/>
      <c r="Q93" s="55"/>
      <c r="R93" s="177"/>
      <c r="S93" s="454"/>
      <c r="T93" s="178"/>
      <c r="U93" s="178"/>
      <c r="V93" s="179"/>
      <c r="W93" s="180"/>
      <c r="X93" s="179"/>
      <c r="Y93" s="180"/>
      <c r="Z93" s="178"/>
      <c r="AA93" s="178"/>
      <c r="AB93" s="178"/>
      <c r="AC93" s="178"/>
      <c r="AD93" s="182"/>
      <c r="AE93" s="182"/>
      <c r="AF93" s="182"/>
      <c r="AG93" s="182"/>
      <c r="AH93" s="401"/>
      <c r="AI93" s="401"/>
      <c r="AJ93" s="401"/>
      <c r="AK93" s="401"/>
      <c r="AL93" s="401"/>
      <c r="AM93" s="189"/>
      <c r="AN93" s="829"/>
      <c r="AO93" s="830"/>
      <c r="AP93" s="401"/>
      <c r="AQ93" s="401"/>
      <c r="AR93" s="401"/>
      <c r="AS93" s="401"/>
      <c r="AT93" s="403"/>
      <c r="AU93" s="403"/>
      <c r="AV93" s="170"/>
      <c r="AW93" s="166"/>
      <c r="AX93" s="166"/>
      <c r="AY93" s="189"/>
      <c r="AZ93" s="189"/>
      <c r="BA93" s="196"/>
      <c r="BB93" s="629"/>
      <c r="BC93" s="190"/>
      <c r="BD93" s="510"/>
      <c r="BE93" s="510"/>
      <c r="BF93" s="177"/>
      <c r="BG93" s="177"/>
      <c r="BH93" s="166"/>
      <c r="BI93" s="474"/>
      <c r="BJ93" s="166"/>
      <c r="BK93" s="474"/>
      <c r="BL93" s="474"/>
      <c r="BM93" s="474"/>
      <c r="BN93" s="166"/>
      <c r="BO93" s="166"/>
      <c r="BP93" s="204"/>
      <c r="BQ93" s="475"/>
      <c r="BR93" s="205"/>
      <c r="BS93" s="509"/>
      <c r="BT93" s="509"/>
      <c r="BU93" s="459"/>
      <c r="BV93" s="459"/>
      <c r="BW93" s="1"/>
      <c r="BX93" s="1"/>
      <c r="BY93" s="546"/>
      <c r="BZ93" s="546"/>
      <c r="CA93" s="546"/>
      <c r="CB93" s="546"/>
      <c r="CC93" s="728"/>
      <c r="CD93" s="728"/>
      <c r="CE93" s="170"/>
    </row>
    <row r="94" spans="1:84" customFormat="1">
      <c r="A94" s="701" t="str">
        <f>IFERROR(INDEX((ID),MATCH(H94,BARANG,0)),"…")</f>
        <v>…</v>
      </c>
      <c r="B94" s="447" t="str">
        <f t="shared" si="72"/>
        <v>…</v>
      </c>
      <c r="C94" s="1" t="s">
        <v>2605</v>
      </c>
      <c r="D94" s="538" t="str">
        <f>(INDEX(KS_Set,MATCH($H94,Set_prt,0)))</f>
        <v>[ks]</v>
      </c>
      <c r="E94" s="1" t="s">
        <v>2166</v>
      </c>
      <c r="F94" s="811" t="str">
        <f t="shared" si="73"/>
        <v/>
      </c>
      <c r="G94" s="440" t="str">
        <f t="shared" si="74"/>
        <v>•</v>
      </c>
      <c r="H94" s="1" t="s">
        <v>4705</v>
      </c>
      <c r="J94" s="171">
        <v>600</v>
      </c>
      <c r="K94" s="55" t="s">
        <v>2137</v>
      </c>
      <c r="L94" s="171">
        <v>960</v>
      </c>
      <c r="M94" s="55" t="s">
        <v>2137</v>
      </c>
      <c r="N94" s="172">
        <v>40</v>
      </c>
      <c r="O94" s="170" t="str">
        <f>CONCATENATE(J94," ",K94," ",L94," ",M94," ",N94)</f>
        <v>600 x 960 x 40</v>
      </c>
      <c r="P94" s="139"/>
      <c r="Q94" s="172">
        <v>1</v>
      </c>
      <c r="R94" s="181"/>
      <c r="S94" s="455"/>
      <c r="T94" s="170"/>
      <c r="U94" s="170"/>
      <c r="V94" s="1"/>
      <c r="W94" s="173"/>
      <c r="X94" s="1"/>
      <c r="Y94" s="166"/>
      <c r="Z94" s="170"/>
      <c r="AA94" s="170"/>
      <c r="AB94" s="170"/>
      <c r="AC94" s="170"/>
      <c r="AD94" s="182" t="str">
        <f t="shared" ref="AD94:AG98" si="92">IF($B94="alu",(INDEX((Fr),MATCH(Z94,cfr,0))),INDEX((te),MATCH(Z94,cte,0)))</f>
        <v xml:space="preserve"> </v>
      </c>
      <c r="AE94" s="182" t="str">
        <f t="shared" si="92"/>
        <v xml:space="preserve"> </v>
      </c>
      <c r="AF94" s="182" t="str">
        <f t="shared" si="92"/>
        <v xml:space="preserve"> </v>
      </c>
      <c r="AG94" s="182" t="str">
        <f t="shared" si="92"/>
        <v xml:space="preserve"> </v>
      </c>
      <c r="AH94" s="189"/>
      <c r="AI94" s="189"/>
      <c r="AJ94" s="189"/>
      <c r="AK94" s="401" t="str">
        <f t="shared" si="76"/>
        <v/>
      </c>
      <c r="AL94" s="401" t="str">
        <f t="shared" si="77"/>
        <v/>
      </c>
      <c r="AM94" s="189"/>
      <c r="AN94" s="782"/>
      <c r="AO94" s="189"/>
      <c r="AP94" s="401" t="str">
        <f t="shared" si="78"/>
        <v/>
      </c>
      <c r="AQ94" s="401" t="str">
        <f t="shared" si="79"/>
        <v/>
      </c>
      <c r="AR94" s="401" t="str">
        <f>IFERROR(INDEX((std_anodizeh_proses),MATCH($I94,pk,0)),"")</f>
        <v/>
      </c>
      <c r="AS94" s="188"/>
      <c r="AT94" s="1"/>
      <c r="AU94" s="403" t="str">
        <f>IF($AS94=0,"",Q94*BR94)</f>
        <v/>
      </c>
      <c r="AV94" s="1"/>
      <c r="AW94" s="166"/>
      <c r="AX94" s="166" t="str">
        <f t="shared" si="80"/>
        <v>3333</v>
      </c>
      <c r="AY94" s="189" t="str">
        <f>IFERROR(VLOOKUP(AW94,descf,2,0),"")</f>
        <v/>
      </c>
      <c r="AZ94" s="189" t="str">
        <f>IF($B94="alu",(VLOOKUP(AX94,descfr,2,0)),(VLOOKUP(AX94,desce,2,0)))</f>
        <v xml:space="preserve"> -</v>
      </c>
      <c r="BA94" s="196" t="str">
        <f>IF($R94=0,CONCATENATE(0,")"," ",$H94," ",$J94),CONCATENATE(VLOOKUP(H94,tabprt,2,0),")",$H94,"_",AY94))</f>
        <v>0) Pintu Akses engsel concealed (rakit tukang) 600</v>
      </c>
      <c r="BB94" s="629" t="str">
        <f>IF($B94="…",CONCATENATE(0,$E94,")"," ",$H94),IF($B94="kc",CONCATENATE(VLOOKUP(H94,tabprt,2,0),")",$H94," ",$R94," ",$S94,"mm"," ","-"," "," ",";"," ",$AZ94,"  ",$I94),IF($B94="alu",CONCATENATE(VLOOKUP(H94,tabprt,2,0),")",$H94," ",$R94," ",$S94,"mm"," ","-"," "," ",";"," ",$AZ94,"  ",$I94),CONCATENATE(VLOOKUP(H94,tabprt,2,0),")",$H94," ",$R94," ",$S94,"mm"," ","-"," ",$AY94," ",";"," ",$AZ94,"  ",$I94))))</f>
        <v>0A) Pintu Akses engsel concealed (rakit tukang)</v>
      </c>
      <c r="BC94" s="197"/>
      <c r="BD94" s="510" t="str">
        <f t="shared" si="81"/>
        <v/>
      </c>
      <c r="BE94" s="510" t="str">
        <f t="shared" si="82"/>
        <v/>
      </c>
      <c r="BF94" s="177"/>
      <c r="BG94" s="177"/>
      <c r="BH94" s="166">
        <f>IF($AM94=0,0,1)*Q94</f>
        <v>0</v>
      </c>
      <c r="BI94" s="474">
        <f>IF($AO94=0,0,IF(J94&lt;=fp,2,(ROUNDUP(J94/fp,0))))*Q94</f>
        <v>0</v>
      </c>
      <c r="BJ94" s="166">
        <f>IF($AN94=0,0,1)*Q94</f>
        <v>0</v>
      </c>
      <c r="BK94" s="474">
        <f t="shared" si="83"/>
        <v>0.64</v>
      </c>
      <c r="BL94" s="474">
        <f t="shared" si="84"/>
        <v>1</v>
      </c>
      <c r="BM94" s="474">
        <f>IF(R94=0,0,((2*((J94+tol_p)+(L94+tol_p))*Q94)/1000))</f>
        <v>0</v>
      </c>
      <c r="BN94" s="166"/>
      <c r="BO94" s="166" t="str">
        <f>CONCATENATE(R94,"_",S94)</f>
        <v>_</v>
      </c>
      <c r="BP94" s="204" t="str">
        <f>CONCATENATE(R94," ",S94," ",AY94)</f>
        <v xml:space="preserve">  </v>
      </c>
      <c r="BQ94" s="475">
        <f>((J94*L94*Q94)/(2400*1200))+10%</f>
        <v>0.30000000000000004</v>
      </c>
      <c r="BR94" s="205" t="str">
        <f>IFERROR(INDEX((std_jml_anodize_per_uk),MATCH($H94,Prt,0)),"")</f>
        <v/>
      </c>
      <c r="BS94" s="509">
        <f t="shared" si="85"/>
        <v>8</v>
      </c>
      <c r="BT94" s="509">
        <f t="shared" si="86"/>
        <v>10</v>
      </c>
      <c r="BU94" s="459"/>
      <c r="BV94" s="459"/>
      <c r="BW94" s="1">
        <f>+((J94*L94)*Q94)/1000000</f>
        <v>0.57599999999999996</v>
      </c>
      <c r="BX94" s="1">
        <f>+((J94*L94*N94)*Q94)/1000000000</f>
        <v>2.3040000000000001E-2</v>
      </c>
      <c r="BY94" s="546" t="str">
        <f t="shared" si="87"/>
        <v/>
      </c>
      <c r="BZ94" s="546" t="str">
        <f t="shared" si="88"/>
        <v/>
      </c>
      <c r="CA94" s="546" t="str">
        <f t="shared" si="89"/>
        <v/>
      </c>
      <c r="CB94" s="546" t="str">
        <f t="shared" si="90"/>
        <v/>
      </c>
      <c r="CC94" s="728" t="str">
        <f>IFERROR((J94-CA94-CB94),"")</f>
        <v/>
      </c>
      <c r="CD94" s="728" t="str">
        <f>IFERROR((L94-BY94-BZ94),"")</f>
        <v/>
      </c>
      <c r="CE94" s="170" t="str">
        <f>IFERROR((CONCATENATE(CC94," ","x"," ",CD94," ","x"," ",N94)),"")</f>
        <v xml:space="preserve"> x  x 40</v>
      </c>
      <c r="CF94" t="str">
        <f>IF(F94=1,(CONCATENATE(J94,";",L94,";",Q94,";",BP94,";",N94,";",H94,";","-1",";",AF94,";",CA94,";",AG94,";",CB94,";",AD94,";",BY94,";",AE94,";",BZ94))," ")</f>
        <v xml:space="preserve"> </v>
      </c>
    </row>
    <row r="95" spans="1:84" customFormat="1">
      <c r="A95" s="701" t="str">
        <f>IFERROR(INDEX((ID),MATCH(H95,BARANG,0)),"…")</f>
        <v>…</v>
      </c>
      <c r="B95" s="447" t="str">
        <f t="shared" si="72"/>
        <v>pintu</v>
      </c>
      <c r="C95" s="161" t="s">
        <v>1472</v>
      </c>
      <c r="D95" s="162" t="str">
        <f>IFERROR(INDEX((KS),MATCH($H95,Prt,0)),"")</f>
        <v>KS</v>
      </c>
      <c r="E95" s="1" t="s">
        <v>2166</v>
      </c>
      <c r="F95" s="811">
        <f t="shared" si="73"/>
        <v>1</v>
      </c>
      <c r="G95" s="440" t="str">
        <f t="shared" si="74"/>
        <v>...</v>
      </c>
      <c r="H95" s="1" t="s">
        <v>3861</v>
      </c>
      <c r="I95" s="55"/>
      <c r="J95" s="170">
        <v>2430</v>
      </c>
      <c r="K95" s="1" t="s">
        <v>2137</v>
      </c>
      <c r="L95" s="170">
        <f>+L94</f>
        <v>960</v>
      </c>
      <c r="M95" s="1" t="s">
        <v>2137</v>
      </c>
      <c r="N95" s="458">
        <f>+(S95+W95+Y95)</f>
        <v>12</v>
      </c>
      <c r="O95" s="170" t="str">
        <f>CONCATENATE(J95," ",K95," ",L95," ",M95," ",N95)</f>
        <v>2430 x 960 x 12</v>
      </c>
      <c r="P95" s="441">
        <v>1</v>
      </c>
      <c r="Q95" s="55">
        <f>+P95*Q94</f>
        <v>1</v>
      </c>
      <c r="R95" s="177" t="str">
        <f>IFERROR(INDEX((std_bhn_prt),MATCH($H95,Prt,0)),"")</f>
        <v>Ply</v>
      </c>
      <c r="S95" s="454">
        <v>12</v>
      </c>
      <c r="T95" s="178">
        <f>INDEX((std_lapisan_luar_prt),MATCH($H95,Prt,0))</f>
        <v>0</v>
      </c>
      <c r="U95" s="178">
        <v>0</v>
      </c>
      <c r="V95" s="179" t="str">
        <f>IFERROR(INDEX((tf),MATCH(T95,ctf,0)),"")</f>
        <v>Polos</v>
      </c>
      <c r="W95" s="180">
        <f>IFERROR(INDEX((tebal_lapisan),MATCH($V95,tf,0)),"")</f>
        <v>0</v>
      </c>
      <c r="X95" s="179" t="str">
        <f>IFERROR(INDEX((tf),MATCH(U95,ctf,0)),"")</f>
        <v>Polos</v>
      </c>
      <c r="Y95" s="180">
        <f>IFERROR(INDEX((tebal_lapisan),MATCH($X95,tf,0)),"")</f>
        <v>0</v>
      </c>
      <c r="Z95" s="178">
        <f>INDEX((std_edg_P1_prt),MATCH($H95,Prt,0))</f>
        <v>0</v>
      </c>
      <c r="AA95" s="178">
        <f>INDEX((std_edg_P2_prt),MATCH($H95,Prt,0))</f>
        <v>0</v>
      </c>
      <c r="AB95" s="178">
        <f>INDEX((std_edg_L1_prt),MATCH($H95,Prt,0))</f>
        <v>0</v>
      </c>
      <c r="AC95" s="178">
        <f>INDEX((std_edg_L2_prt),MATCH($H95,Prt,0))</f>
        <v>0</v>
      </c>
      <c r="AD95" s="182" t="str">
        <f t="shared" si="92"/>
        <v xml:space="preserve"> </v>
      </c>
      <c r="AE95" s="182" t="str">
        <f t="shared" si="92"/>
        <v xml:space="preserve"> </v>
      </c>
      <c r="AF95" s="182" t="str">
        <f t="shared" si="92"/>
        <v xml:space="preserve"> </v>
      </c>
      <c r="AG95" s="182" t="str">
        <f t="shared" si="92"/>
        <v xml:space="preserve"> </v>
      </c>
      <c r="AH95" s="401">
        <f>IFERROR(INDEX((std_profil3_prt),MATCH($H95,Prt,0)),"")</f>
        <v>0</v>
      </c>
      <c r="AI95" s="401">
        <f>IFERROR(INDEX((std_profil2_prt),MATCH($H95,Prt,0)),"")</f>
        <v>0</v>
      </c>
      <c r="AJ95" s="401">
        <f>IFERROR(INDEX((std_profil_prt),MATCH($H95,Prt,0)),"")</f>
        <v>0</v>
      </c>
      <c r="AK95" s="401">
        <f t="shared" si="76"/>
        <v>0</v>
      </c>
      <c r="AL95" s="401">
        <f t="shared" si="77"/>
        <v>0</v>
      </c>
      <c r="AM95" s="189"/>
      <c r="AN95" s="829">
        <f>IFERROR(INDEX((std_rel_prt),MATCH($H95,Prt,0)),"")</f>
        <v>0</v>
      </c>
      <c r="AO95" s="830">
        <f>IFERROR(INDEX((std_engsel_prt),MATCH($H95,Prt,0)),"")</f>
        <v>0</v>
      </c>
      <c r="AP95" s="401" t="str">
        <f t="shared" si="78"/>
        <v/>
      </c>
      <c r="AQ95" s="401" t="str">
        <f t="shared" si="79"/>
        <v/>
      </c>
      <c r="AR95" s="401" t="str">
        <f>IFERROR(INDEX((std_anodizeh_proses),MATCH($I95,pk,0)),"")</f>
        <v/>
      </c>
      <c r="AS95" s="401">
        <f>IFERROR(INDEX((std_anodize_per_ukuran),MATCH($H95,Prt,0)),"")</f>
        <v>0</v>
      </c>
      <c r="AT95" s="403" t="str">
        <f>IF($AS95=edging7,L95,IF($AS95=edging8,L95,IF($AS95=edging9,L95,IF($AS95=Hand1,J94,IF($AS95=Hand2,L94,IF($AS95=hand3,"diisi manual",IF($AS95=hand4,"diisi manual",IF($AS95=hand5,"diisi manual",IF($AS95=mled02,J95,IF($AS95=mprf1,J95,IF($AS95=mlis1,J95,"")))))))))))</f>
        <v/>
      </c>
      <c r="AU95" s="403">
        <f>IF($AS95="","",Q95*BR95)</f>
        <v>0</v>
      </c>
      <c r="AV95" s="170"/>
      <c r="AW95" s="166" t="str">
        <f>CONCATENATE(VLOOKUP($V95,tabtf,2,0),VLOOKUP($X95,tabtf,2,0))</f>
        <v>33</v>
      </c>
      <c r="AX95" s="166" t="str">
        <f t="shared" si="80"/>
        <v>3333</v>
      </c>
      <c r="AY95" s="189" t="str">
        <f>IFERROR(VLOOKUP(AW95,descf,2,0),"")</f>
        <v>Polos</v>
      </c>
      <c r="AZ95" s="189" t="str">
        <f>IF($B95="alu",(VLOOKUP(AX95,descfr,2,0)),(VLOOKUP(AX95,desce,2,0)))</f>
        <v xml:space="preserve"> -</v>
      </c>
      <c r="BA95" s="196" t="str">
        <f>IF($R95=0,CONCATENATE(0,")"," ",$H95," ",$J95),CONCATENATE(VLOOKUP(H95,tabprt,2,0),")",$H95,"_",AY95))</f>
        <v>317)Pintu/Panel Rangka Manual_Polos</v>
      </c>
      <c r="BB95" s="629" t="str">
        <f>IF($B95="…",CONCATENATE(0,$E95,")"," ",$H95),IF($B95="kc",CONCATENATE(VLOOKUP(H95,tabprt,2,0),")",$H95," ",$R95," ",$S95,"mm"," ","-"," "," ",";"," ",$AZ95,"  ",$I95),IF($B95="alu",CONCATENATE(VLOOKUP(H95,tabprt,2,0),")",$H95," ",$R95," ",$S95,"mm"," ","-"," "," ",";"," ",$AZ95,"  ",$I95),CONCATENATE(VLOOKUP(H95,tabprt,2,0),")",$H95," ",$R95," ",$S95,"mm"," ","-"," ",$AY95," ",";"," ",$AZ95,"  ",$I95))))</f>
        <v xml:space="preserve">317)Pintu/Panel Rangka Manual Ply 12mm - Polos ;  -  </v>
      </c>
      <c r="BC95" s="190"/>
      <c r="BD95" s="510">
        <f t="shared" si="81"/>
        <v>0</v>
      </c>
      <c r="BE95" s="510">
        <f t="shared" si="82"/>
        <v>0</v>
      </c>
      <c r="BF95" s="177">
        <f>IFERROR(INDEX((std_j_sikufr_prt),MATCH($H95,Prt,0)),"")*Q95</f>
        <v>0</v>
      </c>
      <c r="BG95" s="177">
        <f>IFERROR(INDEX((std_j_screwjf_prt),MATCH($H95,Prt,0)),"")*Q95</f>
        <v>0</v>
      </c>
      <c r="BH95" s="166">
        <f>IF($AM95=0,0,1)*Q95</f>
        <v>0</v>
      </c>
      <c r="BI95" s="474">
        <f>IF($AO95=0,0,IF(J95&lt;=fp,2,(ROUNDUP(J95/fp,0))))*Q95</f>
        <v>0</v>
      </c>
      <c r="BJ95" s="166">
        <f>IF($AN95=0,0,1)*Q95</f>
        <v>0</v>
      </c>
      <c r="BK95" s="474">
        <f t="shared" si="83"/>
        <v>2.4700000000000002</v>
      </c>
      <c r="BL95" s="474">
        <f t="shared" si="84"/>
        <v>1</v>
      </c>
      <c r="BM95" s="474">
        <f>IF(R95=0,0,((2*((J95+tol_p)+(L95+tol_p))*Q95)/1000))</f>
        <v>6.94</v>
      </c>
      <c r="BN95" s="166">
        <f>((J95*L95)/1000000)*Q95</f>
        <v>2.3328000000000002</v>
      </c>
      <c r="BO95" s="166" t="str">
        <f>CONCATENATE(R95,"_",S95)</f>
        <v>Ply_12</v>
      </c>
      <c r="BP95" s="204" t="str">
        <f>CONCATENATE(R95," ",S95," ",AY95)</f>
        <v>Ply 12 Polos</v>
      </c>
      <c r="BQ95" s="475">
        <f>((J95*L95*Q95)/(2400*1200))+10%</f>
        <v>0.91</v>
      </c>
      <c r="BR95" s="205">
        <f>IFERROR(INDEX((std_jml_anodize_per_uk),MATCH($H95,Prt,0)),"")</f>
        <v>0</v>
      </c>
      <c r="BS95" s="509">
        <f t="shared" si="85"/>
        <v>0</v>
      </c>
      <c r="BT95" s="509">
        <f t="shared" si="86"/>
        <v>0</v>
      </c>
      <c r="BU95" s="459">
        <f t="shared" ref="BU95:BV98" si="93">BF95*$Q95</f>
        <v>0</v>
      </c>
      <c r="BV95" s="459">
        <f t="shared" si="93"/>
        <v>0</v>
      </c>
      <c r="BW95" s="1">
        <f>+((J95*L95)*Q95)/1000000</f>
        <v>2.3328000000000002</v>
      </c>
      <c r="BX95" s="1">
        <f>+((J95*L95*N95)*Q95)/1000000000</f>
        <v>2.79936E-2</v>
      </c>
      <c r="BY95" s="546" t="str">
        <f t="shared" si="87"/>
        <v/>
      </c>
      <c r="BZ95" s="546" t="str">
        <f t="shared" si="88"/>
        <v/>
      </c>
      <c r="CA95" s="546" t="str">
        <f t="shared" si="89"/>
        <v/>
      </c>
      <c r="CB95" s="546" t="str">
        <f t="shared" si="90"/>
        <v/>
      </c>
      <c r="CC95" s="728" t="str">
        <f>IFERROR((J95-CA95-CB95),"")</f>
        <v/>
      </c>
      <c r="CD95" s="728" t="str">
        <f>IFERROR((L95-BY95-BZ95),"")</f>
        <v/>
      </c>
      <c r="CE95" s="170" t="str">
        <f>IFERROR((CONCATENATE(CC95," ","x"," ",CD95," ","x"," ",N95)),"")</f>
        <v xml:space="preserve"> x  x 12</v>
      </c>
      <c r="CF95" t="str">
        <f>IF(F95=1,(CONCATENATE(J95,";",L95,";",Q95,";",BP95,";",N95,";",H95,";","-1",";",AF95,";",CA95,";",AG95,";",CB95,";",AD95,";",BY95,";",AE95,";",BZ95))," ")</f>
        <v>2430;960;1;Ply 12 Polos;12;Pintu/Panel Rangka Manual;-1; ;; ;; ;; ;</v>
      </c>
    </row>
    <row r="96" spans="1:84" customFormat="1">
      <c r="A96" s="701" t="str">
        <f>IFERROR(INDEX((ID),MATCH(H96,BARANG,0)),"…")</f>
        <v>…</v>
      </c>
      <c r="B96" s="447" t="str">
        <f t="shared" si="72"/>
        <v>pintu</v>
      </c>
      <c r="C96" s="161" t="s">
        <v>1472</v>
      </c>
      <c r="D96" s="162" t="str">
        <f>IFERROR(INDEX((KS),MATCH($H96,Prt,0)),"")</f>
        <v>KS</v>
      </c>
      <c r="E96" s="1" t="s">
        <v>2166</v>
      </c>
      <c r="F96" s="811">
        <f t="shared" si="73"/>
        <v>1</v>
      </c>
      <c r="G96" s="440" t="str">
        <f t="shared" si="74"/>
        <v>...</v>
      </c>
      <c r="H96" s="1" t="s">
        <v>1833</v>
      </c>
      <c r="I96" s="55"/>
      <c r="J96" s="170">
        <v>2430</v>
      </c>
      <c r="K96" s="1" t="s">
        <v>2137</v>
      </c>
      <c r="L96" s="170">
        <v>24</v>
      </c>
      <c r="M96" s="1" t="s">
        <v>2137</v>
      </c>
      <c r="N96" s="458">
        <f>+(S96+W96+Y96)</f>
        <v>18.5</v>
      </c>
      <c r="O96" s="170" t="str">
        <f>CONCATENATE(J96," ",K96," ",L96," ",M96," ",N96)</f>
        <v>2430 x 24 x 18,5</v>
      </c>
      <c r="P96" s="441">
        <v>4</v>
      </c>
      <c r="Q96" s="55">
        <f>+P96*Q94</f>
        <v>4</v>
      </c>
      <c r="R96" s="177" t="str">
        <f>IFERROR(INDEX((std_bhn_prt),MATCH($H96,Prt,0)),"")</f>
        <v>Ply</v>
      </c>
      <c r="S96" s="454">
        <v>18</v>
      </c>
      <c r="T96" s="178">
        <v>7</v>
      </c>
      <c r="U96" s="178">
        <f>INDEX((std_lapisan_dalam_prt),MATCH($H96,Prt,0))</f>
        <v>0</v>
      </c>
      <c r="V96" s="179" t="str">
        <f>IFERROR(INDEX((tf),MATCH(T96,ctf,0)),"")</f>
        <v>Duco</v>
      </c>
      <c r="W96" s="180">
        <f>IFERROR(INDEX((tebal_lapisan),MATCH($V96,tf,0)),"")</f>
        <v>0.5</v>
      </c>
      <c r="X96" s="179" t="str">
        <f>IFERROR(INDEX((tf),MATCH(U96,ctf,0)),"")</f>
        <v>Polos</v>
      </c>
      <c r="Y96" s="180">
        <f>IFERROR(INDEX((tebal_lapisan),MATCH($X96,tf,0)),"")</f>
        <v>0</v>
      </c>
      <c r="Z96" s="178">
        <f>INDEX((std_edg_P1_prt),MATCH($H96,Prt,0))</f>
        <v>0</v>
      </c>
      <c r="AA96" s="178">
        <f>INDEX((std_edg_P2_prt),MATCH($H96,Prt,0))</f>
        <v>0</v>
      </c>
      <c r="AB96" s="178">
        <f>INDEX((std_edg_L1_prt),MATCH($H96,Prt,0))</f>
        <v>0</v>
      </c>
      <c r="AC96" s="178">
        <f>INDEX((std_edg_L2_prt),MATCH($H96,Prt,0))</f>
        <v>0</v>
      </c>
      <c r="AD96" s="182" t="str">
        <f t="shared" si="92"/>
        <v xml:space="preserve"> </v>
      </c>
      <c r="AE96" s="182" t="str">
        <f t="shared" si="92"/>
        <v xml:space="preserve"> </v>
      </c>
      <c r="AF96" s="182" t="str">
        <f t="shared" si="92"/>
        <v xml:space="preserve"> </v>
      </c>
      <c r="AG96" s="182" t="str">
        <f t="shared" si="92"/>
        <v xml:space="preserve"> </v>
      </c>
      <c r="AH96" s="401">
        <f>IFERROR(INDEX((std_profil3_prt),MATCH($H96,Prt,0)),"")</f>
        <v>0</v>
      </c>
      <c r="AI96" s="401">
        <f>IFERROR(INDEX((std_profil2_prt),MATCH($H96,Prt,0)),"")</f>
        <v>0</v>
      </c>
      <c r="AJ96" s="401">
        <f>IFERROR(INDEX((std_profil_prt),MATCH($H96,Prt,0)),"")</f>
        <v>0</v>
      </c>
      <c r="AK96" s="401">
        <f t="shared" si="76"/>
        <v>0</v>
      </c>
      <c r="AL96" s="401">
        <f t="shared" si="77"/>
        <v>0</v>
      </c>
      <c r="AM96" s="189"/>
      <c r="AN96" s="829">
        <f>IFERROR(INDEX((std_rel_prt),MATCH($H96,Prt,0)),"")</f>
        <v>0</v>
      </c>
      <c r="AO96" s="830">
        <f>IFERROR(INDEX((std_engsel_prt),MATCH($H96,Prt,0)),"")</f>
        <v>0</v>
      </c>
      <c r="AP96" s="401" t="str">
        <f t="shared" si="78"/>
        <v/>
      </c>
      <c r="AQ96" s="401" t="str">
        <f t="shared" si="79"/>
        <v/>
      </c>
      <c r="AR96" s="401"/>
      <c r="AS96" s="401">
        <f>IFERROR(INDEX((std_anodize_per_ukuran),MATCH($H96,Prt,0)),"")</f>
        <v>0</v>
      </c>
      <c r="AT96" s="403" t="str">
        <f>IF($AS96=edging7,L96,IF($AS96=edging8,L96,IF($AS96=edging9,L96,IF($AS96=Hand1,J95,IF($AS96=Hand2,L95,IF($AS96=hand3,"diisi manual",IF($AS96=hand4,"diisi manual",IF($AS96=hand5,"diisi manual",IF($AS96=mled02,J96,IF($AS96=mprf1,J96,IF($AS96=mlis1,J96,"")))))))))))</f>
        <v/>
      </c>
      <c r="AU96" s="403">
        <f>IF($AS96="","",Q96*BR96)</f>
        <v>0</v>
      </c>
      <c r="AV96" s="170"/>
      <c r="AW96" s="166" t="str">
        <f>CONCATENATE(VLOOKUP($V96,tabtf,2,0),VLOOKUP($X96,tabtf,2,0))</f>
        <v>123</v>
      </c>
      <c r="AX96" s="166" t="str">
        <f t="shared" si="80"/>
        <v>3333</v>
      </c>
      <c r="AY96" s="189" t="str">
        <f>IFERROR(VLOOKUP(AW96,descf,2,0),"")</f>
        <v>Duco_1mk_Polos</v>
      </c>
      <c r="AZ96" s="189" t="str">
        <f>IF($B96="alu",(VLOOKUP(AX96,descfr,2,0)),(VLOOKUP(AX96,desce,2,0)))</f>
        <v xml:space="preserve"> -</v>
      </c>
      <c r="BA96" s="196" t="str">
        <f>IF($R96=0,CONCATENATE(0,")"," ",$H96," ",$J96),CONCATENATE(VLOOKUP(H96,tabprt,2,0),")",$H96,"_",AY96))</f>
        <v>379)End Panel Rangka_Duco_1mk_Polos</v>
      </c>
      <c r="BB96" s="629" t="str">
        <f>IF($B96="…",CONCATENATE(0,$E96,")"," ",$H96),IF($B96="kc",CONCATENATE(VLOOKUP(H96,tabprt,2,0),")",$H96," ",$R96," ",$S96,"mm"," ","-"," "," ",";"," ",$AZ96,"  ",$I96),IF($B96="alu",CONCATENATE(VLOOKUP(H96,tabprt,2,0),")",$H96," ",$R96," ",$S96,"mm"," ","-"," "," ",";"," ",$AZ96,"  ",$I96),CONCATENATE(VLOOKUP(H96,tabprt,2,0),")",$H96," ",$R96," ",$S96,"mm"," ","-"," ",$AY96," ",";"," ",$AZ96,"  ",$I96))))</f>
        <v xml:space="preserve">379)End Panel Rangka Ply 18mm - Duco_1mk_Polos ;  -  </v>
      </c>
      <c r="BC96" s="190"/>
      <c r="BD96" s="510">
        <f t="shared" si="81"/>
        <v>0</v>
      </c>
      <c r="BE96" s="510">
        <f t="shared" si="82"/>
        <v>0</v>
      </c>
      <c r="BF96" s="177">
        <f>IFERROR(INDEX((std_j_sikufr_prt),MATCH($H96,Prt,0)),"")*Q96</f>
        <v>0</v>
      </c>
      <c r="BG96" s="177">
        <f>IFERROR(INDEX((std_j_screwjf_prt),MATCH($H96,Prt,0)),"")*Q96</f>
        <v>0</v>
      </c>
      <c r="BH96" s="166">
        <f>IF($AM96=0,0,1)*Q96</f>
        <v>0</v>
      </c>
      <c r="BI96" s="474">
        <f>IF($AO96=0,0,IF(J96&lt;=fp,2,(ROUNDUP(J96/fp,0))))*Q96</f>
        <v>0</v>
      </c>
      <c r="BJ96" s="166">
        <f>IF($AN96=0,0,1)*Q96</f>
        <v>0</v>
      </c>
      <c r="BK96" s="474">
        <f t="shared" si="83"/>
        <v>9.8800000000000008</v>
      </c>
      <c r="BL96" s="474">
        <f t="shared" si="84"/>
        <v>0.25600000000000001</v>
      </c>
      <c r="BM96" s="474">
        <f>IF(R96=0,0,((2*((J96+tol_p)+(L96+tol_p))*Q96)/1000))</f>
        <v>20.271999999999998</v>
      </c>
      <c r="BN96" s="166">
        <f>((J96*L96)/1000000)*Q96</f>
        <v>0.23327999999999999</v>
      </c>
      <c r="BO96" s="166" t="str">
        <f>CONCATENATE(R96,"_",S96)</f>
        <v>Ply_18</v>
      </c>
      <c r="BP96" s="204" t="str">
        <f>CONCATENATE(R96," ",S96," ",AY96)</f>
        <v>Ply 18 Duco_1mk_Polos</v>
      </c>
      <c r="BQ96" s="475">
        <f>((J96*L96*Q96)/(2400*1200))+10%</f>
        <v>0.18099999999999999</v>
      </c>
      <c r="BR96" s="205">
        <f>IFERROR(INDEX((std_jml_anodize_per_uk),MATCH($H96,Prt,0)),"")</f>
        <v>0</v>
      </c>
      <c r="BS96" s="509">
        <f t="shared" si="85"/>
        <v>0</v>
      </c>
      <c r="BT96" s="509">
        <f t="shared" si="86"/>
        <v>0</v>
      </c>
      <c r="BU96" s="459">
        <f t="shared" si="93"/>
        <v>0</v>
      </c>
      <c r="BV96" s="459">
        <f t="shared" si="93"/>
        <v>0</v>
      </c>
      <c r="BW96" s="1">
        <f>+((J96*L96)*Q96)/1000000</f>
        <v>0.23327999999999999</v>
      </c>
      <c r="BX96" s="1">
        <f>+((J96*L96*N96)*Q96)/1000000000</f>
        <v>4.3156799999999997E-3</v>
      </c>
      <c r="BY96" s="546" t="str">
        <f t="shared" si="87"/>
        <v/>
      </c>
      <c r="BZ96" s="546" t="str">
        <f t="shared" si="88"/>
        <v/>
      </c>
      <c r="CA96" s="546" t="str">
        <f t="shared" si="89"/>
        <v/>
      </c>
      <c r="CB96" s="546" t="str">
        <f t="shared" si="90"/>
        <v/>
      </c>
      <c r="CC96" s="728" t="str">
        <f>IFERROR((J96-CA96-CB96),"")</f>
        <v/>
      </c>
      <c r="CD96" s="728" t="str">
        <f>IFERROR((L96-BY96-BZ96),"")</f>
        <v/>
      </c>
      <c r="CE96" s="170" t="str">
        <f>IFERROR((CONCATENATE(CC96," ","x"," ",CD96," ","x"," ",N96)),"")</f>
        <v xml:space="preserve"> x  x 18,5</v>
      </c>
      <c r="CF96" t="str">
        <f>IF(F96=1,(CONCATENATE(J96,";",L96,";",Q96,";",BP96,";",N96,";",H96,";","-1",";",AF96,";",CA96,";",AG96,";",CB96,";",AD96,";",BY96,";",AE96,";",BZ96))," ")</f>
        <v>2430;24;4;Ply 18 Duco_1mk_Polos;18,5;End Panel Rangka;-1; ;; ;; ;; ;</v>
      </c>
    </row>
    <row r="97" spans="1:84" customFormat="1">
      <c r="A97" s="701" t="str">
        <f>IFERROR(INDEX((ID),MATCH(H97,BARANG,0)),"…")</f>
        <v>…</v>
      </c>
      <c r="B97" s="447" t="str">
        <f t="shared" si="72"/>
        <v>pintu</v>
      </c>
      <c r="C97" s="161" t="s">
        <v>1472</v>
      </c>
      <c r="D97" s="162" t="str">
        <f>IFERROR(INDEX((KS),MATCH($H97,Prt,0)),"")</f>
        <v>KS</v>
      </c>
      <c r="E97" s="1" t="s">
        <v>2166</v>
      </c>
      <c r="F97" s="811">
        <f t="shared" si="73"/>
        <v>1</v>
      </c>
      <c r="G97" s="440" t="str">
        <f t="shared" si="74"/>
        <v>...</v>
      </c>
      <c r="H97" s="1" t="s">
        <v>1833</v>
      </c>
      <c r="I97" s="55"/>
      <c r="J97" s="170">
        <v>2430</v>
      </c>
      <c r="K97" s="1" t="s">
        <v>2137</v>
      </c>
      <c r="L97" s="170">
        <v>100</v>
      </c>
      <c r="M97" s="1" t="s">
        <v>2137</v>
      </c>
      <c r="N97" s="458">
        <f>+(S97+W97+Y97)</f>
        <v>18.5</v>
      </c>
      <c r="O97" s="170" t="str">
        <f>CONCATENATE(J97," ",K97," ",L97," ",M97," ",N97)</f>
        <v>2430 x 100 x 18,5</v>
      </c>
      <c r="P97" s="441">
        <v>1</v>
      </c>
      <c r="Q97" s="55">
        <f>+P97*Q94</f>
        <v>1</v>
      </c>
      <c r="R97" s="177" t="str">
        <f>IFERROR(INDEX((std_bhn_prt),MATCH($H97,Prt,0)),"")</f>
        <v>Ply</v>
      </c>
      <c r="S97" s="454">
        <v>18</v>
      </c>
      <c r="T97" s="178">
        <v>7</v>
      </c>
      <c r="U97" s="178">
        <f>INDEX((std_lapisan_dalam_prt),MATCH($H97,Prt,0))</f>
        <v>0</v>
      </c>
      <c r="V97" s="179" t="str">
        <f>IFERROR(INDEX((tf),MATCH(T97,ctf,0)),"")</f>
        <v>Duco</v>
      </c>
      <c r="W97" s="180">
        <f>IFERROR(INDEX((tebal_lapisan),MATCH($V97,tf,0)),"")</f>
        <v>0.5</v>
      </c>
      <c r="X97" s="179" t="str">
        <f>IFERROR(INDEX((tf),MATCH(U97,ctf,0)),"")</f>
        <v>Polos</v>
      </c>
      <c r="Y97" s="180">
        <f>IFERROR(INDEX((tebal_lapisan),MATCH($X97,tf,0)),"")</f>
        <v>0</v>
      </c>
      <c r="Z97" s="178">
        <f>INDEX((std_edg_P1_prt),MATCH($H97,Prt,0))</f>
        <v>0</v>
      </c>
      <c r="AA97" s="178">
        <f>INDEX((std_edg_P2_prt),MATCH($H97,Prt,0))</f>
        <v>0</v>
      </c>
      <c r="AB97" s="178">
        <f>INDEX((std_edg_L1_prt),MATCH($H97,Prt,0))</f>
        <v>0</v>
      </c>
      <c r="AC97" s="178">
        <f>INDEX((std_edg_L2_prt),MATCH($H97,Prt,0))</f>
        <v>0</v>
      </c>
      <c r="AD97" s="182" t="str">
        <f t="shared" si="92"/>
        <v xml:space="preserve"> </v>
      </c>
      <c r="AE97" s="182" t="str">
        <f t="shared" si="92"/>
        <v xml:space="preserve"> </v>
      </c>
      <c r="AF97" s="182" t="str">
        <f t="shared" si="92"/>
        <v xml:space="preserve"> </v>
      </c>
      <c r="AG97" s="182" t="str">
        <f t="shared" si="92"/>
        <v xml:space="preserve"> </v>
      </c>
      <c r="AH97" s="401">
        <f>IFERROR(INDEX((std_profil3_prt),MATCH($H97,Prt,0)),"")</f>
        <v>0</v>
      </c>
      <c r="AI97" s="401">
        <f>IFERROR(INDEX((std_profil2_prt),MATCH($H97,Prt,0)),"")</f>
        <v>0</v>
      </c>
      <c r="AJ97" s="401">
        <f>IFERROR(INDEX((std_profil_prt),MATCH($H97,Prt,0)),"")</f>
        <v>0</v>
      </c>
      <c r="AK97" s="401">
        <f t="shared" si="76"/>
        <v>0</v>
      </c>
      <c r="AL97" s="401">
        <f t="shared" si="77"/>
        <v>0</v>
      </c>
      <c r="AM97" s="189"/>
      <c r="AN97" s="829">
        <f>IFERROR(INDEX((std_rel_prt),MATCH($H97,Prt,0)),"")</f>
        <v>0</v>
      </c>
      <c r="AO97" s="830">
        <f>IFERROR(INDEX((std_engsel_prt),MATCH($H97,Prt,0)),"")</f>
        <v>0</v>
      </c>
      <c r="AP97" s="401" t="str">
        <f t="shared" si="78"/>
        <v/>
      </c>
      <c r="AQ97" s="401" t="str">
        <f t="shared" si="79"/>
        <v/>
      </c>
      <c r="AR97" s="401"/>
      <c r="AS97" s="401">
        <f>IFERROR(INDEX((std_anodize_per_ukuran),MATCH($H97,Prt,0)),"")</f>
        <v>0</v>
      </c>
      <c r="AT97" s="403" t="str">
        <f>IF($AS97=edging7,L97,IF($AS97=edging8,L97,IF($AS97=edging9,L97,IF($AS97=Hand1,J96,IF($AS97=Hand2,L96,IF($AS97=hand3,"diisi manual",IF($AS97=hand4,"diisi manual",IF($AS97=hand5,"diisi manual",IF($AS97=mled02,J97,IF($AS97=mprf1,J97,IF($AS97=mlis1,J97,"")))))))))))</f>
        <v/>
      </c>
      <c r="AU97" s="403">
        <f>IF($AS97="","",Q97*BR97)</f>
        <v>0</v>
      </c>
      <c r="AV97" s="170"/>
      <c r="AW97" s="166" t="str">
        <f>CONCATENATE(VLOOKUP($V97,tabtf,2,0),VLOOKUP($X97,tabtf,2,0))</f>
        <v>123</v>
      </c>
      <c r="AX97" s="166" t="str">
        <f t="shared" si="80"/>
        <v>3333</v>
      </c>
      <c r="AY97" s="189" t="str">
        <f>IFERROR(VLOOKUP(AW97,descf,2,0),"")</f>
        <v>Duco_1mk_Polos</v>
      </c>
      <c r="AZ97" s="189" t="str">
        <f>IF($B97="alu",(VLOOKUP(AX97,descfr,2,0)),(VLOOKUP(AX97,desce,2,0)))</f>
        <v xml:space="preserve"> -</v>
      </c>
      <c r="BA97" s="196" t="str">
        <f>IF($R97=0,CONCATENATE(0,")"," ",$H97," ",$J97),CONCATENATE(VLOOKUP(H97,tabprt,2,0),")",$H97,"_",AY97))</f>
        <v>379)End Panel Rangka_Duco_1mk_Polos</v>
      </c>
      <c r="BB97" s="629" t="str">
        <f>IF($B97="…",CONCATENATE(0,$E97,")"," ",$H97),IF($B97="kc",CONCATENATE(VLOOKUP(H97,tabprt,2,0),")",$H97," ",$R97," ",$S97,"mm"," ","-"," "," ",";"," ",$AZ97,"  ",$I97),IF($B97="alu",CONCATENATE(VLOOKUP(H97,tabprt,2,0),")",$H97," ",$R97," ",$S97,"mm"," ","-"," "," ",";"," ",$AZ97,"  ",$I97),CONCATENATE(VLOOKUP(H97,tabprt,2,0),")",$H97," ",$R97," ",$S97,"mm"," ","-"," ",$AY97," ",";"," ",$AZ97,"  ",$I97))))</f>
        <v xml:space="preserve">379)End Panel Rangka Ply 18mm - Duco_1mk_Polos ;  -  </v>
      </c>
      <c r="BC97" s="190"/>
      <c r="BD97" s="510">
        <f t="shared" si="81"/>
        <v>0</v>
      </c>
      <c r="BE97" s="510">
        <f t="shared" si="82"/>
        <v>0</v>
      </c>
      <c r="BF97" s="177">
        <f>IFERROR(INDEX((std_j_sikufr_prt),MATCH($H97,Prt,0)),"")*Q97</f>
        <v>0</v>
      </c>
      <c r="BG97" s="177">
        <f>IFERROR(INDEX((std_j_screwjf_prt),MATCH($H97,Prt,0)),"")*Q97</f>
        <v>0</v>
      </c>
      <c r="BH97" s="166">
        <f>IF($AM97=0,0,1)*Q97</f>
        <v>0</v>
      </c>
      <c r="BI97" s="474">
        <f>IF($AO97=0,0,IF(J97&lt;=fp,2,(ROUNDUP(J97/fp,0))))*Q97</f>
        <v>0</v>
      </c>
      <c r="BJ97" s="166">
        <f>IF($AN97=0,0,1)*Q97</f>
        <v>0</v>
      </c>
      <c r="BK97" s="474">
        <f t="shared" si="83"/>
        <v>2.4700000000000002</v>
      </c>
      <c r="BL97" s="474">
        <f t="shared" si="84"/>
        <v>0.14000000000000001</v>
      </c>
      <c r="BM97" s="474">
        <f>IF(R97=0,0,((2*((J97+tol_p)+(L97+tol_p))*Q97)/1000))</f>
        <v>5.22</v>
      </c>
      <c r="BN97" s="166">
        <f>((J97*L97)/1000000)*Q97</f>
        <v>0.24299999999999999</v>
      </c>
      <c r="BO97" s="166" t="str">
        <f>CONCATENATE(R97,"_",S97)</f>
        <v>Ply_18</v>
      </c>
      <c r="BP97" s="204" t="str">
        <f>CONCATENATE(R97," ",S97," ",AY97)</f>
        <v>Ply 18 Duco_1mk_Polos</v>
      </c>
      <c r="BQ97" s="475">
        <f>((J97*L97*Q97)/(2400*1200))+10%</f>
        <v>0.18437500000000001</v>
      </c>
      <c r="BR97" s="205">
        <f>IFERROR(INDEX((std_jml_anodize_per_uk),MATCH($H97,Prt,0)),"")</f>
        <v>0</v>
      </c>
      <c r="BS97" s="509">
        <f t="shared" si="85"/>
        <v>0</v>
      </c>
      <c r="BT97" s="509">
        <f t="shared" si="86"/>
        <v>0</v>
      </c>
      <c r="BU97" s="459">
        <f t="shared" si="93"/>
        <v>0</v>
      </c>
      <c r="BV97" s="459">
        <f t="shared" si="93"/>
        <v>0</v>
      </c>
      <c r="BW97" s="1">
        <f>+((J97*L97)*Q97)/1000000</f>
        <v>0.24299999999999999</v>
      </c>
      <c r="BX97" s="1">
        <f>+((J97*L97*N97)*Q97)/1000000000</f>
        <v>4.4955000000000004E-3</v>
      </c>
      <c r="BY97" s="546" t="str">
        <f t="shared" si="87"/>
        <v/>
      </c>
      <c r="BZ97" s="546" t="str">
        <f t="shared" si="88"/>
        <v/>
      </c>
      <c r="CA97" s="546" t="str">
        <f t="shared" si="89"/>
        <v/>
      </c>
      <c r="CB97" s="546" t="str">
        <f t="shared" si="90"/>
        <v/>
      </c>
      <c r="CC97" s="728" t="str">
        <f>IFERROR((J97-CA97-CB97),"")</f>
        <v/>
      </c>
      <c r="CD97" s="728" t="str">
        <f>IFERROR((L97-BY97-BZ97),"")</f>
        <v/>
      </c>
      <c r="CE97" s="170" t="str">
        <f>IFERROR((CONCATENATE(CC97," ","x"," ",CD97," ","x"," ",N97)),"")</f>
        <v xml:space="preserve"> x  x 18,5</v>
      </c>
      <c r="CF97" t="str">
        <f>IF(F97=1,(CONCATENATE(J97,";",L97,";",Q97,";",BP97,";",N97,";",H97,";","-1",";",AF97,";",CA97,";",AG97,";",CB97,";",AD97,";",BY97,";",AE97,";",BZ97))," ")</f>
        <v>2430;100;1;Ply 18 Duco_1mk_Polos;18,5;End Panel Rangka;-1; ;; ;; ;; ;</v>
      </c>
    </row>
    <row r="98" spans="1:84" customFormat="1">
      <c r="A98" s="701" t="str">
        <f>IFERROR(INDEX((ID),MATCH(H98,BARANG,0)),"…")</f>
        <v>…</v>
      </c>
      <c r="B98" s="447" t="str">
        <f t="shared" si="72"/>
        <v>dc man</v>
      </c>
      <c r="C98" s="161" t="s">
        <v>1472</v>
      </c>
      <c r="D98" s="162" t="s">
        <v>1787</v>
      </c>
      <c r="E98" s="1" t="s">
        <v>2166</v>
      </c>
      <c r="F98" s="811">
        <f t="shared" si="73"/>
        <v>1</v>
      </c>
      <c r="G98" s="440" t="str">
        <f t="shared" si="74"/>
        <v>...</v>
      </c>
      <c r="H98" s="1" t="s">
        <v>3065</v>
      </c>
      <c r="I98" s="55"/>
      <c r="J98" s="170">
        <v>2430</v>
      </c>
      <c r="K98" s="1" t="s">
        <v>2137</v>
      </c>
      <c r="L98" s="170">
        <v>1220</v>
      </c>
      <c r="M98" s="1" t="s">
        <v>2137</v>
      </c>
      <c r="N98" s="458">
        <f>+(S98+W98+Y98)</f>
        <v>18.5</v>
      </c>
      <c r="O98" s="170" t="str">
        <f>CONCATENATE(J98," ",K98," ",L98," ",M98," ",N98)</f>
        <v>2430 x 1220 x 18,5</v>
      </c>
      <c r="P98" s="441">
        <v>1</v>
      </c>
      <c r="Q98" s="55">
        <f>+P98*Q94</f>
        <v>1</v>
      </c>
      <c r="R98" s="177" t="str">
        <f>IFERROR(INDEX((std_bhn_prt),MATCH($H98,Prt,0)),"")</f>
        <v>DXO_1338_D</v>
      </c>
      <c r="S98" s="454">
        <v>18</v>
      </c>
      <c r="T98" s="178">
        <v>7</v>
      </c>
      <c r="U98" s="178">
        <f>INDEX((std_lapisan_dalam_prt),MATCH($H98,Prt,0))</f>
        <v>0</v>
      </c>
      <c r="V98" s="179" t="str">
        <f>IFERROR(INDEX((tf),MATCH(T98,ctf,0)),"")</f>
        <v>Duco</v>
      </c>
      <c r="W98" s="180">
        <f>IFERROR(INDEX((tebal_lapisan),MATCH($V98,tf,0)),"")</f>
        <v>0.5</v>
      </c>
      <c r="X98" s="179" t="str">
        <f>IFERROR(INDEX((tf),MATCH(U98,ctf,0)),"")</f>
        <v>Polos</v>
      </c>
      <c r="Y98" s="180">
        <f>IFERROR(INDEX((tebal_lapisan),MATCH($X98,tf,0)),"")</f>
        <v>0</v>
      </c>
      <c r="Z98" s="178">
        <f>INDEX((std_edg_P1_prt),MATCH($H98,Prt,0))</f>
        <v>0</v>
      </c>
      <c r="AA98" s="178">
        <f>INDEX((std_edg_P2_prt),MATCH($H98,Prt,0))</f>
        <v>0</v>
      </c>
      <c r="AB98" s="178">
        <f>INDEX((std_edg_L1_prt),MATCH($H98,Prt,0))</f>
        <v>0</v>
      </c>
      <c r="AC98" s="178">
        <f>INDEX((std_edg_L2_prt),MATCH($H98,Prt,0))</f>
        <v>0</v>
      </c>
      <c r="AD98" s="182" t="str">
        <f t="shared" si="92"/>
        <v xml:space="preserve"> </v>
      </c>
      <c r="AE98" s="182" t="str">
        <f t="shared" si="92"/>
        <v xml:space="preserve"> </v>
      </c>
      <c r="AF98" s="182" t="str">
        <f t="shared" si="92"/>
        <v xml:space="preserve"> </v>
      </c>
      <c r="AG98" s="182" t="str">
        <f t="shared" si="92"/>
        <v xml:space="preserve"> </v>
      </c>
      <c r="AH98" s="401">
        <f>IFERROR(INDEX((std_profil3_prt),MATCH($H98,Prt,0)),"")</f>
        <v>0</v>
      </c>
      <c r="AI98" s="401">
        <f>IFERROR(INDEX((std_profil2_prt),MATCH($H98,Prt,0)),"")</f>
        <v>0</v>
      </c>
      <c r="AJ98" s="401">
        <f>IFERROR(INDEX((std_profil_prt),MATCH($H98,Prt,0)),"")</f>
        <v>0</v>
      </c>
      <c r="AK98" s="401">
        <f t="shared" si="76"/>
        <v>0</v>
      </c>
      <c r="AL98" s="401">
        <f t="shared" si="77"/>
        <v>0</v>
      </c>
      <c r="AM98" s="189"/>
      <c r="AN98" s="829">
        <f>IFERROR(INDEX((std_rel_prt),MATCH($H98,Prt,0)),"")</f>
        <v>0</v>
      </c>
      <c r="AO98" s="830">
        <f>IFERROR(INDEX((std_engsel_prt),MATCH($H98,Prt,0)),"")</f>
        <v>0</v>
      </c>
      <c r="AP98" s="401" t="str">
        <f t="shared" si="78"/>
        <v/>
      </c>
      <c r="AQ98" s="401" t="str">
        <f t="shared" si="79"/>
        <v/>
      </c>
      <c r="AR98" s="401"/>
      <c r="AS98" s="401">
        <f>IFERROR(INDEX((std_anodize_per_ukuran),MATCH($H98,Prt,0)),"")</f>
        <v>0</v>
      </c>
      <c r="AT98" s="403" t="str">
        <f>IF($AS98=edging7,L98,IF($AS98=edging8,L98,IF($AS98=edging9,L98,IF($AS98=Hand1,J97,IF($AS98=Hand2,L97,IF($AS98=hand3,"diisi manual",IF($AS98=hand4,"diisi manual",IF($AS98=hand5,"diisi manual",IF($AS98=mled02,J98,IF($AS98=mprf1,J98,IF($AS98=mlis1,J98,"")))))))))))</f>
        <v/>
      </c>
      <c r="AU98" s="403">
        <f>IF($AS98="","",Q98*BR98)</f>
        <v>0</v>
      </c>
      <c r="AV98" s="170"/>
      <c r="AW98" s="166" t="str">
        <f>CONCATENATE(VLOOKUP($V98,tabtf,2,0),VLOOKUP($X98,tabtf,2,0))</f>
        <v>123</v>
      </c>
      <c r="AX98" s="166" t="str">
        <f t="shared" si="80"/>
        <v>3333</v>
      </c>
      <c r="AY98" s="189" t="str">
        <f>IFERROR(VLOOKUP(AW98,descf,2,0),"")</f>
        <v>Duco_1mk_Polos</v>
      </c>
      <c r="AZ98" s="189" t="str">
        <f>IF($B98="alu",(VLOOKUP(AX98,descfr,2,0)),(VLOOKUP(AX98,desce,2,0)))</f>
        <v xml:space="preserve"> -</v>
      </c>
      <c r="BA98" s="196" t="str">
        <f>IF($R98=0,CONCATENATE(0,")"," ",$H98," ",$J98),CONCATENATE(VLOOKUP(H98,tabprt,2,0),")",$H98,"_",AY98))</f>
        <v>485)HPL Lembaran♦_Duco_1mk_Polos</v>
      </c>
      <c r="BB98" s="629" t="str">
        <f>IF($B98="…",CONCATENATE(0,$E98,")"," ",$H98),IF($B98="kc",CONCATENATE(VLOOKUP(H98,tabprt,2,0),")",$H98," ",$R98," ",$S98,"mm"," ","-"," "," ",";"," ",$AZ98,"  ",$I98),IF($B98="alu",CONCATENATE(VLOOKUP(H98,tabprt,2,0),")",$H98," ",$R98," ",$S98,"mm"," ","-"," "," ",";"," ",$AZ98,"  ",$I98),CONCATENATE(VLOOKUP(H98,tabprt,2,0),")",$H98," ",$R98," ",$S98,"mm"," ","-"," ",$AY98," ",";"," ",$AZ98,"  ",$I98))))</f>
        <v xml:space="preserve">485)HPL Lembaran♦ DXO_1338_D 18mm - Duco_1mk_Polos ;  -  </v>
      </c>
      <c r="BC98" s="190"/>
      <c r="BD98" s="510">
        <f t="shared" si="81"/>
        <v>0</v>
      </c>
      <c r="BE98" s="510">
        <f t="shared" si="82"/>
        <v>0</v>
      </c>
      <c r="BF98" s="177">
        <f>IFERROR(INDEX((std_j_sikufr_prt),MATCH($H98,Prt,0)),"")*Q98</f>
        <v>0</v>
      </c>
      <c r="BG98" s="177">
        <f>IFERROR(INDEX((std_j_screwjf_prt),MATCH($H98,Prt,0)),"")*Q98</f>
        <v>0</v>
      </c>
      <c r="BH98" s="166">
        <f>IF($AM98=0,0,1)*Q98</f>
        <v>0</v>
      </c>
      <c r="BI98" s="474">
        <f>IF($AO98=0,0,IF(J98&lt;=fp,2,(ROUNDUP(J98/fp,0))))*Q98</f>
        <v>0</v>
      </c>
      <c r="BJ98" s="166">
        <f>IF($AN98=0,0,1)*Q98</f>
        <v>0</v>
      </c>
      <c r="BK98" s="474">
        <f t="shared" si="83"/>
        <v>2.4700000000000002</v>
      </c>
      <c r="BL98" s="474">
        <f t="shared" si="84"/>
        <v>1.26</v>
      </c>
      <c r="BM98" s="474">
        <f>IF(R98=0,0,((2*((J98+tol_p)+(L98+tol_p))*Q98)/1000))</f>
        <v>7.46</v>
      </c>
      <c r="BN98" s="166">
        <f>((J98*L98)/1000000)*Q98</f>
        <v>2.9645999999999999</v>
      </c>
      <c r="BO98" s="166" t="str">
        <f>CONCATENATE(R98,"_",S98)</f>
        <v>DXO_1338_D_18</v>
      </c>
      <c r="BP98" s="204" t="str">
        <f>CONCATENATE(R98," ",S98," ",AY98)</f>
        <v>DXO_1338_D 18 Duco_1mk_Polos</v>
      </c>
      <c r="BQ98" s="475">
        <f>((J98*L98*Q98)/(2400*1200))+10%</f>
        <v>1.129375</v>
      </c>
      <c r="BR98" s="205">
        <f>IFERROR(INDEX((std_jml_anodize_per_uk),MATCH($H98,Prt,0)),"")</f>
        <v>0</v>
      </c>
      <c r="BS98" s="509">
        <f t="shared" si="85"/>
        <v>0</v>
      </c>
      <c r="BT98" s="509">
        <f t="shared" si="86"/>
        <v>0</v>
      </c>
      <c r="BU98" s="459">
        <f t="shared" si="93"/>
        <v>0</v>
      </c>
      <c r="BV98" s="459">
        <f t="shared" si="93"/>
        <v>0</v>
      </c>
      <c r="BW98" s="1">
        <f>+((J98*L98)*Q98)/1000000</f>
        <v>2.9645999999999999</v>
      </c>
      <c r="BX98" s="1">
        <f>+((J98*L98*N98)*Q98)/1000000000</f>
        <v>5.4845100000000001E-2</v>
      </c>
      <c r="BY98" s="546" t="str">
        <f t="shared" si="87"/>
        <v/>
      </c>
      <c r="BZ98" s="546" t="str">
        <f t="shared" si="88"/>
        <v/>
      </c>
      <c r="CA98" s="546" t="str">
        <f t="shared" si="89"/>
        <v/>
      </c>
      <c r="CB98" s="546" t="str">
        <f t="shared" si="90"/>
        <v/>
      </c>
      <c r="CC98" s="728" t="str">
        <f>IFERROR((J98-CA98-CB98),"")</f>
        <v/>
      </c>
      <c r="CD98" s="728" t="str">
        <f>IFERROR((L98-BY98-BZ98),"")</f>
        <v/>
      </c>
      <c r="CE98" s="170" t="str">
        <f>IFERROR((CONCATENATE(CC98," ","x"," ",CD98," ","x"," ",N98)),"")</f>
        <v xml:space="preserve"> x  x 18,5</v>
      </c>
      <c r="CF98" t="str">
        <f>IF(F98=1,(CONCATENATE(J98,";",L98,";",Q98,";",BP98,";",N98,";",H98,";","-1",";",AF98,";",CA98,";",AG98,";",CB98,";",AD98,";",BY98,";",AE98,";",BZ98))," ")</f>
        <v>2430;1220;1;DXO_1338_D 18 Duco_1mk_Polos;18,5;HPL Lembaran♦;-1; ;; ;; ;; ;</v>
      </c>
    </row>
    <row r="99" spans="1:84" customFormat="1">
      <c r="A99" s="701"/>
      <c r="B99" s="447"/>
      <c r="C99" s="161"/>
      <c r="D99" s="162"/>
      <c r="E99" s="1"/>
      <c r="F99" s="811"/>
      <c r="G99" s="440"/>
      <c r="H99" s="1"/>
      <c r="I99" s="55"/>
      <c r="J99" s="170"/>
      <c r="K99" s="1"/>
      <c r="L99" s="170"/>
      <c r="M99" s="1"/>
      <c r="N99" s="458"/>
      <c r="O99" s="170"/>
      <c r="P99" s="441"/>
      <c r="Q99" s="55"/>
      <c r="R99" s="177"/>
      <c r="S99" s="454"/>
      <c r="T99" s="178"/>
      <c r="U99" s="178"/>
      <c r="V99" s="179"/>
      <c r="W99" s="180"/>
      <c r="X99" s="179"/>
      <c r="Y99" s="180"/>
      <c r="Z99" s="178"/>
      <c r="AA99" s="178"/>
      <c r="AB99" s="178"/>
      <c r="AC99" s="178"/>
      <c r="AD99" s="182"/>
      <c r="AE99" s="182"/>
      <c r="AF99" s="182"/>
      <c r="AG99" s="182"/>
      <c r="AH99" s="401"/>
      <c r="AI99" s="401"/>
      <c r="AJ99" s="401"/>
      <c r="AK99" s="401"/>
      <c r="AL99" s="401"/>
      <c r="AM99" s="189"/>
      <c r="AN99" s="829"/>
      <c r="AO99" s="830"/>
      <c r="AP99" s="401"/>
      <c r="AQ99" s="401"/>
      <c r="AR99" s="401"/>
      <c r="AS99" s="401"/>
      <c r="AT99" s="403"/>
      <c r="AU99" s="403"/>
      <c r="AV99" s="170"/>
      <c r="AW99" s="166"/>
      <c r="AX99" s="166"/>
      <c r="AY99" s="189"/>
      <c r="AZ99" s="189"/>
      <c r="BA99" s="196"/>
      <c r="BB99" s="629"/>
      <c r="BC99" s="190"/>
      <c r="BD99" s="510"/>
      <c r="BE99" s="510"/>
      <c r="BF99" s="177"/>
      <c r="BG99" s="177"/>
      <c r="BH99" s="166"/>
      <c r="BI99" s="474"/>
      <c r="BJ99" s="166"/>
      <c r="BK99" s="474"/>
      <c r="BL99" s="474"/>
      <c r="BM99" s="474"/>
      <c r="BN99" s="166"/>
      <c r="BO99" s="166"/>
      <c r="BP99" s="204"/>
      <c r="BQ99" s="475"/>
      <c r="BR99" s="205"/>
      <c r="BS99" s="509"/>
      <c r="BT99" s="509"/>
      <c r="BU99" s="459"/>
      <c r="BV99" s="459"/>
      <c r="BW99" s="1"/>
      <c r="BX99" s="1"/>
      <c r="BY99" s="546"/>
      <c r="BZ99" s="546"/>
      <c r="CA99" s="546"/>
      <c r="CB99" s="546"/>
      <c r="CC99" s="728"/>
      <c r="CD99" s="728"/>
      <c r="CE99" s="170"/>
    </row>
    <row r="100" spans="1:84" customFormat="1">
      <c r="A100" s="701"/>
      <c r="B100" s="447"/>
      <c r="C100" s="161"/>
      <c r="D100" s="162"/>
      <c r="E100" s="1"/>
      <c r="F100" s="811"/>
      <c r="G100" s="440"/>
      <c r="H100" s="1"/>
      <c r="I100" s="55"/>
      <c r="J100" s="170"/>
      <c r="K100" s="1"/>
      <c r="L100" s="170"/>
      <c r="M100" s="1"/>
      <c r="N100" s="458"/>
      <c r="O100" s="170"/>
      <c r="P100" s="441"/>
      <c r="Q100" s="55"/>
      <c r="R100" s="177"/>
      <c r="S100" s="454"/>
      <c r="T100" s="178"/>
      <c r="U100" s="178"/>
      <c r="V100" s="179"/>
      <c r="W100" s="180"/>
      <c r="X100" s="179"/>
      <c r="Y100" s="180"/>
      <c r="Z100" s="178"/>
      <c r="AA100" s="178"/>
      <c r="AB100" s="178"/>
      <c r="AC100" s="178"/>
      <c r="AD100" s="182"/>
      <c r="AE100" s="182"/>
      <c r="AF100" s="182"/>
      <c r="AG100" s="182"/>
      <c r="AH100" s="401"/>
      <c r="AI100" s="401"/>
      <c r="AJ100" s="401"/>
      <c r="AK100" s="401"/>
      <c r="AL100" s="401"/>
      <c r="AM100" s="189"/>
      <c r="AN100" s="829"/>
      <c r="AO100" s="830"/>
      <c r="AP100" s="401"/>
      <c r="AQ100" s="401"/>
      <c r="AR100" s="401"/>
      <c r="AS100" s="401"/>
      <c r="AT100" s="403"/>
      <c r="AU100" s="403"/>
      <c r="AV100" s="170"/>
      <c r="AW100" s="166"/>
      <c r="AX100" s="166"/>
      <c r="AY100" s="189"/>
      <c r="AZ100" s="189"/>
      <c r="BA100" s="196"/>
      <c r="BB100" s="629"/>
      <c r="BC100" s="190"/>
      <c r="BD100" s="510"/>
      <c r="BE100" s="510"/>
      <c r="BF100" s="177"/>
      <c r="BG100" s="177"/>
      <c r="BH100" s="166"/>
      <c r="BI100" s="474"/>
      <c r="BJ100" s="166"/>
      <c r="BK100" s="474"/>
      <c r="BL100" s="474"/>
      <c r="BM100" s="474"/>
      <c r="BN100" s="166"/>
      <c r="BO100" s="166"/>
      <c r="BP100" s="204"/>
      <c r="BQ100" s="475"/>
      <c r="BR100" s="205"/>
      <c r="BS100" s="509"/>
      <c r="BT100" s="509"/>
      <c r="BU100" s="459"/>
      <c r="BV100" s="459"/>
      <c r="BW100" s="1"/>
      <c r="BX100" s="1"/>
      <c r="BY100" s="546"/>
      <c r="BZ100" s="546"/>
      <c r="CA100" s="546"/>
      <c r="CB100" s="546"/>
      <c r="CC100" s="728"/>
      <c r="CD100" s="728"/>
      <c r="CE100" s="170"/>
    </row>
    <row r="101" spans="1:84" customFormat="1">
      <c r="A101" s="701" t="str">
        <f>IFERROR(INDEX((ID),MATCH(H101,BARANG,0)),"…")</f>
        <v>…</v>
      </c>
      <c r="B101" s="447" t="str">
        <f t="shared" ref="B101:B110" si="94">IFERROR(INDEX((cprt),MATCH($H101,Prt,0)),"…")</f>
        <v>pintu</v>
      </c>
      <c r="C101" s="161" t="s">
        <v>1472</v>
      </c>
      <c r="D101" s="162" t="str">
        <f>IFERROR(INDEX((KS),MATCH($H101,Prt,0)),"")</f>
        <v>KS</v>
      </c>
      <c r="E101" s="1" t="s">
        <v>2625</v>
      </c>
      <c r="F101" s="811">
        <f t="shared" ref="F101:F110" si="95">IFERROR(INDEX((opt),MATCH($H101,Prt,0)),"")</f>
        <v>0</v>
      </c>
      <c r="G101" s="440" t="str">
        <f t="shared" ref="G101:G110" si="96">IFERROR(INDEX((no_ref),MATCH($H101,ref,0)),"...")</f>
        <v>••</v>
      </c>
      <c r="H101" s="1" t="s">
        <v>1607</v>
      </c>
      <c r="I101" s="55"/>
      <c r="J101" s="170">
        <f>900+750</f>
        <v>1650</v>
      </c>
      <c r="K101" s="1" t="s">
        <v>2137</v>
      </c>
      <c r="L101" s="170">
        <f>600+25+105</f>
        <v>730</v>
      </c>
      <c r="M101" s="1" t="s">
        <v>2137</v>
      </c>
      <c r="N101" s="458">
        <f>+(S101+W101+Y101)</f>
        <v>20</v>
      </c>
      <c r="O101" s="170" t="str">
        <f>CONCATENATE(J101," ",K101," ",L101," ",M101," ",N101)</f>
        <v>1650 x 730 x 20</v>
      </c>
      <c r="P101" s="441">
        <v>2</v>
      </c>
      <c r="Q101" s="55">
        <f>+P101</f>
        <v>2</v>
      </c>
      <c r="R101" s="177" t="str">
        <f>IFERROR(INDEX((std_bhn_prt),MATCH($H101,Prt,0)),"")</f>
        <v>Ply</v>
      </c>
      <c r="S101" s="454">
        <f>IFERROR(INDEX((std_Tbahan_prt),MATCH($H101,Prt,0)),"")</f>
        <v>18</v>
      </c>
      <c r="T101" s="178">
        <f>INDEX((std_lapisan_luar_prt),MATCH($H101,Prt,0))</f>
        <v>1</v>
      </c>
      <c r="U101" s="178">
        <f>INDEX((std_lapisan_dalam_prt),MATCH($H101,Prt,0))</f>
        <v>2</v>
      </c>
      <c r="V101" s="179" t="str">
        <f>IFERROR(INDEX((tf),MATCH(T101,ctf,0)),"")</f>
        <v>WY_5216_D(V)</v>
      </c>
      <c r="W101" s="180">
        <f>IFERROR(INDEX((tebal_lapisan),MATCH($V101,tf,0)),"")</f>
        <v>1</v>
      </c>
      <c r="X101" s="179" t="str">
        <f>IFERROR(INDEX((tf),MATCH(U101,ctf,0)),"")</f>
        <v>(WY_5216_D(V) rangka……+Aica)</v>
      </c>
      <c r="Y101" s="180">
        <f>IFERROR(INDEX((tebal_lapisan),MATCH($X101,tf,0)),"")</f>
        <v>1</v>
      </c>
      <c r="Z101" s="178">
        <f>INDEX((std_edg_P1_prt),MATCH($H101,Prt,0))</f>
        <v>1</v>
      </c>
      <c r="AA101" s="178">
        <f>INDEX((std_edg_P2_prt),MATCH($H101,Prt,0))</f>
        <v>1</v>
      </c>
      <c r="AB101" s="178">
        <f>INDEX((std_edg_L1_prt),MATCH($H101,Prt,0))</f>
        <v>1</v>
      </c>
      <c r="AC101" s="178">
        <f>INDEX((std_edg_L2_prt),MATCH($H101,Prt,0))</f>
        <v>1</v>
      </c>
      <c r="AD101" s="182" t="str">
        <f t="shared" ref="AD101:AG102" si="97">IF($B101="alu",(INDEX((Fr),MATCH(Z101,cfr,0))),INDEX((te),MATCH(Z101,cte,0)))</f>
        <v>Edg_EAW_5216D1</v>
      </c>
      <c r="AE101" s="182" t="str">
        <f t="shared" si="97"/>
        <v>Edg_EAW_5216D1</v>
      </c>
      <c r="AF101" s="182" t="str">
        <f t="shared" si="97"/>
        <v>Edg_EAW_5216D1</v>
      </c>
      <c r="AG101" s="182" t="str">
        <f t="shared" si="97"/>
        <v>Edg_EAW_5216D1</v>
      </c>
      <c r="AH101" s="401">
        <f>IFERROR(INDEX((std_profil3_prt),MATCH($H101,Prt,0)),"")</f>
        <v>0</v>
      </c>
      <c r="AI101" s="401">
        <f t="shared" ref="AI101:AI110" si="98">IFERROR(INDEX((std_profil2_prt),MATCH($H101,Prt,0)),"")</f>
        <v>0</v>
      </c>
      <c r="AJ101" s="401">
        <f>IFERROR(INDEX((std_profil_prt),MATCH($H101,Prt,0)),"")</f>
        <v>0</v>
      </c>
      <c r="AK101" s="401">
        <f t="shared" ref="AK101:AK110" si="99">IFERROR(INDEX((std_siku_prt),MATCH($H101,Prt,0)),"")</f>
        <v>0</v>
      </c>
      <c r="AL101" s="401">
        <f t="shared" ref="AL101:AL110" si="100">IFERROR(INDEX((std_screw_prt),MATCH($H101,Prt,0)),"")</f>
        <v>0</v>
      </c>
      <c r="AM101" s="189"/>
      <c r="AN101" s="829">
        <f>IFERROR(INDEX((std_rel_prt),MATCH($H101,Prt,0)),"")</f>
        <v>0</v>
      </c>
      <c r="AO101" s="830">
        <f>IFERROR(INDEX((std_engsel_prt),MATCH($H101,Prt,0)),"")</f>
        <v>0</v>
      </c>
      <c r="AP101" s="401" t="str">
        <f t="shared" ref="AP101:AP110" si="101">IFERROR(INDEX((std_anodizev_proses),MATCH($I101,pk,0)),"")</f>
        <v/>
      </c>
      <c r="AQ101" s="401" t="str">
        <f t="shared" ref="AQ101:AQ110" si="102">IFERROR(INDEX((std_anodizev2_proses),MATCH($I101,pk,0)),"")</f>
        <v/>
      </c>
      <c r="AR101" s="401" t="str">
        <f t="shared" ref="AR101:AR110" si="103">IFERROR(INDEX((std_anodizeh_proses),MATCH($I101,pk,0)),"")</f>
        <v/>
      </c>
      <c r="AS101" s="401">
        <f>IFERROR(INDEX((std_anodize_per_ukuran),MATCH($H101,Prt,0)),"")</f>
        <v>0</v>
      </c>
      <c r="AT101" s="403" t="str">
        <f>IF($AS101=edging7,L101,IF($AS101=edging8,L101,IF($AS101=edging9,L101,IF($AS101=Hand1,J100,IF($AS101=Hand2,L100,IF($AS101=hand3,"diisi manual",IF($AS101=hand4,"diisi manual",IF($AS101=hand5,"diisi manual",IF($AS101=mled02,J101,IF($AS101=mprf1,J101,IF($AS101=mlis1,J101,"")))))))))))</f>
        <v/>
      </c>
      <c r="AU101" s="403">
        <f>IF($AS101="","",Q101*BR101)</f>
        <v>0</v>
      </c>
      <c r="AV101" s="170"/>
      <c r="AW101" s="166" t="str">
        <f>CONCATENATE(VLOOKUP($V101,tabtf,2,0),VLOOKUP($X101,tabtf,2,0))</f>
        <v>14</v>
      </c>
      <c r="AX101" s="166" t="str">
        <f t="shared" ref="AX101:AX110" si="104">IF($B101="alu",(CONCATENATE(VLOOKUP($AD101,tabfr,2,0),VLOOKUP($AE101,tabfr,2,0),VLOOKUP($AF101,tabfr,2,0),VLOOKUP($AG101,tabfr,2,0))),(CONCATENATE(VLOOKUP($AD101,tabte,2,0),VLOOKUP($AE101,tabte,2,0),VLOOKUP($AF101,tabte,2,0),VLOOKUP($AG101,tabte,2,0))))</f>
        <v>4444</v>
      </c>
      <c r="AY101" s="189" t="str">
        <f>IFERROR(VLOOKUP(AW101,descf,2,0),"")</f>
        <v>WY_5216_D(V)_Full 1mk (WY_5216_D(V) rangka……+Aica)</v>
      </c>
      <c r="AZ101" s="189" t="str">
        <f>IF($B101="alu",(VLOOKUP(AX101,descfr,2,0)),(VLOOKUP(AX101,desce,2,0)))</f>
        <v>Edg_EAW_5216D1_Keliling</v>
      </c>
      <c r="BA101" s="196" t="str">
        <f>IF($R101=0,CONCATENATE(0,")"," ",$H101," ",$J101),CONCATENATE(VLOOKUP(H101,tabprt,2,0),")",$H101,"_",AY101))</f>
        <v>369)End Panel_WY_5216_D(V)_Full 1mk (WY_5216_D(V) rangka……+Aica)</v>
      </c>
      <c r="BB101" s="629" t="str">
        <f>IF($B101="…",CONCATENATE(0,$E101,")"," ",$H101),IF($B101="kc",CONCATENATE(VLOOKUP(H101,tabprt,2,0),")",$H101," ",$R101," ",$S101,"mm"," ","-"," "," ",";"," ",$AZ101,"  ",$I101),IF($B101="alu",CONCATENATE(VLOOKUP(H101,tabprt,2,0),")",$H101," ",$R101," ",$S101,"mm"," ","-"," "," ",";"," ",$AZ101,"  ",$I101),CONCATENATE(VLOOKUP(H101,tabprt,2,0),")",$H101," ",$R101," ",$S101,"mm"," ","-"," ",$AY101," ",";"," ",$AZ101,"  ",$I101))))</f>
        <v xml:space="preserve">369)End Panel Ply 18mm - WY_5216_D(V)_Full 1mk (WY_5216_D(V) rangka……+Aica) ; Edg_EAW_5216D1_Keliling  </v>
      </c>
      <c r="BC101" s="190"/>
      <c r="BD101" s="510">
        <f t="shared" ref="BD101:BD110" si="105">IFERROR(INDEX((std_minifix_prt),MATCH($H101,Prt,0)),"")</f>
        <v>0</v>
      </c>
      <c r="BE101" s="510">
        <f t="shared" ref="BE101:BE110" si="106">IFERROR(INDEX((std_dowel_prt),MATCH($H101,Prt,0)),"")</f>
        <v>0</v>
      </c>
      <c r="BF101" s="177">
        <f>IFERROR(INDEX((std_j_sikufr_prt),MATCH($H101,Prt,0)),"")*Q101</f>
        <v>0</v>
      </c>
      <c r="BG101" s="177">
        <f>IFERROR(INDEX((std_j_screwjf_prt),MATCH($H101,Prt,0)),"")*Q101</f>
        <v>0</v>
      </c>
      <c r="BH101" s="166">
        <f>IF($AM101=0,0,1)*Q101</f>
        <v>0</v>
      </c>
      <c r="BI101" s="474">
        <f>IF($AO101=0,0,IF(J101&lt;=fp,2,(ROUNDUP(J101/fp,0))))*Q101</f>
        <v>0</v>
      </c>
      <c r="BJ101" s="166">
        <f>IF($AN101=0,0,1)*Q101</f>
        <v>0</v>
      </c>
      <c r="BK101" s="474">
        <f t="shared" ref="BK101:BK110" si="107">(($J101+tol_p)*$Q101)/1000</f>
        <v>3.38</v>
      </c>
      <c r="BL101" s="474">
        <f t="shared" ref="BL101:BL110" si="108">(($L101+tol_p)*$Q101)/1000</f>
        <v>1.54</v>
      </c>
      <c r="BM101" s="474">
        <f>IF(R101=0,0,((2*((J101+tol_p)+(L101+tol_p))*Q101)/1000))</f>
        <v>9.84</v>
      </c>
      <c r="BN101" s="166">
        <f>((J101*L101)/1000000)*Q101</f>
        <v>2.4089999999999998</v>
      </c>
      <c r="BO101" s="166" t="str">
        <f>CONCATENATE(R101,"_",S101)</f>
        <v>Ply_18</v>
      </c>
      <c r="BP101" s="204" t="str">
        <f>CONCATENATE(R101," ",S101," ",AY101)</f>
        <v>Ply 18 WY_5216_D(V)_Full 1mk (WY_5216_D(V) rangka……+Aica)</v>
      </c>
      <c r="BQ101" s="475">
        <f>((J101*L101*Q101)/(2400*1200))+10%</f>
        <v>0.93645833333333328</v>
      </c>
      <c r="BR101" s="205">
        <f>IFERROR(INDEX((std_jml_anodize_per_uk),MATCH($H101,Prt,0)),"")</f>
        <v>0</v>
      </c>
      <c r="BS101" s="509">
        <f t="shared" ref="BS101:BS110" si="109">IF($BD101=0,0,IF($L101&lt;150,2,((ROUNDUP($L101/fm,0)*2))))*$Q101</f>
        <v>0</v>
      </c>
      <c r="BT101" s="509">
        <f t="shared" ref="BT101:BT110" si="110">IF($BE101=0,0,IF($L101&lt;150,2,((ROUNDUP($L101/fd,0)*2))))*$Q101</f>
        <v>0</v>
      </c>
      <c r="BU101" s="459">
        <f>BF101*$Q101</f>
        <v>0</v>
      </c>
      <c r="BV101" s="459">
        <f>BG101*$Q101</f>
        <v>0</v>
      </c>
      <c r="BW101" s="1">
        <f>+((J101*L101)*Q101)/1000000</f>
        <v>2.4089999999999998</v>
      </c>
      <c r="BX101" s="1">
        <f>+((J101*L101*N101)*Q101)/1000000000</f>
        <v>4.8180000000000001E-2</v>
      </c>
      <c r="BY101" s="546" t="str">
        <f t="shared" ref="BY101:BY110" si="111">IFERROR(INDEX((tbl_edg),MATCH($AD101,Edg,0)),"")</f>
        <v/>
      </c>
      <c r="BZ101" s="546" t="str">
        <f t="shared" ref="BZ101:BZ110" si="112">IFERROR(INDEX((tbl_edg),MATCH($AE101,Edg,0)),"")</f>
        <v/>
      </c>
      <c r="CA101" s="546" t="str">
        <f t="shared" ref="CA101:CA110" si="113">IFERROR(INDEX((tbl_edg),MATCH($AF101,Edg,0)),"")</f>
        <v/>
      </c>
      <c r="CB101" s="546" t="str">
        <f t="shared" ref="CB101:CB110" si="114">IFERROR(INDEX((tbl_edg),MATCH($AG101,Edg,0)),"")</f>
        <v/>
      </c>
      <c r="CC101" s="728" t="str">
        <f>IFERROR((J101-CA101-CB101),"")</f>
        <v/>
      </c>
      <c r="CD101" s="728" t="str">
        <f>IFERROR((L101-BY101-BZ101),"")</f>
        <v/>
      </c>
      <c r="CE101" s="170" t="str">
        <f>IFERROR((CONCATENATE(CC101," ","x"," ",CD101," ","x"," ",N101)),"")</f>
        <v xml:space="preserve"> x  x 20</v>
      </c>
      <c r="CF101" t="str">
        <f>IF(F101=1,(CONCATENATE(J101,";",L101,";",Q101,";",BP101,";",N101,";",H101,";","-1",";",AF101,";",CA101,";",AG101,";",CB101,";",AD101,";",BY101,";",AE101,";",BZ101))," ")</f>
        <v xml:space="preserve"> </v>
      </c>
    </row>
    <row r="102" spans="1:84" customFormat="1">
      <c r="A102" s="701" t="str">
        <f>IFERROR(INDEX((ID),MATCH(H102,BARANG,0)),"…")</f>
        <v>…</v>
      </c>
      <c r="B102" s="447" t="str">
        <f t="shared" si="94"/>
        <v>pintu</v>
      </c>
      <c r="C102" s="161" t="s">
        <v>1472</v>
      </c>
      <c r="D102" s="162" t="str">
        <f>IFERROR(INDEX((KS),MATCH($H102,Prt,0)),"")</f>
        <v>KS</v>
      </c>
      <c r="E102" s="1" t="s">
        <v>2625</v>
      </c>
      <c r="F102" s="811">
        <f t="shared" si="95"/>
        <v>0</v>
      </c>
      <c r="G102" s="440" t="str">
        <f t="shared" si="96"/>
        <v>••</v>
      </c>
      <c r="H102" s="1" t="s">
        <v>1607</v>
      </c>
      <c r="I102" s="55"/>
      <c r="J102" s="170">
        <f>20+1190+30+500+100</f>
        <v>1840</v>
      </c>
      <c r="K102" s="1" t="s">
        <v>2137</v>
      </c>
      <c r="L102" s="170">
        <f>600+25+105</f>
        <v>730</v>
      </c>
      <c r="M102" s="1" t="s">
        <v>2137</v>
      </c>
      <c r="N102" s="458">
        <f>+(S102+W102+Y102)</f>
        <v>20</v>
      </c>
      <c r="O102" s="170" t="str">
        <f>CONCATENATE(J102," ",K102," ",L102," ",M102," ",N102)</f>
        <v>1840 x 730 x 20</v>
      </c>
      <c r="P102" s="441">
        <v>2</v>
      </c>
      <c r="Q102" s="55">
        <f>+P102</f>
        <v>2</v>
      </c>
      <c r="R102" s="177" t="str">
        <f>IFERROR(INDEX((std_bhn_prt),MATCH($H102,Prt,0)),"")</f>
        <v>Ply</v>
      </c>
      <c r="S102" s="454">
        <f>IFERROR(INDEX((std_Tbahan_prt),MATCH($H102,Prt,0)),"")</f>
        <v>18</v>
      </c>
      <c r="T102" s="178">
        <f>INDEX((std_lapisan_luar_prt),MATCH($H102,Prt,0))</f>
        <v>1</v>
      </c>
      <c r="U102" s="178">
        <f>INDEX((std_lapisan_dalam_prt),MATCH($H102,Prt,0))</f>
        <v>2</v>
      </c>
      <c r="V102" s="179" t="str">
        <f>IFERROR(INDEX((tf),MATCH(T102,ctf,0)),"")</f>
        <v>WY_5216_D(V)</v>
      </c>
      <c r="W102" s="180">
        <f>IFERROR(INDEX((tebal_lapisan),MATCH($V102,tf,0)),"")</f>
        <v>1</v>
      </c>
      <c r="X102" s="179" t="str">
        <f>IFERROR(INDEX((tf),MATCH(U102,ctf,0)),"")</f>
        <v>(WY_5216_D(V) rangka……+Aica)</v>
      </c>
      <c r="Y102" s="180">
        <f>IFERROR(INDEX((tebal_lapisan),MATCH($X102,tf,0)),"")</f>
        <v>1</v>
      </c>
      <c r="Z102" s="178">
        <f>INDEX((std_edg_P1_prt),MATCH($H102,Prt,0))</f>
        <v>1</v>
      </c>
      <c r="AA102" s="178">
        <f>INDEX((std_edg_P2_prt),MATCH($H102,Prt,0))</f>
        <v>1</v>
      </c>
      <c r="AB102" s="178">
        <f>INDEX((std_edg_L1_prt),MATCH($H102,Prt,0))</f>
        <v>1</v>
      </c>
      <c r="AC102" s="178">
        <f>INDEX((std_edg_L2_prt),MATCH($H102,Prt,0))</f>
        <v>1</v>
      </c>
      <c r="AD102" s="182" t="str">
        <f t="shared" si="97"/>
        <v>Edg_EAW_5216D1</v>
      </c>
      <c r="AE102" s="182" t="str">
        <f t="shared" si="97"/>
        <v>Edg_EAW_5216D1</v>
      </c>
      <c r="AF102" s="182" t="str">
        <f t="shared" si="97"/>
        <v>Edg_EAW_5216D1</v>
      </c>
      <c r="AG102" s="182" t="str">
        <f t="shared" si="97"/>
        <v>Edg_EAW_5216D1</v>
      </c>
      <c r="AH102" s="401">
        <f>IFERROR(INDEX((std_profil3_prt),MATCH($H102,Prt,0)),"")</f>
        <v>0</v>
      </c>
      <c r="AI102" s="401">
        <f t="shared" si="98"/>
        <v>0</v>
      </c>
      <c r="AJ102" s="401">
        <f>IFERROR(INDEX((std_profil_prt),MATCH($H102,Prt,0)),"")</f>
        <v>0</v>
      </c>
      <c r="AK102" s="401">
        <f t="shared" si="99"/>
        <v>0</v>
      </c>
      <c r="AL102" s="401">
        <f t="shared" si="100"/>
        <v>0</v>
      </c>
      <c r="AM102" s="189"/>
      <c r="AN102" s="829">
        <f>IFERROR(INDEX((std_rel_prt),MATCH($H102,Prt,0)),"")</f>
        <v>0</v>
      </c>
      <c r="AO102" s="830">
        <f>IFERROR(INDEX((std_engsel_prt),MATCH($H102,Prt,0)),"")</f>
        <v>0</v>
      </c>
      <c r="AP102" s="401" t="str">
        <f t="shared" si="101"/>
        <v/>
      </c>
      <c r="AQ102" s="401" t="str">
        <f t="shared" si="102"/>
        <v/>
      </c>
      <c r="AR102" s="401" t="str">
        <f t="shared" si="103"/>
        <v/>
      </c>
      <c r="AS102" s="401">
        <f>IFERROR(INDEX((std_anodize_per_ukuran),MATCH($H102,Prt,0)),"")</f>
        <v>0</v>
      </c>
      <c r="AT102" s="403" t="str">
        <f>IF($AS102=edging7,L102,IF($AS102=edging8,L102,IF($AS102=edging9,L102,IF($AS102=Hand1,J101,IF($AS102=Hand2,L101,IF($AS102=hand3,"diisi manual",IF($AS102=hand4,"diisi manual",IF($AS102=hand5,"diisi manual",IF($AS102=mled02,J102,IF($AS102=mprf1,J102,IF($AS102=mlis1,J102,"")))))))))))</f>
        <v/>
      </c>
      <c r="AU102" s="403">
        <f>IF($AS102="","",Q102*BR102)</f>
        <v>0</v>
      </c>
      <c r="AV102" s="170"/>
      <c r="AW102" s="166" t="str">
        <f>CONCATENATE(VLOOKUP($V102,tabtf,2,0),VLOOKUP($X102,tabtf,2,0))</f>
        <v>14</v>
      </c>
      <c r="AX102" s="166" t="str">
        <f t="shared" si="104"/>
        <v>4444</v>
      </c>
      <c r="AY102" s="189" t="str">
        <f>IFERROR(VLOOKUP(AW102,descf,2,0),"")</f>
        <v>WY_5216_D(V)_Full 1mk (WY_5216_D(V) rangka……+Aica)</v>
      </c>
      <c r="AZ102" s="189" t="str">
        <f>IF($B102="alu",(VLOOKUP(AX102,descfr,2,0)),(VLOOKUP(AX102,desce,2,0)))</f>
        <v>Edg_EAW_5216D1_Keliling</v>
      </c>
      <c r="BA102" s="196" t="str">
        <f>IF($R102=0,CONCATENATE(0,")"," ",$H102," ",$J102),CONCATENATE(VLOOKUP(H102,tabprt,2,0),")",$H102,"_",AY102))</f>
        <v>369)End Panel_WY_5216_D(V)_Full 1mk (WY_5216_D(V) rangka……+Aica)</v>
      </c>
      <c r="BB102" s="629" t="str">
        <f>IF($B102="…",CONCATENATE(0,$E102,")"," ",$H102),IF($B102="kc",CONCATENATE(VLOOKUP(H102,tabprt,2,0),")",$H102," ",$R102," ",$S102,"mm"," ","-"," "," ",";"," ",$AZ102,"  ",$I102),IF($B102="alu",CONCATENATE(VLOOKUP(H102,tabprt,2,0),")",$H102," ",$R102," ",$S102,"mm"," ","-"," "," ",";"," ",$AZ102,"  ",$I102),CONCATENATE(VLOOKUP(H102,tabprt,2,0),")",$H102," ",$R102," ",$S102,"mm"," ","-"," ",$AY102," ",";"," ",$AZ102,"  ",$I102))))</f>
        <v xml:space="preserve">369)End Panel Ply 18mm - WY_5216_D(V)_Full 1mk (WY_5216_D(V) rangka……+Aica) ; Edg_EAW_5216D1_Keliling  </v>
      </c>
      <c r="BC102" s="190"/>
      <c r="BD102" s="510">
        <f t="shared" si="105"/>
        <v>0</v>
      </c>
      <c r="BE102" s="510">
        <f t="shared" si="106"/>
        <v>0</v>
      </c>
      <c r="BF102" s="177">
        <f>IFERROR(INDEX((std_j_sikufr_prt),MATCH($H102,Prt,0)),"")*Q102</f>
        <v>0</v>
      </c>
      <c r="BG102" s="177">
        <f>IFERROR(INDEX((std_j_screwjf_prt),MATCH($H102,Prt,0)),"")*Q102</f>
        <v>0</v>
      </c>
      <c r="BH102" s="166">
        <f>IF($AM102=0,0,1)*Q102</f>
        <v>0</v>
      </c>
      <c r="BI102" s="474">
        <f>IF($AO102=0,0,IF(J102&lt;=fp,2,(ROUNDUP(J102/fp,0))))*Q102</f>
        <v>0</v>
      </c>
      <c r="BJ102" s="166">
        <f>IF($AN102=0,0,1)*Q102</f>
        <v>0</v>
      </c>
      <c r="BK102" s="474">
        <f t="shared" si="107"/>
        <v>3.76</v>
      </c>
      <c r="BL102" s="474">
        <f t="shared" si="108"/>
        <v>1.54</v>
      </c>
      <c r="BM102" s="474">
        <f>IF(R102=0,0,((2*((J102+tol_p)+(L102+tol_p))*Q102)/1000))</f>
        <v>10.6</v>
      </c>
      <c r="BN102" s="166">
        <f>((J102*L102)/1000000)*Q102</f>
        <v>2.6863999999999999</v>
      </c>
      <c r="BO102" s="166" t="str">
        <f>CONCATENATE(R102,"_",S102)</f>
        <v>Ply_18</v>
      </c>
      <c r="BP102" s="204" t="str">
        <f>CONCATENATE(R102," ",S102," ",AY102)</f>
        <v>Ply 18 WY_5216_D(V)_Full 1mk (WY_5216_D(V) rangka……+Aica)</v>
      </c>
      <c r="BQ102" s="475">
        <f>((J102*L102*Q102)/(2400*1200))+10%</f>
        <v>1.0327777777777778</v>
      </c>
      <c r="BR102" s="205">
        <f>IFERROR(INDEX((std_jml_anodize_per_uk),MATCH($H102,Prt,0)),"")</f>
        <v>0</v>
      </c>
      <c r="BS102" s="509">
        <f t="shared" si="109"/>
        <v>0</v>
      </c>
      <c r="BT102" s="509">
        <f t="shared" si="110"/>
        <v>0</v>
      </c>
      <c r="BU102" s="459">
        <f>BF102*$Q102</f>
        <v>0</v>
      </c>
      <c r="BV102" s="459">
        <f>BG102*$Q102</f>
        <v>0</v>
      </c>
      <c r="BW102" s="1">
        <f>+((J102*L102)*Q102)/1000000</f>
        <v>2.6863999999999999</v>
      </c>
      <c r="BX102" s="1">
        <f>+((J102*L102*N102)*Q102)/1000000000</f>
        <v>5.3727999999999998E-2</v>
      </c>
      <c r="BY102" s="546" t="str">
        <f t="shared" si="111"/>
        <v/>
      </c>
      <c r="BZ102" s="546" t="str">
        <f t="shared" si="112"/>
        <v/>
      </c>
      <c r="CA102" s="546" t="str">
        <f t="shared" si="113"/>
        <v/>
      </c>
      <c r="CB102" s="546" t="str">
        <f t="shared" si="114"/>
        <v/>
      </c>
      <c r="CC102" s="728" t="str">
        <f>IFERROR((J102-CA102-CB102),"")</f>
        <v/>
      </c>
      <c r="CD102" s="728" t="str">
        <f>IFERROR((L102-BY102-BZ102),"")</f>
        <v/>
      </c>
      <c r="CE102" s="170" t="str">
        <f>IFERROR((CONCATENATE(CC102," ","x"," ",CD102," ","x"," ",N102)),"")</f>
        <v xml:space="preserve"> x  x 20</v>
      </c>
      <c r="CF102" t="str">
        <f>IF(F102=1,(CONCATENATE(J102,";",L102,";",Q102,";",BP102,";",N102,";",H102,";","-1",";",AF102,";",CA102,";",AG102,";",CB102,";",AD102,";",BY102,";",AE102,";",BZ102))," ")</f>
        <v xml:space="preserve"> </v>
      </c>
    </row>
    <row r="103" spans="1:84" customFormat="1">
      <c r="A103" s="701"/>
      <c r="B103" s="447"/>
      <c r="C103" s="161"/>
      <c r="D103" s="162"/>
      <c r="E103" s="1"/>
      <c r="F103" s="811"/>
      <c r="G103" s="440"/>
      <c r="H103" s="1"/>
      <c r="I103" s="55"/>
      <c r="J103" s="170"/>
      <c r="K103" s="1"/>
      <c r="L103" s="170"/>
      <c r="M103" s="1"/>
      <c r="N103" s="458"/>
      <c r="O103" s="170"/>
      <c r="P103" s="441"/>
      <c r="Q103" s="55"/>
      <c r="R103" s="177"/>
      <c r="S103" s="454"/>
      <c r="T103" s="178"/>
      <c r="U103" s="178"/>
      <c r="V103" s="179"/>
      <c r="W103" s="180"/>
      <c r="X103" s="179"/>
      <c r="Y103" s="180"/>
      <c r="Z103" s="178"/>
      <c r="AA103" s="178"/>
      <c r="AB103" s="178"/>
      <c r="AC103" s="178"/>
      <c r="AD103" s="182"/>
      <c r="AE103" s="182"/>
      <c r="AF103" s="182"/>
      <c r="AG103" s="182"/>
      <c r="AH103" s="401"/>
      <c r="AI103" s="401"/>
      <c r="AJ103" s="401"/>
      <c r="AK103" s="401"/>
      <c r="AL103" s="401"/>
      <c r="AM103" s="189"/>
      <c r="AN103" s="829"/>
      <c r="AO103" s="830"/>
      <c r="AP103" s="401"/>
      <c r="AQ103" s="401"/>
      <c r="AR103" s="401"/>
      <c r="AS103" s="401"/>
      <c r="AT103" s="403"/>
      <c r="AU103" s="403"/>
      <c r="AV103" s="170"/>
      <c r="AW103" s="166"/>
      <c r="AX103" s="166"/>
      <c r="AY103" s="189"/>
      <c r="AZ103" s="189"/>
      <c r="BA103" s="196"/>
      <c r="BB103" s="629"/>
      <c r="BC103" s="190"/>
      <c r="BD103" s="510"/>
      <c r="BE103" s="510"/>
      <c r="BF103" s="177"/>
      <c r="BG103" s="177"/>
      <c r="BH103" s="166"/>
      <c r="BI103" s="474"/>
      <c r="BJ103" s="166"/>
      <c r="BK103" s="474"/>
      <c r="BL103" s="474"/>
      <c r="BM103" s="474"/>
      <c r="BN103" s="166"/>
      <c r="BO103" s="166"/>
      <c r="BP103" s="204"/>
      <c r="BQ103" s="475"/>
      <c r="BR103" s="205"/>
      <c r="BS103" s="509"/>
      <c r="BT103" s="509"/>
      <c r="BU103" s="459"/>
      <c r="BV103" s="459"/>
      <c r="BW103" s="1"/>
      <c r="BX103" s="1"/>
      <c r="BY103" s="546"/>
      <c r="BZ103" s="546"/>
      <c r="CA103" s="546"/>
      <c r="CB103" s="546"/>
      <c r="CC103" s="728"/>
      <c r="CD103" s="728"/>
      <c r="CE103" s="170"/>
    </row>
    <row r="104" spans="1:84" customFormat="1">
      <c r="A104" s="701" t="str">
        <f>IFERROR(INDEX((ID),MATCH(H104,BARANG,0)),"…")</f>
        <v>…</v>
      </c>
      <c r="B104" s="447" t="str">
        <f t="shared" si="94"/>
        <v>pintu</v>
      </c>
      <c r="C104" s="161" t="s">
        <v>1472</v>
      </c>
      <c r="D104" s="162" t="str">
        <f>IFERROR(INDEX((KS),MATCH($H104,Prt,0)),"")</f>
        <v>KS</v>
      </c>
      <c r="E104" s="1" t="s">
        <v>2166</v>
      </c>
      <c r="F104" s="811">
        <f t="shared" si="95"/>
        <v>0</v>
      </c>
      <c r="G104" s="440" t="str">
        <f t="shared" si="96"/>
        <v>•••</v>
      </c>
      <c r="H104" s="1" t="s">
        <v>3059</v>
      </c>
      <c r="I104" s="55"/>
      <c r="J104" s="170">
        <v>602</v>
      </c>
      <c r="K104" s="1" t="s">
        <v>2137</v>
      </c>
      <c r="L104" s="170">
        <v>50</v>
      </c>
      <c r="M104" s="1" t="s">
        <v>2137</v>
      </c>
      <c r="N104" s="458">
        <f>+(S104+W104+Y104)</f>
        <v>19.5</v>
      </c>
      <c r="O104" s="170" t="str">
        <f>CONCATENATE(J104," ",K104," ",L104," ",M104," ",N104)</f>
        <v>602 x 50 x 19,5</v>
      </c>
      <c r="P104" s="441">
        <v>2</v>
      </c>
      <c r="Q104" s="55">
        <f>+P104</f>
        <v>2</v>
      </c>
      <c r="R104" s="177" t="str">
        <f>IFERROR(INDEX((std_bhn_prt),MATCH($H104,Prt,0)),"")</f>
        <v>Ply</v>
      </c>
      <c r="S104" s="454">
        <f>IFERROR(INDEX((std_Tbahan_prt),MATCH($H104,Prt,0)),"")</f>
        <v>18</v>
      </c>
      <c r="T104" s="178">
        <f>INDEX((std_lapisan_luar_prt),MATCH($H104,Prt,0))</f>
        <v>1</v>
      </c>
      <c r="U104" s="178">
        <f>INDEX((std_lapisan_dalam_prt),MATCH($H104,Prt,0))</f>
        <v>11</v>
      </c>
      <c r="V104" s="179" t="str">
        <f>IFERROR(INDEX((tf),MATCH(T104,ctf,0)),"")</f>
        <v>WY_5216_D(V)</v>
      </c>
      <c r="W104" s="180">
        <f>IFERROR(INDEX((tebal_lapisan),MATCH($V104,tf,0)),"")</f>
        <v>1</v>
      </c>
      <c r="X104" s="179" t="str">
        <f>IFERROR(INDEX((tf),MATCH(U104,ctf,0)),"")</f>
        <v>HB_41130</v>
      </c>
      <c r="Y104" s="180">
        <f>IFERROR(INDEX((tebal_lapisan),MATCH($X104,tf,0)),"")</f>
        <v>0.5</v>
      </c>
      <c r="Z104" s="178">
        <f>INDEX((std_edg_P1_prt),MATCH($H104,Prt,0))</f>
        <v>1</v>
      </c>
      <c r="AA104" s="178">
        <f>INDEX((std_edg_P2_prt),MATCH($H104,Prt,0))</f>
        <v>1</v>
      </c>
      <c r="AB104" s="178">
        <f>INDEX((std_edg_L1_prt),MATCH($H104,Prt,0))</f>
        <v>0</v>
      </c>
      <c r="AC104" s="178">
        <f>INDEX((std_edg_L2_prt),MATCH($H104,Prt,0))</f>
        <v>0</v>
      </c>
      <c r="AD104" s="182" t="str">
        <f t="shared" ref="AD104:AG106" si="115">IF($B104="alu",(INDEX((Fr),MATCH(Z104,cfr,0))),INDEX((te),MATCH(Z104,cte,0)))</f>
        <v>Edg_EAW_5216D1</v>
      </c>
      <c r="AE104" s="182" t="str">
        <f t="shared" si="115"/>
        <v>Edg_EAW_5216D1</v>
      </c>
      <c r="AF104" s="182" t="str">
        <f t="shared" si="115"/>
        <v xml:space="preserve"> </v>
      </c>
      <c r="AG104" s="182" t="str">
        <f t="shared" si="115"/>
        <v xml:space="preserve"> </v>
      </c>
      <c r="AH104" s="401">
        <f>IFERROR(INDEX((std_profil3_prt),MATCH($H104,Prt,0)),"")</f>
        <v>0</v>
      </c>
      <c r="AI104" s="401">
        <f t="shared" si="98"/>
        <v>0</v>
      </c>
      <c r="AJ104" s="401">
        <f>IFERROR(INDEX((std_profil_prt),MATCH($H104,Prt,0)),"")</f>
        <v>0</v>
      </c>
      <c r="AK104" s="401">
        <f t="shared" si="99"/>
        <v>0</v>
      </c>
      <c r="AL104" s="401">
        <f t="shared" si="100"/>
        <v>0</v>
      </c>
      <c r="AM104" s="189"/>
      <c r="AN104" s="829">
        <f>IFERROR(INDEX((std_rel_prt),MATCH($H104,Prt,0)),"")</f>
        <v>0</v>
      </c>
      <c r="AO104" s="830">
        <f>IFERROR(INDEX((std_engsel_prt),MATCH($H104,Prt,0)),"")</f>
        <v>0</v>
      </c>
      <c r="AP104" s="401" t="str">
        <f t="shared" si="101"/>
        <v/>
      </c>
      <c r="AQ104" s="401" t="str">
        <f t="shared" si="102"/>
        <v/>
      </c>
      <c r="AR104" s="401" t="str">
        <f t="shared" si="103"/>
        <v/>
      </c>
      <c r="AS104" s="401">
        <f>IFERROR(INDEX((std_anodize_per_ukuran),MATCH($H104,Prt,0)),"")</f>
        <v>0</v>
      </c>
      <c r="AT104" s="403" t="str">
        <f>IF($AS104=edging7,L104,IF($AS104=edging8,L104,IF($AS104=edging9,L104,IF($AS104=Hand1,J103,IF($AS104=Hand2,L103,IF($AS104=hand3,"diisi manual",IF($AS104=hand4,"diisi manual",IF($AS104=hand5,"diisi manual",IF($AS104=mled02,J104,IF($AS104=mprf1,J104,IF($AS104=mlis1,J104,"")))))))))))</f>
        <v/>
      </c>
      <c r="AU104" s="403">
        <f>IF($AS104="","",Q104*BR104)</f>
        <v>0</v>
      </c>
      <c r="AV104" s="170"/>
      <c r="AW104" s="166" t="str">
        <f>CONCATENATE(VLOOKUP($V104,tabtf,2,0),VLOOKUP($X104,tabtf,2,0))</f>
        <v>12</v>
      </c>
      <c r="AX104" s="166" t="str">
        <f t="shared" si="104"/>
        <v>4433</v>
      </c>
      <c r="AY104" s="189" t="str">
        <f>IFERROR(VLOOKUP(AW104,descf,2,0),"")</f>
        <v>WY_5216_D(V)_+_HB_41130</v>
      </c>
      <c r="AZ104" s="189" t="str">
        <f>IF($B104="alu",(VLOOKUP(AX104,descfr,2,0)),(VLOOKUP(AX104,desce,2,0)))</f>
        <v>Edg_EAW_5216D1_2sisi_pjg</v>
      </c>
      <c r="BA104" s="196" t="str">
        <f>IF($R104=0,CONCATENATE(0,")"," ",$H104," ",$J104),CONCATENATE(VLOOKUP(H104,tabprt,2,0),")",$H104,"_",AY104))</f>
        <v>457)Palang tengah/nat handel│_WY_5216_D(V)_+_HB_41130</v>
      </c>
      <c r="BB104" s="629" t="str">
        <f>IF($B104="…",CONCATENATE(0,$E104,")"," ",$H104),IF($B104="kc",CONCATENATE(VLOOKUP(H104,tabprt,2,0),")",$H104," ",$R104," ",$S104,"mm"," ","-"," "," ",";"," ",$AZ104,"  ",$I104),IF($B104="alu",CONCATENATE(VLOOKUP(H104,tabprt,2,0),")",$H104," ",$R104," ",$S104,"mm"," ","-"," "," ",";"," ",$AZ104,"  ",$I104),CONCATENATE(VLOOKUP(H104,tabprt,2,0),")",$H104," ",$R104," ",$S104,"mm"," ","-"," ",$AY104," ",";"," ",$AZ104,"  ",$I104))))</f>
        <v xml:space="preserve">457)Palang tengah/nat handel│ Ply 18mm - WY_5216_D(V)_+_HB_41130 ; Edg_EAW_5216D1_2sisi_pjg  </v>
      </c>
      <c r="BC104" s="190"/>
      <c r="BD104" s="510">
        <f t="shared" si="105"/>
        <v>0</v>
      </c>
      <c r="BE104" s="510">
        <f t="shared" si="106"/>
        <v>0</v>
      </c>
      <c r="BF104" s="177">
        <f>IFERROR(INDEX((std_j_sikufr_prt),MATCH($H104,Prt,0)),"")*Q104</f>
        <v>0</v>
      </c>
      <c r="BG104" s="177">
        <f>IFERROR(INDEX((std_j_screwjf_prt),MATCH($H104,Prt,0)),"")*Q104</f>
        <v>0</v>
      </c>
      <c r="BH104" s="166">
        <f>IF($AM104=0,0,1)*Q104</f>
        <v>0</v>
      </c>
      <c r="BI104" s="474">
        <f>IF($AO104=0,0,IF(J104&lt;=fp,2,(ROUNDUP(J104/fp,0))))*Q104</f>
        <v>0</v>
      </c>
      <c r="BJ104" s="166">
        <f>IF($AN104=0,0,1)*Q104</f>
        <v>0</v>
      </c>
      <c r="BK104" s="474">
        <f t="shared" si="107"/>
        <v>1.284</v>
      </c>
      <c r="BL104" s="474">
        <f t="shared" si="108"/>
        <v>0.18</v>
      </c>
      <c r="BM104" s="474">
        <f>IF(R104=0,0,((2*((J104+tol_p)+(L104+tol_p))*Q104)/1000))</f>
        <v>2.9279999999999999</v>
      </c>
      <c r="BN104" s="166">
        <f>((J104*L104)/1000000)*Q104</f>
        <v>6.0199999999999997E-2</v>
      </c>
      <c r="BO104" s="166" t="str">
        <f>CONCATENATE(R104,"_",S104)</f>
        <v>Ply_18</v>
      </c>
      <c r="BP104" s="204" t="str">
        <f>CONCATENATE(R104," ",S104," ",AY104)</f>
        <v>Ply 18 WY_5216_D(V)_+_HB_41130</v>
      </c>
      <c r="BQ104" s="475">
        <f>((J104*L104*Q104)/(2400*1200))+10%</f>
        <v>0.12090277777777778</v>
      </c>
      <c r="BR104" s="205">
        <f>IFERROR(INDEX((std_jml_anodize_per_uk),MATCH($H104,Prt,0)),"")</f>
        <v>0</v>
      </c>
      <c r="BS104" s="509">
        <f t="shared" si="109"/>
        <v>0</v>
      </c>
      <c r="BT104" s="509">
        <f t="shared" si="110"/>
        <v>0</v>
      </c>
      <c r="BU104" s="459">
        <f t="shared" ref="BU104:BV106" si="116">BF104*$Q104</f>
        <v>0</v>
      </c>
      <c r="BV104" s="459">
        <f t="shared" si="116"/>
        <v>0</v>
      </c>
      <c r="BW104" s="1">
        <f>+((J104*L104)*Q104)/1000000</f>
        <v>6.0199999999999997E-2</v>
      </c>
      <c r="BX104" s="1">
        <f>+((J104*L104*N104)*Q104)/1000000000</f>
        <v>1.1739000000000001E-3</v>
      </c>
      <c r="BY104" s="546" t="str">
        <f t="shared" si="111"/>
        <v/>
      </c>
      <c r="BZ104" s="546" t="str">
        <f t="shared" si="112"/>
        <v/>
      </c>
      <c r="CA104" s="546" t="str">
        <f t="shared" si="113"/>
        <v/>
      </c>
      <c r="CB104" s="546" t="str">
        <f t="shared" si="114"/>
        <v/>
      </c>
      <c r="CC104" s="728" t="str">
        <f>IFERROR((J104-CA104-CB104),"")</f>
        <v/>
      </c>
      <c r="CD104" s="728" t="str">
        <f>IFERROR((L104-BY104-BZ104),"")</f>
        <v/>
      </c>
      <c r="CE104" s="170" t="str">
        <f>IFERROR((CONCATENATE(CC104," ","x"," ",CD104," ","x"," ",N104)),"")</f>
        <v xml:space="preserve"> x  x 19,5</v>
      </c>
      <c r="CF104" t="str">
        <f>IF(F104=1,(CONCATENATE(J104,";",L104,";",Q104,";",BP104,";",N104,";",H104,";","-1",";",AF104,";",CA104,";",AG104,";",CB104,";",AD104,";",BY104,";",AE104,";",BZ104))," ")</f>
        <v xml:space="preserve"> </v>
      </c>
    </row>
    <row r="105" spans="1:84" customFormat="1">
      <c r="A105" s="701" t="str">
        <f>IFERROR(INDEX((ID),MATCH(H105,BARANG,0)),"…")</f>
        <v>…</v>
      </c>
      <c r="B105" s="447" t="str">
        <f t="shared" si="94"/>
        <v>pintu</v>
      </c>
      <c r="C105" s="161" t="s">
        <v>1472</v>
      </c>
      <c r="D105" s="162" t="str">
        <f>IFERROR(INDEX((KS),MATCH($H105,Prt,0)),"")</f>
        <v>KS</v>
      </c>
      <c r="E105" s="1" t="s">
        <v>2166</v>
      </c>
      <c r="F105" s="811">
        <f t="shared" si="95"/>
        <v>0</v>
      </c>
      <c r="G105" s="440" t="str">
        <f t="shared" si="96"/>
        <v>•••</v>
      </c>
      <c r="H105" s="1" t="s">
        <v>3059</v>
      </c>
      <c r="I105" s="55"/>
      <c r="J105" s="170">
        <f>904+1004</f>
        <v>1908</v>
      </c>
      <c r="K105" s="1" t="s">
        <v>2137</v>
      </c>
      <c r="L105" s="170">
        <v>70</v>
      </c>
      <c r="M105" s="1" t="s">
        <v>2137</v>
      </c>
      <c r="N105" s="458">
        <f>+(S105+W105+Y105)</f>
        <v>19.5</v>
      </c>
      <c r="O105" s="170" t="str">
        <f>CONCATENATE(J105," ",K105," ",L105," ",M105," ",N105)</f>
        <v>1908 x 70 x 19,5</v>
      </c>
      <c r="P105" s="441">
        <v>1</v>
      </c>
      <c r="Q105" s="55">
        <f>+P105</f>
        <v>1</v>
      </c>
      <c r="R105" s="177" t="str">
        <f>IFERROR(INDEX((std_bhn_prt),MATCH($H105,Prt,0)),"")</f>
        <v>Ply</v>
      </c>
      <c r="S105" s="454">
        <f>IFERROR(INDEX((std_Tbahan_prt),MATCH($H105,Prt,0)),"")</f>
        <v>18</v>
      </c>
      <c r="T105" s="178">
        <f>INDEX((std_lapisan_luar_prt),MATCH($H105,Prt,0))</f>
        <v>1</v>
      </c>
      <c r="U105" s="178">
        <f>INDEX((std_lapisan_dalam_prt),MATCH($H105,Prt,0))</f>
        <v>11</v>
      </c>
      <c r="V105" s="179" t="str">
        <f>IFERROR(INDEX((tf),MATCH(T105,ctf,0)),"")</f>
        <v>WY_5216_D(V)</v>
      </c>
      <c r="W105" s="180">
        <f>IFERROR(INDEX((tebal_lapisan),MATCH($V105,tf,0)),"")</f>
        <v>1</v>
      </c>
      <c r="X105" s="179" t="str">
        <f>IFERROR(INDEX((tf),MATCH(U105,ctf,0)),"")</f>
        <v>HB_41130</v>
      </c>
      <c r="Y105" s="180">
        <f>IFERROR(INDEX((tebal_lapisan),MATCH($X105,tf,0)),"")</f>
        <v>0.5</v>
      </c>
      <c r="Z105" s="178">
        <f>INDEX((std_edg_P1_prt),MATCH($H105,Prt,0))</f>
        <v>1</v>
      </c>
      <c r="AA105" s="178">
        <f>INDEX((std_edg_P2_prt),MATCH($H105,Prt,0))</f>
        <v>1</v>
      </c>
      <c r="AB105" s="178">
        <f>INDEX((std_edg_L1_prt),MATCH($H105,Prt,0))</f>
        <v>0</v>
      </c>
      <c r="AC105" s="178">
        <f>INDEX((std_edg_L2_prt),MATCH($H105,Prt,0))</f>
        <v>0</v>
      </c>
      <c r="AD105" s="182" t="str">
        <f t="shared" si="115"/>
        <v>Edg_EAW_5216D1</v>
      </c>
      <c r="AE105" s="182" t="str">
        <f t="shared" si="115"/>
        <v>Edg_EAW_5216D1</v>
      </c>
      <c r="AF105" s="182" t="str">
        <f t="shared" si="115"/>
        <v xml:space="preserve"> </v>
      </c>
      <c r="AG105" s="182" t="str">
        <f t="shared" si="115"/>
        <v xml:space="preserve"> </v>
      </c>
      <c r="AH105" s="401">
        <f>IFERROR(INDEX((std_profil3_prt),MATCH($H105,Prt,0)),"")</f>
        <v>0</v>
      </c>
      <c r="AI105" s="401">
        <f t="shared" si="98"/>
        <v>0</v>
      </c>
      <c r="AJ105" s="401">
        <f>IFERROR(INDEX((std_profil_prt),MATCH($H105,Prt,0)),"")</f>
        <v>0</v>
      </c>
      <c r="AK105" s="401">
        <f t="shared" si="99"/>
        <v>0</v>
      </c>
      <c r="AL105" s="401">
        <f t="shared" si="100"/>
        <v>0</v>
      </c>
      <c r="AM105" s="189"/>
      <c r="AN105" s="829">
        <f>IFERROR(INDEX((std_rel_prt),MATCH($H105,Prt,0)),"")</f>
        <v>0</v>
      </c>
      <c r="AO105" s="830">
        <f>IFERROR(INDEX((std_engsel_prt),MATCH($H105,Prt,0)),"")</f>
        <v>0</v>
      </c>
      <c r="AP105" s="401" t="str">
        <f t="shared" si="101"/>
        <v/>
      </c>
      <c r="AQ105" s="401" t="str">
        <f t="shared" si="102"/>
        <v/>
      </c>
      <c r="AR105" s="401" t="str">
        <f t="shared" si="103"/>
        <v/>
      </c>
      <c r="AS105" s="401">
        <f>IFERROR(INDEX((std_anodize_per_ukuran),MATCH($H105,Prt,0)),"")</f>
        <v>0</v>
      </c>
      <c r="AT105" s="403" t="str">
        <f>IF($AS105=edging7,L105,IF($AS105=edging8,L105,IF($AS105=edging9,L105,IF($AS105=Hand1,J104,IF($AS105=Hand2,L104,IF($AS105=hand3,"diisi manual",IF($AS105=hand4,"diisi manual",IF($AS105=hand5,"diisi manual",IF($AS105=mled02,J105,IF($AS105=mprf1,J105,IF($AS105=mlis1,J105,"")))))))))))</f>
        <v/>
      </c>
      <c r="AU105" s="403">
        <f>IF($AS105="","",Q105*BR105)</f>
        <v>0</v>
      </c>
      <c r="AV105" s="170"/>
      <c r="AW105" s="166" t="str">
        <f>CONCATENATE(VLOOKUP($V105,tabtf,2,0),VLOOKUP($X105,tabtf,2,0))</f>
        <v>12</v>
      </c>
      <c r="AX105" s="166" t="str">
        <f t="shared" si="104"/>
        <v>4433</v>
      </c>
      <c r="AY105" s="189" t="str">
        <f>IFERROR(VLOOKUP(AW105,descf,2,0),"")</f>
        <v>WY_5216_D(V)_+_HB_41130</v>
      </c>
      <c r="AZ105" s="189" t="str">
        <f>IF($B105="alu",(VLOOKUP(AX105,descfr,2,0)),(VLOOKUP(AX105,desce,2,0)))</f>
        <v>Edg_EAW_5216D1_2sisi_pjg</v>
      </c>
      <c r="BA105" s="196" t="str">
        <f>IF($R105=0,CONCATENATE(0,")"," ",$H105," ",$J105),CONCATENATE(VLOOKUP(H105,tabprt,2,0),")",$H105,"_",AY105))</f>
        <v>457)Palang tengah/nat handel│_WY_5216_D(V)_+_HB_41130</v>
      </c>
      <c r="BB105" s="629" t="str">
        <f>IF($B105="…",CONCATENATE(0,$E105,")"," ",$H105),IF($B105="kc",CONCATENATE(VLOOKUP(H105,tabprt,2,0),")",$H105," ",$R105," ",$S105,"mm"," ","-"," "," ",";"," ",$AZ105,"  ",$I105),IF($B105="alu",CONCATENATE(VLOOKUP(H105,tabprt,2,0),")",$H105," ",$R105," ",$S105,"mm"," ","-"," "," ",";"," ",$AZ105,"  ",$I105),CONCATENATE(VLOOKUP(H105,tabprt,2,0),")",$H105," ",$R105," ",$S105,"mm"," ","-"," ",$AY105," ",";"," ",$AZ105,"  ",$I105))))</f>
        <v xml:space="preserve">457)Palang tengah/nat handel│ Ply 18mm - WY_5216_D(V)_+_HB_41130 ; Edg_EAW_5216D1_2sisi_pjg  </v>
      </c>
      <c r="BC105" s="190"/>
      <c r="BD105" s="510">
        <f t="shared" si="105"/>
        <v>0</v>
      </c>
      <c r="BE105" s="510">
        <f t="shared" si="106"/>
        <v>0</v>
      </c>
      <c r="BF105" s="177">
        <f>IFERROR(INDEX((std_j_sikufr_prt),MATCH($H105,Prt,0)),"")*Q105</f>
        <v>0</v>
      </c>
      <c r="BG105" s="177">
        <f>IFERROR(INDEX((std_j_screwjf_prt),MATCH($H105,Prt,0)),"")*Q105</f>
        <v>0</v>
      </c>
      <c r="BH105" s="166">
        <f>IF($AM105=0,0,1)*Q105</f>
        <v>0</v>
      </c>
      <c r="BI105" s="474">
        <f>IF($AO105=0,0,IF(J105&lt;=fp,2,(ROUNDUP(J105/fp,0))))*Q105</f>
        <v>0</v>
      </c>
      <c r="BJ105" s="166">
        <f>IF($AN105=0,0,1)*Q105</f>
        <v>0</v>
      </c>
      <c r="BK105" s="474">
        <f t="shared" si="107"/>
        <v>1.948</v>
      </c>
      <c r="BL105" s="474">
        <f t="shared" si="108"/>
        <v>0.11</v>
      </c>
      <c r="BM105" s="474">
        <f>IF(R105=0,0,((2*((J105+tol_p)+(L105+tol_p))*Q105)/1000))</f>
        <v>4.1159999999999997</v>
      </c>
      <c r="BN105" s="166">
        <f>((J105*L105)/1000000)*Q105</f>
        <v>0.13356000000000001</v>
      </c>
      <c r="BO105" s="166" t="str">
        <f>CONCATENATE(R105,"_",S105)</f>
        <v>Ply_18</v>
      </c>
      <c r="BP105" s="204" t="str">
        <f>CONCATENATE(R105," ",S105," ",AY105)</f>
        <v>Ply 18 WY_5216_D(V)_+_HB_41130</v>
      </c>
      <c r="BQ105" s="475">
        <f>((J105*L105*Q105)/(2400*1200))+10%</f>
        <v>0.14637500000000001</v>
      </c>
      <c r="BR105" s="205">
        <f>IFERROR(INDEX((std_jml_anodize_per_uk),MATCH($H105,Prt,0)),"")</f>
        <v>0</v>
      </c>
      <c r="BS105" s="509">
        <f t="shared" si="109"/>
        <v>0</v>
      </c>
      <c r="BT105" s="509">
        <f t="shared" si="110"/>
        <v>0</v>
      </c>
      <c r="BU105" s="459">
        <f t="shared" si="116"/>
        <v>0</v>
      </c>
      <c r="BV105" s="459">
        <f t="shared" si="116"/>
        <v>0</v>
      </c>
      <c r="BW105" s="1">
        <f>+((J105*L105)*Q105)/1000000</f>
        <v>0.13356000000000001</v>
      </c>
      <c r="BX105" s="1">
        <f>+((J105*L105*N105)*Q105)/1000000000</f>
        <v>2.6044200000000001E-3</v>
      </c>
      <c r="BY105" s="546" t="str">
        <f t="shared" si="111"/>
        <v/>
      </c>
      <c r="BZ105" s="546" t="str">
        <f t="shared" si="112"/>
        <v/>
      </c>
      <c r="CA105" s="546" t="str">
        <f t="shared" si="113"/>
        <v/>
      </c>
      <c r="CB105" s="546" t="str">
        <f t="shared" si="114"/>
        <v/>
      </c>
      <c r="CC105" s="728" t="str">
        <f>IFERROR((J105-CA105-CB105),"")</f>
        <v/>
      </c>
      <c r="CD105" s="728" t="str">
        <f>IFERROR((L105-BY105-BZ105),"")</f>
        <v/>
      </c>
      <c r="CE105" s="170" t="str">
        <f>IFERROR((CONCATENATE(CC105," ","x"," ",CD105," ","x"," ",N105)),"")</f>
        <v xml:space="preserve"> x  x 19,5</v>
      </c>
      <c r="CF105" t="str">
        <f>IF(F105=1,(CONCATENATE(J105,";",L105,";",Q105,";",BP105,";",N105,";",H105,";","-1",";",AF105,";",CA105,";",AG105,";",CB105,";",AD105,";",BY105,";",AE105,";",BZ105))," ")</f>
        <v xml:space="preserve"> </v>
      </c>
    </row>
    <row r="106" spans="1:84" customFormat="1">
      <c r="A106" s="701" t="str">
        <f>IFERROR(INDEX((ID),MATCH(H106,BARANG,0)),"…")</f>
        <v>…</v>
      </c>
      <c r="B106" s="447" t="str">
        <f t="shared" si="94"/>
        <v>pintu</v>
      </c>
      <c r="C106" s="161" t="s">
        <v>1472</v>
      </c>
      <c r="D106" s="162" t="str">
        <f>IFERROR(INDEX((KS),MATCH($H106,Prt,0)),"")</f>
        <v>KS</v>
      </c>
      <c r="E106" s="1" t="s">
        <v>2166</v>
      </c>
      <c r="F106" s="811">
        <f t="shared" si="95"/>
        <v>0</v>
      </c>
      <c r="G106" s="440" t="str">
        <f t="shared" si="96"/>
        <v>•••</v>
      </c>
      <c r="H106" s="1" t="s">
        <v>3059</v>
      </c>
      <c r="I106" s="55"/>
      <c r="J106" s="170">
        <v>2430</v>
      </c>
      <c r="K106" s="1" t="s">
        <v>2137</v>
      </c>
      <c r="L106" s="170">
        <v>50</v>
      </c>
      <c r="M106" s="1" t="s">
        <v>2137</v>
      </c>
      <c r="N106" s="458">
        <f>+(S106+W106+Y106)</f>
        <v>19.5</v>
      </c>
      <c r="O106" s="170" t="str">
        <f>CONCATENATE(J106," ",K106," ",L106," ",M106," ",N106)</f>
        <v>2430 x 50 x 19,5</v>
      </c>
      <c r="P106" s="441">
        <v>3</v>
      </c>
      <c r="Q106" s="55">
        <f>+P106</f>
        <v>3</v>
      </c>
      <c r="R106" s="177" t="str">
        <f>IFERROR(INDEX((std_bhn_prt),MATCH($H106,Prt,0)),"")</f>
        <v>Ply</v>
      </c>
      <c r="S106" s="454">
        <f>IFERROR(INDEX((std_Tbahan_prt),MATCH($H106,Prt,0)),"")</f>
        <v>18</v>
      </c>
      <c r="T106" s="178">
        <f>INDEX((std_lapisan_luar_prt),MATCH($H106,Prt,0))</f>
        <v>1</v>
      </c>
      <c r="U106" s="178">
        <f>INDEX((std_lapisan_dalam_prt),MATCH($H106,Prt,0))</f>
        <v>11</v>
      </c>
      <c r="V106" s="179" t="str">
        <f>IFERROR(INDEX((tf),MATCH(T106,ctf,0)),"")</f>
        <v>WY_5216_D(V)</v>
      </c>
      <c r="W106" s="180">
        <f>IFERROR(INDEX((tebal_lapisan),MATCH($V106,tf,0)),"")</f>
        <v>1</v>
      </c>
      <c r="X106" s="179" t="str">
        <f>IFERROR(INDEX((tf),MATCH(U106,ctf,0)),"")</f>
        <v>HB_41130</v>
      </c>
      <c r="Y106" s="180">
        <f>IFERROR(INDEX((tebal_lapisan),MATCH($X106,tf,0)),"")</f>
        <v>0.5</v>
      </c>
      <c r="Z106" s="178">
        <f>INDEX((std_edg_P1_prt),MATCH($H106,Prt,0))</f>
        <v>1</v>
      </c>
      <c r="AA106" s="178">
        <f>INDEX((std_edg_P2_prt),MATCH($H106,Prt,0))</f>
        <v>1</v>
      </c>
      <c r="AB106" s="178">
        <f>INDEX((std_edg_L1_prt),MATCH($H106,Prt,0))</f>
        <v>0</v>
      </c>
      <c r="AC106" s="178">
        <f>INDEX((std_edg_L2_prt),MATCH($H106,Prt,0))</f>
        <v>0</v>
      </c>
      <c r="AD106" s="182" t="str">
        <f t="shared" si="115"/>
        <v>Edg_EAW_5216D1</v>
      </c>
      <c r="AE106" s="182" t="str">
        <f t="shared" si="115"/>
        <v>Edg_EAW_5216D1</v>
      </c>
      <c r="AF106" s="182" t="str">
        <f t="shared" si="115"/>
        <v xml:space="preserve"> </v>
      </c>
      <c r="AG106" s="182" t="str">
        <f t="shared" si="115"/>
        <v xml:space="preserve"> </v>
      </c>
      <c r="AH106" s="401">
        <f>IFERROR(INDEX((std_profil3_prt),MATCH($H106,Prt,0)),"")</f>
        <v>0</v>
      </c>
      <c r="AI106" s="401">
        <f t="shared" si="98"/>
        <v>0</v>
      </c>
      <c r="AJ106" s="401">
        <f>IFERROR(INDEX((std_profil_prt),MATCH($H106,Prt,0)),"")</f>
        <v>0</v>
      </c>
      <c r="AK106" s="401">
        <f t="shared" si="99"/>
        <v>0</v>
      </c>
      <c r="AL106" s="401">
        <f t="shared" si="100"/>
        <v>0</v>
      </c>
      <c r="AM106" s="189"/>
      <c r="AN106" s="829">
        <f>IFERROR(INDEX((std_rel_prt),MATCH($H106,Prt,0)),"")</f>
        <v>0</v>
      </c>
      <c r="AO106" s="830">
        <f>IFERROR(INDEX((std_engsel_prt),MATCH($H106,Prt,0)),"")</f>
        <v>0</v>
      </c>
      <c r="AP106" s="401" t="str">
        <f t="shared" si="101"/>
        <v/>
      </c>
      <c r="AQ106" s="401" t="str">
        <f t="shared" si="102"/>
        <v/>
      </c>
      <c r="AR106" s="401" t="str">
        <f t="shared" si="103"/>
        <v/>
      </c>
      <c r="AS106" s="401">
        <f>IFERROR(INDEX((std_anodize_per_ukuran),MATCH($H106,Prt,0)),"")</f>
        <v>0</v>
      </c>
      <c r="AT106" s="403" t="str">
        <f>IF($AS106=edging7,L106,IF($AS106=edging8,L106,IF($AS106=edging9,L106,IF($AS106=Hand1,J105,IF($AS106=Hand2,L105,IF($AS106=hand3,"diisi manual",IF($AS106=hand4,"diisi manual",IF($AS106=hand5,"diisi manual",IF($AS106=mled02,J106,IF($AS106=mprf1,J106,IF($AS106=mlis1,J106,"")))))))))))</f>
        <v/>
      </c>
      <c r="AU106" s="403">
        <f>IF($AS106="","",Q106*BR106)</f>
        <v>0</v>
      </c>
      <c r="AV106" s="170"/>
      <c r="AW106" s="166" t="str">
        <f>CONCATENATE(VLOOKUP($V106,tabtf,2,0),VLOOKUP($X106,tabtf,2,0))</f>
        <v>12</v>
      </c>
      <c r="AX106" s="166" t="str">
        <f t="shared" si="104"/>
        <v>4433</v>
      </c>
      <c r="AY106" s="189" t="str">
        <f>IFERROR(VLOOKUP(AW106,descf,2,0),"")</f>
        <v>WY_5216_D(V)_+_HB_41130</v>
      </c>
      <c r="AZ106" s="189" t="str">
        <f>IF($B106="alu",(VLOOKUP(AX106,descfr,2,0)),(VLOOKUP(AX106,desce,2,0)))</f>
        <v>Edg_EAW_5216D1_2sisi_pjg</v>
      </c>
      <c r="BA106" s="196" t="str">
        <f>IF($R106=0,CONCATENATE(0,")"," ",$H106," ",$J106),CONCATENATE(VLOOKUP(H106,tabprt,2,0),")",$H106,"_",AY106))</f>
        <v>457)Palang tengah/nat handel│_WY_5216_D(V)_+_HB_41130</v>
      </c>
      <c r="BB106" s="629" t="str">
        <f>IF($B106="…",CONCATENATE(0,$E106,")"," ",$H106),IF($B106="kc",CONCATENATE(VLOOKUP(H106,tabprt,2,0),")",$H106," ",$R106," ",$S106,"mm"," ","-"," "," ",";"," ",$AZ106,"  ",$I106),IF($B106="alu",CONCATENATE(VLOOKUP(H106,tabprt,2,0),")",$H106," ",$R106," ",$S106,"mm"," ","-"," "," ",";"," ",$AZ106,"  ",$I106),CONCATENATE(VLOOKUP(H106,tabprt,2,0),")",$H106," ",$R106," ",$S106,"mm"," ","-"," ",$AY106," ",";"," ",$AZ106,"  ",$I106))))</f>
        <v xml:space="preserve">457)Palang tengah/nat handel│ Ply 18mm - WY_5216_D(V)_+_HB_41130 ; Edg_EAW_5216D1_2sisi_pjg  </v>
      </c>
      <c r="BC106" s="190"/>
      <c r="BD106" s="510">
        <f t="shared" si="105"/>
        <v>0</v>
      </c>
      <c r="BE106" s="510">
        <f t="shared" si="106"/>
        <v>0</v>
      </c>
      <c r="BF106" s="177">
        <f>IFERROR(INDEX((std_j_sikufr_prt),MATCH($H106,Prt,0)),"")*Q106</f>
        <v>0</v>
      </c>
      <c r="BG106" s="177">
        <f>IFERROR(INDEX((std_j_screwjf_prt),MATCH($H106,Prt,0)),"")*Q106</f>
        <v>0</v>
      </c>
      <c r="BH106" s="166">
        <f>IF($AM106=0,0,1)*Q106</f>
        <v>0</v>
      </c>
      <c r="BI106" s="474">
        <f>IF($AO106=0,0,IF(J106&lt;=fp,2,(ROUNDUP(J106/fp,0))))*Q106</f>
        <v>0</v>
      </c>
      <c r="BJ106" s="166">
        <f>IF($AN106=0,0,1)*Q106</f>
        <v>0</v>
      </c>
      <c r="BK106" s="474">
        <f t="shared" si="107"/>
        <v>7.41</v>
      </c>
      <c r="BL106" s="474">
        <f t="shared" si="108"/>
        <v>0.27</v>
      </c>
      <c r="BM106" s="474">
        <f>IF(R106=0,0,((2*((J106+tol_p)+(L106+tol_p))*Q106)/1000))</f>
        <v>15.36</v>
      </c>
      <c r="BN106" s="166">
        <f>((J106*L106)/1000000)*Q106</f>
        <v>0.36449999999999999</v>
      </c>
      <c r="BO106" s="166" t="str">
        <f>CONCATENATE(R106,"_",S106)</f>
        <v>Ply_18</v>
      </c>
      <c r="BP106" s="204" t="str">
        <f>CONCATENATE(R106," ",S106," ",AY106)</f>
        <v>Ply 18 WY_5216_D(V)_+_HB_41130</v>
      </c>
      <c r="BQ106" s="475">
        <f>((J106*L106*Q106)/(2400*1200))+10%</f>
        <v>0.2265625</v>
      </c>
      <c r="BR106" s="205">
        <f>IFERROR(INDEX((std_jml_anodize_per_uk),MATCH($H106,Prt,0)),"")</f>
        <v>0</v>
      </c>
      <c r="BS106" s="509">
        <f t="shared" si="109"/>
        <v>0</v>
      </c>
      <c r="BT106" s="509">
        <f t="shared" si="110"/>
        <v>0</v>
      </c>
      <c r="BU106" s="459">
        <f t="shared" si="116"/>
        <v>0</v>
      </c>
      <c r="BV106" s="459">
        <f t="shared" si="116"/>
        <v>0</v>
      </c>
      <c r="BW106" s="1">
        <f>+((J106*L106)*Q106)/1000000</f>
        <v>0.36449999999999999</v>
      </c>
      <c r="BX106" s="1">
        <f>+((J106*L106*N106)*Q106)/1000000000</f>
        <v>7.1077500000000004E-3</v>
      </c>
      <c r="BY106" s="546" t="str">
        <f t="shared" si="111"/>
        <v/>
      </c>
      <c r="BZ106" s="546" t="str">
        <f t="shared" si="112"/>
        <v/>
      </c>
      <c r="CA106" s="546" t="str">
        <f t="shared" si="113"/>
        <v/>
      </c>
      <c r="CB106" s="546" t="str">
        <f t="shared" si="114"/>
        <v/>
      </c>
      <c r="CC106" s="728" t="str">
        <f>IFERROR((J106-CA106-CB106),"")</f>
        <v/>
      </c>
      <c r="CD106" s="728" t="str">
        <f>IFERROR((L106-BY106-BZ106),"")</f>
        <v/>
      </c>
      <c r="CE106" s="170" t="str">
        <f>IFERROR((CONCATENATE(CC106," ","x"," ",CD106," ","x"," ",N106)),"")</f>
        <v xml:space="preserve"> x  x 19,5</v>
      </c>
      <c r="CF106" t="str">
        <f>IF(F106=1,(CONCATENATE(J106,";",L106,";",Q106,";",BP106,";",N106,";",H106,";","-1",";",AF106,";",CA106,";",AG106,";",CB106,";",AD106,";",BY106,";",AE106,";",BZ106))," ")</f>
        <v xml:space="preserve"> </v>
      </c>
    </row>
    <row r="107" spans="1:84" customFormat="1">
      <c r="A107" s="701"/>
      <c r="B107" s="447"/>
      <c r="C107" s="161"/>
      <c r="D107" s="162"/>
      <c r="E107" s="1"/>
      <c r="F107" s="811"/>
      <c r="G107" s="440"/>
      <c r="H107" s="1"/>
      <c r="I107" s="55"/>
      <c r="J107" s="170"/>
      <c r="K107" s="1"/>
      <c r="L107" s="170"/>
      <c r="M107" s="1"/>
      <c r="N107" s="458"/>
      <c r="O107" s="170"/>
      <c r="P107" s="441"/>
      <c r="Q107" s="55"/>
      <c r="R107" s="177"/>
      <c r="S107" s="454"/>
      <c r="T107" s="178"/>
      <c r="U107" s="178"/>
      <c r="V107" s="179"/>
      <c r="W107" s="180"/>
      <c r="X107" s="179"/>
      <c r="Y107" s="180"/>
      <c r="Z107" s="178"/>
      <c r="AA107" s="178"/>
      <c r="AB107" s="178"/>
      <c r="AC107" s="178"/>
      <c r="AD107" s="182"/>
      <c r="AE107" s="182"/>
      <c r="AF107" s="182"/>
      <c r="AG107" s="182"/>
      <c r="AH107" s="401"/>
      <c r="AI107" s="401"/>
      <c r="AJ107" s="401"/>
      <c r="AK107" s="401"/>
      <c r="AL107" s="401"/>
      <c r="AM107" s="189"/>
      <c r="AN107" s="829"/>
      <c r="AO107" s="830"/>
      <c r="AP107" s="401"/>
      <c r="AQ107" s="401"/>
      <c r="AR107" s="401"/>
      <c r="AS107" s="401"/>
      <c r="AT107" s="403"/>
      <c r="AU107" s="403"/>
      <c r="AV107" s="170"/>
      <c r="AW107" s="166"/>
      <c r="AX107" s="166"/>
      <c r="AY107" s="189"/>
      <c r="AZ107" s="189"/>
      <c r="BA107" s="196"/>
      <c r="BB107" s="629"/>
      <c r="BC107" s="190"/>
      <c r="BD107" s="510"/>
      <c r="BE107" s="510"/>
      <c r="BF107" s="177"/>
      <c r="BG107" s="177"/>
      <c r="BH107" s="166"/>
      <c r="BI107" s="474"/>
      <c r="BJ107" s="166"/>
      <c r="BK107" s="474"/>
      <c r="BL107" s="474"/>
      <c r="BM107" s="474"/>
      <c r="BN107" s="166"/>
      <c r="BO107" s="166"/>
      <c r="BP107" s="204"/>
      <c r="BQ107" s="475"/>
      <c r="BR107" s="205"/>
      <c r="BS107" s="509"/>
      <c r="BT107" s="509"/>
      <c r="BU107" s="459"/>
      <c r="BV107" s="459"/>
      <c r="BW107" s="1"/>
      <c r="BX107" s="1"/>
      <c r="BY107" s="546"/>
      <c r="BZ107" s="546"/>
      <c r="CA107" s="546"/>
      <c r="CB107" s="546"/>
      <c r="CC107" s="728"/>
      <c r="CD107" s="728"/>
      <c r="CE107" s="170"/>
    </row>
    <row r="108" spans="1:84" customFormat="1">
      <c r="A108" s="701" t="str">
        <f>IFERROR(INDEX((ID),MATCH(H108,BARANG,0)),"…")</f>
        <v>…</v>
      </c>
      <c r="B108" s="447" t="str">
        <f t="shared" si="94"/>
        <v>pintu</v>
      </c>
      <c r="C108" s="161" t="s">
        <v>1472</v>
      </c>
      <c r="D108" s="162" t="str">
        <f>IFERROR(INDEX((KS),MATCH($H108,Prt,0)),"")</f>
        <v>KS</v>
      </c>
      <c r="E108" s="1" t="s">
        <v>2166</v>
      </c>
      <c r="F108" s="811">
        <f t="shared" si="95"/>
        <v>0</v>
      </c>
      <c r="G108" s="440" t="str">
        <f t="shared" si="96"/>
        <v>•••</v>
      </c>
      <c r="H108" s="1" t="s">
        <v>2467</v>
      </c>
      <c r="I108" s="55"/>
      <c r="J108" s="170">
        <v>760</v>
      </c>
      <c r="K108" s="1" t="s">
        <v>2137</v>
      </c>
      <c r="L108" s="170">
        <v>40</v>
      </c>
      <c r="M108" s="1" t="s">
        <v>2137</v>
      </c>
      <c r="N108" s="458">
        <f>+(S108+W108+Y108)</f>
        <v>21.5</v>
      </c>
      <c r="O108" s="170" t="str">
        <f>CONCATENATE(J108," ",K108," ",L108," ",M108," ",N108)</f>
        <v>760 x 40 x 21,5</v>
      </c>
      <c r="P108" s="441">
        <v>1</v>
      </c>
      <c r="Q108" s="55">
        <f>+P108</f>
        <v>1</v>
      </c>
      <c r="R108" s="177" t="str">
        <f>IFERROR(INDEX((std_bhn_prt),MATCH($H108,Prt,0)),"")</f>
        <v>Ply</v>
      </c>
      <c r="S108" s="454">
        <f>IFERROR(INDEX((std_Tbahan_prt),MATCH($H108,Prt,0)),"")</f>
        <v>20</v>
      </c>
      <c r="T108" s="178">
        <f>INDEX((std_lapisan_luar_prt),MATCH($H108,Prt,0))</f>
        <v>1</v>
      </c>
      <c r="U108" s="178">
        <f>INDEX((std_lapisan_dalam_prt),MATCH($H108,Prt,0))</f>
        <v>22</v>
      </c>
      <c r="V108" s="179" t="str">
        <f>IFERROR(INDEX((tf),MATCH(T108,ctf,0)),"")</f>
        <v>WY_5216_D(V)</v>
      </c>
      <c r="W108" s="180">
        <f>IFERROR(INDEX((tebal_lapisan),MATCH($V108,tf,0)),"")</f>
        <v>1</v>
      </c>
      <c r="X108" s="179" t="str">
        <f>IFERROR(INDEX((tf),MATCH(U108,ctf,0)),"")</f>
        <v>Aica</v>
      </c>
      <c r="Y108" s="180">
        <f>IFERROR(INDEX((tebal_lapisan),MATCH($X108,tf,0)),"")</f>
        <v>0.5</v>
      </c>
      <c r="Z108" s="178">
        <f>INDEX((std_edg_P1_prt),MATCH($H108,Prt,0))</f>
        <v>2</v>
      </c>
      <c r="AA108" s="178">
        <f>INDEX((std_edg_P2_prt),MATCH($H108,Prt,0))</f>
        <v>2</v>
      </c>
      <c r="AB108" s="178">
        <f>INDEX((std_edg_L1_prt),MATCH($H108,Prt,0))</f>
        <v>2</v>
      </c>
      <c r="AC108" s="178">
        <f>INDEX((std_edg_L2_prt),MATCH($H108,Prt,0))</f>
        <v>2</v>
      </c>
      <c r="AD108" s="182" t="str">
        <f t="shared" ref="AD108:AG110" si="117">IF($B108="alu",(INDEX((Fr),MATCH(Z108,cfr,0))),INDEX((te),MATCH(Z108,cte,0)))</f>
        <v>Edg_EAW_5216_D1(44x1)</v>
      </c>
      <c r="AE108" s="182" t="str">
        <f t="shared" si="117"/>
        <v>Edg_EAW_5216_D1(44x1)</v>
      </c>
      <c r="AF108" s="182" t="str">
        <f t="shared" si="117"/>
        <v>Edg_EAW_5216_D1(44x1)</v>
      </c>
      <c r="AG108" s="182" t="str">
        <f t="shared" si="117"/>
        <v>Edg_EAW_5216_D1(44x1)</v>
      </c>
      <c r="AH108" s="401">
        <f>IFERROR(INDEX((std_profil3_prt),MATCH($H108,Prt,0)),"")</f>
        <v>0</v>
      </c>
      <c r="AI108" s="401">
        <f t="shared" si="98"/>
        <v>0</v>
      </c>
      <c r="AJ108" s="401">
        <f>IFERROR(INDEX((std_profil_prt),MATCH($H108,Prt,0)),"")</f>
        <v>0</v>
      </c>
      <c r="AK108" s="401">
        <f t="shared" si="99"/>
        <v>0</v>
      </c>
      <c r="AL108" s="401">
        <f t="shared" si="100"/>
        <v>0</v>
      </c>
      <c r="AM108" s="189"/>
      <c r="AN108" s="829">
        <f>IFERROR(INDEX((std_rel_prt),MATCH($H108,Prt,0)),"")</f>
        <v>0</v>
      </c>
      <c r="AO108" s="830">
        <f>IFERROR(INDEX((std_engsel_prt),MATCH($H108,Prt,0)),"")</f>
        <v>0</v>
      </c>
      <c r="AP108" s="401" t="str">
        <f t="shared" si="101"/>
        <v/>
      </c>
      <c r="AQ108" s="401" t="str">
        <f t="shared" si="102"/>
        <v/>
      </c>
      <c r="AR108" s="401" t="str">
        <f t="shared" si="103"/>
        <v/>
      </c>
      <c r="AS108" s="401">
        <f>IFERROR(INDEX((std_anodize_per_ukuran),MATCH($H108,Prt,0)),"")</f>
        <v>0</v>
      </c>
      <c r="AT108" s="403" t="str">
        <f>IF($AS108=edging7,L108,IF($AS108=edging8,L108,IF($AS108=edging9,L108,IF($AS108=Hand1,J105,IF($AS108=Hand2,L105,IF($AS108=hand3,"diisi manual",IF($AS108=hand4,"diisi manual",IF($AS108=hand5,"diisi manual",IF($AS108=mled02,J108,IF($AS108=mprf1,J108,IF($AS108=mlis1,J108,"")))))))))))</f>
        <v/>
      </c>
      <c r="AU108" s="403">
        <f>IF($AS108="","",Q108*BR108)</f>
        <v>0</v>
      </c>
      <c r="AV108" s="170"/>
      <c r="AW108" s="166" t="str">
        <f>CONCATENATE(VLOOKUP($V108,tabtf,2,0),VLOOKUP($X108,tabtf,2,0))</f>
        <v>17</v>
      </c>
      <c r="AX108" s="166" t="str">
        <f t="shared" si="104"/>
        <v>9999</v>
      </c>
      <c r="AY108" s="189" t="str">
        <f>IFERROR(VLOOKUP(AW108,descf,2,0),"")</f>
        <v>WY_5216_D(V)+Aica</v>
      </c>
      <c r="AZ108" s="189" t="str">
        <f>IF($B108="alu",(VLOOKUP(AX108,descfr,2,0)),(VLOOKUP(AX108,desce,2,0)))</f>
        <v>Edg_EAW_5216_D1(44x1)_Keliling</v>
      </c>
      <c r="BA108" s="196" t="str">
        <f>IF($R108=0,CONCATENATE(0,")"," ",$H108," ",$J108),CONCATENATE(VLOOKUP(H108,tabprt,2,0),")",$H108,"_",AY108))</f>
        <v>439)Dummies Luar_WY_5216_D(V)+Aica</v>
      </c>
      <c r="BB108" s="629" t="str">
        <f>IF($B108="…",CONCATENATE(0,$E108,")"," ",$H108),IF($B108="kc",CONCATENATE(VLOOKUP(H108,tabprt,2,0),")",$H108," ",$R108," ",$S108,"mm"," ","-"," "," ",";"," ",$AZ108,"  ",$I108),IF($B108="alu",CONCATENATE(VLOOKUP(H108,tabprt,2,0),")",$H108," ",$R108," ",$S108,"mm"," ","-"," "," ",";"," ",$AZ108,"  ",$I108),CONCATENATE(VLOOKUP(H108,tabprt,2,0),")",$H108," ",$R108," ",$S108,"mm"," ","-"," ",$AY108," ",";"," ",$AZ108,"  ",$I108))))</f>
        <v xml:space="preserve">439)Dummies Luar Ply 20mm - WY_5216_D(V)+Aica ; Edg_EAW_5216_D1(44x1)_Keliling  </v>
      </c>
      <c r="BC108" s="190"/>
      <c r="BD108" s="510">
        <f t="shared" si="105"/>
        <v>0</v>
      </c>
      <c r="BE108" s="510">
        <f t="shared" si="106"/>
        <v>0</v>
      </c>
      <c r="BF108" s="177">
        <f>IFERROR(INDEX((std_j_sikufr_prt),MATCH($H108,Prt,0)),"")*Q108</f>
        <v>0</v>
      </c>
      <c r="BG108" s="177">
        <f>IFERROR(INDEX((std_j_screwjf_prt),MATCH($H108,Prt,0)),"")*Q108</f>
        <v>0</v>
      </c>
      <c r="BH108" s="166">
        <f>IF($AM108=0,0,1)*Q108</f>
        <v>0</v>
      </c>
      <c r="BI108" s="474">
        <f>IF($AO108=0,0,IF(J108&lt;=fp,2,(ROUNDUP(J108/fp,0))))*Q108</f>
        <v>0</v>
      </c>
      <c r="BJ108" s="166">
        <f>IF($AN108=0,0,1)*Q108</f>
        <v>0</v>
      </c>
      <c r="BK108" s="474">
        <f t="shared" si="107"/>
        <v>0.8</v>
      </c>
      <c r="BL108" s="474">
        <f t="shared" si="108"/>
        <v>0.08</v>
      </c>
      <c r="BM108" s="474">
        <f>IF(R108=0,0,((2*((J108+tol_p)+(L108+tol_p))*Q108)/1000))</f>
        <v>1.76</v>
      </c>
      <c r="BN108" s="166">
        <f>((J108*L108)/1000000)*Q108</f>
        <v>3.04E-2</v>
      </c>
      <c r="BO108" s="166" t="str">
        <f>CONCATENATE(R108,"_",S108)</f>
        <v>Ply_20</v>
      </c>
      <c r="BP108" s="204" t="str">
        <f>CONCATENATE(R108," ",S108," ",AY108)</f>
        <v>Ply 20 WY_5216_D(V)+Aica</v>
      </c>
      <c r="BQ108" s="475">
        <f>((J108*L108*Q108)/(2400*1200))+10%</f>
        <v>0.11055555555555556</v>
      </c>
      <c r="BR108" s="205">
        <f>IFERROR(INDEX((std_jml_anodize_per_uk),MATCH($H108,Prt,0)),"")</f>
        <v>0</v>
      </c>
      <c r="BS108" s="509">
        <f t="shared" si="109"/>
        <v>0</v>
      </c>
      <c r="BT108" s="509">
        <f t="shared" si="110"/>
        <v>0</v>
      </c>
      <c r="BU108" s="459">
        <f t="shared" ref="BU108:BV110" si="118">BF108*$Q108</f>
        <v>0</v>
      </c>
      <c r="BV108" s="459">
        <f t="shared" si="118"/>
        <v>0</v>
      </c>
      <c r="BW108" s="1">
        <f>+((J108*L108)*Q108)/1000000</f>
        <v>3.04E-2</v>
      </c>
      <c r="BX108" s="1">
        <f>+((J108*L108*N108)*Q108)/1000000000</f>
        <v>6.5359999999999995E-4</v>
      </c>
      <c r="BY108" s="546">
        <f t="shared" si="111"/>
        <v>1</v>
      </c>
      <c r="BZ108" s="546">
        <f t="shared" si="112"/>
        <v>1</v>
      </c>
      <c r="CA108" s="546">
        <f t="shared" si="113"/>
        <v>1</v>
      </c>
      <c r="CB108" s="546">
        <f t="shared" si="114"/>
        <v>1</v>
      </c>
      <c r="CC108" s="728">
        <f>IFERROR((J108-CA108-CB108),"")</f>
        <v>758</v>
      </c>
      <c r="CD108" s="728">
        <f>IFERROR((L108-BY108-BZ108),"")</f>
        <v>38</v>
      </c>
      <c r="CE108" s="170" t="str">
        <f>IFERROR((CONCATENATE(CC108," ","x"," ",CD108," ","x"," ",N108)),"")</f>
        <v>758 x 38 x 21,5</v>
      </c>
      <c r="CF108" t="str">
        <f>IF(F108=1,(CONCATENATE(J108,";",L108,";",Q108,";",BP108,";",N108,";",H108,";","-1",";",AF108,";",CA108,";",AG108,";",CB108,";",AD108,";",BY108,";",AE108,";",BZ108))," ")</f>
        <v xml:space="preserve"> </v>
      </c>
    </row>
    <row r="109" spans="1:84" customFormat="1">
      <c r="A109" s="701" t="str">
        <f>IFERROR(INDEX((ID),MATCH(H109,BARANG,0)),"…")</f>
        <v>…</v>
      </c>
      <c r="B109" s="447" t="str">
        <f t="shared" si="94"/>
        <v>pintu</v>
      </c>
      <c r="C109" s="161" t="s">
        <v>1472</v>
      </c>
      <c r="D109" s="162" t="str">
        <f>IFERROR(INDEX((KS),MATCH($H109,Prt,0)),"")</f>
        <v>KS</v>
      </c>
      <c r="E109" s="1" t="s">
        <v>2166</v>
      </c>
      <c r="F109" s="811">
        <f t="shared" si="95"/>
        <v>0</v>
      </c>
      <c r="G109" s="440" t="str">
        <f t="shared" si="96"/>
        <v>•••</v>
      </c>
      <c r="H109" s="1" t="s">
        <v>2467</v>
      </c>
      <c r="I109" s="55"/>
      <c r="J109" s="170">
        <f>20+1190</f>
        <v>1210</v>
      </c>
      <c r="K109" s="1" t="s">
        <v>2137</v>
      </c>
      <c r="L109" s="170">
        <v>40</v>
      </c>
      <c r="M109" s="1" t="s">
        <v>2137</v>
      </c>
      <c r="N109" s="458">
        <f>+(S109+W109+Y109)</f>
        <v>21.5</v>
      </c>
      <c r="O109" s="170" t="str">
        <f>CONCATENATE(J109," ",K109," ",L109," ",M109," ",N109)</f>
        <v>1210 x 40 x 21,5</v>
      </c>
      <c r="P109" s="441">
        <v>1</v>
      </c>
      <c r="Q109" s="55">
        <f>+P109</f>
        <v>1</v>
      </c>
      <c r="R109" s="177" t="str">
        <f>IFERROR(INDEX((std_bhn_prt),MATCH($H109,Prt,0)),"")</f>
        <v>Ply</v>
      </c>
      <c r="S109" s="454">
        <f>IFERROR(INDEX((std_Tbahan_prt),MATCH($H109,Prt,0)),"")</f>
        <v>20</v>
      </c>
      <c r="T109" s="178">
        <f>INDEX((std_lapisan_luar_prt),MATCH($H109,Prt,0))</f>
        <v>1</v>
      </c>
      <c r="U109" s="178">
        <f>INDEX((std_lapisan_dalam_prt),MATCH($H109,Prt,0))</f>
        <v>22</v>
      </c>
      <c r="V109" s="179" t="str">
        <f>IFERROR(INDEX((tf),MATCH(T109,ctf,0)),"")</f>
        <v>WY_5216_D(V)</v>
      </c>
      <c r="W109" s="180">
        <f>IFERROR(INDEX((tebal_lapisan),MATCH($V109,tf,0)),"")</f>
        <v>1</v>
      </c>
      <c r="X109" s="179" t="str">
        <f>IFERROR(INDEX((tf),MATCH(U109,ctf,0)),"")</f>
        <v>Aica</v>
      </c>
      <c r="Y109" s="180">
        <f>IFERROR(INDEX((tebal_lapisan),MATCH($X109,tf,0)),"")</f>
        <v>0.5</v>
      </c>
      <c r="Z109" s="178">
        <f>INDEX((std_edg_P1_prt),MATCH($H109,Prt,0))</f>
        <v>2</v>
      </c>
      <c r="AA109" s="178">
        <f>INDEX((std_edg_P2_prt),MATCH($H109,Prt,0))</f>
        <v>2</v>
      </c>
      <c r="AB109" s="178">
        <f>INDEX((std_edg_L1_prt),MATCH($H109,Prt,0))</f>
        <v>2</v>
      </c>
      <c r="AC109" s="178">
        <f>INDEX((std_edg_L2_prt),MATCH($H109,Prt,0))</f>
        <v>2</v>
      </c>
      <c r="AD109" s="182" t="str">
        <f t="shared" si="117"/>
        <v>Edg_EAW_5216_D1(44x1)</v>
      </c>
      <c r="AE109" s="182" t="str">
        <f t="shared" si="117"/>
        <v>Edg_EAW_5216_D1(44x1)</v>
      </c>
      <c r="AF109" s="182" t="str">
        <f t="shared" si="117"/>
        <v>Edg_EAW_5216_D1(44x1)</v>
      </c>
      <c r="AG109" s="182" t="str">
        <f t="shared" si="117"/>
        <v>Edg_EAW_5216_D1(44x1)</v>
      </c>
      <c r="AH109" s="401">
        <f>IFERROR(INDEX((std_profil3_prt),MATCH($H109,Prt,0)),"")</f>
        <v>0</v>
      </c>
      <c r="AI109" s="401">
        <f t="shared" si="98"/>
        <v>0</v>
      </c>
      <c r="AJ109" s="401">
        <f>IFERROR(INDEX((std_profil_prt),MATCH($H109,Prt,0)),"")</f>
        <v>0</v>
      </c>
      <c r="AK109" s="401">
        <f t="shared" si="99"/>
        <v>0</v>
      </c>
      <c r="AL109" s="401">
        <f t="shared" si="100"/>
        <v>0</v>
      </c>
      <c r="AM109" s="189"/>
      <c r="AN109" s="829">
        <f>IFERROR(INDEX((std_rel_prt),MATCH($H109,Prt,0)),"")</f>
        <v>0</v>
      </c>
      <c r="AO109" s="830">
        <f>IFERROR(INDEX((std_engsel_prt),MATCH($H109,Prt,0)),"")</f>
        <v>0</v>
      </c>
      <c r="AP109" s="401" t="str">
        <f t="shared" si="101"/>
        <v/>
      </c>
      <c r="AQ109" s="401" t="str">
        <f t="shared" si="102"/>
        <v/>
      </c>
      <c r="AR109" s="401" t="str">
        <f t="shared" si="103"/>
        <v/>
      </c>
      <c r="AS109" s="401">
        <f>IFERROR(INDEX((std_anodize_per_ukuran),MATCH($H109,Prt,0)),"")</f>
        <v>0</v>
      </c>
      <c r="AT109" s="403" t="str">
        <f>IF($AS109=edging7,L109,IF($AS109=edging8,L109,IF($AS109=edging9,L109,IF($AS109=Hand1,J108,IF($AS109=Hand2,L108,IF($AS109=hand3,"diisi manual",IF($AS109=hand4,"diisi manual",IF($AS109=hand5,"diisi manual",IF($AS109=mled02,J109,IF($AS109=mprf1,J109,IF($AS109=mlis1,J109,"")))))))))))</f>
        <v/>
      </c>
      <c r="AU109" s="403">
        <f>IF($AS109="","",Q109*BR109)</f>
        <v>0</v>
      </c>
      <c r="AV109" s="170"/>
      <c r="AW109" s="166" t="str">
        <f>CONCATENATE(VLOOKUP($V109,tabtf,2,0),VLOOKUP($X109,tabtf,2,0))</f>
        <v>17</v>
      </c>
      <c r="AX109" s="166" t="str">
        <f t="shared" si="104"/>
        <v>9999</v>
      </c>
      <c r="AY109" s="189" t="str">
        <f>IFERROR(VLOOKUP(AW109,descf,2,0),"")</f>
        <v>WY_5216_D(V)+Aica</v>
      </c>
      <c r="AZ109" s="189" t="str">
        <f>IF($B109="alu",(VLOOKUP(AX109,descfr,2,0)),(VLOOKUP(AX109,desce,2,0)))</f>
        <v>Edg_EAW_5216_D1(44x1)_Keliling</v>
      </c>
      <c r="BA109" s="196" t="str">
        <f>IF($R109=0,CONCATENATE(0,")"," ",$H109," ",$J109),CONCATENATE(VLOOKUP(H109,tabprt,2,0),")",$H109,"_",AY109))</f>
        <v>439)Dummies Luar_WY_5216_D(V)+Aica</v>
      </c>
      <c r="BB109" s="629" t="str">
        <f>IF($B109="…",CONCATENATE(0,$E109,")"," ",$H109),IF($B109="kc",CONCATENATE(VLOOKUP(H109,tabprt,2,0),")",$H109," ",$R109," ",$S109,"mm"," ","-"," "," ",";"," ",$AZ109,"  ",$I109),IF($B109="alu",CONCATENATE(VLOOKUP(H109,tabprt,2,0),")",$H109," ",$R109," ",$S109,"mm"," ","-"," "," ",";"," ",$AZ109,"  ",$I109),CONCATENATE(VLOOKUP(H109,tabprt,2,0),")",$H109," ",$R109," ",$S109,"mm"," ","-"," ",$AY109," ",";"," ",$AZ109,"  ",$I109))))</f>
        <v xml:space="preserve">439)Dummies Luar Ply 20mm - WY_5216_D(V)+Aica ; Edg_EAW_5216_D1(44x1)_Keliling  </v>
      </c>
      <c r="BC109" s="190"/>
      <c r="BD109" s="510">
        <f t="shared" si="105"/>
        <v>0</v>
      </c>
      <c r="BE109" s="510">
        <f t="shared" si="106"/>
        <v>0</v>
      </c>
      <c r="BF109" s="177">
        <f>IFERROR(INDEX((std_j_sikufr_prt),MATCH($H109,Prt,0)),"")*Q109</f>
        <v>0</v>
      </c>
      <c r="BG109" s="177">
        <f>IFERROR(INDEX((std_j_screwjf_prt),MATCH($H109,Prt,0)),"")*Q109</f>
        <v>0</v>
      </c>
      <c r="BH109" s="166">
        <f>IF($AM109=0,0,1)*Q109</f>
        <v>0</v>
      </c>
      <c r="BI109" s="474">
        <f>IF($AO109=0,0,IF(J109&lt;=fp,2,(ROUNDUP(J109/fp,0))))*Q109</f>
        <v>0</v>
      </c>
      <c r="BJ109" s="166">
        <f>IF($AN109=0,0,1)*Q109</f>
        <v>0</v>
      </c>
      <c r="BK109" s="474">
        <f t="shared" si="107"/>
        <v>1.25</v>
      </c>
      <c r="BL109" s="474">
        <f t="shared" si="108"/>
        <v>0.08</v>
      </c>
      <c r="BM109" s="474">
        <f>IF(R109=0,0,((2*((J109+tol_p)+(L109+tol_p))*Q109)/1000))</f>
        <v>2.66</v>
      </c>
      <c r="BN109" s="166">
        <f>((J109*L109)/1000000)*Q109</f>
        <v>4.8399999999999999E-2</v>
      </c>
      <c r="BO109" s="166" t="str">
        <f>CONCATENATE(R109,"_",S109)</f>
        <v>Ply_20</v>
      </c>
      <c r="BP109" s="204" t="str">
        <f>CONCATENATE(R109," ",S109," ",AY109)</f>
        <v>Ply 20 WY_5216_D(V)+Aica</v>
      </c>
      <c r="BQ109" s="475">
        <f>((J109*L109*Q109)/(2400*1200))+10%</f>
        <v>0.11680555555555557</v>
      </c>
      <c r="BR109" s="205">
        <f>IFERROR(INDEX((std_jml_anodize_per_uk),MATCH($H109,Prt,0)),"")</f>
        <v>0</v>
      </c>
      <c r="BS109" s="509">
        <f t="shared" si="109"/>
        <v>0</v>
      </c>
      <c r="BT109" s="509">
        <f t="shared" si="110"/>
        <v>0</v>
      </c>
      <c r="BU109" s="459">
        <f t="shared" si="118"/>
        <v>0</v>
      </c>
      <c r="BV109" s="459">
        <f t="shared" si="118"/>
        <v>0</v>
      </c>
      <c r="BW109" s="1">
        <f>+((J109*L109)*Q109)/1000000</f>
        <v>4.8399999999999999E-2</v>
      </c>
      <c r="BX109" s="1">
        <f>+((J109*L109*N109)*Q109)/1000000000</f>
        <v>1.0406E-3</v>
      </c>
      <c r="BY109" s="546">
        <f t="shared" si="111"/>
        <v>1</v>
      </c>
      <c r="BZ109" s="546">
        <f t="shared" si="112"/>
        <v>1</v>
      </c>
      <c r="CA109" s="546">
        <f t="shared" si="113"/>
        <v>1</v>
      </c>
      <c r="CB109" s="546">
        <f t="shared" si="114"/>
        <v>1</v>
      </c>
      <c r="CC109" s="728">
        <f>IFERROR((J109-CA109-CB109),"")</f>
        <v>1208</v>
      </c>
      <c r="CD109" s="728">
        <f>IFERROR((L109-BY109-BZ109),"")</f>
        <v>38</v>
      </c>
      <c r="CE109" s="170" t="str">
        <f>IFERROR((CONCATENATE(CC109," ","x"," ",CD109," ","x"," ",N109)),"")</f>
        <v>1208 x 38 x 21,5</v>
      </c>
      <c r="CF109" t="str">
        <f>IF(F109=1,(CONCATENATE(J109,";",L109,";",Q109,";",BP109,";",N109,";",H109,";","-1",";",AF109,";",CA109,";",AG109,";",CB109,";",AD109,";",BY109,";",AE109,";",BZ109))," ")</f>
        <v xml:space="preserve"> </v>
      </c>
    </row>
    <row r="110" spans="1:84" customFormat="1">
      <c r="A110" s="701" t="str">
        <f>IFERROR(INDEX((ID),MATCH(H110,BARANG,0)),"…")</f>
        <v>…</v>
      </c>
      <c r="B110" s="447" t="str">
        <f t="shared" si="94"/>
        <v>pintu</v>
      </c>
      <c r="C110" s="161" t="s">
        <v>1472</v>
      </c>
      <c r="D110" s="162" t="str">
        <f>IFERROR(INDEX((KS),MATCH($H110,Prt,0)),"")</f>
        <v>KS</v>
      </c>
      <c r="E110" s="1" t="s">
        <v>2166</v>
      </c>
      <c r="F110" s="811">
        <f t="shared" si="95"/>
        <v>0</v>
      </c>
      <c r="G110" s="440" t="str">
        <f t="shared" si="96"/>
        <v>•••</v>
      </c>
      <c r="H110" s="1" t="s">
        <v>2467</v>
      </c>
      <c r="I110" s="55"/>
      <c r="J110" s="170">
        <v>500</v>
      </c>
      <c r="K110" s="1" t="s">
        <v>2137</v>
      </c>
      <c r="L110" s="170">
        <v>40</v>
      </c>
      <c r="M110" s="1" t="s">
        <v>2137</v>
      </c>
      <c r="N110" s="458">
        <f>+(S110+W110+Y110)</f>
        <v>21.5</v>
      </c>
      <c r="O110" s="170" t="str">
        <f>CONCATENATE(J110," ",K110," ",L110," ",M110," ",N110)</f>
        <v>500 x 40 x 21,5</v>
      </c>
      <c r="P110" s="441">
        <v>1</v>
      </c>
      <c r="Q110" s="55">
        <f>+P110</f>
        <v>1</v>
      </c>
      <c r="R110" s="177" t="str">
        <f>IFERROR(INDEX((std_bhn_prt),MATCH($H110,Prt,0)),"")</f>
        <v>Ply</v>
      </c>
      <c r="S110" s="454">
        <f>IFERROR(INDEX((std_Tbahan_prt),MATCH($H110,Prt,0)),"")</f>
        <v>20</v>
      </c>
      <c r="T110" s="178">
        <f>INDEX((std_lapisan_luar_prt),MATCH($H110,Prt,0))</f>
        <v>1</v>
      </c>
      <c r="U110" s="178">
        <f>INDEX((std_lapisan_dalam_prt),MATCH($H110,Prt,0))</f>
        <v>22</v>
      </c>
      <c r="V110" s="179" t="str">
        <f>IFERROR(INDEX((tf),MATCH(T110,ctf,0)),"")</f>
        <v>WY_5216_D(V)</v>
      </c>
      <c r="W110" s="180">
        <f>IFERROR(INDEX((tebal_lapisan),MATCH($V110,tf,0)),"")</f>
        <v>1</v>
      </c>
      <c r="X110" s="179" t="str">
        <f>IFERROR(INDEX((tf),MATCH(U110,ctf,0)),"")</f>
        <v>Aica</v>
      </c>
      <c r="Y110" s="180">
        <f>IFERROR(INDEX((tebal_lapisan),MATCH($X110,tf,0)),"")</f>
        <v>0.5</v>
      </c>
      <c r="Z110" s="178">
        <f>INDEX((std_edg_P1_prt),MATCH($H110,Prt,0))</f>
        <v>2</v>
      </c>
      <c r="AA110" s="178">
        <f>INDEX((std_edg_P2_prt),MATCH($H110,Prt,0))</f>
        <v>2</v>
      </c>
      <c r="AB110" s="178">
        <f>INDEX((std_edg_L1_prt),MATCH($H110,Prt,0))</f>
        <v>2</v>
      </c>
      <c r="AC110" s="178">
        <f>INDEX((std_edg_L2_prt),MATCH($H110,Prt,0))</f>
        <v>2</v>
      </c>
      <c r="AD110" s="182" t="str">
        <f t="shared" si="117"/>
        <v>Edg_EAW_5216_D1(44x1)</v>
      </c>
      <c r="AE110" s="182" t="str">
        <f t="shared" si="117"/>
        <v>Edg_EAW_5216_D1(44x1)</v>
      </c>
      <c r="AF110" s="182" t="str">
        <f t="shared" si="117"/>
        <v>Edg_EAW_5216_D1(44x1)</v>
      </c>
      <c r="AG110" s="182" t="str">
        <f t="shared" si="117"/>
        <v>Edg_EAW_5216_D1(44x1)</v>
      </c>
      <c r="AH110" s="401">
        <f>IFERROR(INDEX((std_profil3_prt),MATCH($H110,Prt,0)),"")</f>
        <v>0</v>
      </c>
      <c r="AI110" s="401">
        <f t="shared" si="98"/>
        <v>0</v>
      </c>
      <c r="AJ110" s="401">
        <f>IFERROR(INDEX((std_profil_prt),MATCH($H110,Prt,0)),"")</f>
        <v>0</v>
      </c>
      <c r="AK110" s="401">
        <f t="shared" si="99"/>
        <v>0</v>
      </c>
      <c r="AL110" s="401">
        <f t="shared" si="100"/>
        <v>0</v>
      </c>
      <c r="AM110" s="189"/>
      <c r="AN110" s="829">
        <f>IFERROR(INDEX((std_rel_prt),MATCH($H110,Prt,0)),"")</f>
        <v>0</v>
      </c>
      <c r="AO110" s="830">
        <f>IFERROR(INDEX((std_engsel_prt),MATCH($H110,Prt,0)),"")</f>
        <v>0</v>
      </c>
      <c r="AP110" s="401" t="str">
        <f t="shared" si="101"/>
        <v/>
      </c>
      <c r="AQ110" s="401" t="str">
        <f t="shared" si="102"/>
        <v/>
      </c>
      <c r="AR110" s="401" t="str">
        <f t="shared" si="103"/>
        <v/>
      </c>
      <c r="AS110" s="401">
        <f>IFERROR(INDEX((std_anodize_per_ukuran),MATCH($H110,Prt,0)),"")</f>
        <v>0</v>
      </c>
      <c r="AT110" s="403" t="str">
        <f>IF($AS110=edging7,L110,IF($AS110=edging8,L110,IF($AS110=edging9,L110,IF($AS110=Hand1,J109,IF($AS110=Hand2,L109,IF($AS110=hand3,"diisi manual",IF($AS110=hand4,"diisi manual",IF($AS110=hand5,"diisi manual",IF($AS110=mled02,J110,IF($AS110=mprf1,J110,IF($AS110=mlis1,J110,"")))))))))))</f>
        <v/>
      </c>
      <c r="AU110" s="403">
        <f>IF($AS110="","",Q110*BR110)</f>
        <v>0</v>
      </c>
      <c r="AV110" s="170"/>
      <c r="AW110" s="166" t="str">
        <f>CONCATENATE(VLOOKUP($V110,tabtf,2,0),VLOOKUP($X110,tabtf,2,0))</f>
        <v>17</v>
      </c>
      <c r="AX110" s="166" t="str">
        <f t="shared" si="104"/>
        <v>9999</v>
      </c>
      <c r="AY110" s="189" t="str">
        <f>IFERROR(VLOOKUP(AW110,descf,2,0),"")</f>
        <v>WY_5216_D(V)+Aica</v>
      </c>
      <c r="AZ110" s="189" t="str">
        <f>IF($B110="alu",(VLOOKUP(AX110,descfr,2,0)),(VLOOKUP(AX110,desce,2,0)))</f>
        <v>Edg_EAW_5216_D1(44x1)_Keliling</v>
      </c>
      <c r="BA110" s="196" t="str">
        <f>IF($R110=0,CONCATENATE(0,")"," ",$H110," ",$J110),CONCATENATE(VLOOKUP(H110,tabprt,2,0),")",$H110,"_",AY110))</f>
        <v>439)Dummies Luar_WY_5216_D(V)+Aica</v>
      </c>
      <c r="BB110" s="629" t="str">
        <f>IF($B110="…",CONCATENATE(0,$E110,")"," ",$H110),IF($B110="kc",CONCATENATE(VLOOKUP(H110,tabprt,2,0),")",$H110," ",$R110," ",$S110,"mm"," ","-"," "," ",";"," ",$AZ110,"  ",$I110),IF($B110="alu",CONCATENATE(VLOOKUP(H110,tabprt,2,0),")",$H110," ",$R110," ",$S110,"mm"," ","-"," "," ",";"," ",$AZ110,"  ",$I110),CONCATENATE(VLOOKUP(H110,tabprt,2,0),")",$H110," ",$R110," ",$S110,"mm"," ","-"," ",$AY110," ",";"," ",$AZ110,"  ",$I110))))</f>
        <v xml:space="preserve">439)Dummies Luar Ply 20mm - WY_5216_D(V)+Aica ; Edg_EAW_5216_D1(44x1)_Keliling  </v>
      </c>
      <c r="BC110" s="190"/>
      <c r="BD110" s="510">
        <f t="shared" si="105"/>
        <v>0</v>
      </c>
      <c r="BE110" s="510">
        <f t="shared" si="106"/>
        <v>0</v>
      </c>
      <c r="BF110" s="177">
        <f>IFERROR(INDEX((std_j_sikufr_prt),MATCH($H110,Prt,0)),"")*Q110</f>
        <v>0</v>
      </c>
      <c r="BG110" s="177">
        <f>IFERROR(INDEX((std_j_screwjf_prt),MATCH($H110,Prt,0)),"")*Q110</f>
        <v>0</v>
      </c>
      <c r="BH110" s="166">
        <f>IF($AM110=0,0,1)*Q110</f>
        <v>0</v>
      </c>
      <c r="BI110" s="474">
        <f>IF($AO110=0,0,IF(J110&lt;=fp,2,(ROUNDUP(J110/fp,0))))*Q110</f>
        <v>0</v>
      </c>
      <c r="BJ110" s="166">
        <f>IF($AN110=0,0,1)*Q110</f>
        <v>0</v>
      </c>
      <c r="BK110" s="474">
        <f t="shared" si="107"/>
        <v>0.54</v>
      </c>
      <c r="BL110" s="474">
        <f t="shared" si="108"/>
        <v>0.08</v>
      </c>
      <c r="BM110" s="474">
        <f>IF(R110=0,0,((2*((J110+tol_p)+(L110+tol_p))*Q110)/1000))</f>
        <v>1.24</v>
      </c>
      <c r="BN110" s="166">
        <f>((J110*L110)/1000000)*Q110</f>
        <v>0.02</v>
      </c>
      <c r="BO110" s="166" t="str">
        <f>CONCATENATE(R110,"_",S110)</f>
        <v>Ply_20</v>
      </c>
      <c r="BP110" s="204" t="str">
        <f>CONCATENATE(R110," ",S110," ",AY110)</f>
        <v>Ply 20 WY_5216_D(V)+Aica</v>
      </c>
      <c r="BQ110" s="475">
        <f>((J110*L110*Q110)/(2400*1200))+10%</f>
        <v>0.10694444444444445</v>
      </c>
      <c r="BR110" s="205">
        <f>IFERROR(INDEX((std_jml_anodize_per_uk),MATCH($H110,Prt,0)),"")</f>
        <v>0</v>
      </c>
      <c r="BS110" s="509">
        <f t="shared" si="109"/>
        <v>0</v>
      </c>
      <c r="BT110" s="509">
        <f t="shared" si="110"/>
        <v>0</v>
      </c>
      <c r="BU110" s="459">
        <f t="shared" si="118"/>
        <v>0</v>
      </c>
      <c r="BV110" s="459">
        <f t="shared" si="118"/>
        <v>0</v>
      </c>
      <c r="BW110" s="1">
        <f>+((J110*L110)*Q110)/1000000</f>
        <v>0.02</v>
      </c>
      <c r="BX110" s="1">
        <f>+((J110*L110*N110)*Q110)/1000000000</f>
        <v>4.2999999999999999E-4</v>
      </c>
      <c r="BY110" s="546">
        <f t="shared" si="111"/>
        <v>1</v>
      </c>
      <c r="BZ110" s="546">
        <f t="shared" si="112"/>
        <v>1</v>
      </c>
      <c r="CA110" s="546">
        <f t="shared" si="113"/>
        <v>1</v>
      </c>
      <c r="CB110" s="546">
        <f t="shared" si="114"/>
        <v>1</v>
      </c>
      <c r="CC110" s="728">
        <f>IFERROR((J110-CA110-CB110),"")</f>
        <v>498</v>
      </c>
      <c r="CD110" s="728">
        <f>IFERROR((L110-BY110-BZ110),"")</f>
        <v>38</v>
      </c>
      <c r="CE110" s="170" t="str">
        <f>IFERROR((CONCATENATE(CC110," ","x"," ",CD110," ","x"," ",N110)),"")</f>
        <v>498 x 38 x 21,5</v>
      </c>
      <c r="CF110" t="str">
        <f>IF(F110=1,(CONCATENATE(J110,";",L110,";",Q110,";",BP110,";",N110,";",H110,";","-1",";",AF110,";",CA110,";",AG110,";",CB110,";",AD110,";",BY110,";",AE110,";",BZ110))," ")</f>
        <v xml:space="preserve"> </v>
      </c>
    </row>
    <row r="111" spans="1:84" customFormat="1">
      <c r="A111" s="701"/>
      <c r="B111" s="447"/>
      <c r="C111" s="161"/>
      <c r="D111" s="162"/>
      <c r="E111" s="1"/>
      <c r="F111" s="811"/>
      <c r="G111" s="440"/>
      <c r="H111" s="1"/>
      <c r="I111" s="55"/>
      <c r="J111" s="170"/>
      <c r="K111" s="1"/>
      <c r="L111" s="170"/>
      <c r="M111" s="1"/>
      <c r="N111" s="458"/>
      <c r="O111" s="170"/>
      <c r="P111" s="441"/>
      <c r="Q111" s="55"/>
      <c r="R111" s="177"/>
      <c r="S111" s="454"/>
      <c r="T111" s="178"/>
      <c r="U111" s="178"/>
      <c r="V111" s="179"/>
      <c r="W111" s="180"/>
      <c r="X111" s="179"/>
      <c r="Y111" s="180"/>
      <c r="Z111" s="178"/>
      <c r="AA111" s="178"/>
      <c r="AB111" s="178"/>
      <c r="AC111" s="178"/>
      <c r="AD111" s="182"/>
      <c r="AE111" s="182"/>
      <c r="AF111" s="182"/>
      <c r="AG111" s="182"/>
      <c r="AH111" s="401"/>
      <c r="AI111" s="401"/>
      <c r="AJ111" s="401"/>
      <c r="AK111" s="401"/>
      <c r="AL111" s="401"/>
      <c r="AM111" s="189"/>
      <c r="AN111" s="829"/>
      <c r="AO111" s="830"/>
      <c r="AP111" s="401"/>
      <c r="AQ111" s="401"/>
      <c r="AR111" s="401"/>
      <c r="AS111" s="401"/>
      <c r="AT111" s="403"/>
      <c r="AU111" s="403"/>
      <c r="AV111" s="170"/>
      <c r="AW111" s="166"/>
      <c r="AX111" s="166"/>
      <c r="AY111" s="189"/>
      <c r="AZ111" s="189"/>
      <c r="BA111" s="196"/>
      <c r="BB111" s="629"/>
      <c r="BC111" s="190"/>
      <c r="BD111" s="510"/>
      <c r="BE111" s="510"/>
      <c r="BF111" s="177"/>
      <c r="BG111" s="177"/>
      <c r="BH111" s="166"/>
      <c r="BI111" s="474"/>
      <c r="BJ111" s="166"/>
      <c r="BK111" s="474"/>
      <c r="BL111" s="474"/>
      <c r="BM111" s="474"/>
      <c r="BN111" s="166"/>
      <c r="BO111" s="166"/>
      <c r="BP111" s="204"/>
      <c r="BQ111" s="475"/>
      <c r="BR111" s="205"/>
      <c r="BS111" s="509"/>
      <c r="BT111" s="509"/>
      <c r="BU111" s="459"/>
      <c r="BV111" s="459"/>
      <c r="BW111" s="1"/>
      <c r="BX111" s="1"/>
      <c r="BY111" s="546"/>
      <c r="BZ111" s="546"/>
      <c r="CA111" s="546"/>
      <c r="CB111" s="546"/>
      <c r="CC111" s="728"/>
      <c r="CD111" s="728"/>
      <c r="CE111" s="170"/>
    </row>
    <row r="112" spans="1:84" customFormat="1">
      <c r="A112" s="701" t="str">
        <f>IFERROR(INDEX((ID),MATCH(H112,BARANG,0)),"…")</f>
        <v>…</v>
      </c>
      <c r="B112" s="447" t="str">
        <f>IFERROR(INDEX((cprt),MATCH($H112,Prt,0)),"…")</f>
        <v>pintu</v>
      </c>
      <c r="C112" s="161" t="s">
        <v>1472</v>
      </c>
      <c r="D112" s="162" t="str">
        <f>IFERROR(INDEX((KS),MATCH($H112,Prt,0)),"")</f>
        <v>KS</v>
      </c>
      <c r="E112" s="1" t="s">
        <v>2166</v>
      </c>
      <c r="F112" s="811">
        <f>IFERROR(INDEX((opt),MATCH($H112,Prt,0)),"")</f>
        <v>0</v>
      </c>
      <c r="G112" s="440" t="str">
        <f>IFERROR(INDEX((no_ref),MATCH($H112,ref,0)),"...")</f>
        <v>•••</v>
      </c>
      <c r="H112" s="1" t="s">
        <v>2535</v>
      </c>
      <c r="I112" s="55"/>
      <c r="J112" s="170">
        <v>2430</v>
      </c>
      <c r="K112" s="1" t="s">
        <v>2137</v>
      </c>
      <c r="L112" s="170">
        <v>100</v>
      </c>
      <c r="M112" s="1" t="s">
        <v>2137</v>
      </c>
      <c r="N112" s="458">
        <f>+(S112+W112+Y112)</f>
        <v>19</v>
      </c>
      <c r="O112" s="170" t="str">
        <f>CONCATENATE(J112," ",K112," ",L112," ",M112," ",N112)</f>
        <v>2430 x 100 x 19</v>
      </c>
      <c r="P112" s="441">
        <v>3</v>
      </c>
      <c r="Q112" s="55">
        <f>+P112</f>
        <v>3</v>
      </c>
      <c r="R112" s="177" t="str">
        <f>IFERROR(INDEX((std_bhn_prt),MATCH($H112,Prt,0)),"")</f>
        <v>Ply</v>
      </c>
      <c r="S112" s="454">
        <f>IFERROR(INDEX((std_Tbahan_prt),MATCH($H112,Prt,0)),"")</f>
        <v>18</v>
      </c>
      <c r="T112" s="178">
        <f>INDEX((std_lapisan_luar_prt),MATCH($H112,Prt,0))</f>
        <v>1</v>
      </c>
      <c r="U112" s="178">
        <f>INDEX((std_lapisan_dalam_prt),MATCH($H112,Prt,0))</f>
        <v>0</v>
      </c>
      <c r="V112" s="179" t="str">
        <f>IFERROR(INDEX((tf),MATCH(T112,ctf,0)),"")</f>
        <v>WY_5216_D(V)</v>
      </c>
      <c r="W112" s="180">
        <f>IFERROR(INDEX((tebal_lapisan),MATCH($V112,tf,0)),"")</f>
        <v>1</v>
      </c>
      <c r="X112" s="179" t="str">
        <f>IFERROR(INDEX((tf),MATCH(U112,ctf,0)),"")</f>
        <v>Polos</v>
      </c>
      <c r="Y112" s="180">
        <f>IFERROR(INDEX((tebal_lapisan),MATCH($X112,tf,0)),"")</f>
        <v>0</v>
      </c>
      <c r="Z112" s="178">
        <f>INDEX((std_edg_P1_prt),MATCH($H112,Prt,0))</f>
        <v>1</v>
      </c>
      <c r="AA112" s="178">
        <f>INDEX((std_edg_P2_prt),MATCH($H112,Prt,0))</f>
        <v>0</v>
      </c>
      <c r="AB112" s="178">
        <f>INDEX((std_edg_L1_prt),MATCH($H112,Prt,0))</f>
        <v>0</v>
      </c>
      <c r="AC112" s="178">
        <f>INDEX((std_edg_L2_prt),MATCH($H112,Prt,0))</f>
        <v>0</v>
      </c>
      <c r="AD112" s="182" t="str">
        <f t="shared" ref="AD112:AG114" si="119">IF($B112="alu",(INDEX((Fr),MATCH(Z112,cfr,0))),INDEX((te),MATCH(Z112,cte,0)))</f>
        <v>Edg_EAW_5216D1</v>
      </c>
      <c r="AE112" s="182" t="str">
        <f t="shared" si="119"/>
        <v xml:space="preserve"> </v>
      </c>
      <c r="AF112" s="182" t="str">
        <f t="shared" si="119"/>
        <v xml:space="preserve"> </v>
      </c>
      <c r="AG112" s="182" t="str">
        <f t="shared" si="119"/>
        <v xml:space="preserve"> </v>
      </c>
      <c r="AH112" s="401">
        <f>IFERROR(INDEX((std_profil3_prt),MATCH($H112,Prt,0)),"")</f>
        <v>0</v>
      </c>
      <c r="AI112" s="401">
        <f>IFERROR(INDEX((std_profil2_prt),MATCH($H112,Prt,0)),"")</f>
        <v>0</v>
      </c>
      <c r="AJ112" s="401">
        <f>IFERROR(INDEX((std_profil_prt),MATCH($H112,Prt,0)),"")</f>
        <v>0</v>
      </c>
      <c r="AK112" s="401">
        <f>IFERROR(INDEX((std_siku_prt),MATCH($H112,Prt,0)),"")</f>
        <v>0</v>
      </c>
      <c r="AL112" s="401">
        <f>IFERROR(INDEX((std_screw_prt),MATCH($H112,Prt,0)),"")</f>
        <v>0</v>
      </c>
      <c r="AM112" s="189"/>
      <c r="AN112" s="829">
        <f>IFERROR(INDEX((std_rel_prt),MATCH($H112,Prt,0)),"")</f>
        <v>0</v>
      </c>
      <c r="AO112" s="830">
        <f>IFERROR(INDEX((std_engsel_prt),MATCH($H112,Prt,0)),"")</f>
        <v>0</v>
      </c>
      <c r="AP112" s="401" t="str">
        <f>IFERROR(INDEX((std_anodizev_proses),MATCH($I112,pk,0)),"")</f>
        <v/>
      </c>
      <c r="AQ112" s="401" t="str">
        <f>IFERROR(INDEX((std_anodizev2_proses),MATCH($I112,pk,0)),"")</f>
        <v/>
      </c>
      <c r="AR112" s="401" t="str">
        <f>IFERROR(INDEX((std_anodizeh_proses),MATCH($I112,pk,0)),"")</f>
        <v/>
      </c>
      <c r="AS112" s="401">
        <f>IFERROR(INDEX((std_anodize_per_ukuran),MATCH($H112,Prt,0)),"")</f>
        <v>0</v>
      </c>
      <c r="AT112" s="403" t="str">
        <f>IF($AS112=edging7,L112,IF($AS112=edging8,L112,IF($AS112=edging9,L112,IF($AS112=Hand1,J111,IF($AS112=Hand2,L111,IF($AS112=hand3,"diisi manual",IF($AS112=hand4,"diisi manual",IF($AS112=hand5,"diisi manual",IF($AS112=mled02,J112,IF($AS112=mprf1,J112,IF($AS112=mlis1,J112,"")))))))))))</f>
        <v/>
      </c>
      <c r="AU112" s="403">
        <f>IF($AS112="","",Q112*BR112)</f>
        <v>0</v>
      </c>
      <c r="AV112" s="170"/>
      <c r="AW112" s="166" t="str">
        <f>CONCATENATE(VLOOKUP($V112,tabtf,2,0),VLOOKUP($X112,tabtf,2,0))</f>
        <v>13</v>
      </c>
      <c r="AX112" s="166" t="str">
        <f>IF($B112="alu",(CONCATENATE(VLOOKUP($AD112,tabfr,2,0),VLOOKUP($AE112,tabfr,2,0),VLOOKUP($AF112,tabfr,2,0),VLOOKUP($AG112,tabfr,2,0))),(CONCATENATE(VLOOKUP($AD112,tabte,2,0),VLOOKUP($AE112,tabte,2,0),VLOOKUP($AF112,tabte,2,0),VLOOKUP($AG112,tabte,2,0))))</f>
        <v>4333</v>
      </c>
      <c r="AY112" s="189" t="str">
        <f>IFERROR(VLOOKUP(AW112,descf,2,0),"")</f>
        <v>WY_5216_D(V)_1mk_Polos</v>
      </c>
      <c r="AZ112" s="189" t="str">
        <f>IF($B112="alu",(VLOOKUP(AX112,descfr,2,0)),(VLOOKUP(AX112,desce,2,0)))</f>
        <v>Edg_EAW_5216D1_1sisi_pjg</v>
      </c>
      <c r="BA112" s="196" t="str">
        <f>IF($R112=0,CONCATENATE(0,")"," ",$H112," ",$J112),CONCATENATE(VLOOKUP(H112,tabprt,2,0),")",$H112,"_",AY112))</f>
        <v>462)Plinth/Uppertop_WY_5216_D(V)_1mk_Polos</v>
      </c>
      <c r="BB112" s="629" t="str">
        <f>IF($B112="…",CONCATENATE(0,$E112,")"," ",$H112),IF($B112="kc",CONCATENATE(VLOOKUP(H112,tabprt,2,0),")",$H112," ",$R112," ",$S112,"mm"," ","-"," "," ",";"," ",$AZ112,"  ",$I112),IF($B112="alu",CONCATENATE(VLOOKUP(H112,tabprt,2,0),")",$H112," ",$R112," ",$S112,"mm"," ","-"," "," ",";"," ",$AZ112,"  ",$I112),CONCATENATE(VLOOKUP(H112,tabprt,2,0),")",$H112," ",$R112," ",$S112,"mm"," ","-"," ",$AY112," ",";"," ",$AZ112,"  ",$I112))))</f>
        <v xml:space="preserve">462)Plinth/Uppertop Ply 18mm - WY_5216_D(V)_1mk_Polos ; Edg_EAW_5216D1_1sisi_pjg  </v>
      </c>
      <c r="BC112" s="190"/>
      <c r="BD112" s="510">
        <f>IFERROR(INDEX((std_minifix_prt),MATCH($H112,Prt,0)),"")</f>
        <v>0</v>
      </c>
      <c r="BE112" s="510">
        <f>IFERROR(INDEX((std_dowel_prt),MATCH($H112,Prt,0)),"")</f>
        <v>0</v>
      </c>
      <c r="BF112" s="177">
        <f>IFERROR(INDEX((std_j_sikufr_prt),MATCH($H112,Prt,0)),"")*Q112</f>
        <v>0</v>
      </c>
      <c r="BG112" s="177">
        <f>IFERROR(INDEX((std_j_screwjf_prt),MATCH($H112,Prt,0)),"")*Q112</f>
        <v>0</v>
      </c>
      <c r="BH112" s="166">
        <f>IF($AM112=0,0,1)*Q112</f>
        <v>0</v>
      </c>
      <c r="BI112" s="474">
        <f>IF($AO112=0,0,IF(J112&lt;=fp,2,(ROUNDUP(J112/fp,0))))*Q112</f>
        <v>0</v>
      </c>
      <c r="BJ112" s="166">
        <f>IF($AN112=0,0,1)*Q112</f>
        <v>0</v>
      </c>
      <c r="BK112" s="474">
        <f>(($J112+tol_p)*$Q112)/1000</f>
        <v>7.41</v>
      </c>
      <c r="BL112" s="474">
        <f>(($L112+tol_p)*$Q112)/1000</f>
        <v>0.42</v>
      </c>
      <c r="BM112" s="474">
        <f>IF(R112=0,0,((2*((J112+tol_p)+(L112+tol_p))*Q112)/1000))</f>
        <v>15.66</v>
      </c>
      <c r="BN112" s="166">
        <f>((J112*L112)/1000000)*Q112</f>
        <v>0.72899999999999998</v>
      </c>
      <c r="BO112" s="166" t="str">
        <f>CONCATENATE(R112,"_",S112)</f>
        <v>Ply_18</v>
      </c>
      <c r="BP112" s="204" t="str">
        <f>CONCATENATE(R112," ",S112," ",AY112)</f>
        <v>Ply 18 WY_5216_D(V)_1mk_Polos</v>
      </c>
      <c r="BQ112" s="475">
        <f>((J112*L112*Q112)/(2400*1200))+10%</f>
        <v>0.35312500000000002</v>
      </c>
      <c r="BR112" s="205">
        <f>IFERROR(INDEX((std_jml_anodize_per_uk),MATCH($H112,Prt,0)),"")</f>
        <v>0</v>
      </c>
      <c r="BS112" s="509">
        <f>IF($BD112=0,0,IF($L112&lt;150,2,((ROUNDUP($L112/fm,0)*2))))*$Q112</f>
        <v>0</v>
      </c>
      <c r="BT112" s="509">
        <f>IF($BE112=0,0,IF($L112&lt;150,2,((ROUNDUP($L112/fd,0)*2))))*$Q112</f>
        <v>0</v>
      </c>
      <c r="BU112" s="459">
        <f t="shared" ref="BU112:BV114" si="120">BF112*$Q112</f>
        <v>0</v>
      </c>
      <c r="BV112" s="459">
        <f t="shared" si="120"/>
        <v>0</v>
      </c>
      <c r="BW112" s="1">
        <f>+((J112*L112)*Q112)/1000000</f>
        <v>0.72899999999999998</v>
      </c>
      <c r="BX112" s="1">
        <f>+((J112*L112*N112)*Q112)/1000000000</f>
        <v>1.3851E-2</v>
      </c>
      <c r="BY112" s="546" t="str">
        <f>IFERROR(INDEX((tbl_edg),MATCH($AD112,Edg,0)),"")</f>
        <v/>
      </c>
      <c r="BZ112" s="546" t="str">
        <f>IFERROR(INDEX((tbl_edg),MATCH($AE112,Edg,0)),"")</f>
        <v/>
      </c>
      <c r="CA112" s="546" t="str">
        <f>IFERROR(INDEX((tbl_edg),MATCH($AF112,Edg,0)),"")</f>
        <v/>
      </c>
      <c r="CB112" s="546" t="str">
        <f>IFERROR(INDEX((tbl_edg),MATCH($AG112,Edg,0)),"")</f>
        <v/>
      </c>
      <c r="CC112" s="728" t="str">
        <f>IFERROR((J112-CA112-CB112),"")</f>
        <v/>
      </c>
      <c r="CD112" s="728" t="str">
        <f>IFERROR((L112-BY112-BZ112),"")</f>
        <v/>
      </c>
      <c r="CE112" s="170" t="str">
        <f>IFERROR((CONCATENATE(CC112," ","x"," ",CD112," ","x"," ",N112)),"")</f>
        <v xml:space="preserve"> x  x 19</v>
      </c>
      <c r="CF112" t="str">
        <f>IF(F112=1,(CONCATENATE(J112,";",L112,";",Q112,";",BP112,";",N112,";",H112,";","-1",";",AF112,";",CA112,";",AG112,";",CB112,";",AD112,";",BY112,";",AE112,";",BZ112))," ")</f>
        <v xml:space="preserve"> </v>
      </c>
    </row>
    <row r="113" spans="1:84" customFormat="1">
      <c r="A113" s="701" t="str">
        <f>IFERROR(INDEX((ID),MATCH(H113,BARANG,0)),"…")</f>
        <v>…</v>
      </c>
      <c r="B113" s="447" t="str">
        <f>IFERROR(INDEX((cprt),MATCH($H113,Prt,0)),"…")</f>
        <v>pintu</v>
      </c>
      <c r="C113" s="161" t="s">
        <v>1472</v>
      </c>
      <c r="D113" s="162" t="str">
        <f>IFERROR(INDEX((KS),MATCH($H113,Prt,0)),"")</f>
        <v>KS</v>
      </c>
      <c r="E113" s="1" t="s">
        <v>2166</v>
      </c>
      <c r="F113" s="811">
        <f>IFERROR(INDEX((opt),MATCH($H113,Prt,0)),"")</f>
        <v>0</v>
      </c>
      <c r="G113" s="440" t="str">
        <f>IFERROR(INDEX((no_ref),MATCH($H113,ref,0)),"...")</f>
        <v>•••</v>
      </c>
      <c r="H113" s="1" t="s">
        <v>1617</v>
      </c>
      <c r="I113" s="55"/>
      <c r="J113" s="170">
        <v>2430</v>
      </c>
      <c r="K113" s="1" t="s">
        <v>2137</v>
      </c>
      <c r="L113" s="170">
        <v>70</v>
      </c>
      <c r="M113" s="1" t="s">
        <v>2137</v>
      </c>
      <c r="N113" s="458">
        <f>+(S113+W113+Y113)</f>
        <v>19</v>
      </c>
      <c r="O113" s="170" t="str">
        <f>CONCATENATE(J113," ",K113," ",L113," ",M113," ",N113)</f>
        <v>2430 x 70 x 19</v>
      </c>
      <c r="P113" s="441">
        <v>4</v>
      </c>
      <c r="Q113" s="55">
        <f>+P113</f>
        <v>4</v>
      </c>
      <c r="R113" s="177" t="str">
        <f>IFERROR(INDEX((std_bhn_prt),MATCH($H113,Prt,0)),"")</f>
        <v>Ply</v>
      </c>
      <c r="S113" s="454">
        <f>IFERROR(INDEX((std_Tbahan_prt),MATCH($H113,Prt,0)),"")</f>
        <v>18</v>
      </c>
      <c r="T113" s="178">
        <f>INDEX((std_lapisan_luar_prt),MATCH($H113,Prt,0))</f>
        <v>1</v>
      </c>
      <c r="U113" s="178">
        <f>INDEX((std_lapisan_dalam_prt),MATCH($H113,Prt,0))</f>
        <v>0</v>
      </c>
      <c r="V113" s="179" t="str">
        <f>IFERROR(INDEX((tf),MATCH(T113,ctf,0)),"")</f>
        <v>WY_5216_D(V)</v>
      </c>
      <c r="W113" s="180">
        <f>IFERROR(INDEX((tebal_lapisan),MATCH($V113,tf,0)),"")</f>
        <v>1</v>
      </c>
      <c r="X113" s="179" t="str">
        <f>IFERROR(INDEX((tf),MATCH(U113,ctf,0)),"")</f>
        <v>Polos</v>
      </c>
      <c r="Y113" s="180">
        <f>IFERROR(INDEX((tebal_lapisan),MATCH($X113,tf,0)),"")</f>
        <v>0</v>
      </c>
      <c r="Z113" s="178">
        <f>INDEX((std_edg_P1_prt),MATCH($H113,Prt,0))</f>
        <v>0</v>
      </c>
      <c r="AA113" s="178">
        <f>INDEX((std_edg_P2_prt),MATCH($H113,Prt,0))</f>
        <v>0</v>
      </c>
      <c r="AB113" s="178">
        <f>INDEX((std_edg_L1_prt),MATCH($H113,Prt,0))</f>
        <v>0</v>
      </c>
      <c r="AC113" s="178">
        <f>INDEX((std_edg_L2_prt),MATCH($H113,Prt,0))</f>
        <v>0</v>
      </c>
      <c r="AD113" s="182" t="str">
        <f t="shared" si="119"/>
        <v xml:space="preserve"> </v>
      </c>
      <c r="AE113" s="182" t="str">
        <f t="shared" si="119"/>
        <v xml:space="preserve"> </v>
      </c>
      <c r="AF113" s="182" t="str">
        <f t="shared" si="119"/>
        <v xml:space="preserve"> </v>
      </c>
      <c r="AG113" s="182" t="str">
        <f t="shared" si="119"/>
        <v xml:space="preserve"> </v>
      </c>
      <c r="AH113" s="401">
        <f>IFERROR(INDEX((std_profil3_prt),MATCH($H113,Prt,0)),"")</f>
        <v>0</v>
      </c>
      <c r="AI113" s="401">
        <f>IFERROR(INDEX((std_profil2_prt),MATCH($H113,Prt,0)),"")</f>
        <v>0</v>
      </c>
      <c r="AJ113" s="401">
        <f>IFERROR(INDEX((std_profil_prt),MATCH($H113,Prt,0)),"")</f>
        <v>0</v>
      </c>
      <c r="AK113" s="401">
        <f>IFERROR(INDEX((std_siku_prt),MATCH($H113,Prt,0)),"")</f>
        <v>0</v>
      </c>
      <c r="AL113" s="401">
        <f>IFERROR(INDEX((std_screw_prt),MATCH($H113,Prt,0)),"")</f>
        <v>0</v>
      </c>
      <c r="AM113" s="189"/>
      <c r="AN113" s="829">
        <f>IFERROR(INDEX((std_rel_prt),MATCH($H113,Prt,0)),"")</f>
        <v>0</v>
      </c>
      <c r="AO113" s="830">
        <f>IFERROR(INDEX((std_engsel_prt),MATCH($H113,Prt,0)),"")</f>
        <v>0</v>
      </c>
      <c r="AP113" s="401" t="str">
        <f>IFERROR(INDEX((std_anodizev_proses),MATCH($I113,pk,0)),"")</f>
        <v/>
      </c>
      <c r="AQ113" s="401" t="str">
        <f>IFERROR(INDEX((std_anodizev2_proses),MATCH($I113,pk,0)),"")</f>
        <v/>
      </c>
      <c r="AR113" s="401" t="str">
        <f>IFERROR(INDEX((std_anodizeh_proses),MATCH($I113,pk,0)),"")</f>
        <v/>
      </c>
      <c r="AS113" s="401">
        <f>IFERROR(INDEX((std_anodize_per_ukuran),MATCH($H113,Prt,0)),"")</f>
        <v>0</v>
      </c>
      <c r="AT113" s="403" t="str">
        <f>IF($AS113=edging7,L113,IF($AS113=edging8,L113,IF($AS113=edging9,L113,IF($AS113=Hand1,J112,IF($AS113=Hand2,L112,IF($AS113=hand3,"diisi manual",IF($AS113=hand4,"diisi manual",IF($AS113=hand5,"diisi manual",IF($AS113=mled02,J113,IF($AS113=mprf1,J113,IF($AS113=mlis1,J113,"")))))))))))</f>
        <v/>
      </c>
      <c r="AU113" s="403">
        <f>IF($AS113="","",Q113*BR113)</f>
        <v>0</v>
      </c>
      <c r="AV113" s="170"/>
      <c r="AW113" s="166" t="str">
        <f>CONCATENATE(VLOOKUP($V113,tabtf,2,0),VLOOKUP($X113,tabtf,2,0))</f>
        <v>13</v>
      </c>
      <c r="AX113" s="166" t="str">
        <f>IF($B113="alu",(CONCATENATE(VLOOKUP($AD113,tabfr,2,0),VLOOKUP($AE113,tabfr,2,0),VLOOKUP($AF113,tabfr,2,0),VLOOKUP($AG113,tabfr,2,0))),(CONCATENATE(VLOOKUP($AD113,tabte,2,0),VLOOKUP($AE113,tabte,2,0),VLOOKUP($AF113,tabte,2,0),VLOOKUP($AG113,tabte,2,0))))</f>
        <v>3333</v>
      </c>
      <c r="AY113" s="189" t="str">
        <f>IFERROR(VLOOKUP(AW113,descf,2,0),"")</f>
        <v>WY_5216_D(V)_1mk_Polos</v>
      </c>
      <c r="AZ113" s="189" t="str">
        <f>IF($B113="alu",(VLOOKUP(AX113,descfr,2,0)),(VLOOKUP(AX113,desce,2,0)))</f>
        <v xml:space="preserve"> -</v>
      </c>
      <c r="BA113" s="196" t="str">
        <f>IF($R113=0,CONCATENATE(0,")"," ",$H113," ",$J113),CONCATENATE(VLOOKUP(H113,tabprt,2,0),")",$H113,"_",AY113))</f>
        <v>435)Dummies_WY_5216_D(V)_1mk_Polos</v>
      </c>
      <c r="BB113" s="629" t="str">
        <f>IF($B113="…",CONCATENATE(0,$E113,")"," ",$H113),IF($B113="kc",CONCATENATE(VLOOKUP(H113,tabprt,2,0),")",$H113," ",$R113," ",$S113,"mm"," ","-"," "," ",";"," ",$AZ113,"  ",$I113),IF($B113="alu",CONCATENATE(VLOOKUP(H113,tabprt,2,0),")",$H113," ",$R113," ",$S113,"mm"," ","-"," "," ",";"," ",$AZ113,"  ",$I113),CONCATENATE(VLOOKUP(H113,tabprt,2,0),")",$H113," ",$R113," ",$S113,"mm"," ","-"," ",$AY113," ",";"," ",$AZ113,"  ",$I113))))</f>
        <v xml:space="preserve">435)Dummies Ply 18mm - WY_5216_D(V)_1mk_Polos ;  -  </v>
      </c>
      <c r="BC113" s="190"/>
      <c r="BD113" s="510">
        <f>IFERROR(INDEX((std_minifix_prt),MATCH($H113,Prt,0)),"")</f>
        <v>0</v>
      </c>
      <c r="BE113" s="510">
        <f>IFERROR(INDEX((std_dowel_prt),MATCH($H113,Prt,0)),"")</f>
        <v>0</v>
      </c>
      <c r="BF113" s="177">
        <f>IFERROR(INDEX((std_j_sikufr_prt),MATCH($H113,Prt,0)),"")*Q113</f>
        <v>0</v>
      </c>
      <c r="BG113" s="177">
        <f>IFERROR(INDEX((std_j_screwjf_prt),MATCH($H113,Prt,0)),"")*Q113</f>
        <v>0</v>
      </c>
      <c r="BH113" s="166">
        <f>IF($AM113=0,0,1)*Q113</f>
        <v>0</v>
      </c>
      <c r="BI113" s="474">
        <f>IF($AO113=0,0,IF(J113&lt;=fp,2,(ROUNDUP(J113/fp,0))))*Q113</f>
        <v>0</v>
      </c>
      <c r="BJ113" s="166">
        <f>IF($AN113=0,0,1)*Q113</f>
        <v>0</v>
      </c>
      <c r="BK113" s="474">
        <f>(($J113+tol_p)*$Q113)/1000</f>
        <v>9.8800000000000008</v>
      </c>
      <c r="BL113" s="474">
        <f>(($L113+tol_p)*$Q113)/1000</f>
        <v>0.44</v>
      </c>
      <c r="BM113" s="474">
        <f>IF(R113=0,0,((2*((J113+tol_p)+(L113+tol_p))*Q113)/1000))</f>
        <v>20.64</v>
      </c>
      <c r="BN113" s="166">
        <f>((J113*L113)/1000000)*Q113</f>
        <v>0.6804</v>
      </c>
      <c r="BO113" s="166" t="str">
        <f>CONCATENATE(R113,"_",S113)</f>
        <v>Ply_18</v>
      </c>
      <c r="BP113" s="204" t="str">
        <f>CONCATENATE(R113," ",S113," ",AY113)</f>
        <v>Ply 18 WY_5216_D(V)_1mk_Polos</v>
      </c>
      <c r="BQ113" s="475">
        <f>((J113*L113*Q113)/(2400*1200))+10%</f>
        <v>0.33624999999999999</v>
      </c>
      <c r="BR113" s="205">
        <f>IFERROR(INDEX((std_jml_anodize_per_uk),MATCH($H113,Prt,0)),"")</f>
        <v>0</v>
      </c>
      <c r="BS113" s="509">
        <f>IF($BD113=0,0,IF($L113&lt;150,2,((ROUNDUP($L113/fm,0)*2))))*$Q113</f>
        <v>0</v>
      </c>
      <c r="BT113" s="509">
        <f>IF($BE113=0,0,IF($L113&lt;150,2,((ROUNDUP($L113/fd,0)*2))))*$Q113</f>
        <v>0</v>
      </c>
      <c r="BU113" s="459">
        <f t="shared" si="120"/>
        <v>0</v>
      </c>
      <c r="BV113" s="459">
        <f t="shared" si="120"/>
        <v>0</v>
      </c>
      <c r="BW113" s="1">
        <f>+((J113*L113)*Q113)/1000000</f>
        <v>0.6804</v>
      </c>
      <c r="BX113" s="1">
        <f>+((J113*L113*N113)*Q113)/1000000000</f>
        <v>1.2927599999999999E-2</v>
      </c>
      <c r="BY113" s="546" t="str">
        <f>IFERROR(INDEX((tbl_edg),MATCH($AD113,Edg,0)),"")</f>
        <v/>
      </c>
      <c r="BZ113" s="546" t="str">
        <f>IFERROR(INDEX((tbl_edg),MATCH($AE113,Edg,0)),"")</f>
        <v/>
      </c>
      <c r="CA113" s="546" t="str">
        <f>IFERROR(INDEX((tbl_edg),MATCH($AF113,Edg,0)),"")</f>
        <v/>
      </c>
      <c r="CB113" s="546" t="str">
        <f>IFERROR(INDEX((tbl_edg),MATCH($AG113,Edg,0)),"")</f>
        <v/>
      </c>
      <c r="CC113" s="728" t="str">
        <f>IFERROR((J113-CA113-CB113),"")</f>
        <v/>
      </c>
      <c r="CD113" s="728" t="str">
        <f>IFERROR((L113-BY113-BZ113),"")</f>
        <v/>
      </c>
      <c r="CE113" s="170" t="str">
        <f>IFERROR((CONCATENATE(CC113," ","x"," ",CD113," ","x"," ",N113)),"")</f>
        <v xml:space="preserve"> x  x 19</v>
      </c>
      <c r="CF113" t="str">
        <f>IF(F113=1,(CONCATENATE(J113,";",L113,";",Q113,";",BP113,";",N113,";",H113,";","-1",";",AF113,";",CA113,";",AG113,";",CB113,";",AD113,";",BY113,";",AE113,";",BZ113))," ")</f>
        <v xml:space="preserve"> </v>
      </c>
    </row>
    <row r="114" spans="1:84" customFormat="1">
      <c r="A114" s="701" t="str">
        <f>IFERROR(INDEX((ID),MATCH(H114,BARANG,0)),"…")</f>
        <v>…</v>
      </c>
      <c r="B114" s="447" t="str">
        <f>IFERROR(INDEX((cprt),MATCH($H114,Prt,0)),"…")</f>
        <v>pintu</v>
      </c>
      <c r="C114" s="161" t="s">
        <v>1472</v>
      </c>
      <c r="D114" s="162" t="str">
        <f>IFERROR(INDEX((KS),MATCH($H114,Prt,0)),"")</f>
        <v>KS</v>
      </c>
      <c r="E114" s="1" t="s">
        <v>2166</v>
      </c>
      <c r="F114" s="811">
        <f>IFERROR(INDEX((opt),MATCH($H114,Prt,0)),"")</f>
        <v>0</v>
      </c>
      <c r="G114" s="440" t="str">
        <f>IFERROR(INDEX((no_ref),MATCH($H114,ref,0)),"...")</f>
        <v>•••</v>
      </c>
      <c r="H114" s="1" t="s">
        <v>1617</v>
      </c>
      <c r="I114" s="55"/>
      <c r="J114" s="170">
        <v>2430</v>
      </c>
      <c r="K114" s="1" t="s">
        <v>2137</v>
      </c>
      <c r="L114" s="170">
        <v>30</v>
      </c>
      <c r="M114" s="1" t="s">
        <v>2137</v>
      </c>
      <c r="N114" s="458">
        <f>+(S114+W114+Y114)</f>
        <v>19</v>
      </c>
      <c r="O114" s="170" t="str">
        <f>CONCATENATE(J114," ",K114," ",L114," ",M114," ",N114)</f>
        <v>2430 x 30 x 19</v>
      </c>
      <c r="P114" s="441">
        <v>4</v>
      </c>
      <c r="Q114" s="55">
        <f>+P114</f>
        <v>4</v>
      </c>
      <c r="R114" s="177" t="str">
        <f>IFERROR(INDEX((std_bhn_prt),MATCH($H114,Prt,0)),"")</f>
        <v>Ply</v>
      </c>
      <c r="S114" s="454">
        <f>IFERROR(INDEX((std_Tbahan_prt),MATCH($H114,Prt,0)),"")</f>
        <v>18</v>
      </c>
      <c r="T114" s="178">
        <f>INDEX((std_lapisan_luar_prt),MATCH($H114,Prt,0))</f>
        <v>1</v>
      </c>
      <c r="U114" s="178">
        <f>INDEX((std_lapisan_dalam_prt),MATCH($H114,Prt,0))</f>
        <v>0</v>
      </c>
      <c r="V114" s="179" t="str">
        <f>IFERROR(INDEX((tf),MATCH(T114,ctf,0)),"")</f>
        <v>WY_5216_D(V)</v>
      </c>
      <c r="W114" s="180">
        <f>IFERROR(INDEX((tebal_lapisan),MATCH($V114,tf,0)),"")</f>
        <v>1</v>
      </c>
      <c r="X114" s="179" t="str">
        <f>IFERROR(INDEX((tf),MATCH(U114,ctf,0)),"")</f>
        <v>Polos</v>
      </c>
      <c r="Y114" s="180">
        <f>IFERROR(INDEX((tebal_lapisan),MATCH($X114,tf,0)),"")</f>
        <v>0</v>
      </c>
      <c r="Z114" s="178">
        <f>INDEX((std_edg_P1_prt),MATCH($H114,Prt,0))</f>
        <v>0</v>
      </c>
      <c r="AA114" s="178">
        <f>INDEX((std_edg_P2_prt),MATCH($H114,Prt,0))</f>
        <v>0</v>
      </c>
      <c r="AB114" s="178">
        <f>INDEX((std_edg_L1_prt),MATCH($H114,Prt,0))</f>
        <v>0</v>
      </c>
      <c r="AC114" s="178">
        <f>INDEX((std_edg_L2_prt),MATCH($H114,Prt,0))</f>
        <v>0</v>
      </c>
      <c r="AD114" s="182" t="str">
        <f t="shared" si="119"/>
        <v xml:space="preserve"> </v>
      </c>
      <c r="AE114" s="182" t="str">
        <f t="shared" si="119"/>
        <v xml:space="preserve"> </v>
      </c>
      <c r="AF114" s="182" t="str">
        <f t="shared" si="119"/>
        <v xml:space="preserve"> </v>
      </c>
      <c r="AG114" s="182" t="str">
        <f t="shared" si="119"/>
        <v xml:space="preserve"> </v>
      </c>
      <c r="AH114" s="401">
        <f>IFERROR(INDEX((std_profil3_prt),MATCH($H114,Prt,0)),"")</f>
        <v>0</v>
      </c>
      <c r="AI114" s="401">
        <f>IFERROR(INDEX((std_profil2_prt),MATCH($H114,Prt,0)),"")</f>
        <v>0</v>
      </c>
      <c r="AJ114" s="401">
        <f>IFERROR(INDEX((std_profil_prt),MATCH($H114,Prt,0)),"")</f>
        <v>0</v>
      </c>
      <c r="AK114" s="401">
        <f>IFERROR(INDEX((std_siku_prt),MATCH($H114,Prt,0)),"")</f>
        <v>0</v>
      </c>
      <c r="AL114" s="401">
        <f>IFERROR(INDEX((std_screw_prt),MATCH($H114,Prt,0)),"")</f>
        <v>0</v>
      </c>
      <c r="AM114" s="189"/>
      <c r="AN114" s="829">
        <f>IFERROR(INDEX((std_rel_prt),MATCH($H114,Prt,0)),"")</f>
        <v>0</v>
      </c>
      <c r="AO114" s="830">
        <f>IFERROR(INDEX((std_engsel_prt),MATCH($H114,Prt,0)),"")</f>
        <v>0</v>
      </c>
      <c r="AP114" s="401" t="str">
        <f>IFERROR(INDEX((std_anodizev_proses),MATCH($I114,pk,0)),"")</f>
        <v/>
      </c>
      <c r="AQ114" s="401" t="str">
        <f>IFERROR(INDEX((std_anodizev2_proses),MATCH($I114,pk,0)),"")</f>
        <v/>
      </c>
      <c r="AR114" s="401" t="str">
        <f>IFERROR(INDEX((std_anodizeh_proses),MATCH($I114,pk,0)),"")</f>
        <v/>
      </c>
      <c r="AS114" s="401">
        <f>IFERROR(INDEX((std_anodize_per_ukuran),MATCH($H114,Prt,0)),"")</f>
        <v>0</v>
      </c>
      <c r="AT114" s="403" t="str">
        <f>IF($AS114=edging7,L114,IF($AS114=edging8,L114,IF($AS114=edging9,L114,IF($AS114=Hand1,J113,IF($AS114=Hand2,L113,IF($AS114=hand3,"diisi manual",IF($AS114=hand4,"diisi manual",IF($AS114=hand5,"diisi manual",IF($AS114=mled02,J114,IF($AS114=mprf1,J114,IF($AS114=mlis1,J114,"")))))))))))</f>
        <v/>
      </c>
      <c r="AU114" s="403">
        <f>IF($AS114="","",Q114*BR114)</f>
        <v>0</v>
      </c>
      <c r="AV114" s="170"/>
      <c r="AW114" s="166" t="str">
        <f>CONCATENATE(VLOOKUP($V114,tabtf,2,0),VLOOKUP($X114,tabtf,2,0))</f>
        <v>13</v>
      </c>
      <c r="AX114" s="166" t="str">
        <f>IF($B114="alu",(CONCATENATE(VLOOKUP($AD114,tabfr,2,0),VLOOKUP($AE114,tabfr,2,0),VLOOKUP($AF114,tabfr,2,0),VLOOKUP($AG114,tabfr,2,0))),(CONCATENATE(VLOOKUP($AD114,tabte,2,0),VLOOKUP($AE114,tabte,2,0),VLOOKUP($AF114,tabte,2,0),VLOOKUP($AG114,tabte,2,0))))</f>
        <v>3333</v>
      </c>
      <c r="AY114" s="189" t="str">
        <f>IFERROR(VLOOKUP(AW114,descf,2,0),"")</f>
        <v>WY_5216_D(V)_1mk_Polos</v>
      </c>
      <c r="AZ114" s="189" t="str">
        <f>IF($B114="alu",(VLOOKUP(AX114,descfr,2,0)),(VLOOKUP(AX114,desce,2,0)))</f>
        <v xml:space="preserve"> -</v>
      </c>
      <c r="BA114" s="196" t="str">
        <f>IF($R114=0,CONCATENATE(0,")"," ",$H114," ",$J114),CONCATENATE(VLOOKUP(H114,tabprt,2,0),")",$H114,"_",AY114))</f>
        <v>435)Dummies_WY_5216_D(V)_1mk_Polos</v>
      </c>
      <c r="BB114" s="629" t="str">
        <f>IF($B114="…",CONCATENATE(0,$E114,")"," ",$H114),IF($B114="kc",CONCATENATE(VLOOKUP(H114,tabprt,2,0),")",$H114," ",$R114," ",$S114,"mm"," ","-"," "," ",";"," ",$AZ114,"  ",$I114),IF($B114="alu",CONCATENATE(VLOOKUP(H114,tabprt,2,0),")",$H114," ",$R114," ",$S114,"mm"," ","-"," "," ",";"," ",$AZ114,"  ",$I114),CONCATENATE(VLOOKUP(H114,tabprt,2,0),")",$H114," ",$R114," ",$S114,"mm"," ","-"," ",$AY114," ",";"," ",$AZ114,"  ",$I114))))</f>
        <v xml:space="preserve">435)Dummies Ply 18mm - WY_5216_D(V)_1mk_Polos ;  -  </v>
      </c>
      <c r="BC114" s="190"/>
      <c r="BD114" s="510">
        <f>IFERROR(INDEX((std_minifix_prt),MATCH($H114,Prt,0)),"")</f>
        <v>0</v>
      </c>
      <c r="BE114" s="510">
        <f>IFERROR(INDEX((std_dowel_prt),MATCH($H114,Prt,0)),"")</f>
        <v>0</v>
      </c>
      <c r="BF114" s="177">
        <f>IFERROR(INDEX((std_j_sikufr_prt),MATCH($H114,Prt,0)),"")*Q114</f>
        <v>0</v>
      </c>
      <c r="BG114" s="177">
        <f>IFERROR(INDEX((std_j_screwjf_prt),MATCH($H114,Prt,0)),"")*Q114</f>
        <v>0</v>
      </c>
      <c r="BH114" s="166">
        <f>IF($AM114=0,0,1)*Q114</f>
        <v>0</v>
      </c>
      <c r="BI114" s="474">
        <f>IF($AO114=0,0,IF(J114&lt;=fp,2,(ROUNDUP(J114/fp,0))))*Q114</f>
        <v>0</v>
      </c>
      <c r="BJ114" s="166">
        <f>IF($AN114=0,0,1)*Q114</f>
        <v>0</v>
      </c>
      <c r="BK114" s="474">
        <f>(($J114+tol_p)*$Q114)/1000</f>
        <v>9.8800000000000008</v>
      </c>
      <c r="BL114" s="474">
        <f>(($L114+tol_p)*$Q114)/1000</f>
        <v>0.28000000000000003</v>
      </c>
      <c r="BM114" s="474">
        <f>IF(R114=0,0,((2*((J114+tol_p)+(L114+tol_p))*Q114)/1000))</f>
        <v>20.32</v>
      </c>
      <c r="BN114" s="166">
        <f>((J114*L114)/1000000)*Q114</f>
        <v>0.29160000000000003</v>
      </c>
      <c r="BO114" s="166" t="str">
        <f>CONCATENATE(R114,"_",S114)</f>
        <v>Ply_18</v>
      </c>
      <c r="BP114" s="204" t="str">
        <f>CONCATENATE(R114," ",S114," ",AY114)</f>
        <v>Ply 18 WY_5216_D(V)_1mk_Polos</v>
      </c>
      <c r="BQ114" s="475">
        <f>((J114*L114*Q114)/(2400*1200))+10%</f>
        <v>0.20125000000000001</v>
      </c>
      <c r="BR114" s="205">
        <f>IFERROR(INDEX((std_jml_anodize_per_uk),MATCH($H114,Prt,0)),"")</f>
        <v>0</v>
      </c>
      <c r="BS114" s="509">
        <f>IF($BD114=0,0,IF($L114&lt;150,2,((ROUNDUP($L114/fm,0)*2))))*$Q114</f>
        <v>0</v>
      </c>
      <c r="BT114" s="509">
        <f>IF($BE114=0,0,IF($L114&lt;150,2,((ROUNDUP($L114/fd,0)*2))))*$Q114</f>
        <v>0</v>
      </c>
      <c r="BU114" s="459">
        <f t="shared" si="120"/>
        <v>0</v>
      </c>
      <c r="BV114" s="459">
        <f t="shared" si="120"/>
        <v>0</v>
      </c>
      <c r="BW114" s="1">
        <f>+((J114*L114)*Q114)/1000000</f>
        <v>0.29160000000000003</v>
      </c>
      <c r="BX114" s="1">
        <f>+((J114*L114*N114)*Q114)/1000000000</f>
        <v>5.5404E-3</v>
      </c>
      <c r="BY114" s="546" t="str">
        <f>IFERROR(INDEX((tbl_edg),MATCH($AD114,Edg,0)),"")</f>
        <v/>
      </c>
      <c r="BZ114" s="546" t="str">
        <f>IFERROR(INDEX((tbl_edg),MATCH($AE114,Edg,0)),"")</f>
        <v/>
      </c>
      <c r="CA114" s="546" t="str">
        <f>IFERROR(INDEX((tbl_edg),MATCH($AF114,Edg,0)),"")</f>
        <v/>
      </c>
      <c r="CB114" s="546" t="str">
        <f>IFERROR(INDEX((tbl_edg),MATCH($AG114,Edg,0)),"")</f>
        <v/>
      </c>
      <c r="CC114" s="728" t="str">
        <f>IFERROR((J114-CA114-CB114),"")</f>
        <v/>
      </c>
      <c r="CD114" s="728" t="str">
        <f>IFERROR((L114-BY114-BZ114),"")</f>
        <v/>
      </c>
      <c r="CE114" s="170" t="str">
        <f>IFERROR((CONCATENATE(CC114," ","x"," ",CD114," ","x"," ",N114)),"")</f>
        <v xml:space="preserve"> x  x 19</v>
      </c>
      <c r="CF114" t="str">
        <f>IF(F114=1,(CONCATENATE(J114,";",L114,";",Q114,";",BP114,";",N114,";",H114,";","-1",";",AF114,";",CA114,";",AG114,";",CB114,";",AD114,";",BY114,";",AE114,";",BZ114))," ")</f>
        <v xml:space="preserve"> </v>
      </c>
    </row>
    <row r="115" spans="1:84" customFormat="1">
      <c r="A115" s="701"/>
      <c r="B115" s="447"/>
      <c r="C115" s="161"/>
      <c r="D115" s="162"/>
      <c r="E115" s="1"/>
      <c r="F115" s="811"/>
      <c r="G115" s="440"/>
      <c r="H115" s="1"/>
      <c r="I115" s="55"/>
      <c r="J115" s="170"/>
      <c r="K115" s="1"/>
      <c r="L115" s="170"/>
      <c r="M115" s="1"/>
      <c r="N115" s="458"/>
      <c r="O115" s="170"/>
      <c r="P115" s="441"/>
      <c r="Q115" s="55"/>
      <c r="R115" s="177"/>
      <c r="S115" s="454"/>
      <c r="T115" s="178"/>
      <c r="U115" s="178"/>
      <c r="V115" s="179"/>
      <c r="W115" s="180"/>
      <c r="X115" s="179"/>
      <c r="Y115" s="180"/>
      <c r="Z115" s="178"/>
      <c r="AA115" s="178"/>
      <c r="AB115" s="178"/>
      <c r="AC115" s="178"/>
      <c r="AD115" s="182"/>
      <c r="AE115" s="182"/>
      <c r="AF115" s="182"/>
      <c r="AG115" s="182"/>
      <c r="AH115" s="401"/>
      <c r="AI115" s="401"/>
      <c r="AJ115" s="401"/>
      <c r="AK115" s="401"/>
      <c r="AL115" s="401"/>
      <c r="AM115" s="189"/>
      <c r="AN115" s="829"/>
      <c r="AO115" s="830"/>
      <c r="AP115" s="401"/>
      <c r="AQ115" s="401"/>
      <c r="AR115" s="401"/>
      <c r="AS115" s="401"/>
      <c r="AT115" s="403"/>
      <c r="AU115" s="403"/>
      <c r="AV115" s="170"/>
      <c r="AW115" s="166"/>
      <c r="AX115" s="166"/>
      <c r="AY115" s="189"/>
      <c r="AZ115" s="189"/>
      <c r="BA115" s="196"/>
      <c r="BB115" s="629"/>
      <c r="BC115" s="190"/>
      <c r="BD115" s="510"/>
      <c r="BE115" s="510"/>
      <c r="BF115" s="177"/>
      <c r="BG115" s="177"/>
      <c r="BH115" s="166"/>
      <c r="BI115" s="474"/>
      <c r="BJ115" s="166"/>
      <c r="BK115" s="474"/>
      <c r="BL115" s="474"/>
      <c r="BM115" s="474"/>
      <c r="BN115" s="166"/>
      <c r="BO115" s="166"/>
      <c r="BP115" s="204"/>
      <c r="BQ115" s="475"/>
      <c r="BR115" s="205"/>
      <c r="BS115" s="509"/>
      <c r="BT115" s="509"/>
      <c r="BU115" s="459"/>
      <c r="BV115" s="459"/>
      <c r="BW115" s="1"/>
      <c r="BX115" s="1"/>
      <c r="BY115" s="546"/>
      <c r="BZ115" s="546"/>
      <c r="CA115" s="546"/>
      <c r="CB115" s="546"/>
      <c r="CC115" s="728"/>
      <c r="CD115" s="728"/>
      <c r="CE115" s="170"/>
    </row>
    <row r="116" spans="1:84" customFormat="1">
      <c r="A116" s="701"/>
      <c r="B116" s="447"/>
      <c r="C116" s="161"/>
      <c r="D116" s="162"/>
      <c r="E116" s="1"/>
      <c r="F116" s="811"/>
      <c r="G116" s="440"/>
      <c r="H116" s="1"/>
      <c r="I116" s="55"/>
      <c r="J116" s="170"/>
      <c r="K116" s="1"/>
      <c r="L116" s="170"/>
      <c r="M116" s="1"/>
      <c r="N116" s="458"/>
      <c r="O116" s="170"/>
      <c r="P116" s="441"/>
      <c r="Q116" s="55"/>
      <c r="R116" s="177"/>
      <c r="S116" s="454"/>
      <c r="T116" s="178"/>
      <c r="U116" s="178"/>
      <c r="V116" s="179"/>
      <c r="W116" s="180"/>
      <c r="X116" s="179"/>
      <c r="Y116" s="180"/>
      <c r="Z116" s="178"/>
      <c r="AA116" s="178"/>
      <c r="AB116" s="178"/>
      <c r="AC116" s="178"/>
      <c r="AD116" s="182"/>
      <c r="AE116" s="182"/>
      <c r="AF116" s="182"/>
      <c r="AG116" s="182"/>
      <c r="AH116" s="401"/>
      <c r="AI116" s="401"/>
      <c r="AJ116" s="401"/>
      <c r="AK116" s="401"/>
      <c r="AL116" s="401"/>
      <c r="AM116" s="189"/>
      <c r="AN116" s="829"/>
      <c r="AO116" s="830"/>
      <c r="AP116" s="401"/>
      <c r="AQ116" s="401"/>
      <c r="AR116" s="401"/>
      <c r="AS116" s="401"/>
      <c r="AT116" s="403"/>
      <c r="AU116" s="403"/>
      <c r="AV116" s="170"/>
      <c r="AW116" s="166"/>
      <c r="AX116" s="166"/>
      <c r="AY116" s="189"/>
      <c r="AZ116" s="189"/>
      <c r="BA116" s="196"/>
      <c r="BB116" s="629"/>
      <c r="BC116" s="190"/>
      <c r="BD116" s="510"/>
      <c r="BE116" s="510"/>
      <c r="BF116" s="177"/>
      <c r="BG116" s="177"/>
      <c r="BH116" s="166"/>
      <c r="BI116" s="474"/>
      <c r="BJ116" s="166"/>
      <c r="BK116" s="474"/>
      <c r="BL116" s="474"/>
      <c r="BM116" s="474"/>
      <c r="BN116" s="166"/>
      <c r="BO116" s="166"/>
      <c r="BP116" s="204"/>
      <c r="BQ116" s="475"/>
      <c r="BR116" s="205"/>
      <c r="BS116" s="509"/>
      <c r="BT116" s="509"/>
      <c r="BU116" s="459"/>
      <c r="BV116" s="459"/>
      <c r="BW116" s="1"/>
      <c r="BX116" s="1"/>
      <c r="BY116" s="546"/>
      <c r="BZ116" s="546"/>
      <c r="CA116" s="546"/>
      <c r="CB116" s="546"/>
      <c r="CC116" s="728"/>
      <c r="CD116" s="728"/>
      <c r="CE116" s="170"/>
    </row>
    <row r="117" spans="1:84" customFormat="1">
      <c r="A117" s="701" t="str">
        <f>IFERROR(INDEX((ID),MATCH(H117,BARANG,0)),"…")</f>
        <v>…</v>
      </c>
      <c r="B117" s="447" t="str">
        <f t="shared" ref="B117:B124" si="121">IFERROR(INDEX((cprt),MATCH($H117,Prt,0)),"…")</f>
        <v>pintu</v>
      </c>
      <c r="C117" s="161" t="s">
        <v>1472</v>
      </c>
      <c r="D117" s="162" t="str">
        <f>IFERROR(INDEX((KS),MATCH($H117,Prt,0)),"")</f>
        <v>─</v>
      </c>
      <c r="E117" s="1" t="s">
        <v>2166</v>
      </c>
      <c r="F117" s="811">
        <f t="shared" ref="F117:F124" si="122">IFERROR(INDEX((opt),MATCH($H117,Prt,0)),"")</f>
        <v>0</v>
      </c>
      <c r="G117" s="440" t="str">
        <f t="shared" ref="G117:G124" si="123">IFERROR(INDEX((no_ref),MATCH($H117,ref,0)),"...")</f>
        <v>••</v>
      </c>
      <c r="H117" s="1" t="s">
        <v>3074</v>
      </c>
      <c r="I117" s="55" t="s">
        <v>2385</v>
      </c>
      <c r="J117" s="170">
        <f>40+1004-19</f>
        <v>1025</v>
      </c>
      <c r="K117" s="1" t="s">
        <v>2137</v>
      </c>
      <c r="L117" s="170">
        <v>400</v>
      </c>
      <c r="M117" s="1" t="s">
        <v>2137</v>
      </c>
      <c r="N117" s="458">
        <f>+(S117+W117+Y117)</f>
        <v>19</v>
      </c>
      <c r="O117" s="170" t="str">
        <f>CONCATENATE(J117," ",K117," ",L117," ",M117," ",N117)</f>
        <v>1025 x 400 x 19</v>
      </c>
      <c r="P117" s="441">
        <v>1</v>
      </c>
      <c r="Q117" s="55">
        <f>+P117</f>
        <v>1</v>
      </c>
      <c r="R117" s="177" t="str">
        <f>IFERROR(INDEX((std_bhn_prt),MATCH($H117,Prt,0)),"")</f>
        <v>Ply</v>
      </c>
      <c r="S117" s="454">
        <f>IFERROR(INDEX((std_Tbahan_prt),MATCH($H117,Prt,0)),"")</f>
        <v>18</v>
      </c>
      <c r="T117" s="178">
        <f>INDEX((std_lapisan_luar_prt),MATCH($H117,Prt,0))</f>
        <v>3</v>
      </c>
      <c r="U117" s="178">
        <f>INDEX((std_lapisan_dalam_prt),MATCH($H117,Prt,0))</f>
        <v>0</v>
      </c>
      <c r="V117" s="179" t="str">
        <f>IFERROR(INDEX((tf),MATCH(T117,ctf,0)),"")</f>
        <v>L-FA_0206_AP</v>
      </c>
      <c r="W117" s="180">
        <f>IFERROR(INDEX((tebal_lapisan),MATCH($V117,tf,0)),"")</f>
        <v>1</v>
      </c>
      <c r="X117" s="179" t="str">
        <f>IFERROR(INDEX((tf),MATCH(U117,ctf,0)),"")</f>
        <v>Polos</v>
      </c>
      <c r="Y117" s="180">
        <f>IFERROR(INDEX((tebal_lapisan),MATCH($X117,tf,0)),"")</f>
        <v>0</v>
      </c>
      <c r="Z117" s="178">
        <v>3</v>
      </c>
      <c r="AA117" s="178">
        <f>INDEX((std_edg_P2_prt),MATCH($H117,Prt,0))</f>
        <v>0</v>
      </c>
      <c r="AB117" s="178">
        <f>INDEX((std_edg_L1_prt),MATCH($H117,Prt,0))</f>
        <v>0</v>
      </c>
      <c r="AC117" s="178">
        <f>INDEX((std_edg_L2_prt),MATCH($H117,Prt,0))</f>
        <v>0</v>
      </c>
      <c r="AD117" s="182" t="str">
        <f t="shared" ref="AD117:AG118" si="124">IF($B117="alu",(INDEX((Fr),MATCH(Z117,cfr,0))),INDEX((te),MATCH(Z117,cte,0)))</f>
        <v>Edg_DSS_00206_SM</v>
      </c>
      <c r="AE117" s="182" t="str">
        <f t="shared" si="124"/>
        <v xml:space="preserve"> </v>
      </c>
      <c r="AF117" s="182" t="str">
        <f t="shared" si="124"/>
        <v xml:space="preserve"> </v>
      </c>
      <c r="AG117" s="182" t="str">
        <f t="shared" si="124"/>
        <v xml:space="preserve"> </v>
      </c>
      <c r="AH117" s="401">
        <f>IFERROR(INDEX((std_profil3_prt),MATCH($H117,Prt,0)),"")</f>
        <v>0</v>
      </c>
      <c r="AI117" s="401">
        <f t="shared" ref="AI117:AI124" si="125">IFERROR(INDEX((std_profil2_prt),MATCH($H117,Prt,0)),"")</f>
        <v>0</v>
      </c>
      <c r="AJ117" s="401">
        <f>IFERROR(INDEX((std_profil_prt),MATCH($H117,Prt,0)),"")</f>
        <v>0</v>
      </c>
      <c r="AK117" s="401">
        <f t="shared" ref="AK117:AK124" si="126">IFERROR(INDEX((std_siku_prt),MATCH($H117,Prt,0)),"")</f>
        <v>0</v>
      </c>
      <c r="AL117" s="401">
        <f t="shared" ref="AL117:AL124" si="127">IFERROR(INDEX((std_screw_prt),MATCH($H117,Prt,0)),"")</f>
        <v>0</v>
      </c>
      <c r="AM117" s="189"/>
      <c r="AN117" s="829">
        <f>IFERROR(INDEX((std_rel_prt),MATCH($H117,Prt,0)),"")</f>
        <v>0</v>
      </c>
      <c r="AO117" s="830">
        <f>IFERROR(INDEX((std_engsel_prt),MATCH($H117,Prt,0)),"")</f>
        <v>0</v>
      </c>
      <c r="AP117" s="401" t="str">
        <f t="shared" ref="AP117:AP124" si="128">IFERROR(INDEX((std_anodizev_proses),MATCH($I117,pk,0)),"")</f>
        <v>M-LED-02 Brown Doff ( Alm. 75111 ) P3</v>
      </c>
      <c r="AQ117" s="401">
        <f t="shared" ref="AQ117:AQ124" si="129">IFERROR(INDEX((std_anodizev2_proses),MATCH($I117,pk,0)),"")</f>
        <v>0</v>
      </c>
      <c r="AR117" s="401">
        <f t="shared" ref="AR117:AR124" si="130">IFERROR(INDEX((std_anodizeh_proses),MATCH($I117,pk,0)),"")</f>
        <v>0</v>
      </c>
      <c r="AS117" s="401">
        <f>IFERROR(INDEX((std_anodize_per_ukuran),MATCH($H117,Prt,0)),"")</f>
        <v>0</v>
      </c>
      <c r="AT117" s="403" t="str">
        <f>IF($AS117=edging7,L117,IF($AS117=edging8,L117,IF($AS117=edging9,L117,IF($AS117=Hand1,J116,IF($AS117=Hand2,L116,IF($AS117=hand3,"diisi manual",IF($AS117=hand4,"diisi manual",IF($AS117=hand5,"diisi manual",IF($AS117=mled02,J117,IF($AS117=mprf1,J117,IF($AS117=mlis1,J117,"")))))))))))</f>
        <v/>
      </c>
      <c r="AU117" s="403">
        <f>IF($AS117="","",Q117*BR117)</f>
        <v>0</v>
      </c>
      <c r="AV117" s="170"/>
      <c r="AW117" s="166" t="str">
        <f>CONCATENATE(VLOOKUP($V117,tabtf,2,0),VLOOKUP($X117,tabtf,2,0))</f>
        <v>63</v>
      </c>
      <c r="AX117" s="166" t="str">
        <f t="shared" ref="AX117:AX124" si="131">IF($B117="alu",(CONCATENATE(VLOOKUP($AD117,tabfr,2,0),VLOOKUP($AE117,tabfr,2,0),VLOOKUP($AF117,tabfr,2,0),VLOOKUP($AG117,tabfr,2,0))),(CONCATENATE(VLOOKUP($AD117,tabte,2,0),VLOOKUP($AE117,tabte,2,0),VLOOKUP($AF117,tabte,2,0),VLOOKUP($AG117,tabte,2,0))))</f>
        <v>10333</v>
      </c>
      <c r="AY117" s="189" t="str">
        <f>IFERROR(VLOOKUP(AW117,descf,2,0),"")</f>
        <v>L-FA_0206_AP_1mk_Polos</v>
      </c>
      <c r="AZ117" s="189" t="str">
        <f>IF($B117="alu",(VLOOKUP(AX117,descfr,2,0)),(VLOOKUP(AX117,desce,2,0)))</f>
        <v>Edg_DSS_00206_SM_1sisi_pjg</v>
      </c>
      <c r="BA117" s="196" t="str">
        <f>IF($R117=0,CONCATENATE(0,")"," ",$H117," ",$J117),CONCATENATE(VLOOKUP(H117,tabprt,2,0),")",$H117,"_",AY117))</f>
        <v>367)Cover Panel / Pelmet•_L-FA_0206_AP_1mk_Polos</v>
      </c>
      <c r="BB117" s="629" t="str">
        <f>IF($B117="…",CONCATENATE(0,$E117,")"," ",$H117),IF($B117="kc",CONCATENATE(VLOOKUP(H117,tabprt,2,0),")",$H117," ",$R117," ",$S117,"mm"," ","-"," "," ",";"," ",$AZ117,"  ",$I117),IF($B117="alu",CONCATENATE(VLOOKUP(H117,tabprt,2,0),")",$H117," ",$R117," ",$S117,"mm"," ","-"," "," ",";"," ",$AZ117,"  ",$I117),CONCATENATE(VLOOKUP(H117,tabprt,2,0),")",$H117," ",$R117," ",$S117,"mm"," ","-"," ",$AY117," ",";"," ",$AZ117,"  ",$I117))))</f>
        <v>367)Cover Panel / Pelmet• Ply 18mm - L-FA_0206_AP_1mk_Polos ; Edg_DSS_00206_SM_1sisi_pjg  (alur_M_led_Blk)</v>
      </c>
      <c r="BC117" s="190"/>
      <c r="BD117" s="510">
        <f t="shared" ref="BD117:BD124" si="132">IFERROR(INDEX((std_minifix_prt),MATCH($H117,Prt,0)),"")</f>
        <v>0</v>
      </c>
      <c r="BE117" s="510">
        <f t="shared" ref="BE117:BE124" si="133">IFERROR(INDEX((std_dowel_prt),MATCH($H117,Prt,0)),"")</f>
        <v>0</v>
      </c>
      <c r="BF117" s="177">
        <f>IFERROR(INDEX((std_j_sikufr_prt),MATCH($H117,Prt,0)),"")*Q117</f>
        <v>0</v>
      </c>
      <c r="BG117" s="177">
        <f>IFERROR(INDEX((std_j_screwjf_prt),MATCH($H117,Prt,0)),"")*Q117</f>
        <v>0</v>
      </c>
      <c r="BH117" s="166">
        <f>IF($AM117=0,0,1)*Q117</f>
        <v>0</v>
      </c>
      <c r="BI117" s="474">
        <f>IF($AO117=0,0,IF(J117&lt;=fp,2,(ROUNDUP(J117/fp,0))))*Q117</f>
        <v>0</v>
      </c>
      <c r="BJ117" s="166">
        <f>IF($AN117=0,0,1)*Q117</f>
        <v>0</v>
      </c>
      <c r="BK117" s="474">
        <f t="shared" ref="BK117:BK124" si="134">(($J117+tol_p)*$Q117)/1000</f>
        <v>1.0649999999999999</v>
      </c>
      <c r="BL117" s="474">
        <f t="shared" ref="BL117:BL124" si="135">(($L117+tol_p)*$Q117)/1000</f>
        <v>0.44</v>
      </c>
      <c r="BM117" s="474">
        <f>IF(R117=0,0,((2*((J117+tol_p)+(L117+tol_p))*Q117)/1000))</f>
        <v>3.01</v>
      </c>
      <c r="BN117" s="166">
        <f>((J117*L117)/1000000)*Q117</f>
        <v>0.41</v>
      </c>
      <c r="BO117" s="166" t="str">
        <f>CONCATENATE(R117,"_",S117)</f>
        <v>Ply_18</v>
      </c>
      <c r="BP117" s="204" t="str">
        <f>CONCATENATE(R117," ",S117," ",AY117)</f>
        <v>Ply 18 L-FA_0206_AP_1mk_Polos</v>
      </c>
      <c r="BQ117" s="475">
        <f>((J117*L117*Q117)/(2400*1200))+10%</f>
        <v>0.24236111111111111</v>
      </c>
      <c r="BR117" s="205">
        <f>IFERROR(INDEX((std_jml_anodize_per_uk),MATCH($H117,Prt,0)),"")</f>
        <v>0</v>
      </c>
      <c r="BS117" s="509">
        <f t="shared" ref="BS117:BS124" si="136">IF($BD117=0,0,IF($L117&lt;150,2,((ROUNDUP($L117/fm,0)*2))))*$Q117</f>
        <v>0</v>
      </c>
      <c r="BT117" s="509">
        <f t="shared" ref="BT117:BT124" si="137">IF($BE117=0,0,IF($L117&lt;150,2,((ROUNDUP($L117/fd,0)*2))))*$Q117</f>
        <v>0</v>
      </c>
      <c r="BU117" s="459">
        <f>BF117*$Q117</f>
        <v>0</v>
      </c>
      <c r="BV117" s="459">
        <f>BG117*$Q117</f>
        <v>0</v>
      </c>
      <c r="BW117" s="1">
        <f>+((J117*L117)*Q117)/1000000</f>
        <v>0.41</v>
      </c>
      <c r="BX117" s="1">
        <f>+((J117*L117*N117)*Q117)/1000000000</f>
        <v>7.79E-3</v>
      </c>
      <c r="BY117" s="546">
        <f t="shared" ref="BY117:BY124" si="138">IFERROR(INDEX((tbl_edg),MATCH($AD117,Edg,0)),"")</f>
        <v>1</v>
      </c>
      <c r="BZ117" s="546" t="str">
        <f t="shared" ref="BZ117:BZ124" si="139">IFERROR(INDEX((tbl_edg),MATCH($AE117,Edg,0)),"")</f>
        <v/>
      </c>
      <c r="CA117" s="546" t="str">
        <f t="shared" ref="CA117:CA124" si="140">IFERROR(INDEX((tbl_edg),MATCH($AF117,Edg,0)),"")</f>
        <v/>
      </c>
      <c r="CB117" s="546" t="str">
        <f t="shared" ref="CB117:CB124" si="141">IFERROR(INDEX((tbl_edg),MATCH($AG117,Edg,0)),"")</f>
        <v/>
      </c>
      <c r="CC117" s="728" t="str">
        <f>IFERROR((J117-CA117-CB117),"")</f>
        <v/>
      </c>
      <c r="CD117" s="728" t="str">
        <f>IFERROR((L117-BY117-BZ117),"")</f>
        <v/>
      </c>
      <c r="CE117" s="170" t="str">
        <f>IFERROR((CONCATENATE(CC117," ","x"," ",CD117," ","x"," ",N117)),"")</f>
        <v xml:space="preserve"> x  x 19</v>
      </c>
      <c r="CF117" t="str">
        <f>IF(F117=1,(CONCATENATE(J117,";",L117,";",Q117,";",BP117,";",N117,";",H117,";","-1",";",AF117,";",CA117,";",AG117,";",CB117,";",AD117,";",BY117,";",AE117,";",BZ117))," ")</f>
        <v xml:space="preserve"> </v>
      </c>
    </row>
    <row r="118" spans="1:84" customFormat="1">
      <c r="A118" s="701" t="str">
        <f>IFERROR(INDEX((ID),MATCH(H118,BARANG,0)),"…")</f>
        <v>…</v>
      </c>
      <c r="B118" s="447" t="str">
        <f t="shared" si="121"/>
        <v>pintu</v>
      </c>
      <c r="C118" s="161" t="s">
        <v>1472</v>
      </c>
      <c r="D118" s="162" t="str">
        <f>IFERROR(INDEX((KS),MATCH($H118,Prt,0)),"")</f>
        <v>─</v>
      </c>
      <c r="E118" s="1" t="s">
        <v>2166</v>
      </c>
      <c r="F118" s="811">
        <f t="shared" si="122"/>
        <v>0</v>
      </c>
      <c r="G118" s="440" t="str">
        <f t="shared" si="123"/>
        <v>••</v>
      </c>
      <c r="H118" s="1" t="s">
        <v>3074</v>
      </c>
      <c r="I118" s="55" t="s">
        <v>2385</v>
      </c>
      <c r="J118" s="170">
        <f>522+1218-19</f>
        <v>1721</v>
      </c>
      <c r="K118" s="1" t="s">
        <v>2137</v>
      </c>
      <c r="L118" s="170">
        <v>400</v>
      </c>
      <c r="M118" s="1" t="s">
        <v>2137</v>
      </c>
      <c r="N118" s="458">
        <f>+(S118+W118+Y118)</f>
        <v>19</v>
      </c>
      <c r="O118" s="170" t="str">
        <f>CONCATENATE(J118," ",K118," ",L118," ",M118," ",N118)</f>
        <v>1721 x 400 x 19</v>
      </c>
      <c r="P118" s="441">
        <v>1</v>
      </c>
      <c r="Q118" s="55">
        <f>+P118</f>
        <v>1</v>
      </c>
      <c r="R118" s="177" t="str">
        <f>IFERROR(INDEX((std_bhn_prt),MATCH($H118,Prt,0)),"")</f>
        <v>Ply</v>
      </c>
      <c r="S118" s="454">
        <f>IFERROR(INDEX((std_Tbahan_prt),MATCH($H118,Prt,0)),"")</f>
        <v>18</v>
      </c>
      <c r="T118" s="178">
        <f>INDEX((std_lapisan_luar_prt),MATCH($H118,Prt,0))</f>
        <v>3</v>
      </c>
      <c r="U118" s="178">
        <f>INDEX((std_lapisan_dalam_prt),MATCH($H118,Prt,0))</f>
        <v>0</v>
      </c>
      <c r="V118" s="179" t="str">
        <f>IFERROR(INDEX((tf),MATCH(T118,ctf,0)),"")</f>
        <v>L-FA_0206_AP</v>
      </c>
      <c r="W118" s="180">
        <f>IFERROR(INDEX((tebal_lapisan),MATCH($V118,tf,0)),"")</f>
        <v>1</v>
      </c>
      <c r="X118" s="179" t="str">
        <f>IFERROR(INDEX((tf),MATCH(U118,ctf,0)),"")</f>
        <v>Polos</v>
      </c>
      <c r="Y118" s="180">
        <f>IFERROR(INDEX((tebal_lapisan),MATCH($X118,tf,0)),"")</f>
        <v>0</v>
      </c>
      <c r="Z118" s="178">
        <v>3</v>
      </c>
      <c r="AA118" s="178">
        <f>INDEX((std_edg_P2_prt),MATCH($H118,Prt,0))</f>
        <v>0</v>
      </c>
      <c r="AB118" s="178">
        <f>INDEX((std_edg_L1_prt),MATCH($H118,Prt,0))</f>
        <v>0</v>
      </c>
      <c r="AC118" s="178">
        <f>INDEX((std_edg_L2_prt),MATCH($H118,Prt,0))</f>
        <v>0</v>
      </c>
      <c r="AD118" s="182" t="str">
        <f t="shared" si="124"/>
        <v>Edg_DSS_00206_SM</v>
      </c>
      <c r="AE118" s="182" t="str">
        <f t="shared" si="124"/>
        <v xml:space="preserve"> </v>
      </c>
      <c r="AF118" s="182" t="str">
        <f t="shared" si="124"/>
        <v xml:space="preserve"> </v>
      </c>
      <c r="AG118" s="182" t="str">
        <f t="shared" si="124"/>
        <v xml:space="preserve"> </v>
      </c>
      <c r="AH118" s="401">
        <f>IFERROR(INDEX((std_profil3_prt),MATCH($H118,Prt,0)),"")</f>
        <v>0</v>
      </c>
      <c r="AI118" s="401">
        <f t="shared" si="125"/>
        <v>0</v>
      </c>
      <c r="AJ118" s="401">
        <f>IFERROR(INDEX((std_profil_prt),MATCH($H118,Prt,0)),"")</f>
        <v>0</v>
      </c>
      <c r="AK118" s="401">
        <f t="shared" si="126"/>
        <v>0</v>
      </c>
      <c r="AL118" s="401">
        <f t="shared" si="127"/>
        <v>0</v>
      </c>
      <c r="AM118" s="189"/>
      <c r="AN118" s="829">
        <f>IFERROR(INDEX((std_rel_prt),MATCH($H118,Prt,0)),"")</f>
        <v>0</v>
      </c>
      <c r="AO118" s="830">
        <f>IFERROR(INDEX((std_engsel_prt),MATCH($H118,Prt,0)),"")</f>
        <v>0</v>
      </c>
      <c r="AP118" s="401" t="str">
        <f t="shared" si="128"/>
        <v>M-LED-02 Brown Doff ( Alm. 75111 ) P3</v>
      </c>
      <c r="AQ118" s="401">
        <f t="shared" si="129"/>
        <v>0</v>
      </c>
      <c r="AR118" s="401">
        <f t="shared" si="130"/>
        <v>0</v>
      </c>
      <c r="AS118" s="401">
        <f>IFERROR(INDEX((std_anodize_per_ukuran),MATCH($H118,Prt,0)),"")</f>
        <v>0</v>
      </c>
      <c r="AT118" s="403" t="str">
        <f>IF($AS118=edging7,L118,IF($AS118=edging8,L118,IF($AS118=edging9,L118,IF($AS118=Hand1,J117,IF($AS118=Hand2,L117,IF($AS118=hand3,"diisi manual",IF($AS118=hand4,"diisi manual",IF($AS118=hand5,"diisi manual",IF($AS118=mled02,J118,IF($AS118=mprf1,J118,IF($AS118=mlis1,J118,"")))))))))))</f>
        <v/>
      </c>
      <c r="AU118" s="403">
        <f>IF($AS118="","",Q118*BR118)</f>
        <v>0</v>
      </c>
      <c r="AV118" s="170"/>
      <c r="AW118" s="166" t="str">
        <f>CONCATENATE(VLOOKUP($V118,tabtf,2,0),VLOOKUP($X118,tabtf,2,0))</f>
        <v>63</v>
      </c>
      <c r="AX118" s="166" t="str">
        <f t="shared" si="131"/>
        <v>10333</v>
      </c>
      <c r="AY118" s="189" t="str">
        <f>IFERROR(VLOOKUP(AW118,descf,2,0),"")</f>
        <v>L-FA_0206_AP_1mk_Polos</v>
      </c>
      <c r="AZ118" s="189" t="str">
        <f>IF($B118="alu",(VLOOKUP(AX118,descfr,2,0)),(VLOOKUP(AX118,desce,2,0)))</f>
        <v>Edg_DSS_00206_SM_1sisi_pjg</v>
      </c>
      <c r="BA118" s="196" t="str">
        <f>IF($R118=0,CONCATENATE(0,")"," ",$H118," ",$J118),CONCATENATE(VLOOKUP(H118,tabprt,2,0),")",$H118,"_",AY118))</f>
        <v>367)Cover Panel / Pelmet•_L-FA_0206_AP_1mk_Polos</v>
      </c>
      <c r="BB118" s="629" t="str">
        <f>IF($B118="…",CONCATENATE(0,$E118,")"," ",$H118),IF($B118="kc",CONCATENATE(VLOOKUP(H118,tabprt,2,0),")",$H118," ",$R118," ",$S118,"mm"," ","-"," "," ",";"," ",$AZ118,"  ",$I118),IF($B118="alu",CONCATENATE(VLOOKUP(H118,tabprt,2,0),")",$H118," ",$R118," ",$S118,"mm"," ","-"," "," ",";"," ",$AZ118,"  ",$I118),CONCATENATE(VLOOKUP(H118,tabprt,2,0),")",$H118," ",$R118," ",$S118,"mm"," ","-"," ",$AY118," ",";"," ",$AZ118,"  ",$I118))))</f>
        <v>367)Cover Panel / Pelmet• Ply 18mm - L-FA_0206_AP_1mk_Polos ; Edg_DSS_00206_SM_1sisi_pjg  (alur_M_led_Blk)</v>
      </c>
      <c r="BC118" s="190"/>
      <c r="BD118" s="510">
        <f t="shared" si="132"/>
        <v>0</v>
      </c>
      <c r="BE118" s="510">
        <f t="shared" si="133"/>
        <v>0</v>
      </c>
      <c r="BF118" s="177">
        <f>IFERROR(INDEX((std_j_sikufr_prt),MATCH($H118,Prt,0)),"")*Q118</f>
        <v>0</v>
      </c>
      <c r="BG118" s="177">
        <f>IFERROR(INDEX((std_j_screwjf_prt),MATCH($H118,Prt,0)),"")*Q118</f>
        <v>0</v>
      </c>
      <c r="BH118" s="166">
        <f>IF($AM118=0,0,1)*Q118</f>
        <v>0</v>
      </c>
      <c r="BI118" s="474">
        <f>IF($AO118=0,0,IF(J118&lt;=fp,2,(ROUNDUP(J118/fp,0))))*Q118</f>
        <v>0</v>
      </c>
      <c r="BJ118" s="166">
        <f>IF($AN118=0,0,1)*Q118</f>
        <v>0</v>
      </c>
      <c r="BK118" s="474">
        <f t="shared" si="134"/>
        <v>1.7609999999999999</v>
      </c>
      <c r="BL118" s="474">
        <f t="shared" si="135"/>
        <v>0.44</v>
      </c>
      <c r="BM118" s="474">
        <f>IF(R118=0,0,((2*((J118+tol_p)+(L118+tol_p))*Q118)/1000))</f>
        <v>4.4020000000000001</v>
      </c>
      <c r="BN118" s="166">
        <f>((J118*L118)/1000000)*Q118</f>
        <v>0.68840000000000001</v>
      </c>
      <c r="BO118" s="166" t="str">
        <f>CONCATENATE(R118,"_",S118)</f>
        <v>Ply_18</v>
      </c>
      <c r="BP118" s="204" t="str">
        <f>CONCATENATE(R118," ",S118," ",AY118)</f>
        <v>Ply 18 L-FA_0206_AP_1mk_Polos</v>
      </c>
      <c r="BQ118" s="475">
        <f>((J118*L118*Q118)/(2400*1200))+10%</f>
        <v>0.33902777777777782</v>
      </c>
      <c r="BR118" s="205">
        <f>IFERROR(INDEX((std_jml_anodize_per_uk),MATCH($H118,Prt,0)),"")</f>
        <v>0</v>
      </c>
      <c r="BS118" s="509">
        <f t="shared" si="136"/>
        <v>0</v>
      </c>
      <c r="BT118" s="509">
        <f t="shared" si="137"/>
        <v>0</v>
      </c>
      <c r="BU118" s="459">
        <f>BF118*$Q118</f>
        <v>0</v>
      </c>
      <c r="BV118" s="459">
        <f>BG118*$Q118</f>
        <v>0</v>
      </c>
      <c r="BW118" s="1">
        <f>+((J118*L118)*Q118)/1000000</f>
        <v>0.68840000000000001</v>
      </c>
      <c r="BX118" s="1">
        <f>+((J118*L118*N118)*Q118)/1000000000</f>
        <v>1.30796E-2</v>
      </c>
      <c r="BY118" s="546">
        <f t="shared" si="138"/>
        <v>1</v>
      </c>
      <c r="BZ118" s="546" t="str">
        <f t="shared" si="139"/>
        <v/>
      </c>
      <c r="CA118" s="546" t="str">
        <f t="shared" si="140"/>
        <v/>
      </c>
      <c r="CB118" s="546" t="str">
        <f t="shared" si="141"/>
        <v/>
      </c>
      <c r="CC118" s="728" t="str">
        <f>IFERROR((J118-CA118-CB118),"")</f>
        <v/>
      </c>
      <c r="CD118" s="728" t="str">
        <f>IFERROR((L118-BY118-BZ118),"")</f>
        <v/>
      </c>
      <c r="CE118" s="170" t="str">
        <f>IFERROR((CONCATENATE(CC118," ","x"," ",CD118," ","x"," ",N118)),"")</f>
        <v xml:space="preserve"> x  x 19</v>
      </c>
      <c r="CF118" t="str">
        <f>IF(F118=1,(CONCATENATE(J118,";",L118,";",Q118,";",BP118,";",N118,";",H118,";","-1",";",AF118,";",CA118,";",AG118,";",CB118,";",AD118,";",BY118,";",AE118,";",BZ118))," ")</f>
        <v xml:space="preserve"> </v>
      </c>
    </row>
    <row r="119" spans="1:84" customFormat="1">
      <c r="A119" s="701"/>
      <c r="B119" s="447"/>
      <c r="C119" s="161"/>
      <c r="D119" s="162"/>
      <c r="E119" s="1"/>
      <c r="F119" s="811"/>
      <c r="G119" s="440"/>
      <c r="H119" s="1"/>
      <c r="I119" s="55"/>
      <c r="J119" s="170"/>
      <c r="K119" s="1"/>
      <c r="L119" s="170"/>
      <c r="M119" s="1"/>
      <c r="N119" s="458"/>
      <c r="O119" s="170"/>
      <c r="P119" s="441"/>
      <c r="Q119" s="55"/>
      <c r="R119" s="177"/>
      <c r="S119" s="454"/>
      <c r="T119" s="178"/>
      <c r="U119" s="178"/>
      <c r="V119" s="179"/>
      <c r="W119" s="180"/>
      <c r="X119" s="179"/>
      <c r="Y119" s="180"/>
      <c r="Z119" s="178"/>
      <c r="AA119" s="178"/>
      <c r="AB119" s="178"/>
      <c r="AC119" s="178"/>
      <c r="AD119" s="182"/>
      <c r="AE119" s="182"/>
      <c r="AF119" s="182"/>
      <c r="AG119" s="182"/>
      <c r="AH119" s="401"/>
      <c r="AI119" s="401"/>
      <c r="AJ119" s="401"/>
      <c r="AK119" s="401"/>
      <c r="AL119" s="401"/>
      <c r="AM119" s="189"/>
      <c r="AN119" s="829"/>
      <c r="AO119" s="830"/>
      <c r="AP119" s="401"/>
      <c r="AQ119" s="401"/>
      <c r="AR119" s="401"/>
      <c r="AS119" s="401"/>
      <c r="AT119" s="403"/>
      <c r="AU119" s="403"/>
      <c r="AV119" s="170"/>
      <c r="AW119" s="166"/>
      <c r="AX119" s="166"/>
      <c r="AY119" s="189"/>
      <c r="AZ119" s="189"/>
      <c r="BA119" s="196"/>
      <c r="BB119" s="629"/>
      <c r="BC119" s="190"/>
      <c r="BD119" s="510"/>
      <c r="BE119" s="510"/>
      <c r="BF119" s="177"/>
      <c r="BG119" s="177"/>
      <c r="BH119" s="166"/>
      <c r="BI119" s="474"/>
      <c r="BJ119" s="166"/>
      <c r="BK119" s="474"/>
      <c r="BL119" s="474"/>
      <c r="BM119" s="474"/>
      <c r="BN119" s="166"/>
      <c r="BO119" s="166"/>
      <c r="BP119" s="204"/>
      <c r="BQ119" s="475"/>
      <c r="BR119" s="205"/>
      <c r="BS119" s="509"/>
      <c r="BT119" s="509"/>
      <c r="BU119" s="459"/>
      <c r="BV119" s="459"/>
      <c r="BW119" s="1"/>
      <c r="BX119" s="1"/>
      <c r="BY119" s="546"/>
      <c r="BZ119" s="546"/>
      <c r="CA119" s="546"/>
      <c r="CB119" s="546"/>
      <c r="CC119" s="728"/>
      <c r="CD119" s="728"/>
      <c r="CE119" s="170"/>
    </row>
    <row r="120" spans="1:84" customFormat="1">
      <c r="A120" s="701" t="str">
        <f>IFERROR(INDEX((ID),MATCH(H120,BARANG,0)),"…")</f>
        <v>…</v>
      </c>
      <c r="B120" s="447" t="str">
        <f t="shared" si="121"/>
        <v>pintu</v>
      </c>
      <c r="C120" s="161" t="s">
        <v>1472</v>
      </c>
      <c r="D120" s="162" t="str">
        <f>IFERROR(INDEX((KS),MATCH($H120,Prt,0)),"")</f>
        <v>─</v>
      </c>
      <c r="E120" s="1" t="s">
        <v>3093</v>
      </c>
      <c r="F120" s="811">
        <f t="shared" si="122"/>
        <v>0</v>
      </c>
      <c r="G120" s="440" t="str">
        <f t="shared" si="123"/>
        <v>••</v>
      </c>
      <c r="H120" s="1" t="s">
        <v>1606</v>
      </c>
      <c r="I120" s="55"/>
      <c r="J120" s="170">
        <f>40+1004+904</f>
        <v>1948</v>
      </c>
      <c r="K120" s="1" t="s">
        <v>2137</v>
      </c>
      <c r="L120" s="170">
        <f>580-20-350</f>
        <v>210</v>
      </c>
      <c r="M120" s="1" t="s">
        <v>2137</v>
      </c>
      <c r="N120" s="458">
        <f>+(S120+W120+Y120)</f>
        <v>19</v>
      </c>
      <c r="O120" s="170" t="str">
        <f>CONCATENATE(J120," ",K120," ",L120," ",M120," ",N120)</f>
        <v>1948 x 210 x 19</v>
      </c>
      <c r="P120" s="441">
        <v>1</v>
      </c>
      <c r="Q120" s="55">
        <f>+P120</f>
        <v>1</v>
      </c>
      <c r="R120" s="177" t="str">
        <f>IFERROR(INDEX((std_bhn_prt),MATCH($H120,Prt,0)),"")</f>
        <v>Ply</v>
      </c>
      <c r="S120" s="454">
        <f>IFERROR(INDEX((std_Tbahan_prt),MATCH($H120,Prt,0)),"")</f>
        <v>18</v>
      </c>
      <c r="T120" s="178">
        <f>INDEX((std_lapisan_luar_prt),MATCH($H120,Prt,0))</f>
        <v>1</v>
      </c>
      <c r="U120" s="178">
        <f>INDEX((std_lapisan_dalam_prt),MATCH($H120,Prt,0))</f>
        <v>0</v>
      </c>
      <c r="V120" s="179" t="str">
        <f>IFERROR(INDEX((tf),MATCH(T120,ctf,0)),"")</f>
        <v>WY_5216_D(V)</v>
      </c>
      <c r="W120" s="180">
        <f>IFERROR(INDEX((tebal_lapisan),MATCH($V120,tf,0)),"")</f>
        <v>1</v>
      </c>
      <c r="X120" s="179" t="str">
        <f>IFERROR(INDEX((tf),MATCH(U120,ctf,0)),"")</f>
        <v>Polos</v>
      </c>
      <c r="Y120" s="180">
        <f>IFERROR(INDEX((tebal_lapisan),MATCH($X120,tf,0)),"")</f>
        <v>0</v>
      </c>
      <c r="Z120" s="178">
        <v>1</v>
      </c>
      <c r="AA120" s="178">
        <f>INDEX((std_edg_P2_prt),MATCH($H120,Prt,0))</f>
        <v>0</v>
      </c>
      <c r="AB120" s="178">
        <f>INDEX((std_edg_L1_prt),MATCH($H120,Prt,0))</f>
        <v>0</v>
      </c>
      <c r="AC120" s="178">
        <f>INDEX((std_edg_L2_prt),MATCH($H120,Prt,0))</f>
        <v>0</v>
      </c>
      <c r="AD120" s="182" t="str">
        <f t="shared" ref="AD120:AG121" si="142">IF($B120="alu",(INDEX((Fr),MATCH(Z120,cfr,0))),INDEX((te),MATCH(Z120,cte,0)))</f>
        <v>Edg_EAW_5216D1</v>
      </c>
      <c r="AE120" s="182" t="str">
        <f t="shared" si="142"/>
        <v xml:space="preserve"> </v>
      </c>
      <c r="AF120" s="182" t="str">
        <f t="shared" si="142"/>
        <v xml:space="preserve"> </v>
      </c>
      <c r="AG120" s="182" t="str">
        <f t="shared" si="142"/>
        <v xml:space="preserve"> </v>
      </c>
      <c r="AH120" s="401">
        <f>IFERROR(INDEX((std_profil3_prt),MATCH($H120,Prt,0)),"")</f>
        <v>0</v>
      </c>
      <c r="AI120" s="401">
        <f t="shared" si="125"/>
        <v>0</v>
      </c>
      <c r="AJ120" s="401">
        <f>IFERROR(INDEX((std_profil_prt),MATCH($H120,Prt,0)),"")</f>
        <v>0</v>
      </c>
      <c r="AK120" s="401">
        <f t="shared" si="126"/>
        <v>0</v>
      </c>
      <c r="AL120" s="401">
        <f t="shared" si="127"/>
        <v>0</v>
      </c>
      <c r="AM120" s="189"/>
      <c r="AN120" s="829">
        <f>IFERROR(INDEX((std_rel_prt),MATCH($H120,Prt,0)),"")</f>
        <v>0</v>
      </c>
      <c r="AO120" s="830">
        <f>IFERROR(INDEX((std_engsel_prt),MATCH($H120,Prt,0)),"")</f>
        <v>0</v>
      </c>
      <c r="AP120" s="401" t="str">
        <f t="shared" si="128"/>
        <v/>
      </c>
      <c r="AQ120" s="401" t="str">
        <f t="shared" si="129"/>
        <v/>
      </c>
      <c r="AR120" s="401" t="str">
        <f t="shared" si="130"/>
        <v/>
      </c>
      <c r="AS120" s="401">
        <f>IFERROR(INDEX((std_anodize_per_ukuran),MATCH($H120,Prt,0)),"")</f>
        <v>0</v>
      </c>
      <c r="AT120" s="403" t="str">
        <f>IF($AS120=edging7,L120,IF($AS120=edging8,L120,IF($AS120=edging9,L120,IF($AS120=Hand1,J119,IF($AS120=Hand2,L119,IF($AS120=hand3,"diisi manual",IF($AS120=hand4,"diisi manual",IF($AS120=hand5,"diisi manual",IF($AS120=mled02,J120,IF($AS120=mprf1,J120,IF($AS120=mlis1,J120,"")))))))))))</f>
        <v/>
      </c>
      <c r="AU120" s="403">
        <f>IF($AS120="","",Q120*BR120)</f>
        <v>0</v>
      </c>
      <c r="AV120" s="170"/>
      <c r="AW120" s="166" t="str">
        <f>CONCATENATE(VLOOKUP($V120,tabtf,2,0),VLOOKUP($X120,tabtf,2,0))</f>
        <v>13</v>
      </c>
      <c r="AX120" s="166" t="str">
        <f t="shared" si="131"/>
        <v>4333</v>
      </c>
      <c r="AY120" s="189" t="str">
        <f>IFERROR(VLOOKUP(AW120,descf,2,0),"")</f>
        <v>WY_5216_D(V)_1mk_Polos</v>
      </c>
      <c r="AZ120" s="189" t="str">
        <f>IF($B120="alu",(VLOOKUP(AX120,descfr,2,0)),(VLOOKUP(AX120,desce,2,0)))</f>
        <v>Edg_EAW_5216D1_1sisi_pjg</v>
      </c>
      <c r="BA120" s="196" t="str">
        <f>IF($R120=0,CONCATENATE(0,")"," ",$H120," ",$J120),CONCATENATE(VLOOKUP(H120,tabprt,2,0),")",$H120,"_",AY120))</f>
        <v>366)Cover Panel / Pelmet_WY_5216_D(V)_1mk_Polos</v>
      </c>
      <c r="BB120" s="629" t="str">
        <f>IF($B120="…",CONCATENATE(0,$E120,")"," ",$H120),IF($B120="kc",CONCATENATE(VLOOKUP(H120,tabprt,2,0),")",$H120," ",$R120," ",$S120,"mm"," ","-"," "," ",";"," ",$AZ120,"  ",$I120),IF($B120="alu",CONCATENATE(VLOOKUP(H120,tabprt,2,0),")",$H120," ",$R120," ",$S120,"mm"," ","-"," "," ",";"," ",$AZ120,"  ",$I120),CONCATENATE(VLOOKUP(H120,tabprt,2,0),")",$H120," ",$R120," ",$S120,"mm"," ","-"," ",$AY120," ",";"," ",$AZ120,"  ",$I120))))</f>
        <v xml:space="preserve">366)Cover Panel / Pelmet Ply 18mm - WY_5216_D(V)_1mk_Polos ; Edg_EAW_5216D1_1sisi_pjg  </v>
      </c>
      <c r="BC120" s="190"/>
      <c r="BD120" s="510">
        <f t="shared" si="132"/>
        <v>0</v>
      </c>
      <c r="BE120" s="510">
        <f t="shared" si="133"/>
        <v>0</v>
      </c>
      <c r="BF120" s="177">
        <f>IFERROR(INDEX((std_j_sikufr_prt),MATCH($H120,Prt,0)),"")*Q120</f>
        <v>0</v>
      </c>
      <c r="BG120" s="177">
        <f>IFERROR(INDEX((std_j_screwjf_prt),MATCH($H120,Prt,0)),"")*Q120</f>
        <v>0</v>
      </c>
      <c r="BH120" s="166">
        <f>IF($AM120=0,0,1)*Q120</f>
        <v>0</v>
      </c>
      <c r="BI120" s="474">
        <f>IF($AO120=0,0,IF(J120&lt;=fp,2,(ROUNDUP(J120/fp,0))))*Q120</f>
        <v>0</v>
      </c>
      <c r="BJ120" s="166">
        <f>IF($AN120=0,0,1)*Q120</f>
        <v>0</v>
      </c>
      <c r="BK120" s="474">
        <f t="shared" si="134"/>
        <v>1.988</v>
      </c>
      <c r="BL120" s="474">
        <f t="shared" si="135"/>
        <v>0.25</v>
      </c>
      <c r="BM120" s="474">
        <f>IF(R120=0,0,((2*((J120+tol_p)+(L120+tol_p))*Q120)/1000))</f>
        <v>4.476</v>
      </c>
      <c r="BN120" s="166">
        <f>((J120*L120)/1000000)*Q120</f>
        <v>0.40908</v>
      </c>
      <c r="BO120" s="166" t="str">
        <f>CONCATENATE(R120,"_",S120)</f>
        <v>Ply_18</v>
      </c>
      <c r="BP120" s="204" t="str">
        <f>CONCATENATE(R120," ",S120," ",AY120)</f>
        <v>Ply 18 WY_5216_D(V)_1mk_Polos</v>
      </c>
      <c r="BQ120" s="475">
        <f>((J120*L120*Q120)/(2400*1200))+10%</f>
        <v>0.24204166666666668</v>
      </c>
      <c r="BR120" s="205">
        <f>IFERROR(INDEX((std_jml_anodize_per_uk),MATCH($H120,Prt,0)),"")</f>
        <v>0</v>
      </c>
      <c r="BS120" s="509">
        <f t="shared" si="136"/>
        <v>0</v>
      </c>
      <c r="BT120" s="509">
        <f t="shared" si="137"/>
        <v>0</v>
      </c>
      <c r="BU120" s="459">
        <f>BF120*$Q120</f>
        <v>0</v>
      </c>
      <c r="BV120" s="459">
        <f>BG120*$Q120</f>
        <v>0</v>
      </c>
      <c r="BW120" s="1">
        <f>+((J120*L120)*Q120)/1000000</f>
        <v>0.40908</v>
      </c>
      <c r="BX120" s="1">
        <f>+((J120*L120*N120)*Q120)/1000000000</f>
        <v>7.7725199999999998E-3</v>
      </c>
      <c r="BY120" s="546" t="str">
        <f t="shared" si="138"/>
        <v/>
      </c>
      <c r="BZ120" s="546" t="str">
        <f t="shared" si="139"/>
        <v/>
      </c>
      <c r="CA120" s="546" t="str">
        <f t="shared" si="140"/>
        <v/>
      </c>
      <c r="CB120" s="546" t="str">
        <f t="shared" si="141"/>
        <v/>
      </c>
      <c r="CC120" s="728" t="str">
        <f>IFERROR((J120-CA120-CB120),"")</f>
        <v/>
      </c>
      <c r="CD120" s="728" t="str">
        <f>IFERROR((L120-BY120-BZ120),"")</f>
        <v/>
      </c>
      <c r="CE120" s="170" t="str">
        <f>IFERROR((CONCATENATE(CC120," ","x"," ",CD120," ","x"," ",N120)),"")</f>
        <v xml:space="preserve"> x  x 19</v>
      </c>
      <c r="CF120" t="str">
        <f>IF(F120=1,(CONCATENATE(J120,";",L120,";",Q120,";",BP120,";",N120,";",H120,";","-1",";",AF120,";",CA120,";",AG120,";",CB120,";",AD120,";",BY120,";",AE120,";",BZ120))," ")</f>
        <v xml:space="preserve"> </v>
      </c>
    </row>
    <row r="121" spans="1:84" customFormat="1">
      <c r="A121" s="701" t="str">
        <f>IFERROR(INDEX((ID),MATCH(H121,BARANG,0)),"…")</f>
        <v>…</v>
      </c>
      <c r="B121" s="447" t="str">
        <f t="shared" si="121"/>
        <v>pintu</v>
      </c>
      <c r="C121" s="161" t="s">
        <v>1472</v>
      </c>
      <c r="D121" s="162" t="str">
        <f>IFERROR(INDEX((KS),MATCH($H121,Prt,0)),"")</f>
        <v>─</v>
      </c>
      <c r="E121" s="1" t="s">
        <v>2813</v>
      </c>
      <c r="F121" s="811">
        <f t="shared" si="122"/>
        <v>0</v>
      </c>
      <c r="G121" s="440" t="str">
        <f t="shared" si="123"/>
        <v>••</v>
      </c>
      <c r="H121" s="1" t="s">
        <v>1606</v>
      </c>
      <c r="I121" s="55"/>
      <c r="J121" s="170">
        <f>522+1218+50</f>
        <v>1790</v>
      </c>
      <c r="K121" s="1" t="s">
        <v>2137</v>
      </c>
      <c r="L121" s="170">
        <f>580-20-350</f>
        <v>210</v>
      </c>
      <c r="M121" s="1" t="s">
        <v>2137</v>
      </c>
      <c r="N121" s="458">
        <f>+(S121+W121+Y121)</f>
        <v>19</v>
      </c>
      <c r="O121" s="170" t="str">
        <f>CONCATENATE(J121," ",K121," ",L121," ",M121," ",N121)</f>
        <v>1790 x 210 x 19</v>
      </c>
      <c r="P121" s="441">
        <v>1</v>
      </c>
      <c r="Q121" s="55">
        <f>+P121</f>
        <v>1</v>
      </c>
      <c r="R121" s="177" t="str">
        <f>IFERROR(INDEX((std_bhn_prt),MATCH($H121,Prt,0)),"")</f>
        <v>Ply</v>
      </c>
      <c r="S121" s="454">
        <f>IFERROR(INDEX((std_Tbahan_prt),MATCH($H121,Prt,0)),"")</f>
        <v>18</v>
      </c>
      <c r="T121" s="178">
        <f>INDEX((std_lapisan_luar_prt),MATCH($H121,Prt,0))</f>
        <v>1</v>
      </c>
      <c r="U121" s="178">
        <f>INDEX((std_lapisan_dalam_prt),MATCH($H121,Prt,0))</f>
        <v>0</v>
      </c>
      <c r="V121" s="179" t="str">
        <f>IFERROR(INDEX((tf),MATCH(T121,ctf,0)),"")</f>
        <v>WY_5216_D(V)</v>
      </c>
      <c r="W121" s="180">
        <f>IFERROR(INDEX((tebal_lapisan),MATCH($V121,tf,0)),"")</f>
        <v>1</v>
      </c>
      <c r="X121" s="179" t="str">
        <f>IFERROR(INDEX((tf),MATCH(U121,ctf,0)),"")</f>
        <v>Polos</v>
      </c>
      <c r="Y121" s="180">
        <f>IFERROR(INDEX((tebal_lapisan),MATCH($X121,tf,0)),"")</f>
        <v>0</v>
      </c>
      <c r="Z121" s="178">
        <v>1</v>
      </c>
      <c r="AA121" s="178">
        <f>INDEX((std_edg_P2_prt),MATCH($H121,Prt,0))</f>
        <v>0</v>
      </c>
      <c r="AB121" s="178">
        <f>INDEX((std_edg_L1_prt),MATCH($H121,Prt,0))</f>
        <v>0</v>
      </c>
      <c r="AC121" s="178">
        <f>INDEX((std_edg_L2_prt),MATCH($H121,Prt,0))</f>
        <v>0</v>
      </c>
      <c r="AD121" s="182" t="str">
        <f t="shared" si="142"/>
        <v>Edg_EAW_5216D1</v>
      </c>
      <c r="AE121" s="182" t="str">
        <f t="shared" si="142"/>
        <v xml:space="preserve"> </v>
      </c>
      <c r="AF121" s="182" t="str">
        <f t="shared" si="142"/>
        <v xml:space="preserve"> </v>
      </c>
      <c r="AG121" s="182" t="str">
        <f t="shared" si="142"/>
        <v xml:space="preserve"> </v>
      </c>
      <c r="AH121" s="401">
        <f>IFERROR(INDEX((std_profil3_prt),MATCH($H121,Prt,0)),"")</f>
        <v>0</v>
      </c>
      <c r="AI121" s="401">
        <f t="shared" si="125"/>
        <v>0</v>
      </c>
      <c r="AJ121" s="401">
        <f>IFERROR(INDEX((std_profil_prt),MATCH($H121,Prt,0)),"")</f>
        <v>0</v>
      </c>
      <c r="AK121" s="401">
        <f t="shared" si="126"/>
        <v>0</v>
      </c>
      <c r="AL121" s="401">
        <f t="shared" si="127"/>
        <v>0</v>
      </c>
      <c r="AM121" s="189"/>
      <c r="AN121" s="829">
        <f>IFERROR(INDEX((std_rel_prt),MATCH($H121,Prt,0)),"")</f>
        <v>0</v>
      </c>
      <c r="AO121" s="830">
        <f>IFERROR(INDEX((std_engsel_prt),MATCH($H121,Prt,0)),"")</f>
        <v>0</v>
      </c>
      <c r="AP121" s="401" t="str">
        <f t="shared" si="128"/>
        <v/>
      </c>
      <c r="AQ121" s="401" t="str">
        <f t="shared" si="129"/>
        <v/>
      </c>
      <c r="AR121" s="401" t="str">
        <f t="shared" si="130"/>
        <v/>
      </c>
      <c r="AS121" s="401">
        <f>IFERROR(INDEX((std_anodize_per_ukuran),MATCH($H121,Prt,0)),"")</f>
        <v>0</v>
      </c>
      <c r="AT121" s="403" t="str">
        <f>IF($AS121=edging7,L121,IF($AS121=edging8,L121,IF($AS121=edging9,L121,IF($AS121=Hand1,J120,IF($AS121=Hand2,L120,IF($AS121=hand3,"diisi manual",IF($AS121=hand4,"diisi manual",IF($AS121=hand5,"diisi manual",IF($AS121=mled02,J121,IF($AS121=mprf1,J121,IF($AS121=mlis1,J121,"")))))))))))</f>
        <v/>
      </c>
      <c r="AU121" s="403">
        <f>IF($AS121="","",Q121*BR121)</f>
        <v>0</v>
      </c>
      <c r="AV121" s="170"/>
      <c r="AW121" s="166" t="str">
        <f>CONCATENATE(VLOOKUP($V121,tabtf,2,0),VLOOKUP($X121,tabtf,2,0))</f>
        <v>13</v>
      </c>
      <c r="AX121" s="166" t="str">
        <f t="shared" si="131"/>
        <v>4333</v>
      </c>
      <c r="AY121" s="189" t="str">
        <f>IFERROR(VLOOKUP(AW121,descf,2,0),"")</f>
        <v>WY_5216_D(V)_1mk_Polos</v>
      </c>
      <c r="AZ121" s="189" t="str">
        <f>IF($B121="alu",(VLOOKUP(AX121,descfr,2,0)),(VLOOKUP(AX121,desce,2,0)))</f>
        <v>Edg_EAW_5216D1_1sisi_pjg</v>
      </c>
      <c r="BA121" s="196" t="str">
        <f>IF($R121=0,CONCATENATE(0,")"," ",$H121," ",$J121),CONCATENATE(VLOOKUP(H121,tabprt,2,0),")",$H121,"_",AY121))</f>
        <v>366)Cover Panel / Pelmet_WY_5216_D(V)_1mk_Polos</v>
      </c>
      <c r="BB121" s="629" t="str">
        <f>IF($B121="…",CONCATENATE(0,$E121,")"," ",$H121),IF($B121="kc",CONCATENATE(VLOOKUP(H121,tabprt,2,0),")",$H121," ",$R121," ",$S121,"mm"," ","-"," "," ",";"," ",$AZ121,"  ",$I121),IF($B121="alu",CONCATENATE(VLOOKUP(H121,tabprt,2,0),")",$H121," ",$R121," ",$S121,"mm"," ","-"," "," ",";"," ",$AZ121,"  ",$I121),CONCATENATE(VLOOKUP(H121,tabprt,2,0),")",$H121," ",$R121," ",$S121,"mm"," ","-"," ",$AY121," ",";"," ",$AZ121,"  ",$I121))))</f>
        <v xml:space="preserve">366)Cover Panel / Pelmet Ply 18mm - WY_5216_D(V)_1mk_Polos ; Edg_EAW_5216D1_1sisi_pjg  </v>
      </c>
      <c r="BC121" s="190"/>
      <c r="BD121" s="510">
        <f t="shared" si="132"/>
        <v>0</v>
      </c>
      <c r="BE121" s="510">
        <f t="shared" si="133"/>
        <v>0</v>
      </c>
      <c r="BF121" s="177">
        <f>IFERROR(INDEX((std_j_sikufr_prt),MATCH($H121,Prt,0)),"")*Q121</f>
        <v>0</v>
      </c>
      <c r="BG121" s="177">
        <f>IFERROR(INDEX((std_j_screwjf_prt),MATCH($H121,Prt,0)),"")*Q121</f>
        <v>0</v>
      </c>
      <c r="BH121" s="166">
        <f>IF($AM121=0,0,1)*Q121</f>
        <v>0</v>
      </c>
      <c r="BI121" s="474">
        <f>IF($AO121=0,0,IF(J121&lt;=fp,2,(ROUNDUP(J121/fp,0))))*Q121</f>
        <v>0</v>
      </c>
      <c r="BJ121" s="166">
        <f>IF($AN121=0,0,1)*Q121</f>
        <v>0</v>
      </c>
      <c r="BK121" s="474">
        <f t="shared" si="134"/>
        <v>1.83</v>
      </c>
      <c r="BL121" s="474">
        <f t="shared" si="135"/>
        <v>0.25</v>
      </c>
      <c r="BM121" s="474">
        <f>IF(R121=0,0,((2*((J121+tol_p)+(L121+tol_p))*Q121)/1000))</f>
        <v>4.16</v>
      </c>
      <c r="BN121" s="166">
        <f>((J121*L121)/1000000)*Q121</f>
        <v>0.37590000000000001</v>
      </c>
      <c r="BO121" s="166" t="str">
        <f>CONCATENATE(R121,"_",S121)</f>
        <v>Ply_18</v>
      </c>
      <c r="BP121" s="204" t="str">
        <f>CONCATENATE(R121," ",S121," ",AY121)</f>
        <v>Ply 18 WY_5216_D(V)_1mk_Polos</v>
      </c>
      <c r="BQ121" s="475">
        <f>((J121*L121*Q121)/(2400*1200))+10%</f>
        <v>0.23052083333333334</v>
      </c>
      <c r="BR121" s="205">
        <f>IFERROR(INDEX((std_jml_anodize_per_uk),MATCH($H121,Prt,0)),"")</f>
        <v>0</v>
      </c>
      <c r="BS121" s="509">
        <f t="shared" si="136"/>
        <v>0</v>
      </c>
      <c r="BT121" s="509">
        <f t="shared" si="137"/>
        <v>0</v>
      </c>
      <c r="BU121" s="459">
        <f>BF121*$Q121</f>
        <v>0</v>
      </c>
      <c r="BV121" s="459">
        <f>BG121*$Q121</f>
        <v>0</v>
      </c>
      <c r="BW121" s="1">
        <f>+((J121*L121)*Q121)/1000000</f>
        <v>0.37590000000000001</v>
      </c>
      <c r="BX121" s="1">
        <f>+((J121*L121*N121)*Q121)/1000000000</f>
        <v>7.1421000000000002E-3</v>
      </c>
      <c r="BY121" s="546" t="str">
        <f t="shared" si="138"/>
        <v/>
      </c>
      <c r="BZ121" s="546" t="str">
        <f t="shared" si="139"/>
        <v/>
      </c>
      <c r="CA121" s="546" t="str">
        <f t="shared" si="140"/>
        <v/>
      </c>
      <c r="CB121" s="546" t="str">
        <f t="shared" si="141"/>
        <v/>
      </c>
      <c r="CC121" s="728" t="str">
        <f>IFERROR((J121-CA121-CB121),"")</f>
        <v/>
      </c>
      <c r="CD121" s="728" t="str">
        <f>IFERROR((L121-BY121-BZ121),"")</f>
        <v/>
      </c>
      <c r="CE121" s="170" t="str">
        <f>IFERROR((CONCATENATE(CC121," ","x"," ",CD121," ","x"," ",N121)),"")</f>
        <v xml:space="preserve"> x  x 19</v>
      </c>
      <c r="CF121" t="str">
        <f>IF(F121=1,(CONCATENATE(J121,";",L121,";",Q121,";",BP121,";",N121,";",H121,";","-1",";",AF121,";",CA121,";",AG121,";",CB121,";",AD121,";",BY121,";",AE121,";",BZ121))," ")</f>
        <v xml:space="preserve"> </v>
      </c>
    </row>
    <row r="122" spans="1:84" customFormat="1">
      <c r="A122" s="701"/>
      <c r="B122" s="447"/>
      <c r="C122" s="161"/>
      <c r="D122" s="162"/>
      <c r="E122" s="1"/>
      <c r="F122" s="811"/>
      <c r="G122" s="440"/>
      <c r="H122" s="1"/>
      <c r="I122" s="55"/>
      <c r="J122" s="170"/>
      <c r="K122" s="1"/>
      <c r="L122" s="170"/>
      <c r="M122" s="1"/>
      <c r="N122" s="458"/>
      <c r="O122" s="170"/>
      <c r="P122" s="441"/>
      <c r="Q122" s="55"/>
      <c r="R122" s="177"/>
      <c r="S122" s="454"/>
      <c r="T122" s="178"/>
      <c r="U122" s="178"/>
      <c r="V122" s="179"/>
      <c r="W122" s="180"/>
      <c r="X122" s="179"/>
      <c r="Y122" s="180"/>
      <c r="Z122" s="178"/>
      <c r="AA122" s="178"/>
      <c r="AB122" s="178"/>
      <c r="AC122" s="178"/>
      <c r="AD122" s="182"/>
      <c r="AE122" s="182"/>
      <c r="AF122" s="182"/>
      <c r="AG122" s="182"/>
      <c r="AH122" s="401"/>
      <c r="AI122" s="401"/>
      <c r="AJ122" s="401"/>
      <c r="AK122" s="401"/>
      <c r="AL122" s="401"/>
      <c r="AM122" s="189"/>
      <c r="AN122" s="829"/>
      <c r="AO122" s="830"/>
      <c r="AP122" s="401"/>
      <c r="AQ122" s="401"/>
      <c r="AR122" s="401"/>
      <c r="AS122" s="401"/>
      <c r="AT122" s="403"/>
      <c r="AU122" s="403"/>
      <c r="AV122" s="170"/>
      <c r="AW122" s="166"/>
      <c r="AX122" s="166"/>
      <c r="AY122" s="189"/>
      <c r="AZ122" s="189"/>
      <c r="BA122" s="196"/>
      <c r="BB122" s="629"/>
      <c r="BC122" s="190"/>
      <c r="BD122" s="510"/>
      <c r="BE122" s="510"/>
      <c r="BF122" s="177"/>
      <c r="BG122" s="177"/>
      <c r="BH122" s="166"/>
      <c r="BI122" s="474"/>
      <c r="BJ122" s="166"/>
      <c r="BK122" s="474"/>
      <c r="BL122" s="474"/>
      <c r="BM122" s="474"/>
      <c r="BN122" s="166"/>
      <c r="BO122" s="166"/>
      <c r="BP122" s="204"/>
      <c r="BQ122" s="475"/>
      <c r="BR122" s="205"/>
      <c r="BS122" s="509"/>
      <c r="BT122" s="509"/>
      <c r="BU122" s="459"/>
      <c r="BV122" s="459"/>
      <c r="BW122" s="1"/>
      <c r="BX122" s="1"/>
      <c r="BY122" s="546"/>
      <c r="BZ122" s="546"/>
      <c r="CA122" s="546"/>
      <c r="CB122" s="546"/>
      <c r="CC122" s="728"/>
      <c r="CD122" s="728"/>
      <c r="CE122" s="170"/>
    </row>
    <row r="123" spans="1:84" customFormat="1">
      <c r="A123" s="701" t="str">
        <f>IFERROR(INDEX((ID),MATCH(H123,BARANG,0)),"…")</f>
        <v>…</v>
      </c>
      <c r="B123" s="447" t="str">
        <f t="shared" si="121"/>
        <v>pintu</v>
      </c>
      <c r="C123" s="161" t="s">
        <v>1472</v>
      </c>
      <c r="D123" s="162" t="str">
        <f>IFERROR(INDEX((KS),MATCH($H123,Prt,0)),"")</f>
        <v>KS</v>
      </c>
      <c r="E123" s="1" t="s">
        <v>2166</v>
      </c>
      <c r="F123" s="811">
        <f t="shared" si="122"/>
        <v>1</v>
      </c>
      <c r="G123" s="440" t="str">
        <f t="shared" si="123"/>
        <v>••</v>
      </c>
      <c r="H123" s="1" t="s">
        <v>1615</v>
      </c>
      <c r="I123" s="55"/>
      <c r="J123" s="170">
        <f>40+1004+904+422</f>
        <v>2370</v>
      </c>
      <c r="K123" s="1" t="s">
        <v>2137</v>
      </c>
      <c r="L123" s="170">
        <f>600-12</f>
        <v>588</v>
      </c>
      <c r="M123" s="1" t="s">
        <v>2137</v>
      </c>
      <c r="N123" s="458">
        <f>+(S123+W123+Y123)</f>
        <v>27.5</v>
      </c>
      <c r="O123" s="170" t="str">
        <f>CONCATENATE(J123," ",K123," ",L123," ",M123," ",N123)</f>
        <v>2370 x 588 x 27,5</v>
      </c>
      <c r="P123" s="441">
        <v>1</v>
      </c>
      <c r="Q123" s="55">
        <f>+P123</f>
        <v>1</v>
      </c>
      <c r="R123" s="177" t="str">
        <f>IFERROR(INDEX((std_bhn_prt),MATCH($H123,Prt,0)),"")</f>
        <v>Ply</v>
      </c>
      <c r="S123" s="454">
        <f>IFERROR(INDEX((std_Tbahan_prt),MATCH($H123,Prt,0)),"")</f>
        <v>27</v>
      </c>
      <c r="T123" s="178">
        <f>INDEX((std_lapisan_luar_prt),MATCH($H123,Prt,0))</f>
        <v>0</v>
      </c>
      <c r="U123" s="178">
        <f>INDEX((std_lapisan_dalam_prt),MATCH($H123,Prt,0))</f>
        <v>22</v>
      </c>
      <c r="V123" s="179" t="str">
        <f>IFERROR(INDEX((tf),MATCH(T123,ctf,0)),"")</f>
        <v>Polos</v>
      </c>
      <c r="W123" s="180">
        <f>IFERROR(INDEX((tebal_lapisan),MATCH($V123,tf,0)),"")</f>
        <v>0</v>
      </c>
      <c r="X123" s="179" t="str">
        <f>IFERROR(INDEX((tf),MATCH(U123,ctf,0)),"")</f>
        <v>Aica</v>
      </c>
      <c r="Y123" s="180">
        <f>IFERROR(INDEX((tebal_lapisan),MATCH($X123,tf,0)),"")</f>
        <v>0.5</v>
      </c>
      <c r="Z123" s="178">
        <v>1</v>
      </c>
      <c r="AA123" s="178">
        <f>INDEX((std_edg_P2_prt),MATCH($H123,Prt,0))</f>
        <v>0</v>
      </c>
      <c r="AB123" s="178">
        <f>INDEX((std_edg_L1_prt),MATCH($H123,Prt,0))</f>
        <v>0</v>
      </c>
      <c r="AC123" s="178">
        <f>INDEX((std_edg_L2_prt),MATCH($H123,Prt,0))</f>
        <v>0</v>
      </c>
      <c r="AD123" s="182" t="str">
        <f t="shared" ref="AD123:AG124" si="143">IF($B123="alu",(INDEX((Fr),MATCH(Z123,cfr,0))),INDEX((te),MATCH(Z123,cte,0)))</f>
        <v>Edg_EAW_5216D1</v>
      </c>
      <c r="AE123" s="182" t="str">
        <f t="shared" si="143"/>
        <v xml:space="preserve"> </v>
      </c>
      <c r="AF123" s="182" t="str">
        <f t="shared" si="143"/>
        <v xml:space="preserve"> </v>
      </c>
      <c r="AG123" s="182" t="str">
        <f t="shared" si="143"/>
        <v xml:space="preserve"> </v>
      </c>
      <c r="AH123" s="401">
        <f>IFERROR(INDEX((std_profil3_prt),MATCH($H123,Prt,0)),"")</f>
        <v>0</v>
      </c>
      <c r="AI123" s="401">
        <f t="shared" si="125"/>
        <v>0</v>
      </c>
      <c r="AJ123" s="401">
        <f>IFERROR(INDEX((std_profil_prt),MATCH($H123,Prt,0)),"")</f>
        <v>0</v>
      </c>
      <c r="AK123" s="401">
        <f t="shared" si="126"/>
        <v>0</v>
      </c>
      <c r="AL123" s="401">
        <f t="shared" si="127"/>
        <v>0</v>
      </c>
      <c r="AM123" s="189"/>
      <c r="AN123" s="829">
        <f>IFERROR(INDEX((std_rel_prt),MATCH($H123,Prt,0)),"")</f>
        <v>0</v>
      </c>
      <c r="AO123" s="830">
        <f>IFERROR(INDEX((std_engsel_prt),MATCH($H123,Prt,0)),"")</f>
        <v>0</v>
      </c>
      <c r="AP123" s="401" t="str">
        <f t="shared" si="128"/>
        <v/>
      </c>
      <c r="AQ123" s="401" t="str">
        <f t="shared" si="129"/>
        <v/>
      </c>
      <c r="AR123" s="401" t="str">
        <f t="shared" si="130"/>
        <v/>
      </c>
      <c r="AS123" s="401">
        <f>IFERROR(INDEX((std_anodize_per_ukuran),MATCH($H123,Prt,0)),"")</f>
        <v>0</v>
      </c>
      <c r="AT123" s="403" t="str">
        <f>IF($AS123=edging7,L123,IF($AS123=edging8,L123,IF($AS123=edging9,L123,IF($AS123=Hand1,J122,IF($AS123=Hand2,L122,IF($AS123=hand3,"diisi manual",IF($AS123=hand4,"diisi manual",IF($AS123=hand5,"diisi manual",IF($AS123=mled02,J123,IF($AS123=mprf1,J123,IF($AS123=mlis1,J123,"")))))))))))</f>
        <v/>
      </c>
      <c r="AU123" s="403">
        <f>IF($AS123="","",Q123*BR123)</f>
        <v>0</v>
      </c>
      <c r="AV123" s="170"/>
      <c r="AW123" s="166" t="str">
        <f>CONCATENATE(VLOOKUP($V123,tabtf,2,0),VLOOKUP($X123,tabtf,2,0))</f>
        <v>37</v>
      </c>
      <c r="AX123" s="166" t="str">
        <f t="shared" si="131"/>
        <v>4333</v>
      </c>
      <c r="AY123" s="189" t="str">
        <f>IFERROR(VLOOKUP(AW123,descf,2,0),"")</f>
        <v>Aica_1mk_Polos</v>
      </c>
      <c r="AZ123" s="189" t="str">
        <f>IF($B123="alu",(VLOOKUP(AX123,descfr,2,0)),(VLOOKUP(AX123,desce,2,0)))</f>
        <v>Edg_EAW_5216D1_1sisi_pjg</v>
      </c>
      <c r="BA123" s="196" t="str">
        <f>IF($R123=0,CONCATENATE(0,")"," ",$H123," ",$J123),CONCATENATE(VLOOKUP(H123,tabprt,2,0),")",$H123,"_",AY123))</f>
        <v>433)Tutup Kabinet Bawah_Aica_1mk_Polos</v>
      </c>
      <c r="BB123" s="629" t="str">
        <f>IF($B123="…",CONCATENATE(0,$E123,")"," ",$H123),IF($B123="kc",CONCATENATE(VLOOKUP(H123,tabprt,2,0),")",$H123," ",$R123," ",$S123,"mm"," ","-"," "," ",";"," ",$AZ123,"  ",$I123),IF($B123="alu",CONCATENATE(VLOOKUP(H123,tabprt,2,0),")",$H123," ",$R123," ",$S123,"mm"," ","-"," "," ",";"," ",$AZ123,"  ",$I123),CONCATENATE(VLOOKUP(H123,tabprt,2,0),")",$H123," ",$R123," ",$S123,"mm"," ","-"," ",$AY123," ",";"," ",$AZ123,"  ",$I123))))</f>
        <v xml:space="preserve">433)Tutup Kabinet Bawah Ply 27mm - Aica_1mk_Polos ; Edg_EAW_5216D1_1sisi_pjg  </v>
      </c>
      <c r="BC123" s="190"/>
      <c r="BD123" s="510">
        <f t="shared" si="132"/>
        <v>0</v>
      </c>
      <c r="BE123" s="510">
        <f t="shared" si="133"/>
        <v>0</v>
      </c>
      <c r="BF123" s="177">
        <f>IFERROR(INDEX((std_j_sikufr_prt),MATCH($H123,Prt,0)),"")*Q123</f>
        <v>0</v>
      </c>
      <c r="BG123" s="177">
        <f>IFERROR(INDEX((std_j_screwjf_prt),MATCH($H123,Prt,0)),"")*Q123</f>
        <v>0</v>
      </c>
      <c r="BH123" s="166">
        <f>IF($AM123=0,0,1)*Q123</f>
        <v>0</v>
      </c>
      <c r="BI123" s="474">
        <f>IF($AO123=0,0,IF(J123&lt;=fp,2,(ROUNDUP(J123/fp,0))))*Q123</f>
        <v>0</v>
      </c>
      <c r="BJ123" s="166">
        <f>IF($AN123=0,0,1)*Q123</f>
        <v>0</v>
      </c>
      <c r="BK123" s="474">
        <f t="shared" si="134"/>
        <v>2.41</v>
      </c>
      <c r="BL123" s="474">
        <f t="shared" si="135"/>
        <v>0.628</v>
      </c>
      <c r="BM123" s="474">
        <f>IF(R123=0,0,((2*((J123+tol_p)+(L123+tol_p))*Q123)/1000))</f>
        <v>6.0759999999999996</v>
      </c>
      <c r="BN123" s="166">
        <f>((J123*L123)/1000000)*Q123</f>
        <v>1.3935599999999999</v>
      </c>
      <c r="BO123" s="166" t="str">
        <f>CONCATENATE(R123,"_",S123)</f>
        <v>Ply_27</v>
      </c>
      <c r="BP123" s="204" t="str">
        <f>CONCATENATE(R123," ",S123," ",AY123)</f>
        <v>Ply 27 Aica_1mk_Polos</v>
      </c>
      <c r="BQ123" s="475">
        <f>((J123*L123*Q123)/(2400*1200))+10%</f>
        <v>0.58387500000000003</v>
      </c>
      <c r="BR123" s="205">
        <f>IFERROR(INDEX((std_jml_anodize_per_uk),MATCH($H123,Prt,0)),"")</f>
        <v>0</v>
      </c>
      <c r="BS123" s="509">
        <f t="shared" si="136"/>
        <v>0</v>
      </c>
      <c r="BT123" s="509">
        <f t="shared" si="137"/>
        <v>0</v>
      </c>
      <c r="BU123" s="459">
        <f>BF123*$Q123</f>
        <v>0</v>
      </c>
      <c r="BV123" s="459">
        <f>BG123*$Q123</f>
        <v>0</v>
      </c>
      <c r="BW123" s="1">
        <f>+((J123*L123)*Q123)/1000000</f>
        <v>1.3935599999999999</v>
      </c>
      <c r="BX123" s="1">
        <f>+((J123*L123*N123)*Q123)/1000000000</f>
        <v>3.83229E-2</v>
      </c>
      <c r="BY123" s="546" t="str">
        <f t="shared" si="138"/>
        <v/>
      </c>
      <c r="BZ123" s="546" t="str">
        <f t="shared" si="139"/>
        <v/>
      </c>
      <c r="CA123" s="546" t="str">
        <f t="shared" si="140"/>
        <v/>
      </c>
      <c r="CB123" s="546" t="str">
        <f t="shared" si="141"/>
        <v/>
      </c>
      <c r="CC123" s="728" t="str">
        <f>IFERROR((J123-CA123-CB123),"")</f>
        <v/>
      </c>
      <c r="CD123" s="728" t="str">
        <f>IFERROR((L123-BY123-BZ123),"")</f>
        <v/>
      </c>
      <c r="CE123" s="170" t="str">
        <f>IFERROR((CONCATENATE(CC123," ","x"," ",CD123," ","x"," ",N123)),"")</f>
        <v xml:space="preserve"> x  x 27,5</v>
      </c>
      <c r="CF123" t="str">
        <f>IF(F123=1,(CONCATENATE(J123,";",L123,";",Q123,";",BP123,";",N123,";",H123,";","-1",";",AF123,";",CA123,";",AG123,";",CB123,";",AD123,";",BY123,";",AE123,";",BZ123))," ")</f>
        <v>2370;588;1;Ply 27 Aica_1mk_Polos;27,5;Tutup Kabinet Bawah;-1; ;; ;;Edg_EAW_5216D1;; ;</v>
      </c>
    </row>
    <row r="124" spans="1:84" customFormat="1">
      <c r="A124" s="701" t="str">
        <f>IFERROR(INDEX((ID),MATCH(H124,BARANG,0)),"…")</f>
        <v>…</v>
      </c>
      <c r="B124" s="447" t="str">
        <f t="shared" si="121"/>
        <v>pintu</v>
      </c>
      <c r="C124" s="161" t="s">
        <v>1472</v>
      </c>
      <c r="D124" s="162" t="str">
        <f>IFERROR(INDEX((KS),MATCH($H124,Prt,0)),"")</f>
        <v>KS</v>
      </c>
      <c r="E124" s="1" t="s">
        <v>2166</v>
      </c>
      <c r="F124" s="811">
        <f t="shared" si="122"/>
        <v>1</v>
      </c>
      <c r="G124" s="440" t="str">
        <f t="shared" si="123"/>
        <v>••</v>
      </c>
      <c r="H124" s="1" t="s">
        <v>1615</v>
      </c>
      <c r="I124" s="55"/>
      <c r="J124" s="170">
        <f>150+1068+100</f>
        <v>1318</v>
      </c>
      <c r="K124" s="1" t="s">
        <v>2137</v>
      </c>
      <c r="L124" s="170">
        <f>600-12</f>
        <v>588</v>
      </c>
      <c r="M124" s="1" t="s">
        <v>2137</v>
      </c>
      <c r="N124" s="458">
        <f>+(S124+W124+Y124)</f>
        <v>27.5</v>
      </c>
      <c r="O124" s="170" t="str">
        <f>CONCATENATE(J124," ",K124," ",L124," ",M124," ",N124)</f>
        <v>1318 x 588 x 27,5</v>
      </c>
      <c r="P124" s="441">
        <v>1</v>
      </c>
      <c r="Q124" s="55">
        <f>+P124</f>
        <v>1</v>
      </c>
      <c r="R124" s="177" t="str">
        <f>IFERROR(INDEX((std_bhn_prt),MATCH($H124,Prt,0)),"")</f>
        <v>Ply</v>
      </c>
      <c r="S124" s="454">
        <f>IFERROR(INDEX((std_Tbahan_prt),MATCH($H124,Prt,0)),"")</f>
        <v>27</v>
      </c>
      <c r="T124" s="178">
        <f>INDEX((std_lapisan_luar_prt),MATCH($H124,Prt,0))</f>
        <v>0</v>
      </c>
      <c r="U124" s="178">
        <f>INDEX((std_lapisan_dalam_prt),MATCH($H124,Prt,0))</f>
        <v>22</v>
      </c>
      <c r="V124" s="179" t="str">
        <f>IFERROR(INDEX((tf),MATCH(T124,ctf,0)),"")</f>
        <v>Polos</v>
      </c>
      <c r="W124" s="180">
        <f>IFERROR(INDEX((tebal_lapisan),MATCH($V124,tf,0)),"")</f>
        <v>0</v>
      </c>
      <c r="X124" s="179" t="str">
        <f>IFERROR(INDEX((tf),MATCH(U124,ctf,0)),"")</f>
        <v>Aica</v>
      </c>
      <c r="Y124" s="180">
        <f>IFERROR(INDEX((tebal_lapisan),MATCH($X124,tf,0)),"")</f>
        <v>0.5</v>
      </c>
      <c r="Z124" s="178">
        <v>1</v>
      </c>
      <c r="AA124" s="178">
        <f>INDEX((std_edg_P2_prt),MATCH($H124,Prt,0))</f>
        <v>0</v>
      </c>
      <c r="AB124" s="178">
        <f>INDEX((std_edg_L1_prt),MATCH($H124,Prt,0))</f>
        <v>0</v>
      </c>
      <c r="AC124" s="178">
        <f>INDEX((std_edg_L2_prt),MATCH($H124,Prt,0))</f>
        <v>0</v>
      </c>
      <c r="AD124" s="182" t="str">
        <f t="shared" si="143"/>
        <v>Edg_EAW_5216D1</v>
      </c>
      <c r="AE124" s="182" t="str">
        <f t="shared" si="143"/>
        <v xml:space="preserve"> </v>
      </c>
      <c r="AF124" s="182" t="str">
        <f t="shared" si="143"/>
        <v xml:space="preserve"> </v>
      </c>
      <c r="AG124" s="182" t="str">
        <f t="shared" si="143"/>
        <v xml:space="preserve"> </v>
      </c>
      <c r="AH124" s="401">
        <f>IFERROR(INDEX((std_profil3_prt),MATCH($H124,Prt,0)),"")</f>
        <v>0</v>
      </c>
      <c r="AI124" s="401">
        <f t="shared" si="125"/>
        <v>0</v>
      </c>
      <c r="AJ124" s="401">
        <f>IFERROR(INDEX((std_profil_prt),MATCH($H124,Prt,0)),"")</f>
        <v>0</v>
      </c>
      <c r="AK124" s="401">
        <f t="shared" si="126"/>
        <v>0</v>
      </c>
      <c r="AL124" s="401">
        <f t="shared" si="127"/>
        <v>0</v>
      </c>
      <c r="AM124" s="189"/>
      <c r="AN124" s="829">
        <f>IFERROR(INDEX((std_rel_prt),MATCH($H124,Prt,0)),"")</f>
        <v>0</v>
      </c>
      <c r="AO124" s="830">
        <f>IFERROR(INDEX((std_engsel_prt),MATCH($H124,Prt,0)),"")</f>
        <v>0</v>
      </c>
      <c r="AP124" s="401" t="str">
        <f t="shared" si="128"/>
        <v/>
      </c>
      <c r="AQ124" s="401" t="str">
        <f t="shared" si="129"/>
        <v/>
      </c>
      <c r="AR124" s="401" t="str">
        <f t="shared" si="130"/>
        <v/>
      </c>
      <c r="AS124" s="401">
        <f>IFERROR(INDEX((std_anodize_per_ukuran),MATCH($H124,Prt,0)),"")</f>
        <v>0</v>
      </c>
      <c r="AT124" s="403" t="str">
        <f>IF($AS124=edging7,L124,IF($AS124=edging8,L124,IF($AS124=edging9,L124,IF($AS124=Hand1,J123,IF($AS124=Hand2,L123,IF($AS124=hand3,"diisi manual",IF($AS124=hand4,"diisi manual",IF($AS124=hand5,"diisi manual",IF($AS124=mled02,J124,IF($AS124=mprf1,J124,IF($AS124=mlis1,J124,"")))))))))))</f>
        <v/>
      </c>
      <c r="AU124" s="403">
        <f>IF($AS124="","",Q124*BR124)</f>
        <v>0</v>
      </c>
      <c r="AV124" s="170"/>
      <c r="AW124" s="166" t="str">
        <f>CONCATENATE(VLOOKUP($V124,tabtf,2,0),VLOOKUP($X124,tabtf,2,0))</f>
        <v>37</v>
      </c>
      <c r="AX124" s="166" t="str">
        <f t="shared" si="131"/>
        <v>4333</v>
      </c>
      <c r="AY124" s="189" t="str">
        <f>IFERROR(VLOOKUP(AW124,descf,2,0),"")</f>
        <v>Aica_1mk_Polos</v>
      </c>
      <c r="AZ124" s="189" t="str">
        <f>IF($B124="alu",(VLOOKUP(AX124,descfr,2,0)),(VLOOKUP(AX124,desce,2,0)))</f>
        <v>Edg_EAW_5216D1_1sisi_pjg</v>
      </c>
      <c r="BA124" s="196" t="str">
        <f>IF($R124=0,CONCATENATE(0,")"," ",$H124," ",$J124),CONCATENATE(VLOOKUP(H124,tabprt,2,0),")",$H124,"_",AY124))</f>
        <v>433)Tutup Kabinet Bawah_Aica_1mk_Polos</v>
      </c>
      <c r="BB124" s="629" t="str">
        <f>IF($B124="…",CONCATENATE(0,$E124,")"," ",$H124),IF($B124="kc",CONCATENATE(VLOOKUP(H124,tabprt,2,0),")",$H124," ",$R124," ",$S124,"mm"," ","-"," "," ",";"," ",$AZ124,"  ",$I124),IF($B124="alu",CONCATENATE(VLOOKUP(H124,tabprt,2,0),")",$H124," ",$R124," ",$S124,"mm"," ","-"," "," ",";"," ",$AZ124,"  ",$I124),CONCATENATE(VLOOKUP(H124,tabprt,2,0),")",$H124," ",$R124," ",$S124,"mm"," ","-"," ",$AY124," ",";"," ",$AZ124,"  ",$I124))))</f>
        <v xml:space="preserve">433)Tutup Kabinet Bawah Ply 27mm - Aica_1mk_Polos ; Edg_EAW_5216D1_1sisi_pjg  </v>
      </c>
      <c r="BC124" s="190"/>
      <c r="BD124" s="510">
        <f t="shared" si="132"/>
        <v>0</v>
      </c>
      <c r="BE124" s="510">
        <f t="shared" si="133"/>
        <v>0</v>
      </c>
      <c r="BF124" s="177">
        <f>IFERROR(INDEX((std_j_sikufr_prt),MATCH($H124,Prt,0)),"")*Q124</f>
        <v>0</v>
      </c>
      <c r="BG124" s="177">
        <f>IFERROR(INDEX((std_j_screwjf_prt),MATCH($H124,Prt,0)),"")*Q124</f>
        <v>0</v>
      </c>
      <c r="BH124" s="166">
        <f>IF($AM124=0,0,1)*Q124</f>
        <v>0</v>
      </c>
      <c r="BI124" s="474">
        <f>IF($AO124=0,0,IF(J124&lt;=fp,2,(ROUNDUP(J124/fp,0))))*Q124</f>
        <v>0</v>
      </c>
      <c r="BJ124" s="166">
        <f>IF($AN124=0,0,1)*Q124</f>
        <v>0</v>
      </c>
      <c r="BK124" s="474">
        <f t="shared" si="134"/>
        <v>1.3580000000000001</v>
      </c>
      <c r="BL124" s="474">
        <f t="shared" si="135"/>
        <v>0.628</v>
      </c>
      <c r="BM124" s="474">
        <f>IF(R124=0,0,((2*((J124+tol_p)+(L124+tol_p))*Q124)/1000))</f>
        <v>3.972</v>
      </c>
      <c r="BN124" s="166">
        <f>((J124*L124)/1000000)*Q124</f>
        <v>0.77498400000000001</v>
      </c>
      <c r="BO124" s="166" t="str">
        <f>CONCATENATE(R124,"_",S124)</f>
        <v>Ply_27</v>
      </c>
      <c r="BP124" s="204" t="str">
        <f>CONCATENATE(R124," ",S124," ",AY124)</f>
        <v>Ply 27 Aica_1mk_Polos</v>
      </c>
      <c r="BQ124" s="475">
        <f>((J124*L124*Q124)/(2400*1200))+10%</f>
        <v>0.36909166666666671</v>
      </c>
      <c r="BR124" s="205">
        <f>IFERROR(INDEX((std_jml_anodize_per_uk),MATCH($H124,Prt,0)),"")</f>
        <v>0</v>
      </c>
      <c r="BS124" s="509">
        <f t="shared" si="136"/>
        <v>0</v>
      </c>
      <c r="BT124" s="509">
        <f t="shared" si="137"/>
        <v>0</v>
      </c>
      <c r="BU124" s="459">
        <f>BF124*$Q124</f>
        <v>0</v>
      </c>
      <c r="BV124" s="459">
        <f>BG124*$Q124</f>
        <v>0</v>
      </c>
      <c r="BW124" s="1">
        <f>+((J124*L124)*Q124)/1000000</f>
        <v>0.77498400000000001</v>
      </c>
      <c r="BX124" s="1">
        <f>+((J124*L124*N124)*Q124)/1000000000</f>
        <v>2.1312060000000001E-2</v>
      </c>
      <c r="BY124" s="546" t="str">
        <f t="shared" si="138"/>
        <v/>
      </c>
      <c r="BZ124" s="546" t="str">
        <f t="shared" si="139"/>
        <v/>
      </c>
      <c r="CA124" s="546" t="str">
        <f t="shared" si="140"/>
        <v/>
      </c>
      <c r="CB124" s="546" t="str">
        <f t="shared" si="141"/>
        <v/>
      </c>
      <c r="CC124" s="728" t="str">
        <f>IFERROR((J124-CA124-CB124),"")</f>
        <v/>
      </c>
      <c r="CD124" s="728" t="str">
        <f>IFERROR((L124-BY124-BZ124),"")</f>
        <v/>
      </c>
      <c r="CE124" s="170" t="str">
        <f>IFERROR((CONCATENATE(CC124," ","x"," ",CD124," ","x"," ",N124)),"")</f>
        <v xml:space="preserve"> x  x 27,5</v>
      </c>
      <c r="CF124" t="str">
        <f>IF(F124=1,(CONCATENATE(J124,";",L124,";",Q124,";",BP124,";",N124,";",H124,";","-1",";",AF124,";",CA124,";",AG124,";",CB124,";",AD124,";",BY124,";",AE124,";",BZ124))," ")</f>
        <v>1318;588;1;Ply 27 Aica_1mk_Polos;27,5;Tutup Kabinet Bawah;-1; ;; ;;Edg_EAW_5216D1;; ;</v>
      </c>
    </row>
    <row r="125" spans="1:84" customFormat="1">
      <c r="A125" s="701"/>
      <c r="B125" s="447"/>
      <c r="C125" s="161"/>
      <c r="D125" s="162"/>
      <c r="E125" s="1"/>
      <c r="F125" s="811"/>
      <c r="G125" s="440"/>
      <c r="H125" s="1"/>
      <c r="I125" s="55"/>
      <c r="J125" s="170"/>
      <c r="K125" s="1"/>
      <c r="L125" s="170"/>
      <c r="M125" s="1"/>
      <c r="N125" s="458"/>
      <c r="O125" s="170"/>
      <c r="P125" s="441"/>
      <c r="Q125" s="55"/>
      <c r="R125" s="177"/>
      <c r="S125" s="454"/>
      <c r="T125" s="178"/>
      <c r="U125" s="178"/>
      <c r="V125" s="179"/>
      <c r="W125" s="180"/>
      <c r="X125" s="179"/>
      <c r="Y125" s="180"/>
      <c r="Z125" s="178"/>
      <c r="AA125" s="178"/>
      <c r="AB125" s="178"/>
      <c r="AC125" s="178"/>
      <c r="AD125" s="182"/>
      <c r="AE125" s="182"/>
      <c r="AF125" s="182"/>
      <c r="AG125" s="182"/>
      <c r="AH125" s="401"/>
      <c r="AI125" s="401"/>
      <c r="AJ125" s="182"/>
      <c r="AK125" s="401"/>
      <c r="AL125" s="401"/>
      <c r="AM125" s="189"/>
      <c r="AN125" s="829"/>
      <c r="AO125" s="830"/>
      <c r="AP125" s="401"/>
      <c r="AQ125" s="401"/>
      <c r="AR125" s="401"/>
      <c r="AS125" s="401"/>
      <c r="AT125" s="403"/>
      <c r="AU125" s="403"/>
      <c r="AV125" s="170"/>
      <c r="AW125" s="166"/>
      <c r="AX125" s="166"/>
      <c r="AY125" s="189"/>
      <c r="AZ125" s="189"/>
      <c r="BA125" s="196"/>
      <c r="BB125" s="629"/>
      <c r="BC125" s="190"/>
      <c r="BD125" s="510"/>
      <c r="BE125" s="510"/>
      <c r="BF125" s="177"/>
      <c r="BG125" s="177"/>
      <c r="BH125" s="166"/>
      <c r="BI125" s="474"/>
      <c r="BJ125" s="166"/>
      <c r="BK125" s="474"/>
      <c r="BL125" s="474"/>
      <c r="BM125" s="474"/>
      <c r="BN125" s="166"/>
      <c r="BO125" s="166"/>
      <c r="BP125" s="204"/>
      <c r="BQ125" s="475"/>
      <c r="BR125" s="205"/>
      <c r="BS125" s="509"/>
      <c r="BT125" s="509"/>
      <c r="BU125" s="459"/>
      <c r="BV125" s="459"/>
      <c r="BW125" s="1"/>
      <c r="BX125" s="1"/>
      <c r="BY125" s="546"/>
      <c r="BZ125" s="546"/>
      <c r="CA125" s="546"/>
      <c r="CB125" s="546"/>
      <c r="CC125" s="728"/>
      <c r="CD125" s="728"/>
      <c r="CE125" s="170"/>
    </row>
    <row r="126" spans="1:84" customFormat="1">
      <c r="A126" s="701"/>
      <c r="B126" s="447"/>
      <c r="C126" s="161"/>
      <c r="D126" s="162"/>
      <c r="E126" s="1"/>
      <c r="F126" s="811"/>
      <c r="G126" s="440"/>
      <c r="H126" s="1"/>
      <c r="I126" s="55"/>
      <c r="J126" s="170"/>
      <c r="K126" s="1"/>
      <c r="L126" s="170"/>
      <c r="M126" s="1"/>
      <c r="N126" s="458"/>
      <c r="O126" s="170"/>
      <c r="P126" s="441"/>
      <c r="Q126" s="55"/>
      <c r="R126" s="177"/>
      <c r="S126" s="454"/>
      <c r="T126" s="178"/>
      <c r="U126" s="178"/>
      <c r="V126" s="179"/>
      <c r="W126" s="180"/>
      <c r="X126" s="179"/>
      <c r="Y126" s="180"/>
      <c r="Z126" s="178"/>
      <c r="AA126" s="178"/>
      <c r="AB126" s="178"/>
      <c r="AC126" s="178"/>
      <c r="AD126" s="182"/>
      <c r="AE126" s="182"/>
      <c r="AF126" s="182"/>
      <c r="AG126" s="182"/>
      <c r="AH126" s="401"/>
      <c r="AI126" s="401"/>
      <c r="AJ126" s="401"/>
      <c r="AK126" s="401"/>
      <c r="AL126" s="401"/>
      <c r="AM126" s="189"/>
      <c r="AN126" s="829"/>
      <c r="AO126" s="830"/>
      <c r="AP126" s="401"/>
      <c r="AQ126" s="401"/>
      <c r="AR126" s="401"/>
      <c r="AS126" s="401"/>
      <c r="AT126" s="403"/>
      <c r="AU126" s="403"/>
      <c r="AV126" s="170"/>
      <c r="AW126" s="166"/>
      <c r="AX126" s="166"/>
      <c r="AY126" s="189"/>
      <c r="AZ126" s="189"/>
      <c r="BA126" s="196"/>
      <c r="BB126" s="629"/>
      <c r="BC126" s="190"/>
      <c r="BD126" s="510"/>
      <c r="BE126" s="510"/>
      <c r="BF126" s="177"/>
      <c r="BG126" s="177"/>
      <c r="BH126" s="166"/>
      <c r="BI126" s="474"/>
      <c r="BJ126" s="166"/>
      <c r="BK126" s="474"/>
      <c r="BL126" s="474"/>
      <c r="BM126" s="474"/>
      <c r="BN126" s="166"/>
      <c r="BO126" s="166"/>
      <c r="BP126" s="204"/>
      <c r="BQ126" s="475"/>
      <c r="BR126" s="205"/>
      <c r="BS126" s="509"/>
      <c r="BT126" s="509"/>
      <c r="BU126" s="459"/>
      <c r="BV126" s="459"/>
      <c r="BW126" s="1"/>
      <c r="BX126" s="1"/>
      <c r="BY126" s="546"/>
      <c r="BZ126" s="546"/>
      <c r="CA126" s="546"/>
      <c r="CB126" s="546"/>
      <c r="CC126" s="728"/>
      <c r="CD126" s="728"/>
      <c r="CE126" s="170"/>
    </row>
    <row r="127" spans="1:84" customFormat="1">
      <c r="A127" s="701" t="str">
        <f>IFERROR(INDEX((ID),MATCH(H127,BARANG,0)),"…")</f>
        <v>…</v>
      </c>
      <c r="B127" s="447" t="str">
        <f>IFERROR(INDEX((cprt),MATCH($H127,Prt,0)),"…")</f>
        <v>pintu</v>
      </c>
      <c r="C127" s="161" t="s">
        <v>1472</v>
      </c>
      <c r="D127" s="162" t="str">
        <f>IFERROR(INDEX((KS),MATCH($H127,Prt,0)),"")</f>
        <v>KS</v>
      </c>
      <c r="E127" s="1" t="s">
        <v>2167</v>
      </c>
      <c r="F127" s="811">
        <f>IFERROR(INDEX((opt),MATCH($H127,Prt,0)),"")</f>
        <v>0</v>
      </c>
      <c r="G127" s="440" t="str">
        <f>IFERROR(INDEX((no_ref),MATCH($H127,ref,0)),"...")</f>
        <v>••</v>
      </c>
      <c r="H127" s="1" t="s">
        <v>1607</v>
      </c>
      <c r="I127" s="55"/>
      <c r="J127" s="170">
        <f>760+100</f>
        <v>860</v>
      </c>
      <c r="K127" s="1" t="s">
        <v>2137</v>
      </c>
      <c r="L127" s="170">
        <f>560+25</f>
        <v>585</v>
      </c>
      <c r="M127" s="1" t="s">
        <v>2137</v>
      </c>
      <c r="N127" s="458">
        <f>+(S127+W127+Y127)</f>
        <v>20</v>
      </c>
      <c r="O127" s="170" t="str">
        <f>CONCATENATE(J127," ",K127," ",L127," ",M127," ",N127)</f>
        <v>860 x 585 x 20</v>
      </c>
      <c r="P127" s="441">
        <v>1</v>
      </c>
      <c r="Q127" s="55">
        <f>+P127</f>
        <v>1</v>
      </c>
      <c r="R127" s="177" t="str">
        <f>IFERROR(INDEX((std_bhn_prt),MATCH($H127,Prt,0)),"")</f>
        <v>Ply</v>
      </c>
      <c r="S127" s="454">
        <f>IFERROR(INDEX((std_Tbahan_prt),MATCH($H127,Prt,0)),"")</f>
        <v>18</v>
      </c>
      <c r="T127" s="178">
        <f>INDEX((std_lapisan_luar_prt),MATCH($H127,Prt,0))</f>
        <v>1</v>
      </c>
      <c r="U127" s="178">
        <f>INDEX((std_lapisan_dalam_prt),MATCH($H127,Prt,0))</f>
        <v>2</v>
      </c>
      <c r="V127" s="179" t="str">
        <f>IFERROR(INDEX((tf),MATCH(T127,ctf,0)),"")</f>
        <v>WY_5216_D(V)</v>
      </c>
      <c r="W127" s="180">
        <f>IFERROR(INDEX((tebal_lapisan),MATCH($V127,tf,0)),"")</f>
        <v>1</v>
      </c>
      <c r="X127" s="179" t="str">
        <f>IFERROR(INDEX((tf),MATCH(U127,ctf,0)),"")</f>
        <v>(WY_5216_D(V) rangka……+Aica)</v>
      </c>
      <c r="Y127" s="180">
        <f>IFERROR(INDEX((tebal_lapisan),MATCH($X127,tf,0)),"")</f>
        <v>1</v>
      </c>
      <c r="Z127" s="178">
        <f>INDEX((std_edg_P1_prt),MATCH($H127,Prt,0))</f>
        <v>1</v>
      </c>
      <c r="AA127" s="178">
        <f>INDEX((std_edg_P2_prt),MATCH($H127,Prt,0))</f>
        <v>1</v>
      </c>
      <c r="AB127" s="178">
        <f>INDEX((std_edg_L1_prt),MATCH($H127,Prt,0))</f>
        <v>1</v>
      </c>
      <c r="AC127" s="178">
        <f>INDEX((std_edg_L2_prt),MATCH($H127,Prt,0))</f>
        <v>1</v>
      </c>
      <c r="AD127" s="182" t="str">
        <f t="shared" ref="AD127:AG128" si="144">IF($B127="alu",(INDEX((Fr),MATCH(Z127,cfr,0))),INDEX((te),MATCH(Z127,cte,0)))</f>
        <v>Edg_EAW_5216D1</v>
      </c>
      <c r="AE127" s="182" t="str">
        <f t="shared" si="144"/>
        <v>Edg_EAW_5216D1</v>
      </c>
      <c r="AF127" s="182" t="str">
        <f t="shared" si="144"/>
        <v>Edg_EAW_5216D1</v>
      </c>
      <c r="AG127" s="182" t="str">
        <f t="shared" si="144"/>
        <v>Edg_EAW_5216D1</v>
      </c>
      <c r="AH127" s="401">
        <f>IFERROR(INDEX((std_profil3_prt),MATCH($H127,Prt,0)),"")</f>
        <v>0</v>
      </c>
      <c r="AI127" s="401">
        <f>IFERROR(INDEX((std_profil2_prt),MATCH($H127,Prt,0)),"")</f>
        <v>0</v>
      </c>
      <c r="AJ127" s="401">
        <f>IFERROR(INDEX((std_profil_prt),MATCH($H127,Prt,0)),"")</f>
        <v>0</v>
      </c>
      <c r="AK127" s="401">
        <f>IFERROR(INDEX((std_siku_prt),MATCH($H127,Prt,0)),"")</f>
        <v>0</v>
      </c>
      <c r="AL127" s="401">
        <f>IFERROR(INDEX((std_screw_prt),MATCH($H127,Prt,0)),"")</f>
        <v>0</v>
      </c>
      <c r="AM127" s="189"/>
      <c r="AN127" s="829">
        <f>IFERROR(INDEX((std_rel_prt),MATCH($H127,Prt,0)),"")</f>
        <v>0</v>
      </c>
      <c r="AO127" s="830">
        <f>IFERROR(INDEX((std_engsel_prt),MATCH($H127,Prt,0)),"")</f>
        <v>0</v>
      </c>
      <c r="AP127" s="401" t="str">
        <f>IFERROR(INDEX((std_anodizev_proses),MATCH($I127,pk,0)),"")</f>
        <v/>
      </c>
      <c r="AQ127" s="401" t="str">
        <f>IFERROR(INDEX((std_anodizev2_proses),MATCH($I127,pk,0)),"")</f>
        <v/>
      </c>
      <c r="AR127" s="401" t="str">
        <f>IFERROR(INDEX((std_anodizeh_proses),MATCH($I127,pk,0)),"")</f>
        <v/>
      </c>
      <c r="AS127" s="401">
        <f>IFERROR(INDEX((std_anodize_per_ukuran),MATCH($H127,Prt,0)),"")</f>
        <v>0</v>
      </c>
      <c r="AT127" s="403" t="str">
        <f>IF($AS127=edging7,L127,IF($AS127=edging8,L127,IF($AS127=edging9,L127,IF($AS127=Hand1,J126,IF($AS127=Hand2,L126,IF($AS127=hand3,"diisi manual",IF($AS127=hand4,"diisi manual",IF($AS127=hand5,"diisi manual",IF($AS127=mled02,J127,IF($AS127=mprf1,J127,IF($AS127=mlis1,J127,"")))))))))))</f>
        <v/>
      </c>
      <c r="AU127" s="403">
        <f>IF($AS127="","",Q127*BR127)</f>
        <v>0</v>
      </c>
      <c r="AV127" s="170"/>
      <c r="AW127" s="166" t="str">
        <f>CONCATENATE(VLOOKUP($V127,tabtf,2,0),VLOOKUP($X127,tabtf,2,0))</f>
        <v>14</v>
      </c>
      <c r="AX127" s="166" t="str">
        <f>IF($B127="alu",(CONCATENATE(VLOOKUP($AD127,tabfr,2,0),VLOOKUP($AE127,tabfr,2,0),VLOOKUP($AF127,tabfr,2,0),VLOOKUP($AG127,tabfr,2,0))),(CONCATENATE(VLOOKUP($AD127,tabte,2,0),VLOOKUP($AE127,tabte,2,0),VLOOKUP($AF127,tabte,2,0),VLOOKUP($AG127,tabte,2,0))))</f>
        <v>4444</v>
      </c>
      <c r="AY127" s="189" t="str">
        <f>IFERROR(VLOOKUP(AW127,descf,2,0),"")</f>
        <v>WY_5216_D(V)_Full 1mk (WY_5216_D(V) rangka……+Aica)</v>
      </c>
      <c r="AZ127" s="189" t="str">
        <f>IF($B127="alu",(VLOOKUP(AX127,descfr,2,0)),(VLOOKUP(AX127,desce,2,0)))</f>
        <v>Edg_EAW_5216D1_Keliling</v>
      </c>
      <c r="BA127" s="196" t="str">
        <f>IF($R127=0,CONCATENATE(0,")"," ",$H127," ",$J127),CONCATENATE(VLOOKUP(H127,tabprt,2,0),")",$H127,"_",AY127))</f>
        <v>369)End Panel_WY_5216_D(V)_Full 1mk (WY_5216_D(V) rangka……+Aica)</v>
      </c>
      <c r="BB127" s="629" t="str">
        <f>IF($B127="…",CONCATENATE(0,$E127,")"," ",$H127),IF($B127="kc",CONCATENATE(VLOOKUP(H127,tabprt,2,0),")",$H127," ",$R127," ",$S127,"mm"," ","-"," "," ",";"," ",$AZ127,"  ",$I127),IF($B127="alu",CONCATENATE(VLOOKUP(H127,tabprt,2,0),")",$H127," ",$R127," ",$S127,"mm"," ","-"," "," ",";"," ",$AZ127,"  ",$I127),CONCATENATE(VLOOKUP(H127,tabprt,2,0),")",$H127," ",$R127," ",$S127,"mm"," ","-"," ",$AY127," ",";"," ",$AZ127,"  ",$I127))))</f>
        <v xml:space="preserve">369)End Panel Ply 18mm - WY_5216_D(V)_Full 1mk (WY_5216_D(V) rangka……+Aica) ; Edg_EAW_5216D1_Keliling  </v>
      </c>
      <c r="BC127" s="190"/>
      <c r="BD127" s="510">
        <f>IFERROR(INDEX((std_minifix_prt),MATCH($H127,Prt,0)),"")</f>
        <v>0</v>
      </c>
      <c r="BE127" s="510">
        <f>IFERROR(INDEX((std_dowel_prt),MATCH($H127,Prt,0)),"")</f>
        <v>0</v>
      </c>
      <c r="BF127" s="177">
        <f>IFERROR(INDEX((std_j_sikufr_prt),MATCH($H127,Prt,0)),"")*Q127</f>
        <v>0</v>
      </c>
      <c r="BG127" s="177">
        <f>IFERROR(INDEX((std_j_screwjf_prt),MATCH($H127,Prt,0)),"")*Q127</f>
        <v>0</v>
      </c>
      <c r="BH127" s="166">
        <f>IF($AM127=0,0,1)*Q127</f>
        <v>0</v>
      </c>
      <c r="BI127" s="474">
        <f>IF($AO127=0,0,IF(J127&lt;=fp,2,(ROUNDUP(J127/fp,0))))*Q127</f>
        <v>0</v>
      </c>
      <c r="BJ127" s="166">
        <f>IF($AN127=0,0,1)*Q127</f>
        <v>0</v>
      </c>
      <c r="BK127" s="474">
        <f>(($J127+tol_p)*$Q127)/1000</f>
        <v>0.9</v>
      </c>
      <c r="BL127" s="474">
        <f>(($L127+tol_p)*$Q127)/1000</f>
        <v>0.625</v>
      </c>
      <c r="BM127" s="474">
        <f>IF(R127=0,0,((2*((J127+tol_p)+(L127+tol_p))*Q127)/1000))</f>
        <v>3.05</v>
      </c>
      <c r="BN127" s="166">
        <f>((J127*L127)/1000000)*Q127</f>
        <v>0.50309999999999999</v>
      </c>
      <c r="BO127" s="166" t="str">
        <f>CONCATENATE(R127,"_",S127)</f>
        <v>Ply_18</v>
      </c>
      <c r="BP127" s="204" t="str">
        <f>CONCATENATE(R127," ",S127," ",AY127)</f>
        <v>Ply 18 WY_5216_D(V)_Full 1mk (WY_5216_D(V) rangka……+Aica)</v>
      </c>
      <c r="BQ127" s="475">
        <f>((J127*L127*Q127)/(2400*1200))+10%</f>
        <v>0.27468749999999997</v>
      </c>
      <c r="BR127" s="205">
        <f>IFERROR(INDEX((std_jml_anodize_per_uk),MATCH($H127,Prt,0)),"")</f>
        <v>0</v>
      </c>
      <c r="BS127" s="509">
        <f>IF($BD127=0,0,IF($L127&lt;150,2,((ROUNDUP($L127/fm,0)*2))))*$Q127</f>
        <v>0</v>
      </c>
      <c r="BT127" s="509">
        <f>IF($BE127=0,0,IF($L127&lt;150,2,((ROUNDUP($L127/fd,0)*2))))*$Q127</f>
        <v>0</v>
      </c>
      <c r="BU127" s="459">
        <f>BF127*$Q127</f>
        <v>0</v>
      </c>
      <c r="BV127" s="459">
        <f>BG127*$Q127</f>
        <v>0</v>
      </c>
      <c r="BW127" s="1">
        <f>+((J127*L127)*Q127)/1000000</f>
        <v>0.50309999999999999</v>
      </c>
      <c r="BX127" s="1">
        <f>+((J127*L127*N127)*Q127)/1000000000</f>
        <v>1.0062E-2</v>
      </c>
      <c r="BY127" s="546" t="str">
        <f>IFERROR(INDEX((tbl_edg),MATCH($AD127,Edg,0)),"")</f>
        <v/>
      </c>
      <c r="BZ127" s="546" t="str">
        <f>IFERROR(INDEX((tbl_edg),MATCH($AE127,Edg,0)),"")</f>
        <v/>
      </c>
      <c r="CA127" s="546" t="str">
        <f>IFERROR(INDEX((tbl_edg),MATCH($AF127,Edg,0)),"")</f>
        <v/>
      </c>
      <c r="CB127" s="546" t="str">
        <f>IFERROR(INDEX((tbl_edg),MATCH($AG127,Edg,0)),"")</f>
        <v/>
      </c>
      <c r="CC127" s="728" t="str">
        <f>IFERROR((J127-CA127-CB127),"")</f>
        <v/>
      </c>
      <c r="CD127" s="728" t="str">
        <f>IFERROR((L127-BY127-BZ127),"")</f>
        <v/>
      </c>
      <c r="CE127" s="170" t="str">
        <f>IFERROR((CONCATENATE(CC127," ","x"," ",CD127," ","x"," ",N127)),"")</f>
        <v xml:space="preserve"> x  x 20</v>
      </c>
      <c r="CF127" t="str">
        <f>IF(F127=1,(CONCATENATE(J127,";",L127,";",Q127,";",BP127,";",N127,";",H127,";","-1",";",AF127,";",CA127,";",AG127,";",CB127,";",AD127,";",BY127,";",AE127,";",BZ127))," ")</f>
        <v xml:space="preserve"> </v>
      </c>
    </row>
    <row r="128" spans="1:84" customFormat="1">
      <c r="A128" s="701" t="str">
        <f>IFERROR(INDEX((ID),MATCH(H128,BARANG,0)),"…")</f>
        <v>…</v>
      </c>
      <c r="B128" s="447" t="str">
        <f>IFERROR(INDEX((cprt),MATCH($H128,Prt,0)),"…")</f>
        <v>pintu</v>
      </c>
      <c r="C128" s="161" t="s">
        <v>1472</v>
      </c>
      <c r="D128" s="162" t="str">
        <f>IFERROR(INDEX((KS),MATCH($H128,Prt,0)),"")</f>
        <v>KS</v>
      </c>
      <c r="E128" s="1" t="s">
        <v>2661</v>
      </c>
      <c r="F128" s="811">
        <f>IFERROR(INDEX((opt),MATCH($H128,Prt,0)),"")</f>
        <v>0</v>
      </c>
      <c r="G128" s="440" t="str">
        <f>IFERROR(INDEX((no_ref),MATCH($H128,ref,0)),"...")</f>
        <v>••</v>
      </c>
      <c r="H128" s="1" t="s">
        <v>3825</v>
      </c>
      <c r="I128" s="55"/>
      <c r="J128" s="170">
        <f>20+1190+30+500</f>
        <v>1740</v>
      </c>
      <c r="K128" s="1" t="s">
        <v>2137</v>
      </c>
      <c r="L128" s="170">
        <f>680+25</f>
        <v>705</v>
      </c>
      <c r="M128" s="1" t="s">
        <v>2137</v>
      </c>
      <c r="N128" s="458">
        <f>+(S128+W128+Y128)</f>
        <v>20</v>
      </c>
      <c r="O128" s="170" t="str">
        <f>CONCATENATE(J128," ",K128," ",L128," ",M128," ",N128)</f>
        <v>1740 x 705 x 20</v>
      </c>
      <c r="P128" s="441">
        <v>2</v>
      </c>
      <c r="Q128" s="55">
        <f>+P128</f>
        <v>2</v>
      </c>
      <c r="R128" s="177" t="str">
        <f>IFERROR(INDEX((std_bhn_prt),MATCH($H128,Prt,0)),"")</f>
        <v>Ply</v>
      </c>
      <c r="S128" s="454">
        <f>IFERROR(INDEX((std_Tbahan_prt),MATCH($H128,Prt,0)),"")</f>
        <v>18</v>
      </c>
      <c r="T128" s="178">
        <f>INDEX((std_lapisan_luar_prt),MATCH($H128,Prt,0))</f>
        <v>1</v>
      </c>
      <c r="U128" s="178">
        <f>INDEX((std_lapisan_dalam_prt),MATCH($H128,Prt,0))</f>
        <v>1</v>
      </c>
      <c r="V128" s="179" t="str">
        <f>IFERROR(INDEX((tf),MATCH(T128,ctf,0)),"")</f>
        <v>WY_5216_D(V)</v>
      </c>
      <c r="W128" s="180">
        <f>IFERROR(INDEX((tebal_lapisan),MATCH($V128,tf,0)),"")</f>
        <v>1</v>
      </c>
      <c r="X128" s="179" t="str">
        <f>IFERROR(INDEX((tf),MATCH(U128,ctf,0)),"")</f>
        <v>WY_5216_D(V)</v>
      </c>
      <c r="Y128" s="180">
        <f>IFERROR(INDEX((tebal_lapisan),MATCH($X128,tf,0)),"")</f>
        <v>1</v>
      </c>
      <c r="Z128" s="178">
        <f>INDEX((std_edg_P1_prt),MATCH($H128,Prt,0))</f>
        <v>1</v>
      </c>
      <c r="AA128" s="178">
        <f>INDEX((std_edg_P2_prt),MATCH($H128,Prt,0))</f>
        <v>1</v>
      </c>
      <c r="AB128" s="178">
        <f>INDEX((std_edg_L1_prt),MATCH($H128,Prt,0))</f>
        <v>1</v>
      </c>
      <c r="AC128" s="178">
        <f>INDEX((std_edg_L2_prt),MATCH($H128,Prt,0))</f>
        <v>1</v>
      </c>
      <c r="AD128" s="182" t="str">
        <f t="shared" si="144"/>
        <v>Edg_EAW_5216D1</v>
      </c>
      <c r="AE128" s="182" t="str">
        <f t="shared" si="144"/>
        <v>Edg_EAW_5216D1</v>
      </c>
      <c r="AF128" s="182" t="str">
        <f t="shared" si="144"/>
        <v>Edg_EAW_5216D1</v>
      </c>
      <c r="AG128" s="182" t="str">
        <f t="shared" si="144"/>
        <v>Edg_EAW_5216D1</v>
      </c>
      <c r="AH128" s="401">
        <f>IFERROR(INDEX((std_profil3_prt),MATCH($H128,Prt,0)),"")</f>
        <v>0</v>
      </c>
      <c r="AI128" s="401">
        <f>IFERROR(INDEX((std_profil2_prt),MATCH($H128,Prt,0)),"")</f>
        <v>0</v>
      </c>
      <c r="AJ128" s="401">
        <f>IFERROR(INDEX((std_profil_prt),MATCH($H128,Prt,0)),"")</f>
        <v>0</v>
      </c>
      <c r="AK128" s="401">
        <f>IFERROR(INDEX((std_siku_prt),MATCH($H128,Prt,0)),"")</f>
        <v>0</v>
      </c>
      <c r="AL128" s="401">
        <f>IFERROR(INDEX((std_screw_prt),MATCH($H128,Prt,0)),"")</f>
        <v>0</v>
      </c>
      <c r="AM128" s="189"/>
      <c r="AN128" s="829">
        <f>IFERROR(INDEX((std_rel_prt),MATCH($H128,Prt,0)),"")</f>
        <v>0</v>
      </c>
      <c r="AO128" s="830">
        <f>IFERROR(INDEX((std_engsel_prt),MATCH($H128,Prt,0)),"")</f>
        <v>0</v>
      </c>
      <c r="AP128" s="401" t="str">
        <f>IFERROR(INDEX((std_anodizev_proses),MATCH($I128,pk,0)),"")</f>
        <v/>
      </c>
      <c r="AQ128" s="401" t="str">
        <f>IFERROR(INDEX((std_anodizev2_proses),MATCH($I128,pk,0)),"")</f>
        <v/>
      </c>
      <c r="AR128" s="401" t="str">
        <f>IFERROR(INDEX((std_anodizeh_proses),MATCH($I128,pk,0)),"")</f>
        <v/>
      </c>
      <c r="AS128" s="401">
        <f>IFERROR(INDEX((std_anodize_per_ukuran),MATCH($H128,Prt,0)),"")</f>
        <v>0</v>
      </c>
      <c r="AT128" s="403" t="str">
        <f>IF($AS128=edging7,L128,IF($AS128=edging8,L128,IF($AS128=edging9,L128,IF($AS128=Hand1,J127,IF($AS128=Hand2,L127,IF($AS128=hand3,"diisi manual",IF($AS128=hand4,"diisi manual",IF($AS128=hand5,"diisi manual",IF($AS128=mled02,J128,IF($AS128=mprf1,J128,IF($AS128=mlis1,J128,"")))))))))))</f>
        <v/>
      </c>
      <c r="AU128" s="403">
        <f>IF($AS128="","",Q128*BR128)</f>
        <v>0</v>
      </c>
      <c r="AV128" s="170"/>
      <c r="AW128" s="166" t="str">
        <f>CONCATENATE(VLOOKUP($V128,tabtf,2,0),VLOOKUP($X128,tabtf,2,0))</f>
        <v>11</v>
      </c>
      <c r="AX128" s="166" t="str">
        <f>IF($B128="alu",(CONCATENATE(VLOOKUP($AD128,tabfr,2,0),VLOOKUP($AE128,tabfr,2,0),VLOOKUP($AF128,tabfr,2,0),VLOOKUP($AG128,tabfr,2,0))),(CONCATENATE(VLOOKUP($AD128,tabte,2,0),VLOOKUP($AE128,tabte,2,0),VLOOKUP($AF128,tabte,2,0),VLOOKUP($AG128,tabte,2,0))))</f>
        <v>4444</v>
      </c>
      <c r="AY128" s="189" t="str">
        <f>IFERROR(VLOOKUP(AW128,descf,2,0),"")</f>
        <v>WY_5216_D(V)_2mk</v>
      </c>
      <c r="AZ128" s="189" t="str">
        <f>IF($B128="alu",(VLOOKUP(AX128,descfr,2,0)),(VLOOKUP(AX128,desce,2,0)))</f>
        <v>Edg_EAW_5216D1_Keliling</v>
      </c>
      <c r="BA128" s="196" t="str">
        <f>IF($R128=0,CONCATENATE(0,")"," ",$H128," ",$J128),CONCATENATE(VLOOKUP(H128,tabprt,2,0),")",$H128,"_",AY128))</f>
        <v>370)End Panel│_WY_5216_D(V)_2mk</v>
      </c>
      <c r="BB128" s="629" t="str">
        <f>IF($B128="…",CONCATENATE(0,$E128,")"," ",$H128),IF($B128="kc",CONCATENATE(VLOOKUP(H128,tabprt,2,0),")",$H128," ",$R128," ",$S128,"mm"," ","-"," "," ",";"," ",$AZ128,"  ",$I128),IF($B128="alu",CONCATENATE(VLOOKUP(H128,tabprt,2,0),")",$H128," ",$R128," ",$S128,"mm"," ","-"," "," ",";"," ",$AZ128,"  ",$I128),CONCATENATE(VLOOKUP(H128,tabprt,2,0),")",$H128," ",$R128," ",$S128,"mm"," ","-"," ",$AY128," ",";"," ",$AZ128,"  ",$I128))))</f>
        <v xml:space="preserve">370)End Panel│ Ply 18mm - WY_5216_D(V)_2mk ; Edg_EAW_5216D1_Keliling  </v>
      </c>
      <c r="BC128" s="190"/>
      <c r="BD128" s="510">
        <f>IFERROR(INDEX((std_minifix_prt),MATCH($H128,Prt,0)),"")</f>
        <v>0</v>
      </c>
      <c r="BE128" s="510">
        <f>IFERROR(INDEX((std_dowel_prt),MATCH($H128,Prt,0)),"")</f>
        <v>0</v>
      </c>
      <c r="BF128" s="177">
        <f>IFERROR(INDEX((std_j_sikufr_prt),MATCH($H128,Prt,0)),"")*Q128</f>
        <v>0</v>
      </c>
      <c r="BG128" s="177">
        <f>IFERROR(INDEX((std_j_screwjf_prt),MATCH($H128,Prt,0)),"")*Q128</f>
        <v>0</v>
      </c>
      <c r="BH128" s="166">
        <f>IF($AM128=0,0,1)*Q128</f>
        <v>0</v>
      </c>
      <c r="BI128" s="474">
        <f>IF($AO128=0,0,IF(J128&lt;=fp,2,(ROUNDUP(J128/fp,0))))*Q128</f>
        <v>0</v>
      </c>
      <c r="BJ128" s="166">
        <f>IF($AN128=0,0,1)*Q128</f>
        <v>0</v>
      </c>
      <c r="BK128" s="474">
        <f>(($J128+tol_p)*$Q128)/1000</f>
        <v>3.56</v>
      </c>
      <c r="BL128" s="474">
        <f>(($L128+tol_p)*$Q128)/1000</f>
        <v>1.49</v>
      </c>
      <c r="BM128" s="474">
        <f>IF(R128=0,0,((2*((J128+tol_p)+(L128+tol_p))*Q128)/1000))</f>
        <v>10.1</v>
      </c>
      <c r="BN128" s="166">
        <f>((J128*L128)/1000000)*Q128</f>
        <v>2.4533999999999998</v>
      </c>
      <c r="BO128" s="166" t="str">
        <f>CONCATENATE(R128,"_",S128)</f>
        <v>Ply_18</v>
      </c>
      <c r="BP128" s="204" t="str">
        <f>CONCATENATE(R128," ",S128," ",AY128)</f>
        <v>Ply 18 WY_5216_D(V)_2mk</v>
      </c>
      <c r="BQ128" s="475">
        <f>((J128*L128*Q128)/(2400*1200))+10%</f>
        <v>0.95187500000000003</v>
      </c>
      <c r="BR128" s="205">
        <f>IFERROR(INDEX((std_jml_anodize_per_uk),MATCH($H128,Prt,0)),"")</f>
        <v>0</v>
      </c>
      <c r="BS128" s="509">
        <f>IF($BD128=0,0,IF($L128&lt;150,2,((ROUNDUP($L128/fm,0)*2))))*$Q128</f>
        <v>0</v>
      </c>
      <c r="BT128" s="509">
        <f>IF($BE128=0,0,IF($L128&lt;150,2,((ROUNDUP($L128/fd,0)*2))))*$Q128</f>
        <v>0</v>
      </c>
      <c r="BU128" s="459">
        <f>BF128*$Q128</f>
        <v>0</v>
      </c>
      <c r="BV128" s="459">
        <f>BG128*$Q128</f>
        <v>0</v>
      </c>
      <c r="BW128" s="1">
        <f>+((J128*L128)*Q128)/1000000</f>
        <v>2.4533999999999998</v>
      </c>
      <c r="BX128" s="1">
        <f>+((J128*L128*N128)*Q128)/1000000000</f>
        <v>4.9068000000000001E-2</v>
      </c>
      <c r="BY128" s="546" t="str">
        <f>IFERROR(INDEX((tbl_edg),MATCH($AD128,Edg,0)),"")</f>
        <v/>
      </c>
      <c r="BZ128" s="546" t="str">
        <f>IFERROR(INDEX((tbl_edg),MATCH($AE128,Edg,0)),"")</f>
        <v/>
      </c>
      <c r="CA128" s="546" t="str">
        <f>IFERROR(INDEX((tbl_edg),MATCH($AF128,Edg,0)),"")</f>
        <v/>
      </c>
      <c r="CB128" s="546" t="str">
        <f>IFERROR(INDEX((tbl_edg),MATCH($AG128,Edg,0)),"")</f>
        <v/>
      </c>
      <c r="CC128" s="728" t="str">
        <f>IFERROR((J128-CA128-CB128),"")</f>
        <v/>
      </c>
      <c r="CD128" s="728" t="str">
        <f>IFERROR((L128-BY128-BZ128),"")</f>
        <v/>
      </c>
      <c r="CE128" s="170" t="str">
        <f>IFERROR((CONCATENATE(CC128," ","x"," ",CD128," ","x"," ",N128)),"")</f>
        <v xml:space="preserve"> x  x 20</v>
      </c>
      <c r="CF128" t="str">
        <f>IF(F128=1,(CONCATENATE(J128,";",L128,";",Q128,";",BP128,";",N128,";",H128,";","-1",";",AF128,";",CA128,";",AG128,";",CB128,";",AD128,";",BY128,";",AE128,";",BZ128))," ")</f>
        <v xml:space="preserve"> </v>
      </c>
    </row>
    <row r="129" spans="1:84" customFormat="1">
      <c r="A129" s="701"/>
      <c r="B129" s="447"/>
      <c r="C129" s="161"/>
      <c r="D129" s="162"/>
      <c r="E129" s="1"/>
      <c r="F129" s="811"/>
      <c r="G129" s="440"/>
      <c r="H129" s="1"/>
      <c r="I129" s="55"/>
      <c r="J129" s="170"/>
      <c r="K129" s="1"/>
      <c r="L129" s="170"/>
      <c r="M129" s="1"/>
      <c r="N129" s="458"/>
      <c r="O129" s="170"/>
      <c r="P129" s="441"/>
      <c r="Q129" s="55"/>
      <c r="R129" s="177"/>
      <c r="S129" s="454"/>
      <c r="T129" s="178"/>
      <c r="U129" s="178"/>
      <c r="V129" s="179"/>
      <c r="W129" s="180"/>
      <c r="X129" s="179"/>
      <c r="Y129" s="180"/>
      <c r="Z129" s="178"/>
      <c r="AA129" s="178"/>
      <c r="AB129" s="178"/>
      <c r="AC129" s="178"/>
      <c r="AD129" s="182"/>
      <c r="AE129" s="182"/>
      <c r="AF129" s="182"/>
      <c r="AG129" s="182"/>
      <c r="AH129" s="401"/>
      <c r="AI129" s="401"/>
      <c r="AJ129" s="182"/>
      <c r="AK129" s="401"/>
      <c r="AL129" s="401"/>
      <c r="AM129" s="189"/>
      <c r="AN129" s="829"/>
      <c r="AO129" s="830"/>
      <c r="AP129" s="401"/>
      <c r="AQ129" s="401"/>
      <c r="AR129" s="401"/>
      <c r="AS129" s="401"/>
      <c r="AT129" s="403"/>
      <c r="AU129" s="403"/>
      <c r="AV129" s="170"/>
      <c r="AW129" s="166"/>
      <c r="AX129" s="166"/>
      <c r="AY129" s="189"/>
      <c r="AZ129" s="189"/>
      <c r="BA129" s="196"/>
      <c r="BB129" s="629"/>
      <c r="BC129" s="190"/>
      <c r="BD129" s="510"/>
      <c r="BE129" s="510"/>
      <c r="BF129" s="177"/>
      <c r="BG129" s="177"/>
      <c r="BH129" s="166"/>
      <c r="BI129" s="474"/>
      <c r="BJ129" s="166"/>
      <c r="BK129" s="474"/>
      <c r="BL129" s="474"/>
      <c r="BM129" s="474"/>
      <c r="BN129" s="166"/>
      <c r="BO129" s="166"/>
      <c r="BP129" s="204"/>
      <c r="BQ129" s="475"/>
      <c r="BR129" s="205"/>
      <c r="BS129" s="509"/>
      <c r="BT129" s="509"/>
      <c r="BU129" s="459"/>
      <c r="BV129" s="459"/>
      <c r="BW129" s="1"/>
      <c r="BX129" s="1"/>
      <c r="BY129" s="546"/>
      <c r="BZ129" s="546"/>
      <c r="CA129" s="546"/>
      <c r="CB129" s="546"/>
      <c r="CC129" s="728"/>
      <c r="CD129" s="728"/>
      <c r="CE129" s="170"/>
    </row>
    <row r="130" spans="1:84" customFormat="1">
      <c r="A130" s="701"/>
      <c r="B130" s="447"/>
      <c r="C130" s="161"/>
      <c r="D130" s="162"/>
      <c r="E130" s="1"/>
      <c r="F130" s="811"/>
      <c r="G130" s="440"/>
      <c r="H130" s="1"/>
      <c r="I130" s="55"/>
      <c r="J130" s="170"/>
      <c r="K130" s="1"/>
      <c r="L130" s="170"/>
      <c r="M130" s="1"/>
      <c r="N130" s="458"/>
      <c r="O130" s="170"/>
      <c r="P130" s="441"/>
      <c r="Q130" s="55"/>
      <c r="R130" s="177"/>
      <c r="S130" s="454"/>
      <c r="T130" s="178"/>
      <c r="U130" s="178"/>
      <c r="V130" s="179"/>
      <c r="W130" s="180"/>
      <c r="X130" s="179"/>
      <c r="Y130" s="180"/>
      <c r="Z130" s="178"/>
      <c r="AA130" s="178"/>
      <c r="AB130" s="178"/>
      <c r="AC130" s="178"/>
      <c r="AD130" s="182"/>
      <c r="AE130" s="182"/>
      <c r="AF130" s="182"/>
      <c r="AG130" s="182"/>
      <c r="AH130" s="401"/>
      <c r="AI130" s="401"/>
      <c r="AJ130" s="182"/>
      <c r="AK130" s="401"/>
      <c r="AL130" s="401"/>
      <c r="AM130" s="189"/>
      <c r="AN130" s="829"/>
      <c r="AO130" s="830"/>
      <c r="AP130" s="401"/>
      <c r="AQ130" s="401"/>
      <c r="AR130" s="401"/>
      <c r="AS130" s="401"/>
      <c r="AT130" s="403"/>
      <c r="AU130" s="403"/>
      <c r="AV130" s="170"/>
      <c r="AW130" s="166"/>
      <c r="AX130" s="166"/>
      <c r="AY130" s="189"/>
      <c r="AZ130" s="189"/>
      <c r="BA130" s="196"/>
      <c r="BB130" s="629"/>
      <c r="BC130" s="190"/>
      <c r="BD130" s="510"/>
      <c r="BE130" s="510"/>
      <c r="BF130" s="177"/>
      <c r="BG130" s="177"/>
      <c r="BH130" s="166"/>
      <c r="BI130" s="474"/>
      <c r="BJ130" s="166"/>
      <c r="BK130" s="474"/>
      <c r="BL130" s="474"/>
      <c r="BM130" s="474"/>
      <c r="BN130" s="166"/>
      <c r="BO130" s="166"/>
      <c r="BP130" s="204"/>
      <c r="BQ130" s="475"/>
      <c r="BR130" s="205"/>
      <c r="BS130" s="509"/>
      <c r="BT130" s="509"/>
      <c r="BU130" s="459"/>
      <c r="BV130" s="459"/>
      <c r="BW130" s="1"/>
      <c r="BX130" s="1"/>
      <c r="BY130" s="546"/>
      <c r="BZ130" s="546"/>
      <c r="CA130" s="546"/>
      <c r="CB130" s="546"/>
      <c r="CC130" s="728"/>
      <c r="CD130" s="728"/>
      <c r="CE130" s="170"/>
    </row>
    <row r="131" spans="1:84" customFormat="1">
      <c r="A131" s="701" t="str">
        <f>IFERROR(INDEX((ID),MATCH(H131,BARANG,0)),"…")</f>
        <v>…</v>
      </c>
      <c r="B131" s="447" t="str">
        <f>IFERROR(INDEX((cprt),MATCH($H131,Prt,0)),"…")</f>
        <v>pintu</v>
      </c>
      <c r="C131" s="161" t="s">
        <v>1472</v>
      </c>
      <c r="D131" s="162" t="str">
        <f>IFERROR(INDEX((KS),MATCH($H131,Prt,0)),"")</f>
        <v>KS</v>
      </c>
      <c r="E131" s="1" t="s">
        <v>2167</v>
      </c>
      <c r="F131" s="811">
        <f>IFERROR(INDEX((opt),MATCH($H131,Prt,0)),"")</f>
        <v>0</v>
      </c>
      <c r="G131" s="440" t="str">
        <f>IFERROR(INDEX((no_ref),MATCH($H131,ref,0)),"...")</f>
        <v>•••</v>
      </c>
      <c r="H131" s="1" t="s">
        <v>2535</v>
      </c>
      <c r="I131" s="55"/>
      <c r="J131" s="170">
        <v>2430</v>
      </c>
      <c r="K131" s="1" t="s">
        <v>2137</v>
      </c>
      <c r="L131" s="170">
        <v>100</v>
      </c>
      <c r="M131" s="1" t="s">
        <v>2137</v>
      </c>
      <c r="N131" s="458">
        <f>+(S131+W131+Y131)</f>
        <v>19</v>
      </c>
      <c r="O131" s="170" t="str">
        <f>CONCATENATE(J131," ",K131," ",L131," ",M131," ",N131)</f>
        <v>2430 x 100 x 19</v>
      </c>
      <c r="P131" s="441">
        <v>2</v>
      </c>
      <c r="Q131" s="55">
        <f>+P131</f>
        <v>2</v>
      </c>
      <c r="R131" s="177" t="str">
        <f>IFERROR(INDEX((std_bhn_prt),MATCH($H131,Prt,0)),"")</f>
        <v>Ply</v>
      </c>
      <c r="S131" s="454">
        <f>IFERROR(INDEX((std_Tbahan_prt),MATCH($H131,Prt,0)),"")</f>
        <v>18</v>
      </c>
      <c r="T131" s="178">
        <f>INDEX((std_lapisan_luar_prt),MATCH($H131,Prt,0))</f>
        <v>1</v>
      </c>
      <c r="U131" s="178">
        <f>INDEX((std_lapisan_dalam_prt),MATCH($H131,Prt,0))</f>
        <v>0</v>
      </c>
      <c r="V131" s="179" t="str">
        <f>IFERROR(INDEX((tf),MATCH(T131,ctf,0)),"")</f>
        <v>WY_5216_D(V)</v>
      </c>
      <c r="W131" s="180">
        <f>IFERROR(INDEX((tebal_lapisan),MATCH($V131,tf,0)),"")</f>
        <v>1</v>
      </c>
      <c r="X131" s="179" t="str">
        <f>IFERROR(INDEX((tf),MATCH(U131,ctf,0)),"")</f>
        <v>Polos</v>
      </c>
      <c r="Y131" s="180">
        <f>IFERROR(INDEX((tebal_lapisan),MATCH($X131,tf,0)),"")</f>
        <v>0</v>
      </c>
      <c r="Z131" s="178">
        <f>INDEX((std_edg_P1_prt),MATCH($H131,Prt,0))</f>
        <v>1</v>
      </c>
      <c r="AA131" s="178">
        <f>INDEX((std_edg_P2_prt),MATCH($H131,Prt,0))</f>
        <v>0</v>
      </c>
      <c r="AB131" s="178">
        <f>INDEX((std_edg_L1_prt),MATCH($H131,Prt,0))</f>
        <v>0</v>
      </c>
      <c r="AC131" s="178">
        <f>INDEX((std_edg_L2_prt),MATCH($H131,Prt,0))</f>
        <v>0</v>
      </c>
      <c r="AD131" s="182" t="str">
        <f t="shared" ref="AD131:AG133" si="145">IF($B131="alu",(INDEX((Fr),MATCH(Z131,cfr,0))),INDEX((te),MATCH(Z131,cte,0)))</f>
        <v>Edg_EAW_5216D1</v>
      </c>
      <c r="AE131" s="182" t="str">
        <f t="shared" si="145"/>
        <v xml:space="preserve"> </v>
      </c>
      <c r="AF131" s="182" t="str">
        <f t="shared" si="145"/>
        <v xml:space="preserve"> </v>
      </c>
      <c r="AG131" s="182" t="str">
        <f t="shared" si="145"/>
        <v xml:space="preserve"> </v>
      </c>
      <c r="AH131" s="401">
        <f>IFERROR(INDEX((std_profil3_prt),MATCH($H131,Prt,0)),"")</f>
        <v>0</v>
      </c>
      <c r="AI131" s="401">
        <f>IFERROR(INDEX((std_profil2_prt),MATCH($H131,Prt,0)),"")</f>
        <v>0</v>
      </c>
      <c r="AJ131" s="401">
        <f>IFERROR(INDEX((std_profil_prt),MATCH($H131,Prt,0)),"")</f>
        <v>0</v>
      </c>
      <c r="AK131" s="401">
        <f>IFERROR(INDEX((std_siku_prt),MATCH($H131,Prt,0)),"")</f>
        <v>0</v>
      </c>
      <c r="AL131" s="401">
        <f>IFERROR(INDEX((std_screw_prt),MATCH($H131,Prt,0)),"")</f>
        <v>0</v>
      </c>
      <c r="AM131" s="189"/>
      <c r="AN131" s="829">
        <f>IFERROR(INDEX((std_rel_prt),MATCH($H131,Prt,0)),"")</f>
        <v>0</v>
      </c>
      <c r="AO131" s="830">
        <f>IFERROR(INDEX((std_engsel_prt),MATCH($H131,Prt,0)),"")</f>
        <v>0</v>
      </c>
      <c r="AP131" s="401" t="str">
        <f>IFERROR(INDEX((std_anodizev_proses),MATCH($I131,pk,0)),"")</f>
        <v/>
      </c>
      <c r="AQ131" s="401" t="str">
        <f>IFERROR(INDEX((std_anodizev2_proses),MATCH($I131,pk,0)),"")</f>
        <v/>
      </c>
      <c r="AR131" s="401" t="str">
        <f>IFERROR(INDEX((std_anodizeh_proses),MATCH($I131,pk,0)),"")</f>
        <v/>
      </c>
      <c r="AS131" s="401">
        <f>IFERROR(INDEX((std_anodize_per_ukuran),MATCH($H131,Prt,0)),"")</f>
        <v>0</v>
      </c>
      <c r="AT131" s="403" t="str">
        <f>IF($AS131=edging7,L131,IF($AS131=edging8,L131,IF($AS131=edging9,L131,IF($AS131=Hand1,J130,IF($AS131=Hand2,L130,IF($AS131=hand3,"diisi manual",IF($AS131=hand4,"diisi manual",IF($AS131=hand5,"diisi manual",IF($AS131=mled02,J131,IF($AS131=mprf1,J131,IF($AS131=mlis1,J131,"")))))))))))</f>
        <v/>
      </c>
      <c r="AU131" s="403">
        <f>IF($AS131="","",Q131*BR131)</f>
        <v>0</v>
      </c>
      <c r="AV131" s="170"/>
      <c r="AW131" s="166" t="str">
        <f>CONCATENATE(VLOOKUP($V131,tabtf,2,0),VLOOKUP($X131,tabtf,2,0))</f>
        <v>13</v>
      </c>
      <c r="AX131" s="166" t="str">
        <f>IF($B131="alu",(CONCATENATE(VLOOKUP($AD131,tabfr,2,0),VLOOKUP($AE131,tabfr,2,0),VLOOKUP($AF131,tabfr,2,0),VLOOKUP($AG131,tabfr,2,0))),(CONCATENATE(VLOOKUP($AD131,tabte,2,0),VLOOKUP($AE131,tabte,2,0),VLOOKUP($AF131,tabte,2,0),VLOOKUP($AG131,tabte,2,0))))</f>
        <v>4333</v>
      </c>
      <c r="AY131" s="189" t="str">
        <f>IFERROR(VLOOKUP(AW131,descf,2,0),"")</f>
        <v>WY_5216_D(V)_1mk_Polos</v>
      </c>
      <c r="AZ131" s="189" t="str">
        <f>IF($B131="alu",(VLOOKUP(AX131,descfr,2,0)),(VLOOKUP(AX131,desce,2,0)))</f>
        <v>Edg_EAW_5216D1_1sisi_pjg</v>
      </c>
      <c r="BA131" s="196" t="str">
        <f>IF($R131=0,CONCATENATE(0,")"," ",$H131," ",$J131),CONCATENATE(VLOOKUP(H131,tabprt,2,0),")",$H131,"_",AY131))</f>
        <v>462)Plinth/Uppertop_WY_5216_D(V)_1mk_Polos</v>
      </c>
      <c r="BB131" s="629" t="str">
        <f>IF($B131="…",CONCATENATE(0,$E131,")"," ",$H131),IF($B131="kc",CONCATENATE(VLOOKUP(H131,tabprt,2,0),")",$H131," ",$R131," ",$S131,"mm"," ","-"," "," ",";"," ",$AZ131,"  ",$I131),IF($B131="alu",CONCATENATE(VLOOKUP(H131,tabprt,2,0),")",$H131," ",$R131," ",$S131,"mm"," ","-"," "," ",";"," ",$AZ131,"  ",$I131),CONCATENATE(VLOOKUP(H131,tabprt,2,0),")",$H131," ",$R131," ",$S131,"mm"," ","-"," ",$AY131," ",";"," ",$AZ131,"  ",$I131))))</f>
        <v xml:space="preserve">462)Plinth/Uppertop Ply 18mm - WY_5216_D(V)_1mk_Polos ; Edg_EAW_5216D1_1sisi_pjg  </v>
      </c>
      <c r="BC131" s="190"/>
      <c r="BD131" s="510">
        <f>IFERROR(INDEX((std_minifix_prt),MATCH($H131,Prt,0)),"")</f>
        <v>0</v>
      </c>
      <c r="BE131" s="510">
        <f>IFERROR(INDEX((std_dowel_prt),MATCH($H131,Prt,0)),"")</f>
        <v>0</v>
      </c>
      <c r="BF131" s="177">
        <f>IFERROR(INDEX((std_j_sikufr_prt),MATCH($H131,Prt,0)),"")*Q131</f>
        <v>0</v>
      </c>
      <c r="BG131" s="177">
        <f>IFERROR(INDEX((std_j_screwjf_prt),MATCH($H131,Prt,0)),"")*Q131</f>
        <v>0</v>
      </c>
      <c r="BH131" s="166">
        <f>IF($AM131=0,0,1)*Q131</f>
        <v>0</v>
      </c>
      <c r="BI131" s="474">
        <f>IF($AO131=0,0,IF(J131&lt;=fp,2,(ROUNDUP(J131/fp,0))))*Q131</f>
        <v>0</v>
      </c>
      <c r="BJ131" s="166">
        <f>IF($AN131=0,0,1)*Q131</f>
        <v>0</v>
      </c>
      <c r="BK131" s="474">
        <f>(($J131+tol_p)*$Q131)/1000</f>
        <v>4.9400000000000004</v>
      </c>
      <c r="BL131" s="474">
        <f>(($L131+tol_p)*$Q131)/1000</f>
        <v>0.28000000000000003</v>
      </c>
      <c r="BM131" s="474">
        <f>IF(R131=0,0,((2*((J131+tol_p)+(L131+tol_p))*Q131)/1000))</f>
        <v>10.44</v>
      </c>
      <c r="BN131" s="166">
        <f>((J131*L131)/1000000)*Q131</f>
        <v>0.48599999999999999</v>
      </c>
      <c r="BO131" s="166" t="str">
        <f>CONCATENATE(R131,"_",S131)</f>
        <v>Ply_18</v>
      </c>
      <c r="BP131" s="204" t="str">
        <f>CONCATENATE(R131," ",S131," ",AY131)</f>
        <v>Ply 18 WY_5216_D(V)_1mk_Polos</v>
      </c>
      <c r="BQ131" s="475">
        <f>((J131*L131*Q131)/(2400*1200))+10%</f>
        <v>0.26875000000000004</v>
      </c>
      <c r="BR131" s="205">
        <f>IFERROR(INDEX((std_jml_anodize_per_uk),MATCH($H131,Prt,0)),"")</f>
        <v>0</v>
      </c>
      <c r="BS131" s="509">
        <f>IF($BD131=0,0,IF($L131&lt;150,2,((ROUNDUP($L131/fm,0)*2))))*$Q131</f>
        <v>0</v>
      </c>
      <c r="BT131" s="509">
        <f>IF($BE131=0,0,IF($L131&lt;150,2,((ROUNDUP($L131/fd,0)*2))))*$Q131</f>
        <v>0</v>
      </c>
      <c r="BU131" s="459">
        <f t="shared" ref="BU131:BV133" si="146">BF131*$Q131</f>
        <v>0</v>
      </c>
      <c r="BV131" s="459">
        <f t="shared" si="146"/>
        <v>0</v>
      </c>
      <c r="BW131" s="1">
        <f>+((J131*L131)*Q131)/1000000</f>
        <v>0.48599999999999999</v>
      </c>
      <c r="BX131" s="1">
        <f>+((J131*L131*N131)*Q131)/1000000000</f>
        <v>9.2339999999999992E-3</v>
      </c>
      <c r="BY131" s="546" t="str">
        <f>IFERROR(INDEX((tbl_edg),MATCH($AD131,Edg,0)),"")</f>
        <v/>
      </c>
      <c r="BZ131" s="546" t="str">
        <f>IFERROR(INDEX((tbl_edg),MATCH($AE131,Edg,0)),"")</f>
        <v/>
      </c>
      <c r="CA131" s="546" t="str">
        <f>IFERROR(INDEX((tbl_edg),MATCH($AF131,Edg,0)),"")</f>
        <v/>
      </c>
      <c r="CB131" s="546" t="str">
        <f>IFERROR(INDEX((tbl_edg),MATCH($AG131,Edg,0)),"")</f>
        <v/>
      </c>
      <c r="CC131" s="728" t="str">
        <f>IFERROR((J131-CA131-CB131),"")</f>
        <v/>
      </c>
      <c r="CD131" s="728" t="str">
        <f>IFERROR((L131-BY131-BZ131),"")</f>
        <v/>
      </c>
      <c r="CE131" s="170" t="str">
        <f>IFERROR((CONCATENATE(CC131," ","x"," ",CD131," ","x"," ",N131)),"")</f>
        <v xml:space="preserve"> x  x 19</v>
      </c>
      <c r="CF131" t="str">
        <f>IF(F131=1,(CONCATENATE(J131,";",L131,";",Q131,";",BP131,";",N131,";",H131,";","-1",";",AF131,";",CA131,";",AG131,";",CB131,";",AD131,";",BY131,";",AE131,";",BZ131))," ")</f>
        <v xml:space="preserve"> </v>
      </c>
    </row>
    <row r="132" spans="1:84" customFormat="1">
      <c r="A132" s="701" t="str">
        <f>IFERROR(INDEX((ID),MATCH(H132,BARANG,0)),"…")</f>
        <v>…</v>
      </c>
      <c r="B132" s="447" t="str">
        <f>IFERROR(INDEX((cprt),MATCH($H132,Prt,0)),"…")</f>
        <v>pintu</v>
      </c>
      <c r="C132" s="161" t="s">
        <v>1472</v>
      </c>
      <c r="D132" s="162" t="str">
        <f>IFERROR(INDEX((KS),MATCH($H132,Prt,0)),"")</f>
        <v>KS</v>
      </c>
      <c r="E132" s="1" t="s">
        <v>2167</v>
      </c>
      <c r="F132" s="811">
        <f>IFERROR(INDEX((opt),MATCH($H132,Prt,0)),"")</f>
        <v>0</v>
      </c>
      <c r="G132" s="440" t="str">
        <f>IFERROR(INDEX((no_ref),MATCH($H132,ref,0)),"...")</f>
        <v>•••</v>
      </c>
      <c r="H132" s="1" t="s">
        <v>1617</v>
      </c>
      <c r="I132" s="55"/>
      <c r="J132" s="170">
        <v>2430</v>
      </c>
      <c r="K132" s="1" t="s">
        <v>2137</v>
      </c>
      <c r="L132" s="170">
        <v>70</v>
      </c>
      <c r="M132" s="1" t="s">
        <v>2137</v>
      </c>
      <c r="N132" s="458">
        <f>+(S132+W132+Y132)</f>
        <v>19</v>
      </c>
      <c r="O132" s="170" t="str">
        <f>CONCATENATE(J132," ",K132," ",L132," ",M132," ",N132)</f>
        <v>2430 x 70 x 19</v>
      </c>
      <c r="P132" s="441">
        <v>2</v>
      </c>
      <c r="Q132" s="55">
        <f>+P132</f>
        <v>2</v>
      </c>
      <c r="R132" s="177" t="str">
        <f>IFERROR(INDEX((std_bhn_prt),MATCH($H132,Prt,0)),"")</f>
        <v>Ply</v>
      </c>
      <c r="S132" s="454">
        <f>IFERROR(INDEX((std_Tbahan_prt),MATCH($H132,Prt,0)),"")</f>
        <v>18</v>
      </c>
      <c r="T132" s="178">
        <f>INDEX((std_lapisan_luar_prt),MATCH($H132,Prt,0))</f>
        <v>1</v>
      </c>
      <c r="U132" s="178">
        <f>INDEX((std_lapisan_dalam_prt),MATCH($H132,Prt,0))</f>
        <v>0</v>
      </c>
      <c r="V132" s="179" t="str">
        <f>IFERROR(INDEX((tf),MATCH(T132,ctf,0)),"")</f>
        <v>WY_5216_D(V)</v>
      </c>
      <c r="W132" s="180">
        <f>IFERROR(INDEX((tebal_lapisan),MATCH($V132,tf,0)),"")</f>
        <v>1</v>
      </c>
      <c r="X132" s="179" t="str">
        <f>IFERROR(INDEX((tf),MATCH(U132,ctf,0)),"")</f>
        <v>Polos</v>
      </c>
      <c r="Y132" s="180">
        <f>IFERROR(INDEX((tebal_lapisan),MATCH($X132,tf,0)),"")</f>
        <v>0</v>
      </c>
      <c r="Z132" s="178">
        <f>INDEX((std_edg_P1_prt),MATCH($H132,Prt,0))</f>
        <v>0</v>
      </c>
      <c r="AA132" s="178">
        <f>INDEX((std_edg_P2_prt),MATCH($H132,Prt,0))</f>
        <v>0</v>
      </c>
      <c r="AB132" s="178">
        <f>INDEX((std_edg_L1_prt),MATCH($H132,Prt,0))</f>
        <v>0</v>
      </c>
      <c r="AC132" s="178">
        <f>INDEX((std_edg_L2_prt),MATCH($H132,Prt,0))</f>
        <v>0</v>
      </c>
      <c r="AD132" s="182" t="str">
        <f t="shared" si="145"/>
        <v xml:space="preserve"> </v>
      </c>
      <c r="AE132" s="182" t="str">
        <f t="shared" si="145"/>
        <v xml:space="preserve"> </v>
      </c>
      <c r="AF132" s="182" t="str">
        <f t="shared" si="145"/>
        <v xml:space="preserve"> </v>
      </c>
      <c r="AG132" s="182" t="str">
        <f t="shared" si="145"/>
        <v xml:space="preserve"> </v>
      </c>
      <c r="AH132" s="401">
        <f>IFERROR(INDEX((std_profil3_prt),MATCH($H132,Prt,0)),"")</f>
        <v>0</v>
      </c>
      <c r="AI132" s="401">
        <f>IFERROR(INDEX((std_profil2_prt),MATCH($H132,Prt,0)),"")</f>
        <v>0</v>
      </c>
      <c r="AJ132" s="401">
        <f>IFERROR(INDEX((std_profil_prt),MATCH($H132,Prt,0)),"")</f>
        <v>0</v>
      </c>
      <c r="AK132" s="401">
        <f>IFERROR(INDEX((std_siku_prt),MATCH($H132,Prt,0)),"")</f>
        <v>0</v>
      </c>
      <c r="AL132" s="401">
        <f>IFERROR(INDEX((std_screw_prt),MATCH($H132,Prt,0)),"")</f>
        <v>0</v>
      </c>
      <c r="AM132" s="189"/>
      <c r="AN132" s="829">
        <f>IFERROR(INDEX((std_rel_prt),MATCH($H132,Prt,0)),"")</f>
        <v>0</v>
      </c>
      <c r="AO132" s="830">
        <f>IFERROR(INDEX((std_engsel_prt),MATCH($H132,Prt,0)),"")</f>
        <v>0</v>
      </c>
      <c r="AP132" s="401" t="str">
        <f>IFERROR(INDEX((std_anodizev_proses),MATCH($I132,pk,0)),"")</f>
        <v/>
      </c>
      <c r="AQ132" s="401" t="str">
        <f>IFERROR(INDEX((std_anodizev2_proses),MATCH($I132,pk,0)),"")</f>
        <v/>
      </c>
      <c r="AR132" s="401" t="str">
        <f>IFERROR(INDEX((std_anodizeh_proses),MATCH($I132,pk,0)),"")</f>
        <v/>
      </c>
      <c r="AS132" s="401">
        <f>IFERROR(INDEX((std_anodize_per_ukuran),MATCH($H132,Prt,0)),"")</f>
        <v>0</v>
      </c>
      <c r="AT132" s="403" t="str">
        <f>IF($AS132=edging7,L132,IF($AS132=edging8,L132,IF($AS132=edging9,L132,IF($AS132=Hand1,J131,IF($AS132=Hand2,L131,IF($AS132=hand3,"diisi manual",IF($AS132=hand4,"diisi manual",IF($AS132=hand5,"diisi manual",IF($AS132=mled02,J132,IF($AS132=mprf1,J132,IF($AS132=mlis1,J132,"")))))))))))</f>
        <v/>
      </c>
      <c r="AU132" s="403">
        <f>IF($AS132="","",Q132*BR132)</f>
        <v>0</v>
      </c>
      <c r="AV132" s="170"/>
      <c r="AW132" s="166" t="str">
        <f>CONCATENATE(VLOOKUP($V132,tabtf,2,0),VLOOKUP($X132,tabtf,2,0))</f>
        <v>13</v>
      </c>
      <c r="AX132" s="166" t="str">
        <f>IF($B132="alu",(CONCATENATE(VLOOKUP($AD132,tabfr,2,0),VLOOKUP($AE132,tabfr,2,0),VLOOKUP($AF132,tabfr,2,0),VLOOKUP($AG132,tabfr,2,0))),(CONCATENATE(VLOOKUP($AD132,tabte,2,0),VLOOKUP($AE132,tabte,2,0),VLOOKUP($AF132,tabte,2,0),VLOOKUP($AG132,tabte,2,0))))</f>
        <v>3333</v>
      </c>
      <c r="AY132" s="189" t="str">
        <f>IFERROR(VLOOKUP(AW132,descf,2,0),"")</f>
        <v>WY_5216_D(V)_1mk_Polos</v>
      </c>
      <c r="AZ132" s="189" t="str">
        <f>IF($B132="alu",(VLOOKUP(AX132,descfr,2,0)),(VLOOKUP(AX132,desce,2,0)))</f>
        <v xml:space="preserve"> -</v>
      </c>
      <c r="BA132" s="196" t="str">
        <f>IF($R132=0,CONCATENATE(0,")"," ",$H132," ",$J132),CONCATENATE(VLOOKUP(H132,tabprt,2,0),")",$H132,"_",AY132))</f>
        <v>435)Dummies_WY_5216_D(V)_1mk_Polos</v>
      </c>
      <c r="BB132" s="629" t="str">
        <f>IF($B132="…",CONCATENATE(0,$E132,")"," ",$H132),IF($B132="kc",CONCATENATE(VLOOKUP(H132,tabprt,2,0),")",$H132," ",$R132," ",$S132,"mm"," ","-"," "," ",";"," ",$AZ132,"  ",$I132),IF($B132="alu",CONCATENATE(VLOOKUP(H132,tabprt,2,0),")",$H132," ",$R132," ",$S132,"mm"," ","-"," "," ",";"," ",$AZ132,"  ",$I132),CONCATENATE(VLOOKUP(H132,tabprt,2,0),")",$H132," ",$R132," ",$S132,"mm"," ","-"," ",$AY132," ",";"," ",$AZ132,"  ",$I132))))</f>
        <v xml:space="preserve">435)Dummies Ply 18mm - WY_5216_D(V)_1mk_Polos ;  -  </v>
      </c>
      <c r="BC132" s="190"/>
      <c r="BD132" s="510">
        <f>IFERROR(INDEX((std_minifix_prt),MATCH($H132,Prt,0)),"")</f>
        <v>0</v>
      </c>
      <c r="BE132" s="510">
        <f>IFERROR(INDEX((std_dowel_prt),MATCH($H132,Prt,0)),"")</f>
        <v>0</v>
      </c>
      <c r="BF132" s="177">
        <f>IFERROR(INDEX((std_j_sikufr_prt),MATCH($H132,Prt,0)),"")*Q132</f>
        <v>0</v>
      </c>
      <c r="BG132" s="177">
        <f>IFERROR(INDEX((std_j_screwjf_prt),MATCH($H132,Prt,0)),"")*Q132</f>
        <v>0</v>
      </c>
      <c r="BH132" s="166">
        <f>IF($AM132=0,0,1)*Q132</f>
        <v>0</v>
      </c>
      <c r="BI132" s="474">
        <f>IF($AO132=0,0,IF(J132&lt;=fp,2,(ROUNDUP(J132/fp,0))))*Q132</f>
        <v>0</v>
      </c>
      <c r="BJ132" s="166">
        <f>IF($AN132=0,0,1)*Q132</f>
        <v>0</v>
      </c>
      <c r="BK132" s="474">
        <f>(($J132+tol_p)*$Q132)/1000</f>
        <v>4.9400000000000004</v>
      </c>
      <c r="BL132" s="474">
        <f>(($L132+tol_p)*$Q132)/1000</f>
        <v>0.22</v>
      </c>
      <c r="BM132" s="474">
        <f>IF(R132=0,0,((2*((J132+tol_p)+(L132+tol_p))*Q132)/1000))</f>
        <v>10.32</v>
      </c>
      <c r="BN132" s="166">
        <f>((J132*L132)/1000000)*Q132</f>
        <v>0.3402</v>
      </c>
      <c r="BO132" s="166" t="str">
        <f>CONCATENATE(R132,"_",S132)</f>
        <v>Ply_18</v>
      </c>
      <c r="BP132" s="204" t="str">
        <f>CONCATENATE(R132," ",S132," ",AY132)</f>
        <v>Ply 18 WY_5216_D(V)_1mk_Polos</v>
      </c>
      <c r="BQ132" s="475">
        <f>((J132*L132*Q132)/(2400*1200))+10%</f>
        <v>0.21812500000000001</v>
      </c>
      <c r="BR132" s="205">
        <f>IFERROR(INDEX((std_jml_anodize_per_uk),MATCH($H132,Prt,0)),"")</f>
        <v>0</v>
      </c>
      <c r="BS132" s="509">
        <f>IF($BD132=0,0,IF($L132&lt;150,2,((ROUNDUP($L132/fm,0)*2))))*$Q132</f>
        <v>0</v>
      </c>
      <c r="BT132" s="509">
        <f>IF($BE132=0,0,IF($L132&lt;150,2,((ROUNDUP($L132/fd,0)*2))))*$Q132</f>
        <v>0</v>
      </c>
      <c r="BU132" s="459">
        <f t="shared" si="146"/>
        <v>0</v>
      </c>
      <c r="BV132" s="459">
        <f t="shared" si="146"/>
        <v>0</v>
      </c>
      <c r="BW132" s="1">
        <f>+((J132*L132)*Q132)/1000000</f>
        <v>0.3402</v>
      </c>
      <c r="BX132" s="1">
        <f>+((J132*L132*N132)*Q132)/1000000000</f>
        <v>6.4637999999999996E-3</v>
      </c>
      <c r="BY132" s="546" t="str">
        <f>IFERROR(INDEX((tbl_edg),MATCH($AD132,Edg,0)),"")</f>
        <v/>
      </c>
      <c r="BZ132" s="546" t="str">
        <f>IFERROR(INDEX((tbl_edg),MATCH($AE132,Edg,0)),"")</f>
        <v/>
      </c>
      <c r="CA132" s="546" t="str">
        <f>IFERROR(INDEX((tbl_edg),MATCH($AF132,Edg,0)),"")</f>
        <v/>
      </c>
      <c r="CB132" s="546" t="str">
        <f>IFERROR(INDEX((tbl_edg),MATCH($AG132,Edg,0)),"")</f>
        <v/>
      </c>
      <c r="CC132" s="728" t="str">
        <f>IFERROR((J132-CA132-CB132),"")</f>
        <v/>
      </c>
      <c r="CD132" s="728" t="str">
        <f>IFERROR((L132-BY132-BZ132),"")</f>
        <v/>
      </c>
      <c r="CE132" s="170" t="str">
        <f>IFERROR((CONCATENATE(CC132," ","x"," ",CD132," ","x"," ",N132)),"")</f>
        <v xml:space="preserve"> x  x 19</v>
      </c>
      <c r="CF132" t="str">
        <f>IF(F132=1,(CONCATENATE(J132,";",L132,";",Q132,";",BP132,";",N132,";",H132,";","-1",";",AF132,";",CA132,";",AG132,";",CB132,";",AD132,";",BY132,";",AE132,";",BZ132))," ")</f>
        <v xml:space="preserve"> </v>
      </c>
    </row>
    <row r="133" spans="1:84" customFormat="1">
      <c r="A133" s="701" t="str">
        <f>IFERROR(INDEX((ID),MATCH(H133,BARANG,0)),"…")</f>
        <v>…</v>
      </c>
      <c r="B133" s="447" t="str">
        <f>IFERROR(INDEX((cprt),MATCH($H133,Prt,0)),"…")</f>
        <v>pintu</v>
      </c>
      <c r="C133" s="161" t="s">
        <v>1472</v>
      </c>
      <c r="D133" s="162" t="str">
        <f>IFERROR(INDEX((KS),MATCH($H133,Prt,0)),"")</f>
        <v>KS</v>
      </c>
      <c r="E133" s="1" t="s">
        <v>2167</v>
      </c>
      <c r="F133" s="811">
        <f>IFERROR(INDEX((opt),MATCH($H133,Prt,0)),"")</f>
        <v>0</v>
      </c>
      <c r="G133" s="440" t="str">
        <f>IFERROR(INDEX((no_ref),MATCH($H133,ref,0)),"...")</f>
        <v>•••</v>
      </c>
      <c r="H133" s="1" t="s">
        <v>1617</v>
      </c>
      <c r="I133" s="55"/>
      <c r="J133" s="170">
        <f>1204+616+600</f>
        <v>2420</v>
      </c>
      <c r="K133" s="1" t="s">
        <v>2137</v>
      </c>
      <c r="L133" s="170">
        <v>30</v>
      </c>
      <c r="M133" s="1" t="s">
        <v>2137</v>
      </c>
      <c r="N133" s="458">
        <f>+(S133+W133+Y133)</f>
        <v>19</v>
      </c>
      <c r="O133" s="170" t="str">
        <f>CONCATENATE(J133," ",K133," ",L133," ",M133," ",N133)</f>
        <v>2420 x 30 x 19</v>
      </c>
      <c r="P133" s="441">
        <v>1</v>
      </c>
      <c r="Q133" s="55">
        <f>+P133</f>
        <v>1</v>
      </c>
      <c r="R133" s="177" t="str">
        <f>IFERROR(INDEX((std_bhn_prt),MATCH($H133,Prt,0)),"")</f>
        <v>Ply</v>
      </c>
      <c r="S133" s="454">
        <f>IFERROR(INDEX((std_Tbahan_prt),MATCH($H133,Prt,0)),"")</f>
        <v>18</v>
      </c>
      <c r="T133" s="178">
        <f>INDEX((std_lapisan_luar_prt),MATCH($H133,Prt,0))</f>
        <v>1</v>
      </c>
      <c r="U133" s="178">
        <f>INDEX((std_lapisan_dalam_prt),MATCH($H133,Prt,0))</f>
        <v>0</v>
      </c>
      <c r="V133" s="179" t="str">
        <f>IFERROR(INDEX((tf),MATCH(T133,ctf,0)),"")</f>
        <v>WY_5216_D(V)</v>
      </c>
      <c r="W133" s="180">
        <f>IFERROR(INDEX((tebal_lapisan),MATCH($V133,tf,0)),"")</f>
        <v>1</v>
      </c>
      <c r="X133" s="179" t="str">
        <f>IFERROR(INDEX((tf),MATCH(U133,ctf,0)),"")</f>
        <v>Polos</v>
      </c>
      <c r="Y133" s="180">
        <f>IFERROR(INDEX((tebal_lapisan),MATCH($X133,tf,0)),"")</f>
        <v>0</v>
      </c>
      <c r="Z133" s="178">
        <f>INDEX((std_edg_P1_prt),MATCH($H133,Prt,0))</f>
        <v>0</v>
      </c>
      <c r="AA133" s="178">
        <f>INDEX((std_edg_P2_prt),MATCH($H133,Prt,0))</f>
        <v>0</v>
      </c>
      <c r="AB133" s="178">
        <f>INDEX((std_edg_L1_prt),MATCH($H133,Prt,0))</f>
        <v>0</v>
      </c>
      <c r="AC133" s="178">
        <f>INDEX((std_edg_L2_prt),MATCH($H133,Prt,0))</f>
        <v>0</v>
      </c>
      <c r="AD133" s="182" t="str">
        <f t="shared" si="145"/>
        <v xml:space="preserve"> </v>
      </c>
      <c r="AE133" s="182" t="str">
        <f t="shared" si="145"/>
        <v xml:space="preserve"> </v>
      </c>
      <c r="AF133" s="182" t="str">
        <f t="shared" si="145"/>
        <v xml:space="preserve"> </v>
      </c>
      <c r="AG133" s="182" t="str">
        <f t="shared" si="145"/>
        <v xml:space="preserve"> </v>
      </c>
      <c r="AH133" s="401">
        <f>IFERROR(INDEX((std_profil3_prt),MATCH($H133,Prt,0)),"")</f>
        <v>0</v>
      </c>
      <c r="AI133" s="401">
        <f>IFERROR(INDEX((std_profil2_prt),MATCH($H133,Prt,0)),"")</f>
        <v>0</v>
      </c>
      <c r="AJ133" s="401">
        <f>IFERROR(INDEX((std_profil_prt),MATCH($H133,Prt,0)),"")</f>
        <v>0</v>
      </c>
      <c r="AK133" s="401">
        <f>IFERROR(INDEX((std_siku_prt),MATCH($H133,Prt,0)),"")</f>
        <v>0</v>
      </c>
      <c r="AL133" s="401">
        <f>IFERROR(INDEX((std_screw_prt),MATCH($H133,Prt,0)),"")</f>
        <v>0</v>
      </c>
      <c r="AM133" s="189"/>
      <c r="AN133" s="829">
        <f>IFERROR(INDEX((std_rel_prt),MATCH($H133,Prt,0)),"")</f>
        <v>0</v>
      </c>
      <c r="AO133" s="830">
        <f>IFERROR(INDEX((std_engsel_prt),MATCH($H133,Prt,0)),"")</f>
        <v>0</v>
      </c>
      <c r="AP133" s="401" t="str">
        <f>IFERROR(INDEX((std_anodizev_proses),MATCH($I133,pk,0)),"")</f>
        <v/>
      </c>
      <c r="AQ133" s="401" t="str">
        <f>IFERROR(INDEX((std_anodizev2_proses),MATCH($I133,pk,0)),"")</f>
        <v/>
      </c>
      <c r="AR133" s="401" t="str">
        <f>IFERROR(INDEX((std_anodizeh_proses),MATCH($I133,pk,0)),"")</f>
        <v/>
      </c>
      <c r="AS133" s="401">
        <f>IFERROR(INDEX((std_anodize_per_ukuran),MATCH($H133,Prt,0)),"")</f>
        <v>0</v>
      </c>
      <c r="AT133" s="403" t="str">
        <f>IF($AS133=edging7,L133,IF($AS133=edging8,L133,IF($AS133=edging9,L133,IF($AS133=Hand1,J132,IF($AS133=Hand2,L132,IF($AS133=hand3,"diisi manual",IF($AS133=hand4,"diisi manual",IF($AS133=hand5,"diisi manual",IF($AS133=mled02,J133,IF($AS133=mprf1,J133,IF($AS133=mlis1,J133,"")))))))))))</f>
        <v/>
      </c>
      <c r="AU133" s="403">
        <f>IF($AS133="","",Q133*BR133)</f>
        <v>0</v>
      </c>
      <c r="AV133" s="170"/>
      <c r="AW133" s="166" t="str">
        <f>CONCATENATE(VLOOKUP($V133,tabtf,2,0),VLOOKUP($X133,tabtf,2,0))</f>
        <v>13</v>
      </c>
      <c r="AX133" s="166" t="str">
        <f>IF($B133="alu",(CONCATENATE(VLOOKUP($AD133,tabfr,2,0),VLOOKUP($AE133,tabfr,2,0),VLOOKUP($AF133,tabfr,2,0),VLOOKUP($AG133,tabfr,2,0))),(CONCATENATE(VLOOKUP($AD133,tabte,2,0),VLOOKUP($AE133,tabte,2,0),VLOOKUP($AF133,tabte,2,0),VLOOKUP($AG133,tabte,2,0))))</f>
        <v>3333</v>
      </c>
      <c r="AY133" s="189" t="str">
        <f>IFERROR(VLOOKUP(AW133,descf,2,0),"")</f>
        <v>WY_5216_D(V)_1mk_Polos</v>
      </c>
      <c r="AZ133" s="189" t="str">
        <f>IF($B133="alu",(VLOOKUP(AX133,descfr,2,0)),(VLOOKUP(AX133,desce,2,0)))</f>
        <v xml:space="preserve"> -</v>
      </c>
      <c r="BA133" s="196" t="str">
        <f>IF($R133=0,CONCATENATE(0,")"," ",$H133," ",$J133),CONCATENATE(VLOOKUP(H133,tabprt,2,0),")",$H133,"_",AY133))</f>
        <v>435)Dummies_WY_5216_D(V)_1mk_Polos</v>
      </c>
      <c r="BB133" s="629" t="str">
        <f>IF($B133="…",CONCATENATE(0,$E133,")"," ",$H133),IF($B133="kc",CONCATENATE(VLOOKUP(H133,tabprt,2,0),")",$H133," ",$R133," ",$S133,"mm"," ","-"," "," ",";"," ",$AZ133,"  ",$I133),IF($B133="alu",CONCATENATE(VLOOKUP(H133,tabprt,2,0),")",$H133," ",$R133," ",$S133,"mm"," ","-"," "," ",";"," ",$AZ133,"  ",$I133),CONCATENATE(VLOOKUP(H133,tabprt,2,0),")",$H133," ",$R133," ",$S133,"mm"," ","-"," ",$AY133," ",";"," ",$AZ133,"  ",$I133))))</f>
        <v xml:space="preserve">435)Dummies Ply 18mm - WY_5216_D(V)_1mk_Polos ;  -  </v>
      </c>
      <c r="BC133" s="190"/>
      <c r="BD133" s="510">
        <f>IFERROR(INDEX((std_minifix_prt),MATCH($H133,Prt,0)),"")</f>
        <v>0</v>
      </c>
      <c r="BE133" s="510">
        <f>IFERROR(INDEX((std_dowel_prt),MATCH($H133,Prt,0)),"")</f>
        <v>0</v>
      </c>
      <c r="BF133" s="177">
        <f>IFERROR(INDEX((std_j_sikufr_prt),MATCH($H133,Prt,0)),"")*Q133</f>
        <v>0</v>
      </c>
      <c r="BG133" s="177">
        <f>IFERROR(INDEX((std_j_screwjf_prt),MATCH($H133,Prt,0)),"")*Q133</f>
        <v>0</v>
      </c>
      <c r="BH133" s="166">
        <f>IF($AM133=0,0,1)*Q133</f>
        <v>0</v>
      </c>
      <c r="BI133" s="474">
        <f>IF($AO133=0,0,IF(J133&lt;=fp,2,(ROUNDUP(J133/fp,0))))*Q133</f>
        <v>0</v>
      </c>
      <c r="BJ133" s="166">
        <f>IF($AN133=0,0,1)*Q133</f>
        <v>0</v>
      </c>
      <c r="BK133" s="474">
        <f>(($J133+tol_p)*$Q133)/1000</f>
        <v>2.46</v>
      </c>
      <c r="BL133" s="474">
        <f>(($L133+tol_p)*$Q133)/1000</f>
        <v>7.0000000000000007E-2</v>
      </c>
      <c r="BM133" s="474">
        <f>IF(R133=0,0,((2*((J133+tol_p)+(L133+tol_p))*Q133)/1000))</f>
        <v>5.0599999999999996</v>
      </c>
      <c r="BN133" s="166">
        <f>((J133*L133)/1000000)*Q133</f>
        <v>7.2599999999999998E-2</v>
      </c>
      <c r="BO133" s="166" t="str">
        <f>CONCATENATE(R133,"_",S133)</f>
        <v>Ply_18</v>
      </c>
      <c r="BP133" s="204" t="str">
        <f>CONCATENATE(R133," ",S133," ",AY133)</f>
        <v>Ply 18 WY_5216_D(V)_1mk_Polos</v>
      </c>
      <c r="BQ133" s="475">
        <f>((J133*L133*Q133)/(2400*1200))+10%</f>
        <v>0.12520833333333334</v>
      </c>
      <c r="BR133" s="205">
        <f>IFERROR(INDEX((std_jml_anodize_per_uk),MATCH($H133,Prt,0)),"")</f>
        <v>0</v>
      </c>
      <c r="BS133" s="509">
        <f>IF($BD133=0,0,IF($L133&lt;150,2,((ROUNDUP($L133/fm,0)*2))))*$Q133</f>
        <v>0</v>
      </c>
      <c r="BT133" s="509">
        <f>IF($BE133=0,0,IF($L133&lt;150,2,((ROUNDUP($L133/fd,0)*2))))*$Q133</f>
        <v>0</v>
      </c>
      <c r="BU133" s="459">
        <f t="shared" si="146"/>
        <v>0</v>
      </c>
      <c r="BV133" s="459">
        <f t="shared" si="146"/>
        <v>0</v>
      </c>
      <c r="BW133" s="1">
        <f>+((J133*L133)*Q133)/1000000</f>
        <v>7.2599999999999998E-2</v>
      </c>
      <c r="BX133" s="1">
        <f>+((J133*L133*N133)*Q133)/1000000000</f>
        <v>1.3794E-3</v>
      </c>
      <c r="BY133" s="546" t="str">
        <f>IFERROR(INDEX((tbl_edg),MATCH($AD133,Edg,0)),"")</f>
        <v/>
      </c>
      <c r="BZ133" s="546" t="str">
        <f>IFERROR(INDEX((tbl_edg),MATCH($AE133,Edg,0)),"")</f>
        <v/>
      </c>
      <c r="CA133" s="546" t="str">
        <f>IFERROR(INDEX((tbl_edg),MATCH($AF133,Edg,0)),"")</f>
        <v/>
      </c>
      <c r="CB133" s="546" t="str">
        <f>IFERROR(INDEX((tbl_edg),MATCH($AG133,Edg,0)),"")</f>
        <v/>
      </c>
      <c r="CC133" s="728" t="str">
        <f>IFERROR((J133-CA133-CB133),"")</f>
        <v/>
      </c>
      <c r="CD133" s="728" t="str">
        <f>IFERROR((L133-BY133-BZ133),"")</f>
        <v/>
      </c>
      <c r="CE133" s="170" t="str">
        <f>IFERROR((CONCATENATE(CC133," ","x"," ",CD133," ","x"," ",N133)),"")</f>
        <v xml:space="preserve"> x  x 19</v>
      </c>
      <c r="CF133" t="str">
        <f>IF(F133=1,(CONCATENATE(J133,";",L133,";",Q133,";",BP133,";",N133,";",H133,";","-1",";",AF133,";",CA133,";",AG133,";",CB133,";",AD133,";",BY133,";",AE133,";",BZ133))," ")</f>
        <v xml:space="preserve"> </v>
      </c>
    </row>
    <row r="134" spans="1:84" customFormat="1">
      <c r="A134" s="701"/>
      <c r="B134" s="447"/>
      <c r="C134" s="161"/>
      <c r="D134" s="162"/>
      <c r="E134" s="1"/>
      <c r="F134" s="811"/>
      <c r="G134" s="440"/>
      <c r="H134" s="1"/>
      <c r="I134" s="55"/>
      <c r="J134" s="170"/>
      <c r="K134" s="1"/>
      <c r="L134" s="170"/>
      <c r="M134" s="1"/>
      <c r="N134" s="458"/>
      <c r="O134" s="170"/>
      <c r="P134" s="441"/>
      <c r="Q134" s="55"/>
      <c r="R134" s="177"/>
      <c r="S134" s="454"/>
      <c r="T134" s="178"/>
      <c r="U134" s="178"/>
      <c r="V134" s="179"/>
      <c r="W134" s="180"/>
      <c r="X134" s="179"/>
      <c r="Y134" s="180"/>
      <c r="Z134" s="178"/>
      <c r="AA134" s="178"/>
      <c r="AB134" s="178"/>
      <c r="AC134" s="178"/>
      <c r="AD134" s="182"/>
      <c r="AE134" s="182"/>
      <c r="AF134" s="182"/>
      <c r="AG134" s="182"/>
      <c r="AH134" s="401"/>
      <c r="AI134" s="401"/>
      <c r="AJ134" s="401"/>
      <c r="AK134" s="401"/>
      <c r="AL134" s="401"/>
      <c r="AM134" s="189"/>
      <c r="AN134" s="829"/>
      <c r="AO134" s="830"/>
      <c r="AP134" s="401"/>
      <c r="AQ134" s="401"/>
      <c r="AR134" s="401"/>
      <c r="AS134" s="401"/>
      <c r="AT134" s="403"/>
      <c r="AU134" s="403"/>
      <c r="AV134" s="170"/>
      <c r="AW134" s="166"/>
      <c r="AX134" s="166"/>
      <c r="AY134" s="189"/>
      <c r="AZ134" s="189"/>
      <c r="BA134" s="196"/>
      <c r="BB134" s="629"/>
      <c r="BC134" s="190"/>
      <c r="BD134" s="510"/>
      <c r="BE134" s="510"/>
      <c r="BF134" s="177"/>
      <c r="BG134" s="177"/>
      <c r="BH134" s="166"/>
      <c r="BI134" s="474"/>
      <c r="BJ134" s="166"/>
      <c r="BK134" s="474"/>
      <c r="BL134" s="474"/>
      <c r="BM134" s="474"/>
      <c r="BN134" s="166"/>
      <c r="BO134" s="166"/>
      <c r="BP134" s="204"/>
      <c r="BQ134" s="475"/>
      <c r="BR134" s="205"/>
      <c r="BS134" s="509"/>
      <c r="BT134" s="509"/>
      <c r="BU134" s="459"/>
      <c r="BV134" s="459"/>
      <c r="BW134" s="1"/>
      <c r="BX134" s="1"/>
      <c r="BY134" s="546"/>
      <c r="BZ134" s="546"/>
      <c r="CA134" s="546"/>
      <c r="CB134" s="546"/>
      <c r="CC134" s="728"/>
      <c r="CD134" s="728"/>
      <c r="CE134" s="170"/>
    </row>
    <row r="135" spans="1:84" customFormat="1">
      <c r="A135" s="701"/>
      <c r="B135" s="447"/>
      <c r="C135" s="161"/>
      <c r="D135" s="162"/>
      <c r="E135" s="1"/>
      <c r="F135" s="811"/>
      <c r="G135" s="440"/>
      <c r="H135" s="1"/>
      <c r="I135" s="55"/>
      <c r="J135" s="170"/>
      <c r="K135" s="1"/>
      <c r="L135" s="170"/>
      <c r="M135" s="1"/>
      <c r="N135" s="458"/>
      <c r="O135" s="170"/>
      <c r="P135" s="441"/>
      <c r="Q135" s="55"/>
      <c r="R135" s="177"/>
      <c r="S135" s="454"/>
      <c r="T135" s="178"/>
      <c r="U135" s="178"/>
      <c r="V135" s="179"/>
      <c r="W135" s="180"/>
      <c r="X135" s="179"/>
      <c r="Y135" s="180"/>
      <c r="Z135" s="178"/>
      <c r="AA135" s="178"/>
      <c r="AB135" s="178"/>
      <c r="AC135" s="178"/>
      <c r="AD135" s="182"/>
      <c r="AE135" s="182"/>
      <c r="AF135" s="182"/>
      <c r="AG135" s="182"/>
      <c r="AH135" s="401"/>
      <c r="AI135" s="401"/>
      <c r="AJ135" s="182"/>
      <c r="AK135" s="401"/>
      <c r="AL135" s="401"/>
      <c r="AM135" s="189"/>
      <c r="AN135" s="829"/>
      <c r="AO135" s="830"/>
      <c r="AP135" s="401"/>
      <c r="AQ135" s="401"/>
      <c r="AR135" s="401"/>
      <c r="AS135" s="401"/>
      <c r="AT135" s="403"/>
      <c r="AU135" s="403"/>
      <c r="AV135" s="170"/>
      <c r="AW135" s="166"/>
      <c r="AX135" s="166"/>
      <c r="AY135" s="189"/>
      <c r="AZ135" s="189"/>
      <c r="BA135" s="196"/>
      <c r="BB135" s="629"/>
      <c r="BC135" s="190"/>
      <c r="BD135" s="510"/>
      <c r="BE135" s="510"/>
      <c r="BF135" s="177"/>
      <c r="BG135" s="177"/>
      <c r="BH135" s="166"/>
      <c r="BI135" s="474"/>
      <c r="BJ135" s="166"/>
      <c r="BK135" s="474"/>
      <c r="BL135" s="474"/>
      <c r="BM135" s="474"/>
      <c r="BN135" s="166"/>
      <c r="BO135" s="166"/>
      <c r="BP135" s="204"/>
      <c r="BQ135" s="475"/>
      <c r="BR135" s="205"/>
      <c r="BS135" s="509"/>
      <c r="BT135" s="509"/>
      <c r="BU135" s="459"/>
      <c r="BV135" s="459"/>
      <c r="BW135" s="1"/>
      <c r="BX135" s="1"/>
      <c r="BY135" s="546"/>
      <c r="BZ135" s="546"/>
      <c r="CA135" s="546"/>
      <c r="CB135" s="546"/>
      <c r="CC135" s="728"/>
      <c r="CD135" s="728"/>
      <c r="CE135" s="170"/>
    </row>
    <row r="136" spans="1:84" customFormat="1">
      <c r="A136" s="701" t="str">
        <f>IFERROR(INDEX((ID),MATCH(H136,BARANG,0)),"…")</f>
        <v>…</v>
      </c>
      <c r="B136" s="447" t="str">
        <f>IFERROR(INDEX((cprt),MATCH($H136,Prt,0)),"…")</f>
        <v>pintu</v>
      </c>
      <c r="C136" s="161" t="s">
        <v>1472</v>
      </c>
      <c r="D136" s="162" t="str">
        <f>IFERROR(INDEX((KS),MATCH($H136,Prt,0)),"")</f>
        <v>KS</v>
      </c>
      <c r="E136" s="1" t="s">
        <v>2167</v>
      </c>
      <c r="F136" s="811">
        <f>IFERROR(INDEX((opt),MATCH($H136,Prt,0)),"")</f>
        <v>1</v>
      </c>
      <c r="G136" s="440" t="str">
        <f>IFERROR(INDEX((no_ref),MATCH($H136,ref,0)),"...")</f>
        <v>••</v>
      </c>
      <c r="H136" s="1" t="s">
        <v>1615</v>
      </c>
      <c r="I136" s="55"/>
      <c r="J136" s="170">
        <f>20+620+904+276+20+600-588</f>
        <v>1852</v>
      </c>
      <c r="K136" s="1" t="s">
        <v>2137</v>
      </c>
      <c r="L136" s="170">
        <f>700-12</f>
        <v>688</v>
      </c>
      <c r="M136" s="1" t="s">
        <v>2137</v>
      </c>
      <c r="N136" s="458">
        <f>+(S136+W136+Y136)</f>
        <v>27.5</v>
      </c>
      <c r="O136" s="170" t="str">
        <f>CONCATENATE(J136," ",K136," ",L136," ",M136," ",N136)</f>
        <v>1852 x 688 x 27,5</v>
      </c>
      <c r="P136" s="441">
        <v>1</v>
      </c>
      <c r="Q136" s="55">
        <f>+P136</f>
        <v>1</v>
      </c>
      <c r="R136" s="177" t="str">
        <f>IFERROR(INDEX((std_bhn_prt),MATCH($H136,Prt,0)),"")</f>
        <v>Ply</v>
      </c>
      <c r="S136" s="454">
        <f>IFERROR(INDEX((std_Tbahan_prt),MATCH($H136,Prt,0)),"")</f>
        <v>27</v>
      </c>
      <c r="T136" s="178">
        <f>INDEX((std_lapisan_luar_prt),MATCH($H136,Prt,0))</f>
        <v>0</v>
      </c>
      <c r="U136" s="178">
        <f>INDEX((std_lapisan_dalam_prt),MATCH($H136,Prt,0))</f>
        <v>22</v>
      </c>
      <c r="V136" s="179" t="str">
        <f>IFERROR(INDEX((tf),MATCH(T136,ctf,0)),"")</f>
        <v>Polos</v>
      </c>
      <c r="W136" s="180">
        <f>IFERROR(INDEX((tebal_lapisan),MATCH($V136,tf,0)),"")</f>
        <v>0</v>
      </c>
      <c r="X136" s="179" t="str">
        <f>IFERROR(INDEX((tf),MATCH(U136,ctf,0)),"")</f>
        <v>Aica</v>
      </c>
      <c r="Y136" s="180">
        <f>IFERROR(INDEX((tebal_lapisan),MATCH($X136,tf,0)),"")</f>
        <v>0.5</v>
      </c>
      <c r="Z136" s="178">
        <v>1</v>
      </c>
      <c r="AA136" s="178">
        <f>INDEX((std_edg_P2_prt),MATCH($H136,Prt,0))</f>
        <v>0</v>
      </c>
      <c r="AB136" s="178">
        <f>INDEX((std_edg_L1_prt),MATCH($H136,Prt,0))</f>
        <v>0</v>
      </c>
      <c r="AC136" s="178">
        <f>INDEX((std_edg_L2_prt),MATCH($H136,Prt,0))</f>
        <v>0</v>
      </c>
      <c r="AD136" s="182" t="str">
        <f>IF($B136="alu",(INDEX((Fr),MATCH(Z136,cfr,0))),INDEX((te),MATCH(Z136,cte,0)))</f>
        <v>Edg_EAW_5216D1</v>
      </c>
      <c r="AE136" s="182" t="str">
        <f>IF($B136="alu",(INDEX((Fr),MATCH(AA136,cfr,0))),INDEX((te),MATCH(AA136,cte,0)))</f>
        <v xml:space="preserve"> </v>
      </c>
      <c r="AF136" s="182" t="str">
        <f>IF($B136="alu",(INDEX((Fr),MATCH(AB136,cfr,0))),INDEX((te),MATCH(AB136,cte,0)))</f>
        <v xml:space="preserve"> </v>
      </c>
      <c r="AG136" s="182" t="str">
        <f>IF($B136="alu",(INDEX((Fr),MATCH(AC136,cfr,0))),INDEX((te),MATCH(AC136,cte,0)))</f>
        <v xml:space="preserve"> </v>
      </c>
      <c r="AH136" s="401">
        <f>IFERROR(INDEX((std_profil3_prt),MATCH($H136,Prt,0)),"")</f>
        <v>0</v>
      </c>
      <c r="AI136" s="401">
        <f>IFERROR(INDEX((std_profil2_prt),MATCH($H136,Prt,0)),"")</f>
        <v>0</v>
      </c>
      <c r="AJ136" s="401">
        <f>IFERROR(INDEX((std_profil_prt),MATCH($H136,Prt,0)),"")</f>
        <v>0</v>
      </c>
      <c r="AK136" s="401">
        <f>IFERROR(INDEX((std_siku_prt),MATCH($H136,Prt,0)),"")</f>
        <v>0</v>
      </c>
      <c r="AL136" s="401">
        <f>IFERROR(INDEX((std_screw_prt),MATCH($H136,Prt,0)),"")</f>
        <v>0</v>
      </c>
      <c r="AM136" s="189"/>
      <c r="AN136" s="829">
        <f>IFERROR(INDEX((std_rel_prt),MATCH($H136,Prt,0)),"")</f>
        <v>0</v>
      </c>
      <c r="AO136" s="830">
        <f>IFERROR(INDEX((std_engsel_prt),MATCH($H136,Prt,0)),"")</f>
        <v>0</v>
      </c>
      <c r="AP136" s="401" t="str">
        <f>IFERROR(INDEX((std_anodizev_proses),MATCH($I136,pk,0)),"")</f>
        <v/>
      </c>
      <c r="AQ136" s="401" t="str">
        <f>IFERROR(INDEX((std_anodizev2_proses),MATCH($I136,pk,0)),"")</f>
        <v/>
      </c>
      <c r="AR136" s="401" t="str">
        <f>IFERROR(INDEX((std_anodizeh_proses),MATCH($I136,pk,0)),"")</f>
        <v/>
      </c>
      <c r="AS136" s="401">
        <f>IFERROR(INDEX((std_anodize_per_ukuran),MATCH($H136,Prt,0)),"")</f>
        <v>0</v>
      </c>
      <c r="AT136" s="403" t="str">
        <f>IF($AS136=edging7,L136,IF($AS136=edging8,L136,IF($AS136=edging9,L136,IF($AS136=Hand1,J135,IF($AS136=Hand2,L135,IF($AS136=hand3,"diisi manual",IF($AS136=hand4,"diisi manual",IF($AS136=hand5,"diisi manual",IF($AS136=mled02,J136,IF($AS136=mprf1,J136,IF($AS136=mlis1,J136,"")))))))))))</f>
        <v/>
      </c>
      <c r="AU136" s="403">
        <f>IF($AS136="","",Q136*BR136)</f>
        <v>0</v>
      </c>
      <c r="AV136" s="170"/>
      <c r="AW136" s="166" t="str">
        <f>CONCATENATE(VLOOKUP($V136,tabtf,2,0),VLOOKUP($X136,tabtf,2,0))</f>
        <v>37</v>
      </c>
      <c r="AX136" s="166" t="str">
        <f>IF($B136="alu",(CONCATENATE(VLOOKUP($AD136,tabfr,2,0),VLOOKUP($AE136,tabfr,2,0),VLOOKUP($AF136,tabfr,2,0),VLOOKUP($AG136,tabfr,2,0))),(CONCATENATE(VLOOKUP($AD136,tabte,2,0),VLOOKUP($AE136,tabte,2,0),VLOOKUP($AF136,tabte,2,0),VLOOKUP($AG136,tabte,2,0))))</f>
        <v>4333</v>
      </c>
      <c r="AY136" s="189" t="str">
        <f>IFERROR(VLOOKUP(AW136,descf,2,0),"")</f>
        <v>Aica_1mk_Polos</v>
      </c>
      <c r="AZ136" s="189" t="str">
        <f>IF($B136="alu",(VLOOKUP(AX136,descfr,2,0)),(VLOOKUP(AX136,desce,2,0)))</f>
        <v>Edg_EAW_5216D1_1sisi_pjg</v>
      </c>
      <c r="BA136" s="196" t="str">
        <f>IF($R136=0,CONCATENATE(0,")"," ",$H136," ",$J136),CONCATENATE(VLOOKUP(H136,tabprt,2,0),")",$H136,"_",AY136))</f>
        <v>433)Tutup Kabinet Bawah_Aica_1mk_Polos</v>
      </c>
      <c r="BB136" s="629" t="str">
        <f>IF($B136="…",CONCATENATE(0,$E136,")"," ",$H136),IF($B136="kc",CONCATENATE(VLOOKUP(H136,tabprt,2,0),")",$H136," ",$R136," ",$S136,"mm"," ","-"," "," ",";"," ",$AZ136,"  ",$I136),IF($B136="alu",CONCATENATE(VLOOKUP(H136,tabprt,2,0),")",$H136," ",$R136," ",$S136,"mm"," ","-"," "," ",";"," ",$AZ136,"  ",$I136),CONCATENATE(VLOOKUP(H136,tabprt,2,0),")",$H136," ",$R136," ",$S136,"mm"," ","-"," ",$AY136," ",";"," ",$AZ136,"  ",$I136))))</f>
        <v xml:space="preserve">433)Tutup Kabinet Bawah Ply 27mm - Aica_1mk_Polos ; Edg_EAW_5216D1_1sisi_pjg  </v>
      </c>
      <c r="BC136" s="190"/>
      <c r="BD136" s="510">
        <f>IFERROR(INDEX((std_minifix_prt),MATCH($H136,Prt,0)),"")</f>
        <v>0</v>
      </c>
      <c r="BE136" s="510">
        <f>IFERROR(INDEX((std_dowel_prt),MATCH($H136,Prt,0)),"")</f>
        <v>0</v>
      </c>
      <c r="BF136" s="177">
        <f>IFERROR(INDEX((std_j_sikufr_prt),MATCH($H136,Prt,0)),"")*Q136</f>
        <v>0</v>
      </c>
      <c r="BG136" s="177">
        <f>IFERROR(INDEX((std_j_screwjf_prt),MATCH($H136,Prt,0)),"")*Q136</f>
        <v>0</v>
      </c>
      <c r="BH136" s="166">
        <f>IF($AM136=0,0,1)*Q136</f>
        <v>0</v>
      </c>
      <c r="BI136" s="474">
        <f>IF($AO136=0,0,IF(J136&lt;=fp,2,(ROUNDUP(J136/fp,0))))*Q136</f>
        <v>0</v>
      </c>
      <c r="BJ136" s="166">
        <f>IF($AN136=0,0,1)*Q136</f>
        <v>0</v>
      </c>
      <c r="BK136" s="474">
        <f>(($J136+tol_p)*$Q136)/1000</f>
        <v>1.8919999999999999</v>
      </c>
      <c r="BL136" s="474">
        <f>(($L136+tol_p)*$Q136)/1000</f>
        <v>0.72799999999999998</v>
      </c>
      <c r="BM136" s="474">
        <f>IF(R136=0,0,((2*((J136+tol_p)+(L136+tol_p))*Q136)/1000))</f>
        <v>5.24</v>
      </c>
      <c r="BN136" s="166">
        <f>((J136*L136)/1000000)*Q136</f>
        <v>1.274176</v>
      </c>
      <c r="BO136" s="166" t="str">
        <f>CONCATENATE(R136,"_",S136)</f>
        <v>Ply_27</v>
      </c>
      <c r="BP136" s="204" t="str">
        <f>CONCATENATE(R136," ",S136," ",AY136)</f>
        <v>Ply 27 Aica_1mk_Polos</v>
      </c>
      <c r="BQ136" s="475">
        <f>((J136*L136*Q136)/(2400*1200))+10%</f>
        <v>0.54242222222222225</v>
      </c>
      <c r="BR136" s="205">
        <f>IFERROR(INDEX((std_jml_anodize_per_uk),MATCH($H136,Prt,0)),"")</f>
        <v>0</v>
      </c>
      <c r="BS136" s="509">
        <f>IF($BD136=0,0,IF($L136&lt;150,2,((ROUNDUP($L136/fm,0)*2))))*$Q136</f>
        <v>0</v>
      </c>
      <c r="BT136" s="509">
        <f>IF($BE136=0,0,IF($L136&lt;150,2,((ROUNDUP($L136/fd,0)*2))))*$Q136</f>
        <v>0</v>
      </c>
      <c r="BU136" s="459">
        <f>BF136*$Q136</f>
        <v>0</v>
      </c>
      <c r="BV136" s="459">
        <f>BG136*$Q136</f>
        <v>0</v>
      </c>
      <c r="BW136" s="1">
        <f>+((J136*L136)*Q136)/1000000</f>
        <v>1.274176</v>
      </c>
      <c r="BX136" s="1">
        <f>+((J136*L136*N136)*Q136)/1000000000</f>
        <v>3.5039840000000003E-2</v>
      </c>
      <c r="BY136" s="546" t="str">
        <f>IFERROR(INDEX((tbl_edg),MATCH($AD136,Edg,0)),"")</f>
        <v/>
      </c>
      <c r="BZ136" s="546" t="str">
        <f>IFERROR(INDEX((tbl_edg),MATCH($AE136,Edg,0)),"")</f>
        <v/>
      </c>
      <c r="CA136" s="546" t="str">
        <f>IFERROR(INDEX((tbl_edg),MATCH($AF136,Edg,0)),"")</f>
        <v/>
      </c>
      <c r="CB136" s="546" t="str">
        <f>IFERROR(INDEX((tbl_edg),MATCH($AG136,Edg,0)),"")</f>
        <v/>
      </c>
      <c r="CC136" s="728" t="str">
        <f>IFERROR((J136-CA136-CB136),"")</f>
        <v/>
      </c>
      <c r="CD136" s="728" t="str">
        <f>IFERROR((L136-BY136-BZ136),"")</f>
        <v/>
      </c>
      <c r="CE136" s="170" t="str">
        <f>IFERROR((CONCATENATE(CC136," ","x"," ",CD136," ","x"," ",N136)),"")</f>
        <v xml:space="preserve"> x  x 27,5</v>
      </c>
      <c r="CF136" t="str">
        <f>IF(F136=1,(CONCATENATE(J136,";",L136,";",Q136,";",BP136,";",N136,";",H136,";","-1",";",AF136,";",CA136,";",AG136,";",CB136,";",AD136,";",BY136,";",AE136,";",BZ136))," ")</f>
        <v>1852;688;1;Ply 27 Aica_1mk_Polos;27,5;Tutup Kabinet Bawah;-1; ;; ;;Edg_EAW_5216D1;; ;</v>
      </c>
    </row>
    <row r="137" spans="1:84" customFormat="1">
      <c r="A137" s="701"/>
      <c r="B137" s="447"/>
      <c r="C137" s="161"/>
      <c r="D137" s="162"/>
      <c r="E137" s="1"/>
      <c r="F137" s="811"/>
      <c r="G137" s="440"/>
      <c r="H137" s="1"/>
      <c r="I137" s="55"/>
      <c r="J137" s="170"/>
      <c r="K137" s="1"/>
      <c r="L137" s="170"/>
      <c r="M137" s="1"/>
      <c r="N137" s="458"/>
      <c r="O137" s="170"/>
      <c r="P137" s="441"/>
      <c r="Q137" s="55"/>
      <c r="R137" s="177"/>
      <c r="S137" s="454"/>
      <c r="T137" s="178"/>
      <c r="U137" s="178"/>
      <c r="V137" s="179"/>
      <c r="W137" s="180"/>
      <c r="X137" s="179"/>
      <c r="Y137" s="180"/>
      <c r="Z137" s="178"/>
      <c r="AA137" s="178"/>
      <c r="AB137" s="178"/>
      <c r="AC137" s="178"/>
      <c r="AD137" s="182"/>
      <c r="AE137" s="182"/>
      <c r="AF137" s="182"/>
      <c r="AG137" s="182"/>
      <c r="AH137" s="401"/>
      <c r="AI137" s="401"/>
      <c r="AJ137" s="401"/>
      <c r="AK137" s="401"/>
      <c r="AL137" s="401"/>
      <c r="AM137" s="189"/>
      <c r="AN137" s="829"/>
      <c r="AO137" s="830"/>
      <c r="AP137" s="401"/>
      <c r="AQ137" s="401"/>
      <c r="AR137" s="401"/>
      <c r="AS137" s="401"/>
      <c r="AT137" s="403"/>
      <c r="AU137" s="403"/>
      <c r="AV137" s="170"/>
      <c r="AW137" s="166"/>
      <c r="AX137" s="166"/>
      <c r="AY137" s="189"/>
      <c r="AZ137" s="189"/>
      <c r="BA137" s="196"/>
      <c r="BB137" s="629"/>
      <c r="BC137" s="190"/>
      <c r="BD137" s="510"/>
      <c r="BE137" s="510"/>
      <c r="BF137" s="177"/>
      <c r="BG137" s="177"/>
      <c r="BH137" s="166"/>
      <c r="BI137" s="474"/>
      <c r="BJ137" s="166"/>
      <c r="BK137" s="474"/>
      <c r="BL137" s="474"/>
      <c r="BM137" s="474"/>
      <c r="BN137" s="166"/>
      <c r="BO137" s="166"/>
      <c r="BP137" s="204"/>
      <c r="BQ137" s="475"/>
      <c r="BR137" s="205"/>
      <c r="BS137" s="509"/>
      <c r="BT137" s="509"/>
      <c r="BU137" s="459"/>
      <c r="BV137" s="459"/>
      <c r="BW137" s="1"/>
      <c r="BX137" s="1"/>
      <c r="BY137" s="546"/>
      <c r="BZ137" s="546"/>
      <c r="CA137" s="546"/>
      <c r="CB137" s="546"/>
      <c r="CC137" s="728"/>
      <c r="CD137" s="728"/>
      <c r="CE137" s="170"/>
    </row>
    <row r="138" spans="1:84" customFormat="1">
      <c r="A138" s="701" t="str">
        <f>IFERROR(INDEX((ID),MATCH(H138,BARANG,0)),"…")</f>
        <v>…</v>
      </c>
      <c r="B138" s="447" t="str">
        <f>IFERROR(INDEX((cprt),MATCH($H138,Prt,0)),"…")</f>
        <v>pintu</v>
      </c>
      <c r="C138" s="161" t="s">
        <v>1472</v>
      </c>
      <c r="D138" s="162" t="str">
        <f>IFERROR(INDEX((KS),MATCH($H138,Prt,0)),"")</f>
        <v>KS</v>
      </c>
      <c r="E138" s="1" t="s">
        <v>2167</v>
      </c>
      <c r="F138" s="811">
        <f>IFERROR(INDEX((opt),MATCH($H138,Prt,0)),"")</f>
        <v>0</v>
      </c>
      <c r="G138" s="440" t="str">
        <f>IFERROR(INDEX((no_ref),MATCH($H138,ref,0)),"...")</f>
        <v>•••</v>
      </c>
      <c r="H138" s="1" t="s">
        <v>3059</v>
      </c>
      <c r="I138" s="55"/>
      <c r="J138" s="170">
        <v>2430</v>
      </c>
      <c r="K138" s="1" t="s">
        <v>2137</v>
      </c>
      <c r="L138" s="170">
        <v>50</v>
      </c>
      <c r="M138" s="1" t="s">
        <v>2137</v>
      </c>
      <c r="N138" s="458">
        <f>+(S138+W138+Y138)</f>
        <v>19.5</v>
      </c>
      <c r="O138" s="170" t="str">
        <f>CONCATENATE(J138," ",K138," ",L138," ",M138," ",N138)</f>
        <v>2430 x 50 x 19,5</v>
      </c>
      <c r="P138" s="441">
        <v>1</v>
      </c>
      <c r="Q138" s="55">
        <f>+P138</f>
        <v>1</v>
      </c>
      <c r="R138" s="177" t="str">
        <f>IFERROR(INDEX((std_bhn_prt),MATCH($H138,Prt,0)),"")</f>
        <v>Ply</v>
      </c>
      <c r="S138" s="454">
        <f>IFERROR(INDEX((std_Tbahan_prt),MATCH($H138,Prt,0)),"")</f>
        <v>18</v>
      </c>
      <c r="T138" s="178">
        <f>INDEX((std_lapisan_luar_prt),MATCH($H138,Prt,0))</f>
        <v>1</v>
      </c>
      <c r="U138" s="178">
        <f>INDEX((std_lapisan_dalam_prt),MATCH($H138,Prt,0))</f>
        <v>11</v>
      </c>
      <c r="V138" s="179" t="str">
        <f>IFERROR(INDEX((tf),MATCH(T138,ctf,0)),"")</f>
        <v>WY_5216_D(V)</v>
      </c>
      <c r="W138" s="180">
        <f>IFERROR(INDEX((tebal_lapisan),MATCH($V138,tf,0)),"")</f>
        <v>1</v>
      </c>
      <c r="X138" s="179" t="str">
        <f>IFERROR(INDEX((tf),MATCH(U138,ctf,0)),"")</f>
        <v>HB_41130</v>
      </c>
      <c r="Y138" s="180">
        <f>IFERROR(INDEX((tebal_lapisan),MATCH($X138,tf,0)),"")</f>
        <v>0.5</v>
      </c>
      <c r="Z138" s="178">
        <f>INDEX((std_edg_P1_prt),MATCH($H138,Prt,0))</f>
        <v>1</v>
      </c>
      <c r="AA138" s="178">
        <f>INDEX((std_edg_P2_prt),MATCH($H138,Prt,0))</f>
        <v>1</v>
      </c>
      <c r="AB138" s="178">
        <f>INDEX((std_edg_L1_prt),MATCH($H138,Prt,0))</f>
        <v>0</v>
      </c>
      <c r="AC138" s="178">
        <f>INDEX((std_edg_L2_prt),MATCH($H138,Prt,0))</f>
        <v>0</v>
      </c>
      <c r="AD138" s="182" t="str">
        <f>IF($B138="alu",(INDEX((Fr),MATCH(Z138,cfr,0))),INDEX((te),MATCH(Z138,cte,0)))</f>
        <v>Edg_EAW_5216D1</v>
      </c>
      <c r="AE138" s="182" t="str">
        <f>IF($B138="alu",(INDEX((Fr),MATCH(AA138,cfr,0))),INDEX((te),MATCH(AA138,cte,0)))</f>
        <v>Edg_EAW_5216D1</v>
      </c>
      <c r="AF138" s="182" t="str">
        <f>IF($B138="alu",(INDEX((Fr),MATCH(AB138,cfr,0))),INDEX((te),MATCH(AB138,cte,0)))</f>
        <v xml:space="preserve"> </v>
      </c>
      <c r="AG138" s="182" t="str">
        <f>IF($B138="alu",(INDEX((Fr),MATCH(AC138,cfr,0))),INDEX((te),MATCH(AC138,cte,0)))</f>
        <v xml:space="preserve"> </v>
      </c>
      <c r="AH138" s="401">
        <f>IFERROR(INDEX((std_profil3_prt),MATCH($H138,Prt,0)),"")</f>
        <v>0</v>
      </c>
      <c r="AI138" s="401">
        <f>IFERROR(INDEX((std_profil2_prt),MATCH($H138,Prt,0)),"")</f>
        <v>0</v>
      </c>
      <c r="AJ138" s="401">
        <f>IFERROR(INDEX((std_profil_prt),MATCH($H138,Prt,0)),"")</f>
        <v>0</v>
      </c>
      <c r="AK138" s="401">
        <f>IFERROR(INDEX((std_siku_prt),MATCH($H138,Prt,0)),"")</f>
        <v>0</v>
      </c>
      <c r="AL138" s="401">
        <f>IFERROR(INDEX((std_screw_prt),MATCH($H138,Prt,0)),"")</f>
        <v>0</v>
      </c>
      <c r="AM138" s="189"/>
      <c r="AN138" s="829">
        <f>IFERROR(INDEX((std_rel_prt),MATCH($H138,Prt,0)),"")</f>
        <v>0</v>
      </c>
      <c r="AO138" s="830">
        <f>IFERROR(INDEX((std_engsel_prt),MATCH($H138,Prt,0)),"")</f>
        <v>0</v>
      </c>
      <c r="AP138" s="401" t="str">
        <f>IFERROR(INDEX((std_anodizev_proses),MATCH($I138,pk,0)),"")</f>
        <v/>
      </c>
      <c r="AQ138" s="401" t="str">
        <f>IFERROR(INDEX((std_anodizev2_proses),MATCH($I138,pk,0)),"")</f>
        <v/>
      </c>
      <c r="AR138" s="401" t="str">
        <f>IFERROR(INDEX((std_anodizeh_proses),MATCH($I138,pk,0)),"")</f>
        <v/>
      </c>
      <c r="AS138" s="401">
        <f>IFERROR(INDEX((std_anodize_per_ukuran),MATCH($H138,Prt,0)),"")</f>
        <v>0</v>
      </c>
      <c r="AT138" s="403" t="str">
        <f>IF($AS138=edging7,L138,IF($AS138=edging8,L138,IF($AS138=edging9,L138,IF($AS138=Hand1,J137,IF($AS138=Hand2,L137,IF($AS138=hand3,"diisi manual",IF($AS138=hand4,"diisi manual",IF($AS138=hand5,"diisi manual",IF($AS138=mled02,J138,IF($AS138=mprf1,J138,IF($AS138=mlis1,J138,"")))))))))))</f>
        <v/>
      </c>
      <c r="AU138" s="403">
        <f>IF($AS138="","",Q138*BR138)</f>
        <v>0</v>
      </c>
      <c r="AV138" s="170"/>
      <c r="AW138" s="166" t="str">
        <f>CONCATENATE(VLOOKUP($V138,tabtf,2,0),VLOOKUP($X138,tabtf,2,0))</f>
        <v>12</v>
      </c>
      <c r="AX138" s="166" t="str">
        <f>IF($B138="alu",(CONCATENATE(VLOOKUP($AD138,tabfr,2,0),VLOOKUP($AE138,tabfr,2,0),VLOOKUP($AF138,tabfr,2,0),VLOOKUP($AG138,tabfr,2,0))),(CONCATENATE(VLOOKUP($AD138,tabte,2,0),VLOOKUP($AE138,tabte,2,0),VLOOKUP($AF138,tabte,2,0),VLOOKUP($AG138,tabte,2,0))))</f>
        <v>4433</v>
      </c>
      <c r="AY138" s="189" t="str">
        <f>IFERROR(VLOOKUP(AW138,descf,2,0),"")</f>
        <v>WY_5216_D(V)_+_HB_41130</v>
      </c>
      <c r="AZ138" s="189" t="str">
        <f>IF($B138="alu",(VLOOKUP(AX138,descfr,2,0)),(VLOOKUP(AX138,desce,2,0)))</f>
        <v>Edg_EAW_5216D1_2sisi_pjg</v>
      </c>
      <c r="BA138" s="196" t="str">
        <f>IF($R138=0,CONCATENATE(0,")"," ",$H138," ",$J138),CONCATENATE(VLOOKUP(H138,tabprt,2,0),")",$H138,"_",AY138))</f>
        <v>457)Palang tengah/nat handel│_WY_5216_D(V)_+_HB_41130</v>
      </c>
      <c r="BB138" s="629" t="str">
        <f>IF($B138="…",CONCATENATE(0,$E138,")"," ",$H138),IF($B138="kc",CONCATENATE(VLOOKUP(H138,tabprt,2,0),")",$H138," ",$R138," ",$S138,"mm"," ","-"," "," ",";"," ",$AZ138,"  ",$I138),IF($B138="alu",CONCATENATE(VLOOKUP(H138,tabprt,2,0),")",$H138," ",$R138," ",$S138,"mm"," ","-"," "," ",";"," ",$AZ138,"  ",$I138),CONCATENATE(VLOOKUP(H138,tabprt,2,0),")",$H138," ",$R138," ",$S138,"mm"," ","-"," ",$AY138," ",";"," ",$AZ138,"  ",$I138))))</f>
        <v xml:space="preserve">457)Palang tengah/nat handel│ Ply 18mm - WY_5216_D(V)_+_HB_41130 ; Edg_EAW_5216D1_2sisi_pjg  </v>
      </c>
      <c r="BC138" s="190"/>
      <c r="BD138" s="510">
        <f>IFERROR(INDEX((std_minifix_prt),MATCH($H138,Prt,0)),"")</f>
        <v>0</v>
      </c>
      <c r="BE138" s="510">
        <f>IFERROR(INDEX((std_dowel_prt),MATCH($H138,Prt,0)),"")</f>
        <v>0</v>
      </c>
      <c r="BF138" s="177">
        <f>IFERROR(INDEX((std_j_sikufr_prt),MATCH($H138,Prt,0)),"")*Q138</f>
        <v>0</v>
      </c>
      <c r="BG138" s="177">
        <f>IFERROR(INDEX((std_j_screwjf_prt),MATCH($H138,Prt,0)),"")*Q138</f>
        <v>0</v>
      </c>
      <c r="BH138" s="166">
        <f>IF($AM138=0,0,1)*Q138</f>
        <v>0</v>
      </c>
      <c r="BI138" s="474">
        <f>IF($AO138=0,0,IF(J138&lt;=fp,2,(ROUNDUP(J138/fp,0))))*Q138</f>
        <v>0</v>
      </c>
      <c r="BJ138" s="166">
        <f>IF($AN138=0,0,1)*Q138</f>
        <v>0</v>
      </c>
      <c r="BK138" s="474">
        <f>(($J138+tol_p)*$Q138)/1000</f>
        <v>2.4700000000000002</v>
      </c>
      <c r="BL138" s="474">
        <f>(($L138+tol_p)*$Q138)/1000</f>
        <v>0.09</v>
      </c>
      <c r="BM138" s="474">
        <f>IF(R138=0,0,((2*((J138+tol_p)+(L138+tol_p))*Q138)/1000))</f>
        <v>5.12</v>
      </c>
      <c r="BN138" s="166">
        <f>((J138*L138)/1000000)*Q138</f>
        <v>0.1215</v>
      </c>
      <c r="BO138" s="166" t="str">
        <f>CONCATENATE(R138,"_",S138)</f>
        <v>Ply_18</v>
      </c>
      <c r="BP138" s="204" t="str">
        <f>CONCATENATE(R138," ",S138," ",AY138)</f>
        <v>Ply 18 WY_5216_D(V)_+_HB_41130</v>
      </c>
      <c r="BQ138" s="475">
        <f>((J138*L138*Q138)/(2400*1200))+10%</f>
        <v>0.14218750000000002</v>
      </c>
      <c r="BR138" s="205">
        <f>IFERROR(INDEX((std_jml_anodize_per_uk),MATCH($H138,Prt,0)),"")</f>
        <v>0</v>
      </c>
      <c r="BS138" s="509">
        <f>IF($BD138=0,0,IF($L138&lt;150,2,((ROUNDUP($L138/fm,0)*2))))*$Q138</f>
        <v>0</v>
      </c>
      <c r="BT138" s="509">
        <f>IF($BE138=0,0,IF($L138&lt;150,2,((ROUNDUP($L138/fd,0)*2))))*$Q138</f>
        <v>0</v>
      </c>
      <c r="BU138" s="459">
        <f>BF138*$Q138</f>
        <v>0</v>
      </c>
      <c r="BV138" s="459">
        <f>BG138*$Q138</f>
        <v>0</v>
      </c>
      <c r="BW138" s="1">
        <f>+((J138*L138)*Q138)/1000000</f>
        <v>0.1215</v>
      </c>
      <c r="BX138" s="1">
        <f>+((J138*L138*N138)*Q138)/1000000000</f>
        <v>2.3692499999999998E-3</v>
      </c>
      <c r="BY138" s="546" t="str">
        <f>IFERROR(INDEX((tbl_edg),MATCH($AD138,Edg,0)),"")</f>
        <v/>
      </c>
      <c r="BZ138" s="546" t="str">
        <f>IFERROR(INDEX((tbl_edg),MATCH($AE138,Edg,0)),"")</f>
        <v/>
      </c>
      <c r="CA138" s="546" t="str">
        <f>IFERROR(INDEX((tbl_edg),MATCH($AF138,Edg,0)),"")</f>
        <v/>
      </c>
      <c r="CB138" s="546" t="str">
        <f>IFERROR(INDEX((tbl_edg),MATCH($AG138,Edg,0)),"")</f>
        <v/>
      </c>
      <c r="CC138" s="728" t="str">
        <f>IFERROR((J138-CA138-CB138),"")</f>
        <v/>
      </c>
      <c r="CD138" s="728" t="str">
        <f>IFERROR((L138-BY138-BZ138),"")</f>
        <v/>
      </c>
      <c r="CE138" s="170" t="str">
        <f>IFERROR((CONCATENATE(CC138," ","x"," ",CD138," ","x"," ",N138)),"")</f>
        <v xml:space="preserve"> x  x 19,5</v>
      </c>
      <c r="CF138" t="str">
        <f>IF(F138=1,(CONCATENATE(J138,";",L138,";",Q138,";",BP138,";",N138,";",H138,";","-1",";",AF138,";",CA138,";",AG138,";",CB138,";",AD138,";",BY138,";",AE138,";",BZ138))," ")</f>
        <v xml:space="preserve"> </v>
      </c>
    </row>
    <row r="139" spans="1:84" customFormat="1">
      <c r="A139" s="701"/>
      <c r="B139" s="447"/>
      <c r="C139" s="161"/>
      <c r="D139" s="162"/>
      <c r="E139" s="1"/>
      <c r="F139" s="811"/>
      <c r="G139" s="440"/>
      <c r="H139" s="1"/>
      <c r="I139" s="55"/>
      <c r="J139" s="170"/>
      <c r="K139" s="1"/>
      <c r="L139" s="170"/>
      <c r="M139" s="1"/>
      <c r="N139" s="458"/>
      <c r="O139" s="170"/>
      <c r="P139" s="441"/>
      <c r="Q139" s="55"/>
      <c r="R139" s="177"/>
      <c r="S139" s="454"/>
      <c r="T139" s="178"/>
      <c r="U139" s="178"/>
      <c r="V139" s="179"/>
      <c r="W139" s="180"/>
      <c r="X139" s="179"/>
      <c r="Y139" s="180"/>
      <c r="Z139" s="178"/>
      <c r="AA139" s="178"/>
      <c r="AB139" s="178"/>
      <c r="AC139" s="178"/>
      <c r="AD139" s="182"/>
      <c r="AE139" s="182"/>
      <c r="AF139" s="182"/>
      <c r="AG139" s="182"/>
      <c r="AH139" s="401"/>
      <c r="AI139" s="401"/>
      <c r="AJ139" s="401"/>
      <c r="AK139" s="401"/>
      <c r="AL139" s="401"/>
      <c r="AM139" s="189"/>
      <c r="AN139" s="829"/>
      <c r="AO139" s="830"/>
      <c r="AP139" s="401"/>
      <c r="AQ139" s="401"/>
      <c r="AR139" s="401"/>
      <c r="AS139" s="401"/>
      <c r="AT139" s="403"/>
      <c r="AU139" s="403"/>
      <c r="AV139" s="170"/>
      <c r="AW139" s="166"/>
      <c r="AX139" s="166"/>
      <c r="AY139" s="189"/>
      <c r="AZ139" s="189"/>
      <c r="BA139" s="196"/>
      <c r="BB139" s="629"/>
      <c r="BC139" s="190"/>
      <c r="BD139" s="510"/>
      <c r="BE139" s="510"/>
      <c r="BF139" s="177"/>
      <c r="BG139" s="177"/>
      <c r="BH139" s="166"/>
      <c r="BI139" s="474"/>
      <c r="BJ139" s="166"/>
      <c r="BK139" s="474"/>
      <c r="BL139" s="474"/>
      <c r="BM139" s="474"/>
      <c r="BN139" s="166"/>
      <c r="BO139" s="166"/>
      <c r="BP139" s="204"/>
      <c r="BQ139" s="475"/>
      <c r="BR139" s="205"/>
      <c r="BS139" s="509"/>
      <c r="BT139" s="509"/>
      <c r="BU139" s="459"/>
      <c r="BV139" s="459"/>
      <c r="BW139" s="1"/>
      <c r="BX139" s="1"/>
      <c r="BY139" s="546"/>
      <c r="BZ139" s="546"/>
      <c r="CA139" s="546"/>
      <c r="CB139" s="546"/>
      <c r="CC139" s="728"/>
      <c r="CD139" s="728"/>
      <c r="CE139" s="170"/>
    </row>
    <row r="140" spans="1:84" customFormat="1">
      <c r="A140" s="701" t="str">
        <f>IFERROR(INDEX((ID),MATCH(H140,BARANG,0)),"…")</f>
        <v>…</v>
      </c>
      <c r="B140" s="447" t="str">
        <f>IFERROR(INDEX((cprt),MATCH($H140,Prt,0)),"…")</f>
        <v>pintu</v>
      </c>
      <c r="C140" s="161" t="s">
        <v>1472</v>
      </c>
      <c r="D140" s="162" t="str">
        <f>IFERROR(INDEX((KS),MATCH($H140,Prt,0)),"")</f>
        <v>─</v>
      </c>
      <c r="E140" s="1" t="s">
        <v>2167</v>
      </c>
      <c r="F140" s="811">
        <f>IFERROR(INDEX((opt),MATCH($H140,Prt,0)),"")</f>
        <v>0</v>
      </c>
      <c r="G140" s="440" t="str">
        <f>IFERROR(INDEX((no_ref),MATCH($H140,ref,0)),"...")</f>
        <v>••</v>
      </c>
      <c r="H140" s="1" t="s">
        <v>3074</v>
      </c>
      <c r="I140" s="55" t="s">
        <v>2385</v>
      </c>
      <c r="J140" s="170">
        <f>620+904+896+20</f>
        <v>2440</v>
      </c>
      <c r="K140" s="1" t="s">
        <v>2137</v>
      </c>
      <c r="L140" s="170">
        <v>400</v>
      </c>
      <c r="M140" s="1" t="s">
        <v>2137</v>
      </c>
      <c r="N140" s="458">
        <f>+(S140+W140+Y140)</f>
        <v>19</v>
      </c>
      <c r="O140" s="170" t="str">
        <f>CONCATENATE(J140," ",K140," ",L140," ",M140," ",N140)</f>
        <v>2440 x 400 x 19</v>
      </c>
      <c r="P140" s="441">
        <v>1</v>
      </c>
      <c r="Q140" s="55">
        <f>+P140</f>
        <v>1</v>
      </c>
      <c r="R140" s="177" t="str">
        <f>IFERROR(INDEX((std_bhn_prt),MATCH($H140,Prt,0)),"")</f>
        <v>Ply</v>
      </c>
      <c r="S140" s="454">
        <f>IFERROR(INDEX((std_Tbahan_prt),MATCH($H140,Prt,0)),"")</f>
        <v>18</v>
      </c>
      <c r="T140" s="178">
        <f>INDEX((std_lapisan_luar_prt),MATCH($H140,Prt,0))</f>
        <v>3</v>
      </c>
      <c r="U140" s="178">
        <f>INDEX((std_lapisan_dalam_prt),MATCH($H140,Prt,0))</f>
        <v>0</v>
      </c>
      <c r="V140" s="179" t="str">
        <f>IFERROR(INDEX((tf),MATCH(T140,ctf,0)),"")</f>
        <v>L-FA_0206_AP</v>
      </c>
      <c r="W140" s="180">
        <f>IFERROR(INDEX((tebal_lapisan),MATCH($V140,tf,0)),"")</f>
        <v>1</v>
      </c>
      <c r="X140" s="179" t="str">
        <f>IFERROR(INDEX((tf),MATCH(U140,ctf,0)),"")</f>
        <v>Polos</v>
      </c>
      <c r="Y140" s="180">
        <f>IFERROR(INDEX((tebal_lapisan),MATCH($X140,tf,0)),"")</f>
        <v>0</v>
      </c>
      <c r="Z140" s="178">
        <v>3</v>
      </c>
      <c r="AA140" s="178">
        <f>INDEX((std_edg_P2_prt),MATCH($H140,Prt,0))</f>
        <v>0</v>
      </c>
      <c r="AB140" s="178">
        <f>INDEX((std_edg_L1_prt),MATCH($H140,Prt,0))</f>
        <v>0</v>
      </c>
      <c r="AC140" s="178">
        <f>INDEX((std_edg_L2_prt),MATCH($H140,Prt,0))</f>
        <v>0</v>
      </c>
      <c r="AD140" s="182" t="str">
        <f>IF($B140="alu",(INDEX((Fr),MATCH(Z140,cfr,0))),INDEX((te),MATCH(Z140,cte,0)))</f>
        <v>Edg_DSS_00206_SM</v>
      </c>
      <c r="AE140" s="182" t="str">
        <f>IF($B140="alu",(INDEX((Fr),MATCH(AA140,cfr,0))),INDEX((te),MATCH(AA140,cte,0)))</f>
        <v xml:space="preserve"> </v>
      </c>
      <c r="AF140" s="182" t="str">
        <f>IF($B140="alu",(INDEX((Fr),MATCH(AB140,cfr,0))),INDEX((te),MATCH(AB140,cte,0)))</f>
        <v xml:space="preserve"> </v>
      </c>
      <c r="AG140" s="182" t="str">
        <f>IF($B140="alu",(INDEX((Fr),MATCH(AC140,cfr,0))),INDEX((te),MATCH(AC140,cte,0)))</f>
        <v xml:space="preserve"> </v>
      </c>
      <c r="AH140" s="401">
        <f>IFERROR(INDEX((std_profil3_prt),MATCH($H140,Prt,0)),"")</f>
        <v>0</v>
      </c>
      <c r="AI140" s="401">
        <f>IFERROR(INDEX((std_profil2_prt),MATCH($H140,Prt,0)),"")</f>
        <v>0</v>
      </c>
      <c r="AJ140" s="401">
        <f>IFERROR(INDEX((std_profil_prt),MATCH($H140,Prt,0)),"")</f>
        <v>0</v>
      </c>
      <c r="AK140" s="401">
        <f>IFERROR(INDEX((std_siku_prt),MATCH($H140,Prt,0)),"")</f>
        <v>0</v>
      </c>
      <c r="AL140" s="401">
        <f>IFERROR(INDEX((std_screw_prt),MATCH($H140,Prt,0)),"")</f>
        <v>0</v>
      </c>
      <c r="AM140" s="189"/>
      <c r="AN140" s="829">
        <f>IFERROR(INDEX((std_rel_prt),MATCH($H140,Prt,0)),"")</f>
        <v>0</v>
      </c>
      <c r="AO140" s="830">
        <f>IFERROR(INDEX((std_engsel_prt),MATCH($H140,Prt,0)),"")</f>
        <v>0</v>
      </c>
      <c r="AP140" s="401" t="str">
        <f>IFERROR(INDEX((std_anodizev_proses),MATCH($I140,pk,0)),"")</f>
        <v>M-LED-02 Brown Doff ( Alm. 75111 ) P3</v>
      </c>
      <c r="AQ140" s="401">
        <f>IFERROR(INDEX((std_anodizev2_proses),MATCH($I140,pk,0)),"")</f>
        <v>0</v>
      </c>
      <c r="AR140" s="401">
        <f>IFERROR(INDEX((std_anodizeh_proses),MATCH($I140,pk,0)),"")</f>
        <v>0</v>
      </c>
      <c r="AS140" s="401">
        <f>IFERROR(INDEX((std_anodize_per_ukuran),MATCH($H140,Prt,0)),"")</f>
        <v>0</v>
      </c>
      <c r="AT140" s="403" t="str">
        <f>IF($AS140=edging7,L140,IF($AS140=edging8,L140,IF($AS140=edging9,L140,IF($AS140=Hand1,J139,IF($AS140=Hand2,L139,IF($AS140=hand3,"diisi manual",IF($AS140=hand4,"diisi manual",IF($AS140=hand5,"diisi manual",IF($AS140=mled02,J140,IF($AS140=mprf1,J140,IF($AS140=mlis1,J140,"")))))))))))</f>
        <v/>
      </c>
      <c r="AU140" s="403">
        <f>IF($AS140="","",Q140*BR140)</f>
        <v>0</v>
      </c>
      <c r="AV140" s="170"/>
      <c r="AW140" s="166" t="str">
        <f>CONCATENATE(VLOOKUP($V140,tabtf,2,0),VLOOKUP($X140,tabtf,2,0))</f>
        <v>63</v>
      </c>
      <c r="AX140" s="166" t="str">
        <f>IF($B140="alu",(CONCATENATE(VLOOKUP($AD140,tabfr,2,0),VLOOKUP($AE140,tabfr,2,0),VLOOKUP($AF140,tabfr,2,0),VLOOKUP($AG140,tabfr,2,0))),(CONCATENATE(VLOOKUP($AD140,tabte,2,0),VLOOKUP($AE140,tabte,2,0),VLOOKUP($AF140,tabte,2,0),VLOOKUP($AG140,tabte,2,0))))</f>
        <v>10333</v>
      </c>
      <c r="AY140" s="189" t="str">
        <f>IFERROR(VLOOKUP(AW140,descf,2,0),"")</f>
        <v>L-FA_0206_AP_1mk_Polos</v>
      </c>
      <c r="AZ140" s="189" t="str">
        <f>IF($B140="alu",(VLOOKUP(AX140,descfr,2,0)),(VLOOKUP(AX140,desce,2,0)))</f>
        <v>Edg_DSS_00206_SM_1sisi_pjg</v>
      </c>
      <c r="BA140" s="196" t="str">
        <f>IF($R140=0,CONCATENATE(0,")"," ",$H140," ",$J140),CONCATENATE(VLOOKUP(H140,tabprt,2,0),")",$H140,"_",AY140))</f>
        <v>367)Cover Panel / Pelmet•_L-FA_0206_AP_1mk_Polos</v>
      </c>
      <c r="BB140" s="629" t="str">
        <f>IF($B140="…",CONCATENATE(0,$E140,")"," ",$H140),IF($B140="kc",CONCATENATE(VLOOKUP(H140,tabprt,2,0),")",$H140," ",$R140," ",$S140,"mm"," ","-"," "," ",";"," ",$AZ140,"  ",$I140),IF($B140="alu",CONCATENATE(VLOOKUP(H140,tabprt,2,0),")",$H140," ",$R140," ",$S140,"mm"," ","-"," "," ",";"," ",$AZ140,"  ",$I140),CONCATENATE(VLOOKUP(H140,tabprt,2,0),")",$H140," ",$R140," ",$S140,"mm"," ","-"," ",$AY140," ",";"," ",$AZ140,"  ",$I140))))</f>
        <v>367)Cover Panel / Pelmet• Ply 18mm - L-FA_0206_AP_1mk_Polos ; Edg_DSS_00206_SM_1sisi_pjg  (alur_M_led_Blk)</v>
      </c>
      <c r="BC140" s="190"/>
      <c r="BD140" s="510">
        <f>IFERROR(INDEX((std_minifix_prt),MATCH($H140,Prt,0)),"")</f>
        <v>0</v>
      </c>
      <c r="BE140" s="510">
        <f>IFERROR(INDEX((std_dowel_prt),MATCH($H140,Prt,0)),"")</f>
        <v>0</v>
      </c>
      <c r="BF140" s="177">
        <f>IFERROR(INDEX((std_j_sikufr_prt),MATCH($H140,Prt,0)),"")*Q140</f>
        <v>0</v>
      </c>
      <c r="BG140" s="177">
        <f>IFERROR(INDEX((std_j_screwjf_prt),MATCH($H140,Prt,0)),"")*Q140</f>
        <v>0</v>
      </c>
      <c r="BH140" s="166">
        <f>IF($AM140=0,0,1)*Q140</f>
        <v>0</v>
      </c>
      <c r="BI140" s="474">
        <f>IF($AO140=0,0,IF(J140&lt;=fp,2,(ROUNDUP(J140/fp,0))))*Q140</f>
        <v>0</v>
      </c>
      <c r="BJ140" s="166">
        <f>IF($AN140=0,0,1)*Q140</f>
        <v>0</v>
      </c>
      <c r="BK140" s="474">
        <f>(($J140+tol_p)*$Q140)/1000</f>
        <v>2.48</v>
      </c>
      <c r="BL140" s="474">
        <f>(($L140+tol_p)*$Q140)/1000</f>
        <v>0.44</v>
      </c>
      <c r="BM140" s="474">
        <f>IF(R140=0,0,((2*((J140+tol_p)+(L140+tol_p))*Q140)/1000))</f>
        <v>5.84</v>
      </c>
      <c r="BN140" s="166">
        <f>((J140*L140)/1000000)*Q140</f>
        <v>0.97599999999999998</v>
      </c>
      <c r="BO140" s="166" t="str">
        <f>CONCATENATE(R140,"_",S140)</f>
        <v>Ply_18</v>
      </c>
      <c r="BP140" s="204" t="str">
        <f>CONCATENATE(R140," ",S140," ",AY140)</f>
        <v>Ply 18 L-FA_0206_AP_1mk_Polos</v>
      </c>
      <c r="BQ140" s="475">
        <f>((J140*L140*Q140)/(2400*1200))+10%</f>
        <v>0.43888888888888888</v>
      </c>
      <c r="BR140" s="205">
        <f>IFERROR(INDEX((std_jml_anodize_per_uk),MATCH($H140,Prt,0)),"")</f>
        <v>0</v>
      </c>
      <c r="BS140" s="509">
        <f>IF($BD140=0,0,IF($L140&lt;150,2,((ROUNDUP($L140/fm,0)*2))))*$Q140</f>
        <v>0</v>
      </c>
      <c r="BT140" s="509">
        <f>IF($BE140=0,0,IF($L140&lt;150,2,((ROUNDUP($L140/fd,0)*2))))*$Q140</f>
        <v>0</v>
      </c>
      <c r="BU140" s="459">
        <f>BF140*$Q140</f>
        <v>0</v>
      </c>
      <c r="BV140" s="459">
        <f>BG140*$Q140</f>
        <v>0</v>
      </c>
      <c r="BW140" s="1">
        <f>+((J140*L140)*Q140)/1000000</f>
        <v>0.97599999999999998</v>
      </c>
      <c r="BX140" s="1">
        <f>+((J140*L140*N140)*Q140)/1000000000</f>
        <v>1.8544000000000001E-2</v>
      </c>
      <c r="BY140" s="546">
        <f>IFERROR(INDEX((tbl_edg),MATCH($AD140,Edg,0)),"")</f>
        <v>1</v>
      </c>
      <c r="BZ140" s="546" t="str">
        <f>IFERROR(INDEX((tbl_edg),MATCH($AE140,Edg,0)),"")</f>
        <v/>
      </c>
      <c r="CA140" s="546" t="str">
        <f>IFERROR(INDEX((tbl_edg),MATCH($AF140,Edg,0)),"")</f>
        <v/>
      </c>
      <c r="CB140" s="546" t="str">
        <f>IFERROR(INDEX((tbl_edg),MATCH($AG140,Edg,0)),"")</f>
        <v/>
      </c>
      <c r="CC140" s="728" t="str">
        <f>IFERROR((J140-CA140-CB140),"")</f>
        <v/>
      </c>
      <c r="CD140" s="728" t="str">
        <f>IFERROR((L140-BY140-BZ140),"")</f>
        <v/>
      </c>
      <c r="CE140" s="170" t="str">
        <f>IFERROR((CONCATENATE(CC140," ","x"," ",CD140," ","x"," ",N140)),"")</f>
        <v xml:space="preserve"> x  x 19</v>
      </c>
      <c r="CF140" t="str">
        <f>IF(F140=1,(CONCATENATE(J140,";",L140,";",Q140,";",BP140,";",N140,";",H140,";","-1",";",AF140,";",CA140,";",AG140,";",CB140,";",AD140,";",BY140,";",AE140,";",BZ140))," ")</f>
        <v xml:space="preserve"> </v>
      </c>
    </row>
    <row r="141" spans="1:84">
      <c r="A141" s="701"/>
      <c r="B141" s="447"/>
      <c r="C141" s="161"/>
      <c r="D141" s="162"/>
      <c r="E141" s="1"/>
      <c r="F141" s="811"/>
      <c r="G141" s="440"/>
      <c r="H141" s="1"/>
      <c r="I141" s="55"/>
      <c r="J141" s="170"/>
      <c r="K141" s="1"/>
      <c r="L141" s="170"/>
      <c r="M141" s="1"/>
      <c r="N141" s="458"/>
      <c r="O141" s="170"/>
      <c r="P141" s="441"/>
      <c r="Q141" s="55"/>
      <c r="R141" s="177"/>
      <c r="S141" s="454"/>
      <c r="T141" s="178"/>
      <c r="U141" s="178"/>
      <c r="V141" s="179"/>
      <c r="W141" s="180"/>
      <c r="X141" s="179"/>
      <c r="Y141" s="180"/>
      <c r="Z141" s="178"/>
      <c r="AA141" s="178"/>
      <c r="AB141" s="178"/>
      <c r="AC141" s="178"/>
      <c r="AD141" s="182"/>
      <c r="AE141" s="182"/>
      <c r="AF141" s="182"/>
      <c r="AG141" s="182"/>
      <c r="AH141" s="401"/>
      <c r="AI141" s="401"/>
      <c r="AJ141" s="401"/>
      <c r="AK141" s="401"/>
      <c r="AL141" s="401"/>
      <c r="AM141" s="189"/>
      <c r="AN141" s="829"/>
      <c r="AO141" s="830"/>
      <c r="AP141" s="401"/>
      <c r="AQ141" s="401"/>
      <c r="AR141" s="401"/>
      <c r="AS141" s="401"/>
      <c r="AT141" s="403"/>
      <c r="AU141" s="403"/>
      <c r="AV141" s="170"/>
      <c r="AW141" s="166"/>
      <c r="AX141" s="166"/>
      <c r="AY141" s="189"/>
      <c r="AZ141" s="189"/>
      <c r="BA141" s="196"/>
      <c r="BB141" s="629"/>
      <c r="BC141" s="190"/>
      <c r="BD141" s="510"/>
      <c r="BE141" s="510"/>
      <c r="BF141" s="177"/>
      <c r="BG141" s="177"/>
      <c r="BH141" s="166"/>
      <c r="BI141" s="474"/>
      <c r="BJ141" s="166"/>
      <c r="BK141" s="474"/>
      <c r="BL141" s="474"/>
      <c r="BM141" s="474"/>
      <c r="BN141" s="166"/>
      <c r="BO141" s="166"/>
      <c r="BP141" s="204"/>
      <c r="BQ141" s="475"/>
      <c r="BR141" s="205"/>
      <c r="BS141" s="509"/>
      <c r="BT141" s="509"/>
      <c r="BU141" s="459"/>
      <c r="BV141" s="459"/>
      <c r="BW141" s="1"/>
      <c r="BX141" s="1"/>
      <c r="BY141" s="1"/>
      <c r="BZ141" s="1"/>
      <c r="CE141" s="170"/>
      <c r="CF141"/>
    </row>
    <row r="142" spans="1:84" customFormat="1">
      <c r="A142" s="701" t="str">
        <f>IFERROR(INDEX((ID),MATCH(H142,BARANG,0)),"…")</f>
        <v>…</v>
      </c>
      <c r="B142" s="447" t="str">
        <f>IFERROR(INDEX((cprt),MATCH($H142,Prt,0)),"…")</f>
        <v>pintu</v>
      </c>
      <c r="C142" s="161" t="s">
        <v>1472</v>
      </c>
      <c r="D142" s="162" t="str">
        <f>IFERROR(INDEX((KS),MATCH($H142,Prt,0)),"")</f>
        <v>─</v>
      </c>
      <c r="E142" s="1" t="s">
        <v>2167</v>
      </c>
      <c r="F142" s="811">
        <f>IFERROR(INDEX((opt),MATCH($H142,Prt,0)),"")</f>
        <v>0</v>
      </c>
      <c r="G142" s="440" t="str">
        <f>IFERROR(INDEX((no_ref),MATCH($H142,ref,0)),"...")</f>
        <v>••</v>
      </c>
      <c r="H142" s="1" t="s">
        <v>1606</v>
      </c>
      <c r="I142" s="55"/>
      <c r="J142" s="170">
        <f>1204+616+600+20</f>
        <v>2440</v>
      </c>
      <c r="K142" s="1" t="s">
        <v>2137</v>
      </c>
      <c r="L142" s="170">
        <f>680-20-350</f>
        <v>310</v>
      </c>
      <c r="M142" s="1" t="s">
        <v>2137</v>
      </c>
      <c r="N142" s="458">
        <f>+(S142+W142+Y142)</f>
        <v>19</v>
      </c>
      <c r="O142" s="170" t="str">
        <f>CONCATENATE(J142," ",K142," ",L142," ",M142," ",N142)</f>
        <v>2440 x 310 x 19</v>
      </c>
      <c r="P142" s="441">
        <v>1</v>
      </c>
      <c r="Q142" s="55">
        <f>+P142</f>
        <v>1</v>
      </c>
      <c r="R142" s="177" t="str">
        <f>IFERROR(INDEX((std_bhn_prt),MATCH($H142,Prt,0)),"")</f>
        <v>Ply</v>
      </c>
      <c r="S142" s="454">
        <f>IFERROR(INDEX((std_Tbahan_prt),MATCH($H142,Prt,0)),"")</f>
        <v>18</v>
      </c>
      <c r="T142" s="178">
        <f>INDEX((std_lapisan_luar_prt),MATCH($H142,Prt,0))</f>
        <v>1</v>
      </c>
      <c r="U142" s="178">
        <f>INDEX((std_lapisan_dalam_prt),MATCH($H142,Prt,0))</f>
        <v>0</v>
      </c>
      <c r="V142" s="179" t="str">
        <f>IFERROR(INDEX((tf),MATCH(T142,ctf,0)),"")</f>
        <v>WY_5216_D(V)</v>
      </c>
      <c r="W142" s="180">
        <f>IFERROR(INDEX((tebal_lapisan),MATCH($V142,tf,0)),"")</f>
        <v>1</v>
      </c>
      <c r="X142" s="179" t="str">
        <f>IFERROR(INDEX((tf),MATCH(U142,ctf,0)),"")</f>
        <v>Polos</v>
      </c>
      <c r="Y142" s="180">
        <f>IFERROR(INDEX((tebal_lapisan),MATCH($X142,tf,0)),"")</f>
        <v>0</v>
      </c>
      <c r="Z142" s="178">
        <v>1</v>
      </c>
      <c r="AA142" s="178">
        <f>INDEX((std_edg_P2_prt),MATCH($H142,Prt,0))</f>
        <v>0</v>
      </c>
      <c r="AB142" s="178">
        <f>INDEX((std_edg_L1_prt),MATCH($H142,Prt,0))</f>
        <v>0</v>
      </c>
      <c r="AC142" s="178">
        <f>INDEX((std_edg_L2_prt),MATCH($H142,Prt,0))</f>
        <v>0</v>
      </c>
      <c r="AD142" s="182" t="str">
        <f>IF($B142="alu",(INDEX((Fr),MATCH(Z142,cfr,0))),INDEX((te),MATCH(Z142,cte,0)))</f>
        <v>Edg_EAW_5216D1</v>
      </c>
      <c r="AE142" s="182" t="str">
        <f>IF($B142="alu",(INDEX((Fr),MATCH(AA142,cfr,0))),INDEX((te),MATCH(AA142,cte,0)))</f>
        <v xml:space="preserve"> </v>
      </c>
      <c r="AF142" s="182" t="str">
        <f>IF($B142="alu",(INDEX((Fr),MATCH(AB142,cfr,0))),INDEX((te),MATCH(AB142,cte,0)))</f>
        <v xml:space="preserve"> </v>
      </c>
      <c r="AG142" s="182" t="str">
        <f>IF($B142="alu",(INDEX((Fr),MATCH(AC142,cfr,0))),INDEX((te),MATCH(AC142,cte,0)))</f>
        <v xml:space="preserve"> </v>
      </c>
      <c r="AH142" s="401">
        <f>IFERROR(INDEX((std_profil3_prt),MATCH($H142,Prt,0)),"")</f>
        <v>0</v>
      </c>
      <c r="AI142" s="401">
        <f>IFERROR(INDEX((std_profil2_prt),MATCH($H142,Prt,0)),"")</f>
        <v>0</v>
      </c>
      <c r="AJ142" s="401">
        <f>IFERROR(INDEX((std_profil_prt),MATCH($H142,Prt,0)),"")</f>
        <v>0</v>
      </c>
      <c r="AK142" s="401">
        <f>IFERROR(INDEX((std_siku_prt),MATCH($H142,Prt,0)),"")</f>
        <v>0</v>
      </c>
      <c r="AL142" s="401">
        <f>IFERROR(INDEX((std_screw_prt),MATCH($H142,Prt,0)),"")</f>
        <v>0</v>
      </c>
      <c r="AM142" s="189"/>
      <c r="AN142" s="829">
        <f>IFERROR(INDEX((std_rel_prt),MATCH($H142,Prt,0)),"")</f>
        <v>0</v>
      </c>
      <c r="AO142" s="830">
        <f>IFERROR(INDEX((std_engsel_prt),MATCH($H142,Prt,0)),"")</f>
        <v>0</v>
      </c>
      <c r="AP142" s="401" t="str">
        <f>IFERROR(INDEX((std_anodizev_proses),MATCH($I142,pk,0)),"")</f>
        <v/>
      </c>
      <c r="AQ142" s="401" t="str">
        <f>IFERROR(INDEX((std_anodizev2_proses),MATCH($I142,pk,0)),"")</f>
        <v/>
      </c>
      <c r="AR142" s="401" t="str">
        <f>IFERROR(INDEX((std_anodizeh_proses),MATCH($I142,pk,0)),"")</f>
        <v/>
      </c>
      <c r="AS142" s="401">
        <f>IFERROR(INDEX((std_anodize_per_ukuran),MATCH($H142,Prt,0)),"")</f>
        <v>0</v>
      </c>
      <c r="AT142" s="403" t="str">
        <f>IF($AS142=edging7,L142,IF($AS142=edging8,L142,IF($AS142=edging9,L142,IF($AS142=Hand1,J141,IF($AS142=Hand2,L141,IF($AS142=hand3,"diisi manual",IF($AS142=hand4,"diisi manual",IF($AS142=hand5,"diisi manual",IF($AS142=mled02,J142,IF($AS142=mprf1,J142,IF($AS142=mlis1,J142,"")))))))))))</f>
        <v/>
      </c>
      <c r="AU142" s="403">
        <f>IF($AS142="","",Q142*BR142)</f>
        <v>0</v>
      </c>
      <c r="AV142" s="170"/>
      <c r="AW142" s="166" t="str">
        <f>CONCATENATE(VLOOKUP($V142,tabtf,2,0),VLOOKUP($X142,tabtf,2,0))</f>
        <v>13</v>
      </c>
      <c r="AX142" s="166" t="str">
        <f>IF($B142="alu",(CONCATENATE(VLOOKUP($AD142,tabfr,2,0),VLOOKUP($AE142,tabfr,2,0),VLOOKUP($AF142,tabfr,2,0),VLOOKUP($AG142,tabfr,2,0))),(CONCATENATE(VLOOKUP($AD142,tabte,2,0),VLOOKUP($AE142,tabte,2,0),VLOOKUP($AF142,tabte,2,0),VLOOKUP($AG142,tabte,2,0))))</f>
        <v>4333</v>
      </c>
      <c r="AY142" s="189" t="str">
        <f>IFERROR(VLOOKUP(AW142,descf,2,0),"")</f>
        <v>WY_5216_D(V)_1mk_Polos</v>
      </c>
      <c r="AZ142" s="189" t="str">
        <f>IF($B142="alu",(VLOOKUP(AX142,descfr,2,0)),(VLOOKUP(AX142,desce,2,0)))</f>
        <v>Edg_EAW_5216D1_1sisi_pjg</v>
      </c>
      <c r="BA142" s="196" t="str">
        <f>IF($R142=0,CONCATENATE(0,")"," ",$H142," ",$J142),CONCATENATE(VLOOKUP(H142,tabprt,2,0),")",$H142,"_",AY142))</f>
        <v>366)Cover Panel / Pelmet_WY_5216_D(V)_1mk_Polos</v>
      </c>
      <c r="BB142" s="629" t="str">
        <f>IF($B142="…",CONCATENATE(0,$E142,")"," ",$H142),IF($B142="kc",CONCATENATE(VLOOKUP(H142,tabprt,2,0),")",$H142," ",$R142," ",$S142,"mm"," ","-"," "," ",";"," ",$AZ142,"  ",$I142),IF($B142="alu",CONCATENATE(VLOOKUP(H142,tabprt,2,0),")",$H142," ",$R142," ",$S142,"mm"," ","-"," "," ",";"," ",$AZ142,"  ",$I142),CONCATENATE(VLOOKUP(H142,tabprt,2,0),")",$H142," ",$R142," ",$S142,"mm"," ","-"," ",$AY142," ",";"," ",$AZ142,"  ",$I142))))</f>
        <v xml:space="preserve">366)Cover Panel / Pelmet Ply 18mm - WY_5216_D(V)_1mk_Polos ; Edg_EAW_5216D1_1sisi_pjg  </v>
      </c>
      <c r="BC142" s="190"/>
      <c r="BD142" s="510">
        <f>IFERROR(INDEX((std_minifix_prt),MATCH($H142,Prt,0)),"")</f>
        <v>0</v>
      </c>
      <c r="BE142" s="510">
        <f>IFERROR(INDEX((std_dowel_prt),MATCH($H142,Prt,0)),"")</f>
        <v>0</v>
      </c>
      <c r="BF142" s="177">
        <f>IFERROR(INDEX((std_j_sikufr_prt),MATCH($H142,Prt,0)),"")*Q142</f>
        <v>0</v>
      </c>
      <c r="BG142" s="177">
        <f>IFERROR(INDEX((std_j_screwjf_prt),MATCH($H142,Prt,0)),"")*Q142</f>
        <v>0</v>
      </c>
      <c r="BH142" s="166">
        <f>IF($AM142=0,0,1)*Q142</f>
        <v>0</v>
      </c>
      <c r="BI142" s="474">
        <f>IF($AO142=0,0,IF(J142&lt;=fp,2,(ROUNDUP(J142/fp,0))))*Q142</f>
        <v>0</v>
      </c>
      <c r="BJ142" s="166">
        <f>IF($AN142=0,0,1)*Q142</f>
        <v>0</v>
      </c>
      <c r="BK142" s="474">
        <f>(($J142+tol_p)*$Q142)/1000</f>
        <v>2.48</v>
      </c>
      <c r="BL142" s="474">
        <f>(($L142+tol_p)*$Q142)/1000</f>
        <v>0.35</v>
      </c>
      <c r="BM142" s="474">
        <f>IF(R142=0,0,((2*((J142+tol_p)+(L142+tol_p))*Q142)/1000))</f>
        <v>5.66</v>
      </c>
      <c r="BN142" s="166">
        <f>((J142*L142)/1000000)*Q142</f>
        <v>0.75639999999999996</v>
      </c>
      <c r="BO142" s="166" t="str">
        <f>CONCATENATE(R142,"_",S142)</f>
        <v>Ply_18</v>
      </c>
      <c r="BP142" s="204" t="str">
        <f>CONCATENATE(R142," ",S142," ",AY142)</f>
        <v>Ply 18 WY_5216_D(V)_1mk_Polos</v>
      </c>
      <c r="BQ142" s="475">
        <f>((J142*L142*Q142)/(2400*1200))+10%</f>
        <v>0.36263888888888884</v>
      </c>
      <c r="BR142" s="205">
        <f>IFERROR(INDEX((std_jml_anodize_per_uk),MATCH($H142,Prt,0)),"")</f>
        <v>0</v>
      </c>
      <c r="BS142" s="509">
        <f>IF($BD142=0,0,IF($L142&lt;150,2,((ROUNDUP($L142/fm,0)*2))))*$Q142</f>
        <v>0</v>
      </c>
      <c r="BT142" s="509">
        <f>IF($BE142=0,0,IF($L142&lt;150,2,((ROUNDUP($L142/fd,0)*2))))*$Q142</f>
        <v>0</v>
      </c>
      <c r="BU142" s="459">
        <f>BF142*$Q142</f>
        <v>0</v>
      </c>
      <c r="BV142" s="459">
        <f>BG142*$Q142</f>
        <v>0</v>
      </c>
      <c r="BW142" s="1">
        <f>+((J142*L142)*Q142)/1000000</f>
        <v>0.75639999999999996</v>
      </c>
      <c r="BX142" s="1">
        <f>+((J142*L142*N142)*Q142)/1000000000</f>
        <v>1.43716E-2</v>
      </c>
      <c r="BY142" s="546" t="str">
        <f>IFERROR(INDEX((tbl_edg),MATCH($AD142,Edg,0)),"")</f>
        <v/>
      </c>
      <c r="BZ142" s="546" t="str">
        <f>IFERROR(INDEX((tbl_edg),MATCH($AE142,Edg,0)),"")</f>
        <v/>
      </c>
      <c r="CA142" s="546" t="str">
        <f>IFERROR(INDEX((tbl_edg),MATCH($AF142,Edg,0)),"")</f>
        <v/>
      </c>
      <c r="CB142" s="546" t="str">
        <f>IFERROR(INDEX((tbl_edg),MATCH($AG142,Edg,0)),"")</f>
        <v/>
      </c>
      <c r="CC142" s="728" t="str">
        <f>IFERROR((J142-CA142-CB142),"")</f>
        <v/>
      </c>
      <c r="CD142" s="728" t="str">
        <f>IFERROR((L142-BY142-BZ142),"")</f>
        <v/>
      </c>
      <c r="CE142" s="170" t="str">
        <f>IFERROR((CONCATENATE(CC142," ","x"," ",CD142," ","x"," ",N142)),"")</f>
        <v xml:space="preserve"> x  x 19</v>
      </c>
      <c r="CF142" t="str">
        <f>IF(F142=1,(CONCATENATE(J142,";",L142,";",Q142,";",BP142,";",N142,";",H142,";","-1",";",AF142,";",CA142,";",AG142,";",CB142,";",AD142,";",BY142,";",AE142,";",BZ142))," ")</f>
        <v xml:space="preserve"> </v>
      </c>
    </row>
    <row r="143" spans="1:84" customFormat="1">
      <c r="A143" s="701"/>
      <c r="B143" s="447"/>
      <c r="C143" s="161"/>
      <c r="D143" s="162"/>
      <c r="E143" s="1"/>
      <c r="F143" s="811"/>
      <c r="G143" s="440"/>
      <c r="H143" s="1"/>
      <c r="I143" s="55"/>
      <c r="J143" s="170"/>
      <c r="K143" s="1"/>
      <c r="L143" s="170"/>
      <c r="M143" s="1"/>
      <c r="N143" s="458"/>
      <c r="O143" s="170"/>
      <c r="P143" s="441"/>
      <c r="Q143" s="55"/>
      <c r="R143" s="177"/>
      <c r="S143" s="454"/>
      <c r="T143" s="178"/>
      <c r="U143" s="178"/>
      <c r="V143" s="179"/>
      <c r="W143" s="180"/>
      <c r="X143" s="179"/>
      <c r="Y143" s="180"/>
      <c r="Z143" s="178"/>
      <c r="AA143" s="178"/>
      <c r="AB143" s="178"/>
      <c r="AC143" s="178"/>
      <c r="AD143" s="182"/>
      <c r="AE143" s="182"/>
      <c r="AF143" s="182"/>
      <c r="AG143" s="182"/>
      <c r="AH143" s="401"/>
      <c r="AI143" s="401"/>
      <c r="AJ143" s="401"/>
      <c r="AK143" s="401"/>
      <c r="AL143" s="401"/>
      <c r="AM143" s="189"/>
      <c r="AN143" s="829"/>
      <c r="AO143" s="830"/>
      <c r="AP143" s="401"/>
      <c r="AQ143" s="401"/>
      <c r="AR143" s="401"/>
      <c r="AS143" s="401"/>
      <c r="AT143" s="403"/>
      <c r="AU143" s="403"/>
      <c r="AV143" s="170"/>
      <c r="AW143" s="166"/>
      <c r="AX143" s="166"/>
      <c r="AY143" s="189"/>
      <c r="AZ143" s="189"/>
      <c r="BA143" s="196"/>
      <c r="BB143" s="629"/>
      <c r="BC143" s="190"/>
      <c r="BD143" s="510"/>
      <c r="BE143" s="510"/>
      <c r="BF143" s="177"/>
      <c r="BG143" s="177"/>
      <c r="BH143" s="166"/>
      <c r="BI143" s="474"/>
      <c r="BJ143" s="166"/>
      <c r="BK143" s="474"/>
      <c r="BL143" s="474"/>
      <c r="BM143" s="474"/>
      <c r="BN143" s="166"/>
      <c r="BO143" s="166"/>
      <c r="BP143" s="204"/>
      <c r="BQ143" s="475"/>
      <c r="BR143" s="205"/>
      <c r="BS143" s="509"/>
      <c r="BT143" s="509"/>
      <c r="BU143" s="459"/>
      <c r="BV143" s="459"/>
      <c r="BW143" s="1"/>
      <c r="BX143" s="1"/>
      <c r="BY143" s="546"/>
      <c r="BZ143" s="546"/>
      <c r="CA143" s="546"/>
      <c r="CB143" s="546"/>
      <c r="CC143" s="728"/>
      <c r="CD143" s="728"/>
      <c r="CE143" s="170"/>
    </row>
    <row r="144" spans="1:84" customFormat="1">
      <c r="A144" s="701" t="str">
        <f t="shared" ref="A144:A167" si="147">IFERROR(INDEX((ID),MATCH(H144,BARANG,0)),"…")</f>
        <v>…</v>
      </c>
      <c r="B144" s="447" t="str">
        <f t="shared" ref="B144:B198" si="148">IFERROR(INDEX((cprt),MATCH($H144,Prt,0)),"…")</f>
        <v>…</v>
      </c>
      <c r="C144" s="1" t="s">
        <v>1471</v>
      </c>
      <c r="D144" s="538" t="e">
        <f>(INDEX(KS_Set,MATCH($H144,Set_prt,0)))</f>
        <v>#N/A</v>
      </c>
      <c r="E144" s="1" t="s">
        <v>2167</v>
      </c>
      <c r="F144" s="811" t="str">
        <f t="shared" ref="F144:F198" si="149">IFERROR(INDEX((opt),MATCH($H144,Prt,0)),"")</f>
        <v/>
      </c>
      <c r="G144" s="440" t="str">
        <f t="shared" ref="G144:G158" si="150">IFERROR(INDEX((no_ref),MATCH($H144,ref,0)),"...")</f>
        <v>...</v>
      </c>
      <c r="H144" s="1" t="s">
        <v>2859</v>
      </c>
      <c r="J144" s="171">
        <v>904</v>
      </c>
      <c r="K144" s="55" t="s">
        <v>2137</v>
      </c>
      <c r="L144" s="171">
        <v>560</v>
      </c>
      <c r="M144" s="55" t="s">
        <v>2137</v>
      </c>
      <c r="N144" s="172">
        <v>732</v>
      </c>
      <c r="O144" s="170" t="str">
        <f t="shared" ref="O144:O149" si="151">CONCATENATE(J144," ",K144," ",L144," ",M144," ",N144)</f>
        <v>904 x 560 x 732</v>
      </c>
      <c r="P144" s="139"/>
      <c r="Q144" s="171">
        <v>1</v>
      </c>
      <c r="R144" s="181"/>
      <c r="S144" s="455"/>
      <c r="T144" s="170"/>
      <c r="U144" s="170"/>
      <c r="V144" s="1"/>
      <c r="W144" s="173"/>
      <c r="X144" s="1"/>
      <c r="Y144" s="166"/>
      <c r="Z144" s="170"/>
      <c r="AA144" s="170"/>
      <c r="AB144" s="170"/>
      <c r="AC144" s="170"/>
      <c r="AD144" s="182" t="str">
        <f t="shared" ref="AD144:AD167" si="152">IF($B144="alu",(INDEX((Fr),MATCH(Z144,cfr,0))),INDEX((te),MATCH(Z144,cte,0)))</f>
        <v xml:space="preserve"> </v>
      </c>
      <c r="AE144" s="182" t="str">
        <f t="shared" ref="AE144:AE167" si="153">IF($B144="alu",(INDEX((Fr),MATCH(AA144,cfr,0))),INDEX((te),MATCH(AA144,cte,0)))</f>
        <v xml:space="preserve"> </v>
      </c>
      <c r="AF144" s="182" t="str">
        <f t="shared" ref="AF144:AF167" si="154">IF($B144="alu",(INDEX((Fr),MATCH(AB144,cfr,0))),INDEX((te),MATCH(AB144,cte,0)))</f>
        <v xml:space="preserve"> </v>
      </c>
      <c r="AG144" s="182" t="str">
        <f t="shared" ref="AG144:AG167" si="155">IF($B144="alu",(INDEX((Fr),MATCH(AC144,cfr,0))),INDEX((te),MATCH(AC144,cte,0)))</f>
        <v xml:space="preserve"> </v>
      </c>
      <c r="AH144" s="189"/>
      <c r="AI144" s="401" t="str">
        <f t="shared" ref="AI144:AI198" si="156">IFERROR(INDEX((std_profil2_prt),MATCH($H144,Prt,0)),"")</f>
        <v/>
      </c>
      <c r="AJ144" s="189"/>
      <c r="AK144" s="401" t="str">
        <f t="shared" ref="AK144:AK198" si="157">IFERROR(INDEX((std_siku_prt),MATCH($H144,Prt,0)),"")</f>
        <v/>
      </c>
      <c r="AL144" s="401" t="str">
        <f t="shared" ref="AL144:AL198" si="158">IFERROR(INDEX((std_screw_prt),MATCH($H144,Prt,0)),"")</f>
        <v/>
      </c>
      <c r="AM144" s="189"/>
      <c r="AN144" s="782"/>
      <c r="AO144" s="189"/>
      <c r="AP144" s="401" t="str">
        <f t="shared" ref="AP144:AP198" si="159">IFERROR(INDEX((std_anodizev_proses),MATCH($I144,pk,0)),"")</f>
        <v/>
      </c>
      <c r="AQ144" s="401" t="str">
        <f t="shared" ref="AQ144:AQ198" si="160">IFERROR(INDEX((std_anodizev2_proses),MATCH($I144,pk,0)),"")</f>
        <v/>
      </c>
      <c r="AR144" s="401" t="str">
        <f t="shared" ref="AR144:AR198" si="161">IFERROR(INDEX((std_anodizeh_proses),MATCH($I144,pk,0)),"")</f>
        <v/>
      </c>
      <c r="AS144" s="188"/>
      <c r="AT144" s="1"/>
      <c r="AU144" s="403" t="str">
        <f>IF($AS144=0,"",Q144*BR144)</f>
        <v/>
      </c>
      <c r="AV144" s="1"/>
      <c r="AW144" s="166"/>
      <c r="AX144" s="166" t="str">
        <f t="shared" ref="AX144:AX198" si="162">IF($B144="alu",(CONCATENATE(VLOOKUP($AD144,tabfr,2,0),VLOOKUP($AE144,tabfr,2,0),VLOOKUP($AF144,tabfr,2,0),VLOOKUP($AG144,tabfr,2,0))),(CONCATENATE(VLOOKUP($AD144,tabte,2,0),VLOOKUP($AE144,tabte,2,0),VLOOKUP($AF144,tabte,2,0),VLOOKUP($AG144,tabte,2,0))))</f>
        <v>3333</v>
      </c>
      <c r="AY144" s="189" t="str">
        <f t="shared" ref="AY144:AY167" si="163">IFERROR(VLOOKUP(AW144,descf,2,0),"")</f>
        <v/>
      </c>
      <c r="AZ144" s="189" t="str">
        <f t="shared" ref="AZ144:AZ167" si="164">IF($B144="alu",(VLOOKUP(AX144,descfr,2,0)),(VLOOKUP(AX144,desce,2,0)))</f>
        <v xml:space="preserve"> -</v>
      </c>
      <c r="BA144" s="196" t="str">
        <f>IF($R144=0,CONCATENATE(0,")"," ",$H144," ",$J144),CONCATENATE(VLOOKUP(H144,tabprt,2,0),")",$H144))</f>
        <v>0) FC-Ch000-tdm112K29ab-sr0a 904</v>
      </c>
      <c r="BB144" s="629" t="str">
        <f t="shared" ref="BB144:BB167" si="165">IF($B144="…",CONCATENATE(0,$E144,")"," ",$H144),IF($B144="kc",CONCATENATE(VLOOKUP(H144,tabprt,2,0),")",$H144," ",$R144," ",$S144,"mm"," ","-"," "," ",";"," ",$AZ144,"  ",$I144),IF($B144="alu",CONCATENATE(VLOOKUP(H144,tabprt,2,0),")",$H144," ",$R144," ",$S144,"mm"," ","-"," "," ",";"," ",$AZ144,"  ",$I144),CONCATENATE(VLOOKUP(H144,tabprt,2,0),")",$H144," ",$R144," ",$S144,"mm"," ","-"," ",$AY144," ",";"," ",$AZ144,"  ",$I144))))</f>
        <v>0B) FC-Ch000-tdm112K29ab-sr0a</v>
      </c>
      <c r="BC144" s="197"/>
      <c r="BD144" s="510" t="str">
        <f t="shared" ref="BD144:BD198" si="166">IFERROR(INDEX((std_minifix_prt),MATCH($H144,Prt,0)),"")</f>
        <v/>
      </c>
      <c r="BE144" s="510" t="str">
        <f t="shared" ref="BE144:BE198" si="167">IFERROR(INDEX((std_dowel_prt),MATCH($H144,Prt,0)),"")</f>
        <v/>
      </c>
      <c r="BF144" s="177"/>
      <c r="BG144" s="177"/>
      <c r="BH144" s="166">
        <f t="shared" ref="BH144:BH149" si="168">IF($AM144=0,0,1)*Q144</f>
        <v>0</v>
      </c>
      <c r="BI144" s="474">
        <f t="shared" ref="BI144:BI168" si="169">IF($AO144=0,0,IF(J144&lt;=fp,2,(ROUNDUP(J144/fp,0))))*Q144</f>
        <v>0</v>
      </c>
      <c r="BJ144" s="166">
        <f t="shared" ref="BJ144:BJ149" si="170">IF($AN144=0,0,1)*Q144</f>
        <v>0</v>
      </c>
      <c r="BK144" s="474">
        <f t="shared" ref="BK144:BK198" si="171">(($J144+tol_p)*$Q144)/1000</f>
        <v>0.94399999999999995</v>
      </c>
      <c r="BL144" s="474">
        <f t="shared" ref="BL144:BL198" si="172">(($L144+tol_p)*$Q144)/1000</f>
        <v>0.6</v>
      </c>
      <c r="BM144" s="474">
        <f t="shared" ref="BM144:BM167" si="173">IF(R144=0,0,((2*((J144+tol_p)+(L144+tol_p))*Q144)/1000))</f>
        <v>0</v>
      </c>
      <c r="BN144" s="166"/>
      <c r="BO144" s="166" t="str">
        <f t="shared" ref="BO144:BO149" si="174">CONCATENATE(R144,"_",S144)</f>
        <v>_</v>
      </c>
      <c r="BP144" s="204" t="str">
        <f t="shared" ref="BP144:BP149" si="175">CONCATENATE(R144," ",S144," ",AY144)</f>
        <v xml:space="preserve">  </v>
      </c>
      <c r="BQ144" s="475">
        <f t="shared" ref="BQ144:BQ167" si="176">((J144*L144*Q144)/(2400*1200))+10%</f>
        <v>0.27577777777777779</v>
      </c>
      <c r="BR144" s="205" t="str">
        <f>IFERROR(INDEX((std_jml_anodize_per_uk),MATCH($H144,Prt,0)),"")</f>
        <v/>
      </c>
      <c r="BS144" s="509">
        <f t="shared" ref="BS144:BS198" si="177">IF($BD144=0,0,IF($L144&lt;150,2,((ROUNDUP($L144/fm,0)*2))))*$Q144</f>
        <v>6</v>
      </c>
      <c r="BT144" s="509">
        <f t="shared" ref="BT144:BT198" si="178">IF($BE144=0,0,IF($L144&lt;150,2,((ROUNDUP($L144/fd,0)*2))))*$Q144</f>
        <v>6</v>
      </c>
      <c r="BU144" s="459"/>
      <c r="BV144" s="459"/>
      <c r="BW144" s="1">
        <f t="shared" ref="BW144:BW167" si="179">+((J144*L144)*Q144)/1000000</f>
        <v>0.50624000000000002</v>
      </c>
      <c r="BX144" s="1">
        <f t="shared" ref="BX144:BX167" si="180">+((J144*L144*N144)*Q144)/1000000000</f>
        <v>0.37056768000000001</v>
      </c>
      <c r="BY144" s="546" t="str">
        <f t="shared" ref="BY144:BY198" si="181">IFERROR(INDEX((tbl_edg),MATCH($AD144,Edg,0)),"")</f>
        <v/>
      </c>
      <c r="BZ144" s="546" t="str">
        <f t="shared" ref="BZ144:BZ198" si="182">IFERROR(INDEX((tbl_edg),MATCH($AE144,Edg,0)),"")</f>
        <v/>
      </c>
      <c r="CA144" s="546" t="str">
        <f t="shared" ref="CA144:CA198" si="183">IFERROR(INDEX((tbl_edg),MATCH($AF144,Edg,0)),"")</f>
        <v/>
      </c>
      <c r="CB144" s="546" t="str">
        <f t="shared" ref="CB144:CB198" si="184">IFERROR(INDEX((tbl_edg),MATCH($AG144,Edg,0)),"")</f>
        <v/>
      </c>
      <c r="CC144" s="728" t="str">
        <f t="shared" ref="CC144:CC198" si="185">IFERROR((J144-CA144-CB144),"")</f>
        <v/>
      </c>
      <c r="CD144" s="728" t="str">
        <f t="shared" ref="CD144:CD198" si="186">IFERROR((L144-BY144-BZ144),"")</f>
        <v/>
      </c>
      <c r="CE144" s="170" t="str">
        <f t="shared" ref="CE144:CE198" si="187">IFERROR((CONCATENATE(CC144," ","x"," ",CD144," ","x"," ",N144)),"")</f>
        <v xml:space="preserve"> x  x 732</v>
      </c>
      <c r="CF144" t="str">
        <f t="shared" ref="CF144:CF198" si="188">IF(F144=1,(CONCATENATE(J144,";",L144,";",Q144,";",BP144,";",N144,";",H144,";","-1",";",AF144,";",CA144,";",AG144,";",CB144,";",AD144,";",BY144,";",AE144,";",BZ144))," ")</f>
        <v xml:space="preserve"> </v>
      </c>
    </row>
    <row r="145" spans="1:84" customFormat="1">
      <c r="A145" s="701" t="str">
        <f t="shared" si="147"/>
        <v>…</v>
      </c>
      <c r="B145" s="447" t="str">
        <f t="shared" si="148"/>
        <v>kabinet</v>
      </c>
      <c r="C145" s="161" t="s">
        <v>1472</v>
      </c>
      <c r="D145" s="162" t="str">
        <f t="shared" ref="D145:D168" si="189">IFERROR(INDEX((KS),MATCH($H145,Prt,0)),"")</f>
        <v>KS</v>
      </c>
      <c r="E145" s="1" t="s">
        <v>2167</v>
      </c>
      <c r="F145" s="811">
        <f t="shared" si="149"/>
        <v>1</v>
      </c>
      <c r="G145" s="440" t="str">
        <f t="shared" si="150"/>
        <v>...</v>
      </c>
      <c r="H145" s="1" t="s">
        <v>1769</v>
      </c>
      <c r="I145" s="55"/>
      <c r="J145" s="170">
        <f>N144</f>
        <v>732</v>
      </c>
      <c r="K145" s="1" t="s">
        <v>2137</v>
      </c>
      <c r="L145" s="170">
        <f>L144</f>
        <v>560</v>
      </c>
      <c r="M145" s="1" t="s">
        <v>2137</v>
      </c>
      <c r="N145" s="458">
        <f>+(S145+W145+Y145)</f>
        <v>18.5</v>
      </c>
      <c r="O145" s="170" t="str">
        <f t="shared" si="151"/>
        <v>732 x 560 x 18,5</v>
      </c>
      <c r="P145" s="441">
        <f>IFERROR(INDEX((std_sub_prt),MATCH($H145,Prt,0)),"")</f>
        <v>1</v>
      </c>
      <c r="Q145" s="55">
        <f>P145*Q144</f>
        <v>1</v>
      </c>
      <c r="R145" s="177" t="str">
        <f>IFERROR(INDEX((std_bhn_prt),MATCH($H145,Prt,0)),"")</f>
        <v>Ply</v>
      </c>
      <c r="S145" s="454">
        <f>IFERROR(INDEX((std_Tbahan_prt),MATCH($H145,Prt,0)),"")</f>
        <v>18</v>
      </c>
      <c r="T145" s="178">
        <f>INDEX((std_lapisan_luar_prt),MATCH($H145,Prt,0))</f>
        <v>0</v>
      </c>
      <c r="U145" s="178">
        <f>INDEX((std_lapisan_dalam_prt),MATCH($H145,Prt,0))</f>
        <v>11</v>
      </c>
      <c r="V145" s="179" t="str">
        <f>IFERROR(INDEX((tf),MATCH(T145,ctf,0)),"")</f>
        <v>Polos</v>
      </c>
      <c r="W145" s="180">
        <f>IFERROR(INDEX((tebal_lapisan),MATCH($V145,tf,0)),"")</f>
        <v>0</v>
      </c>
      <c r="X145" s="179" t="str">
        <f>IFERROR(INDEX((tf),MATCH(U145,ctf,0)),"")</f>
        <v>HB_41130</v>
      </c>
      <c r="Y145" s="180">
        <f>IFERROR(INDEX((tebal_lapisan),MATCH($X145,tf,0)),"")</f>
        <v>0.5</v>
      </c>
      <c r="Z145" s="178">
        <f>INDEX((std_edg_P1_prt),MATCH($H145,Prt,0))</f>
        <v>11</v>
      </c>
      <c r="AA145" s="178">
        <f>INDEX((std_edg_P2_prt),MATCH($H145,Prt,0))</f>
        <v>9</v>
      </c>
      <c r="AB145" s="178">
        <f>INDEX((std_edg_L1_prt),MATCH($H145,Prt,0))</f>
        <v>9</v>
      </c>
      <c r="AC145" s="178">
        <f>INDEX((std_edg_L2_prt),MATCH($H145,Prt,0))</f>
        <v>9</v>
      </c>
      <c r="AD145" s="182" t="str">
        <f t="shared" si="152"/>
        <v>Edg_Décor_1723_B</v>
      </c>
      <c r="AE145" s="182" t="str">
        <f t="shared" si="153"/>
        <v>Melanor</v>
      </c>
      <c r="AF145" s="182" t="str">
        <f t="shared" si="154"/>
        <v>Melanor</v>
      </c>
      <c r="AG145" s="182" t="str">
        <f t="shared" si="155"/>
        <v>Melanor</v>
      </c>
      <c r="AH145" s="401">
        <f>IFERROR(INDEX((std_profil3_prt),MATCH($H145,Prt,0)),"")</f>
        <v>0</v>
      </c>
      <c r="AI145" s="401">
        <f t="shared" si="156"/>
        <v>0</v>
      </c>
      <c r="AJ145" s="401">
        <f>IFERROR(INDEX((std_profil_prt),MATCH($H145,Prt,0)),"")</f>
        <v>0</v>
      </c>
      <c r="AK145" s="401">
        <f t="shared" si="157"/>
        <v>0</v>
      </c>
      <c r="AL145" s="401">
        <f t="shared" si="158"/>
        <v>0</v>
      </c>
      <c r="AM145" s="189"/>
      <c r="AN145" s="829">
        <f>IFERROR(INDEX((std_rel_prt),MATCH($H145,Prt,0)),"")</f>
        <v>0</v>
      </c>
      <c r="AO145" s="830">
        <f>IFERROR(INDEX((std_engsel_prt),MATCH($H145,Prt,0)),"")</f>
        <v>0</v>
      </c>
      <c r="AP145" s="401" t="str">
        <f t="shared" si="159"/>
        <v/>
      </c>
      <c r="AQ145" s="401" t="str">
        <f t="shared" si="160"/>
        <v/>
      </c>
      <c r="AR145" s="401" t="str">
        <f t="shared" si="161"/>
        <v/>
      </c>
      <c r="AS145" s="401">
        <f>IFERROR(INDEX((std_anodize_per_ukuran),MATCH($H145,Prt,0)),"")</f>
        <v>0</v>
      </c>
      <c r="AT145" s="403" t="str">
        <f>IF($AS145=edging7,L145,IF($AS145=edging8,L145,IF($AS145=edging9,L145,IF($AS145=Hand1,J144,IF($AS145=Hand2,L144,IF($AS145=hand3,"diisi manual",IF($AS145=hand4,"diisi manual",IF($AS145=hand5,"diisi manual",IF($AS145=mled02,J145,IF($AS145=mprf1,J145,IF($AS145=mlis1,J145,"")))))))))))</f>
        <v/>
      </c>
      <c r="AU145" s="403">
        <f>IF($AS145="","",Q145*BR145)</f>
        <v>0</v>
      </c>
      <c r="AV145" s="170"/>
      <c r="AW145" s="166" t="str">
        <f>CONCATENATE(VLOOKUP($V145,tabtf,2,0),VLOOKUP($X145,tabtf,2,0))</f>
        <v>32</v>
      </c>
      <c r="AX145" s="166" t="str">
        <f t="shared" si="162"/>
        <v>1222</v>
      </c>
      <c r="AY145" s="189" t="str">
        <f t="shared" si="163"/>
        <v>HB_41130_1mk_Polos</v>
      </c>
      <c r="AZ145" s="189" t="str">
        <f t="shared" si="164"/>
        <v>Edg Kll standart</v>
      </c>
      <c r="BA145" s="196" t="str">
        <f t="shared" ref="BA145:BA154" si="190">IF($R145=0,CONCATENATE(0,")"," ",$H145," ",$J145),CONCATENATE(VLOOKUP(H145,tabprt,2,0),")",$H145,"_",AY145))</f>
        <v>101)Dinding Samping_HB_41130_1mk_Polos</v>
      </c>
      <c r="BB145" s="629" t="str">
        <f t="shared" si="165"/>
        <v xml:space="preserve">101)Dinding Samping Ply 18mm - HB_41130_1mk_Polos ; Edg Kll standart  </v>
      </c>
      <c r="BC145" s="190"/>
      <c r="BD145" s="510">
        <f t="shared" si="166"/>
        <v>0</v>
      </c>
      <c r="BE145" s="510">
        <f t="shared" si="167"/>
        <v>0</v>
      </c>
      <c r="BF145" s="177">
        <f>IFERROR(INDEX((std_j_sikufr_prt),MATCH($H145,Prt,0)),"")*Q145</f>
        <v>0</v>
      </c>
      <c r="BG145" s="177">
        <f>IFERROR(INDEX((std_j_screwjf_prt),MATCH($H145,Prt,0)),"")*Q145</f>
        <v>0</v>
      </c>
      <c r="BH145" s="166">
        <f t="shared" si="168"/>
        <v>0</v>
      </c>
      <c r="BI145" s="474">
        <f t="shared" si="169"/>
        <v>0</v>
      </c>
      <c r="BJ145" s="166">
        <f t="shared" si="170"/>
        <v>0</v>
      </c>
      <c r="BK145" s="474">
        <f t="shared" si="171"/>
        <v>0.77200000000000002</v>
      </c>
      <c r="BL145" s="474">
        <f t="shared" si="172"/>
        <v>0.6</v>
      </c>
      <c r="BM145" s="474">
        <f t="shared" si="173"/>
        <v>2.7440000000000002</v>
      </c>
      <c r="BN145" s="166">
        <f>((J145*L145)/1000000)*Q145</f>
        <v>0.40992000000000001</v>
      </c>
      <c r="BO145" s="166" t="str">
        <f t="shared" si="174"/>
        <v>Ply_18</v>
      </c>
      <c r="BP145" s="204" t="str">
        <f t="shared" si="175"/>
        <v>Ply 18 HB_41130_1mk_Polos</v>
      </c>
      <c r="BQ145" s="475">
        <f t="shared" si="176"/>
        <v>0.24233333333333335</v>
      </c>
      <c r="BR145" s="205">
        <f t="shared" ref="BR145:BR167" si="191">IFERROR(INDEX((std_jml_anodize_per_uk),MATCH($H145,Prt,0)),"")</f>
        <v>0</v>
      </c>
      <c r="BS145" s="509">
        <f t="shared" si="177"/>
        <v>0</v>
      </c>
      <c r="BT145" s="509">
        <f t="shared" si="178"/>
        <v>0</v>
      </c>
      <c r="BU145" s="459">
        <f t="shared" ref="BU145:BV149" si="192">BF145*$Q145</f>
        <v>0</v>
      </c>
      <c r="BV145" s="459">
        <f t="shared" si="192"/>
        <v>0</v>
      </c>
      <c r="BW145" s="1">
        <f t="shared" si="179"/>
        <v>0.40992000000000001</v>
      </c>
      <c r="BX145" s="1">
        <f t="shared" si="180"/>
        <v>7.5835199999999998E-3</v>
      </c>
      <c r="BY145" s="546">
        <f t="shared" si="181"/>
        <v>1</v>
      </c>
      <c r="BZ145" s="546">
        <f t="shared" si="182"/>
        <v>0.5</v>
      </c>
      <c r="CA145" s="546">
        <f t="shared" si="183"/>
        <v>0.5</v>
      </c>
      <c r="CB145" s="546">
        <f t="shared" si="184"/>
        <v>0.5</v>
      </c>
      <c r="CC145" s="728">
        <f t="shared" si="185"/>
        <v>731</v>
      </c>
      <c r="CD145" s="728">
        <f t="shared" si="186"/>
        <v>558.5</v>
      </c>
      <c r="CE145" s="170" t="str">
        <f t="shared" si="187"/>
        <v>731 x 558,5 x 18,5</v>
      </c>
      <c r="CF145" t="str">
        <f t="shared" si="188"/>
        <v>732;560;1;Ply 18 HB_41130_1mk_Polos;18,5;Dinding Samping;-1;Melanor;0,5;Melanor;0,5;Edg_Décor_1723_B;1;Melanor;0,5</v>
      </c>
    </row>
    <row r="146" spans="1:84" customFormat="1">
      <c r="A146" s="701" t="str">
        <f t="shared" si="147"/>
        <v>…</v>
      </c>
      <c r="B146" s="447" t="str">
        <f t="shared" si="148"/>
        <v>kabinet</v>
      </c>
      <c r="C146" s="161" t="s">
        <v>1472</v>
      </c>
      <c r="D146" s="162" t="str">
        <f t="shared" si="189"/>
        <v>KS</v>
      </c>
      <c r="E146" s="1" t="s">
        <v>2167</v>
      </c>
      <c r="F146" s="811">
        <f t="shared" si="149"/>
        <v>1</v>
      </c>
      <c r="G146" s="440" t="str">
        <f t="shared" si="150"/>
        <v>...</v>
      </c>
      <c r="H146" s="1" t="s">
        <v>1769</v>
      </c>
      <c r="I146" s="55"/>
      <c r="J146" s="170">
        <f>N144</f>
        <v>732</v>
      </c>
      <c r="K146" s="1" t="s">
        <v>2137</v>
      </c>
      <c r="L146" s="170">
        <f>L144</f>
        <v>560</v>
      </c>
      <c r="M146" s="1" t="s">
        <v>2137</v>
      </c>
      <c r="N146" s="458">
        <f>+(S146+W146+Y146)</f>
        <v>18.5</v>
      </c>
      <c r="O146" s="170" t="str">
        <f t="shared" si="151"/>
        <v>732 x 560 x 18,5</v>
      </c>
      <c r="P146" s="441">
        <f>IFERROR(INDEX((std_sub_prt),MATCH($H146,Prt,0)),"")</f>
        <v>1</v>
      </c>
      <c r="Q146" s="55">
        <f>P146*Q144</f>
        <v>1</v>
      </c>
      <c r="R146" s="177" t="str">
        <f>IFERROR(INDEX((std_bhn_prt),MATCH($H146,Prt,0)),"")</f>
        <v>Ply</v>
      </c>
      <c r="S146" s="454">
        <f>IFERROR(INDEX((std_Tbahan_prt),MATCH($H146,Prt,0)),"")</f>
        <v>18</v>
      </c>
      <c r="T146" s="178">
        <f>INDEX((std_lapisan_luar_prt),MATCH($H146,Prt,0))</f>
        <v>0</v>
      </c>
      <c r="U146" s="178">
        <f>INDEX((std_lapisan_dalam_prt),MATCH($H146,Prt,0))</f>
        <v>11</v>
      </c>
      <c r="V146" s="179" t="str">
        <f>IFERROR(INDEX((tf),MATCH(T146,ctf,0)),"")</f>
        <v>Polos</v>
      </c>
      <c r="W146" s="180">
        <f>IFERROR(INDEX((tebal_lapisan),MATCH($V146,tf,0)),"")</f>
        <v>0</v>
      </c>
      <c r="X146" s="179" t="str">
        <f>IFERROR(INDEX((tf),MATCH(U146,ctf,0)),"")</f>
        <v>HB_41130</v>
      </c>
      <c r="Y146" s="180">
        <f>IFERROR(INDEX((tebal_lapisan),MATCH($X146,tf,0)),"")</f>
        <v>0.5</v>
      </c>
      <c r="Z146" s="178">
        <f>INDEX((std_edg_P1_prt),MATCH($H146,Prt,0))</f>
        <v>11</v>
      </c>
      <c r="AA146" s="178">
        <f>INDEX((std_edg_P2_prt),MATCH($H146,Prt,0))</f>
        <v>9</v>
      </c>
      <c r="AB146" s="178">
        <f>INDEX((std_edg_L1_prt),MATCH($H146,Prt,0))</f>
        <v>9</v>
      </c>
      <c r="AC146" s="178">
        <f>INDEX((std_edg_L2_prt),MATCH($H146,Prt,0))</f>
        <v>9</v>
      </c>
      <c r="AD146" s="182" t="str">
        <f t="shared" si="152"/>
        <v>Edg_Décor_1723_B</v>
      </c>
      <c r="AE146" s="182" t="str">
        <f t="shared" si="153"/>
        <v>Melanor</v>
      </c>
      <c r="AF146" s="182" t="str">
        <f t="shared" si="154"/>
        <v>Melanor</v>
      </c>
      <c r="AG146" s="182" t="str">
        <f t="shared" si="155"/>
        <v>Melanor</v>
      </c>
      <c r="AH146" s="401">
        <f>IFERROR(INDEX((std_profil3_prt),MATCH($H146,Prt,0)),"")</f>
        <v>0</v>
      </c>
      <c r="AI146" s="401">
        <f t="shared" si="156"/>
        <v>0</v>
      </c>
      <c r="AJ146" s="401">
        <f>IFERROR(INDEX((std_profil_prt),MATCH($H146,Prt,0)),"")</f>
        <v>0</v>
      </c>
      <c r="AK146" s="401">
        <f t="shared" si="157"/>
        <v>0</v>
      </c>
      <c r="AL146" s="401">
        <f t="shared" si="158"/>
        <v>0</v>
      </c>
      <c r="AM146" s="189"/>
      <c r="AN146" s="829">
        <f>IFERROR(INDEX((std_rel_prt),MATCH($H146,Prt,0)),"")</f>
        <v>0</v>
      </c>
      <c r="AO146" s="830">
        <f>IFERROR(INDEX((std_engsel_prt),MATCH($H146,Prt,0)),"")</f>
        <v>0</v>
      </c>
      <c r="AP146" s="401" t="str">
        <f t="shared" si="159"/>
        <v/>
      </c>
      <c r="AQ146" s="401" t="str">
        <f t="shared" si="160"/>
        <v/>
      </c>
      <c r="AR146" s="401" t="str">
        <f t="shared" si="161"/>
        <v/>
      </c>
      <c r="AS146" s="401">
        <f>IFERROR(INDEX((std_anodize_per_ukuran),MATCH($H146,Prt,0)),"")</f>
        <v>0</v>
      </c>
      <c r="AT146" s="403" t="str">
        <f>IF($AS146=edging7,L146,IF($AS146=edging8,L146,IF($AS146=edging9,L146,IF($AS146=Hand1,J145,IF($AS146=Hand2,L145,IF($AS146=hand3,"diisi manual",IF($AS146=hand4,"diisi manual",IF($AS146=hand5,"diisi manual",IF($AS146=mled02,J146,IF($AS146=mprf1,J146,IF($AS146=mlis1,J146,"")))))))))))</f>
        <v/>
      </c>
      <c r="AU146" s="403">
        <f>IF($AS146="","",Q146*BR146)</f>
        <v>0</v>
      </c>
      <c r="AV146" s="170"/>
      <c r="AW146" s="166" t="str">
        <f>CONCATENATE(VLOOKUP($V146,tabtf,2,0),VLOOKUP($X146,tabtf,2,0))</f>
        <v>32</v>
      </c>
      <c r="AX146" s="166" t="str">
        <f t="shared" si="162"/>
        <v>1222</v>
      </c>
      <c r="AY146" s="189" t="str">
        <f t="shared" si="163"/>
        <v>HB_41130_1mk_Polos</v>
      </c>
      <c r="AZ146" s="189" t="str">
        <f t="shared" si="164"/>
        <v>Edg Kll standart</v>
      </c>
      <c r="BA146" s="196" t="str">
        <f t="shared" si="190"/>
        <v>101)Dinding Samping_HB_41130_1mk_Polos</v>
      </c>
      <c r="BB146" s="629" t="str">
        <f t="shared" si="165"/>
        <v xml:space="preserve">101)Dinding Samping Ply 18mm - HB_41130_1mk_Polos ; Edg Kll standart  </v>
      </c>
      <c r="BC146" s="190"/>
      <c r="BD146" s="510">
        <f t="shared" si="166"/>
        <v>0</v>
      </c>
      <c r="BE146" s="510">
        <f t="shared" si="167"/>
        <v>0</v>
      </c>
      <c r="BF146" s="177">
        <f>IFERROR(INDEX((std_j_sikufr_prt),MATCH($H146,Prt,0)),"")*Q146</f>
        <v>0</v>
      </c>
      <c r="BG146" s="177">
        <f>IFERROR(INDEX((std_j_screwjf_prt),MATCH($H146,Prt,0)),"")*Q146</f>
        <v>0</v>
      </c>
      <c r="BH146" s="166">
        <f t="shared" si="168"/>
        <v>0</v>
      </c>
      <c r="BI146" s="474">
        <f t="shared" si="169"/>
        <v>0</v>
      </c>
      <c r="BJ146" s="166">
        <f t="shared" si="170"/>
        <v>0</v>
      </c>
      <c r="BK146" s="474">
        <f t="shared" si="171"/>
        <v>0.77200000000000002</v>
      </c>
      <c r="BL146" s="474">
        <f t="shared" si="172"/>
        <v>0.6</v>
      </c>
      <c r="BM146" s="474">
        <f t="shared" si="173"/>
        <v>2.7440000000000002</v>
      </c>
      <c r="BN146" s="166">
        <f>((J146*L146)/1000000)*Q146</f>
        <v>0.40992000000000001</v>
      </c>
      <c r="BO146" s="166" t="str">
        <f t="shared" si="174"/>
        <v>Ply_18</v>
      </c>
      <c r="BP146" s="204" t="str">
        <f t="shared" si="175"/>
        <v>Ply 18 HB_41130_1mk_Polos</v>
      </c>
      <c r="BQ146" s="475">
        <f t="shared" si="176"/>
        <v>0.24233333333333335</v>
      </c>
      <c r="BR146" s="205">
        <f t="shared" si="191"/>
        <v>0</v>
      </c>
      <c r="BS146" s="509">
        <f t="shared" si="177"/>
        <v>0</v>
      </c>
      <c r="BT146" s="509">
        <f t="shared" si="178"/>
        <v>0</v>
      </c>
      <c r="BU146" s="459">
        <f t="shared" si="192"/>
        <v>0</v>
      </c>
      <c r="BV146" s="459">
        <f t="shared" si="192"/>
        <v>0</v>
      </c>
      <c r="BW146" s="1">
        <f t="shared" si="179"/>
        <v>0.40992000000000001</v>
      </c>
      <c r="BX146" s="1">
        <f t="shared" si="180"/>
        <v>7.5835199999999998E-3</v>
      </c>
      <c r="BY146" s="546">
        <f t="shared" si="181"/>
        <v>1</v>
      </c>
      <c r="BZ146" s="546">
        <f t="shared" si="182"/>
        <v>0.5</v>
      </c>
      <c r="CA146" s="546">
        <f t="shared" si="183"/>
        <v>0.5</v>
      </c>
      <c r="CB146" s="546">
        <f t="shared" si="184"/>
        <v>0.5</v>
      </c>
      <c r="CC146" s="728">
        <f t="shared" si="185"/>
        <v>731</v>
      </c>
      <c r="CD146" s="728">
        <f t="shared" si="186"/>
        <v>558.5</v>
      </c>
      <c r="CE146" s="170" t="str">
        <f t="shared" si="187"/>
        <v>731 x 558,5 x 18,5</v>
      </c>
      <c r="CF146" t="str">
        <f t="shared" si="188"/>
        <v>732;560;1;Ply 18 HB_41130_1mk_Polos;18,5;Dinding Samping;-1;Melanor;0,5;Melanor;0,5;Edg_Décor_1723_B;1;Melanor;0,5</v>
      </c>
    </row>
    <row r="147" spans="1:84" customFormat="1">
      <c r="A147" s="701" t="str">
        <f t="shared" si="147"/>
        <v>…</v>
      </c>
      <c r="B147" s="447" t="str">
        <f t="shared" si="148"/>
        <v>kabinet</v>
      </c>
      <c r="C147" s="161" t="s">
        <v>1472</v>
      </c>
      <c r="D147" s="162" t="str">
        <f t="shared" si="189"/>
        <v>KS</v>
      </c>
      <c r="E147" s="1" t="s">
        <v>2167</v>
      </c>
      <c r="F147" s="811">
        <f t="shared" si="149"/>
        <v>1</v>
      </c>
      <c r="G147" s="440" t="str">
        <f t="shared" si="150"/>
        <v>...</v>
      </c>
      <c r="H147" s="1" t="s">
        <v>2817</v>
      </c>
      <c r="I147" s="55"/>
      <c r="J147" s="457">
        <f>ROUNDDOWN((J144-N145-N146),0)</f>
        <v>867</v>
      </c>
      <c r="K147" s="1" t="s">
        <v>2137</v>
      </c>
      <c r="L147" s="170">
        <f>L144</f>
        <v>560</v>
      </c>
      <c r="M147" s="1" t="s">
        <v>2137</v>
      </c>
      <c r="N147" s="458">
        <f>+(S147+W147+Y147)</f>
        <v>18.5</v>
      </c>
      <c r="O147" s="170" t="str">
        <f t="shared" si="151"/>
        <v>867 x 560 x 18,5</v>
      </c>
      <c r="P147" s="441">
        <f>IFERROR(INDEX((std_sub_prt),MATCH($H147,Prt,0)),"")</f>
        <v>1</v>
      </c>
      <c r="Q147" s="55">
        <f>P147*Q144</f>
        <v>1</v>
      </c>
      <c r="R147" s="177" t="str">
        <f>IFERROR(INDEX((std_bhn_prt),MATCH($H147,Prt,0)),"")</f>
        <v>Ply</v>
      </c>
      <c r="S147" s="454">
        <f>IFERROR(INDEX((std_Tbahan_prt),MATCH($H147,Prt,0)),"")</f>
        <v>18</v>
      </c>
      <c r="T147" s="178">
        <f>INDEX((std_lapisan_luar_prt),MATCH($H147,Prt,0))</f>
        <v>0</v>
      </c>
      <c r="U147" s="178">
        <f>INDEX((std_lapisan_dalam_prt),MATCH($H147,Prt,0))</f>
        <v>11</v>
      </c>
      <c r="V147" s="179" t="str">
        <f>IFERROR(INDEX((tf),MATCH(T147,ctf,0)),"")</f>
        <v>Polos</v>
      </c>
      <c r="W147" s="180">
        <f>IFERROR(INDEX((tebal_lapisan),MATCH($V147,tf,0)),"")</f>
        <v>0</v>
      </c>
      <c r="X147" s="179" t="str">
        <f>IFERROR(INDEX((tf),MATCH(U147,ctf,0)),"")</f>
        <v>HB_41130</v>
      </c>
      <c r="Y147" s="180">
        <f>IFERROR(INDEX((tebal_lapisan),MATCH($X147,tf,0)),"")</f>
        <v>0.5</v>
      </c>
      <c r="Z147" s="178">
        <f>INDEX((std_edg_P1_prt),MATCH($H147,Prt,0))</f>
        <v>11</v>
      </c>
      <c r="AA147" s="178">
        <f>INDEX((std_edg_P2_prt),MATCH($H147,Prt,0))</f>
        <v>9</v>
      </c>
      <c r="AB147" s="178">
        <f>INDEX((std_edg_L1_prt),MATCH($H147,Prt,0))</f>
        <v>0</v>
      </c>
      <c r="AC147" s="178">
        <f>INDEX((std_edg_L2_prt),MATCH($H147,Prt,0))</f>
        <v>0</v>
      </c>
      <c r="AD147" s="182" t="str">
        <f t="shared" si="152"/>
        <v>Edg_Décor_1723_B</v>
      </c>
      <c r="AE147" s="182" t="str">
        <f t="shared" si="153"/>
        <v>Melanor</v>
      </c>
      <c r="AF147" s="182" t="str">
        <f t="shared" si="154"/>
        <v xml:space="preserve"> </v>
      </c>
      <c r="AG147" s="182" t="str">
        <f t="shared" si="155"/>
        <v xml:space="preserve"> </v>
      </c>
      <c r="AH147" s="401" t="str">
        <f>IFERROR(INDEX((std_profil3_prt),MATCH($H147,Prt,0)),"")</f>
        <v>KAKI ADJUSTER HAFELLE TG 100 ART # 637.45.326</v>
      </c>
      <c r="AI147" s="401">
        <f t="shared" si="156"/>
        <v>0</v>
      </c>
      <c r="AJ147" s="401">
        <f>IFERROR(INDEX((std_profil_prt),MATCH($H147,Prt,0)),"")</f>
        <v>0</v>
      </c>
      <c r="AK147" s="401">
        <f t="shared" si="157"/>
        <v>0</v>
      </c>
      <c r="AL147" s="401">
        <f t="shared" si="158"/>
        <v>0</v>
      </c>
      <c r="AM147" s="189"/>
      <c r="AN147" s="829">
        <f>IFERROR(INDEX((std_rel_prt),MATCH($H147,Prt,0)),"")</f>
        <v>0</v>
      </c>
      <c r="AO147" s="830">
        <f>IFERROR(INDEX((std_engsel_prt),MATCH($H147,Prt,0)),"")</f>
        <v>0</v>
      </c>
      <c r="AP147" s="401" t="str">
        <f t="shared" si="159"/>
        <v/>
      </c>
      <c r="AQ147" s="401" t="str">
        <f t="shared" si="160"/>
        <v/>
      </c>
      <c r="AR147" s="401" t="str">
        <f t="shared" si="161"/>
        <v/>
      </c>
      <c r="AS147" s="401">
        <f>IFERROR(INDEX((std_anodize_per_ukuran),MATCH($H147,Prt,0)),"")</f>
        <v>0</v>
      </c>
      <c r="AT147" s="403" t="str">
        <f>IF($AS147=edging7,L147,IF($AS147=edging8,L147,IF($AS147=edging9,L147,IF($AS147=Hand1,J146,IF($AS147=Hand2,L146,IF($AS147=hand3,"diisi manual",IF($AS147=hand4,"diisi manual",IF($AS147=hand5,"diisi manual",IF($AS147=mled02,J147,IF($AS147=mprf1,J147,IF($AS147=mlis1,J147,"")))))))))))</f>
        <v/>
      </c>
      <c r="AU147" s="403">
        <f>IF($AS147="","",Q147*BR147)</f>
        <v>0</v>
      </c>
      <c r="AV147" s="170"/>
      <c r="AW147" s="166" t="str">
        <f>CONCATENATE(VLOOKUP($V147,tabtf,2,0),VLOOKUP($X147,tabtf,2,0))</f>
        <v>32</v>
      </c>
      <c r="AX147" s="166" t="str">
        <f t="shared" si="162"/>
        <v>1233</v>
      </c>
      <c r="AY147" s="189" t="str">
        <f t="shared" si="163"/>
        <v>HB_41130_1mk_Polos</v>
      </c>
      <c r="AZ147" s="189" t="str">
        <f t="shared" si="164"/>
        <v>Edg 2sisi standart</v>
      </c>
      <c r="BA147" s="196" t="str">
        <f t="shared" si="190"/>
        <v>117)Dinding Atas Bawah ↓_HB_41130_1mk_Polos</v>
      </c>
      <c r="BB147" s="629" t="str">
        <f t="shared" si="165"/>
        <v xml:space="preserve">117)Dinding Atas Bawah ↓ Ply 18mm - HB_41130_1mk_Polos ; Edg 2sisi standart  </v>
      </c>
      <c r="BC147" s="190"/>
      <c r="BD147" s="510" t="str">
        <f t="shared" si="166"/>
        <v>MINIFIX HETTICH</v>
      </c>
      <c r="BE147" s="510" t="str">
        <f t="shared" si="167"/>
        <v>DOWEL KAYU 4X8</v>
      </c>
      <c r="BF147" s="177">
        <f>IFERROR(INDEX((std_j_sikufr_prt),MATCH($H147,Prt,0)),"")*Q147</f>
        <v>0</v>
      </c>
      <c r="BG147" s="177">
        <f>IFERROR(INDEX((std_j_screwjf_prt),MATCH($H147,Prt,0)),"")*Q147</f>
        <v>0</v>
      </c>
      <c r="BH147" s="166">
        <f t="shared" si="168"/>
        <v>0</v>
      </c>
      <c r="BI147" s="474">
        <f t="shared" si="169"/>
        <v>0</v>
      </c>
      <c r="BJ147" s="166">
        <f t="shared" si="170"/>
        <v>0</v>
      </c>
      <c r="BK147" s="474">
        <f t="shared" si="171"/>
        <v>0.90700000000000003</v>
      </c>
      <c r="BL147" s="474">
        <f t="shared" si="172"/>
        <v>0.6</v>
      </c>
      <c r="BM147" s="474">
        <f t="shared" si="173"/>
        <v>3.0139999999999998</v>
      </c>
      <c r="BN147" s="166">
        <f>((J147*L147)/1000000)*Q147</f>
        <v>0.48552000000000001</v>
      </c>
      <c r="BO147" s="166" t="str">
        <f t="shared" si="174"/>
        <v>Ply_18</v>
      </c>
      <c r="BP147" s="204" t="str">
        <f t="shared" si="175"/>
        <v>Ply 18 HB_41130_1mk_Polos</v>
      </c>
      <c r="BQ147" s="475">
        <f t="shared" si="176"/>
        <v>0.26858333333333334</v>
      </c>
      <c r="BR147" s="205">
        <f t="shared" si="191"/>
        <v>0</v>
      </c>
      <c r="BS147" s="509">
        <f t="shared" si="177"/>
        <v>6</v>
      </c>
      <c r="BT147" s="509">
        <f t="shared" si="178"/>
        <v>6</v>
      </c>
      <c r="BU147" s="459">
        <f t="shared" si="192"/>
        <v>0</v>
      </c>
      <c r="BV147" s="459">
        <f t="shared" si="192"/>
        <v>0</v>
      </c>
      <c r="BW147" s="1">
        <f t="shared" si="179"/>
        <v>0.48552000000000001</v>
      </c>
      <c r="BX147" s="1">
        <f t="shared" si="180"/>
        <v>8.9821199999999997E-3</v>
      </c>
      <c r="BY147" s="546">
        <f t="shared" si="181"/>
        <v>1</v>
      </c>
      <c r="BZ147" s="546">
        <f t="shared" si="182"/>
        <v>0.5</v>
      </c>
      <c r="CA147" s="546" t="str">
        <f t="shared" si="183"/>
        <v/>
      </c>
      <c r="CB147" s="546" t="str">
        <f t="shared" si="184"/>
        <v/>
      </c>
      <c r="CC147" s="728" t="str">
        <f t="shared" si="185"/>
        <v/>
      </c>
      <c r="CD147" s="728">
        <f t="shared" si="186"/>
        <v>558.5</v>
      </c>
      <c r="CE147" s="170" t="str">
        <f t="shared" si="187"/>
        <v xml:space="preserve"> x 558,5 x 18,5</v>
      </c>
      <c r="CF147" t="str">
        <f t="shared" si="188"/>
        <v>867;560;1;Ply 18 HB_41130_1mk_Polos;18,5;Dinding Atas Bawah ↓;-1; ;; ;;Edg_Décor_1723_B;1;Melanor;0,5</v>
      </c>
    </row>
    <row r="148" spans="1:84" customFormat="1">
      <c r="A148" s="701" t="str">
        <f t="shared" si="147"/>
        <v>…</v>
      </c>
      <c r="B148" s="447" t="str">
        <f t="shared" si="148"/>
        <v>kabinet</v>
      </c>
      <c r="C148" s="161" t="s">
        <v>1472</v>
      </c>
      <c r="D148" s="162" t="str">
        <f t="shared" si="189"/>
        <v>KS</v>
      </c>
      <c r="E148" s="1" t="s">
        <v>2167</v>
      </c>
      <c r="F148" s="811">
        <f t="shared" si="149"/>
        <v>1</v>
      </c>
      <c r="G148" s="440" t="str">
        <f t="shared" si="150"/>
        <v>...</v>
      </c>
      <c r="H148" s="1" t="s">
        <v>1781</v>
      </c>
      <c r="I148" s="55"/>
      <c r="J148" s="170">
        <f>J147</f>
        <v>867</v>
      </c>
      <c r="K148" s="1" t="s">
        <v>2137</v>
      </c>
      <c r="L148" s="170">
        <v>80</v>
      </c>
      <c r="M148" s="1" t="s">
        <v>2137</v>
      </c>
      <c r="N148" s="458">
        <f>+(S148+W148+Y148)</f>
        <v>19</v>
      </c>
      <c r="O148" s="170" t="str">
        <f t="shared" si="151"/>
        <v>867 x 80 x 19</v>
      </c>
      <c r="P148" s="441">
        <f>IFERROR(INDEX((std_sub_prt),MATCH($H148,Prt,0)),"")</f>
        <v>2</v>
      </c>
      <c r="Q148" s="55">
        <f>P148*Q144</f>
        <v>2</v>
      </c>
      <c r="R148" s="177" t="str">
        <f>IFERROR(INDEX((std_bhn_prt),MATCH($H148,Prt,0)),"")</f>
        <v>Ply</v>
      </c>
      <c r="S148" s="454">
        <f>IFERROR(INDEX((std_Tbahan_prt),MATCH($H148,Prt,0)),"")</f>
        <v>18</v>
      </c>
      <c r="T148" s="178">
        <f>INDEX((std_lapisan_luar_prt),MATCH($H148,Prt,0))</f>
        <v>9</v>
      </c>
      <c r="U148" s="178">
        <f>INDEX((std_lapisan_dalam_prt),MATCH($H148,Prt,0))</f>
        <v>11</v>
      </c>
      <c r="V148" s="179" t="str">
        <f>IFERROR(INDEX((tf),MATCH(T148,ctf,0)),"")</f>
        <v>[Aica]</v>
      </c>
      <c r="W148" s="180">
        <f>IFERROR(INDEX((tebal_lapisan),MATCH($V148,tf,0)),"")</f>
        <v>0.5</v>
      </c>
      <c r="X148" s="179" t="str">
        <f>IFERROR(INDEX((tf),MATCH(U148,ctf,0)),"")</f>
        <v>HB_41130</v>
      </c>
      <c r="Y148" s="180">
        <f>IFERROR(INDEX((tebal_lapisan),MATCH($X148,tf,0)),"")</f>
        <v>0.5</v>
      </c>
      <c r="Z148" s="178">
        <f>INDEX((std_edg_P1_prt),MATCH($H148,Prt,0))</f>
        <v>11</v>
      </c>
      <c r="AA148" s="178">
        <f>INDEX((std_edg_P2_prt),MATCH($H148,Prt,0))</f>
        <v>9</v>
      </c>
      <c r="AB148" s="178">
        <f>INDEX((std_edg_L1_prt),MATCH($H148,Prt,0))</f>
        <v>0</v>
      </c>
      <c r="AC148" s="178">
        <f>INDEX((std_edg_L2_prt),MATCH($H148,Prt,0))</f>
        <v>0</v>
      </c>
      <c r="AD148" s="182" t="str">
        <f t="shared" si="152"/>
        <v>Edg_Décor_1723_B</v>
      </c>
      <c r="AE148" s="182" t="str">
        <f t="shared" si="153"/>
        <v>Melanor</v>
      </c>
      <c r="AF148" s="182" t="str">
        <f t="shared" si="154"/>
        <v xml:space="preserve"> </v>
      </c>
      <c r="AG148" s="182" t="str">
        <f t="shared" si="155"/>
        <v xml:space="preserve"> </v>
      </c>
      <c r="AH148" s="401">
        <f>IFERROR(INDEX((std_profil3_prt),MATCH($H148,Prt,0)),"")</f>
        <v>0</v>
      </c>
      <c r="AI148" s="401">
        <f t="shared" si="156"/>
        <v>0</v>
      </c>
      <c r="AJ148" s="401">
        <f>IFERROR(INDEX((std_profil_prt),MATCH($H148,Prt,0)),"")</f>
        <v>0</v>
      </c>
      <c r="AK148" s="401">
        <f t="shared" si="157"/>
        <v>0</v>
      </c>
      <c r="AL148" s="401">
        <f t="shared" si="158"/>
        <v>0</v>
      </c>
      <c r="AM148" s="189"/>
      <c r="AN148" s="829">
        <f>IFERROR(INDEX((std_rel_prt),MATCH($H148,Prt,0)),"")</f>
        <v>0</v>
      </c>
      <c r="AO148" s="830">
        <f>IFERROR(INDEX((std_engsel_prt),MATCH($H148,Prt,0)),"")</f>
        <v>0</v>
      </c>
      <c r="AP148" s="401" t="str">
        <f t="shared" si="159"/>
        <v/>
      </c>
      <c r="AQ148" s="401" t="str">
        <f t="shared" si="160"/>
        <v/>
      </c>
      <c r="AR148" s="401" t="str">
        <f t="shared" si="161"/>
        <v/>
      </c>
      <c r="AS148" s="401">
        <f>IFERROR(INDEX((std_anodize_per_ukuran),MATCH($H148,Prt,0)),"")</f>
        <v>0</v>
      </c>
      <c r="AT148" s="403" t="str">
        <f>IF($AS148=edging7,L148,IF($AS148=edging8,L148,IF($AS148=edging9,L148,IF($AS148=Hand1,J147,IF($AS148=Hand2,L147,IF($AS148=hand3,"diisi manual",IF($AS148=hand4,"diisi manual",IF($AS148=hand5,"diisi manual",IF($AS148=mled02,J148,IF($AS148=mprf1,J148,IF($AS148=mlis1,J148,"")))))))))))</f>
        <v/>
      </c>
      <c r="AU148" s="403">
        <f>IF($AS148="","",Q148*BR148)</f>
        <v>0</v>
      </c>
      <c r="AV148" s="170"/>
      <c r="AW148" s="166" t="str">
        <f>CONCATENATE(VLOOKUP($V148,tabtf,2,0),VLOOKUP($X148,tabtf,2,0))</f>
        <v>52</v>
      </c>
      <c r="AX148" s="166" t="str">
        <f t="shared" si="162"/>
        <v>1233</v>
      </c>
      <c r="AY148" s="189" t="str">
        <f t="shared" si="163"/>
        <v>HB_41130+[Aica]</v>
      </c>
      <c r="AZ148" s="189" t="str">
        <f t="shared" si="164"/>
        <v>Edg 2sisi standart</v>
      </c>
      <c r="BA148" s="196" t="str">
        <f t="shared" si="190"/>
        <v>134)Palangan_HB_41130+[Aica]</v>
      </c>
      <c r="BB148" s="629" t="str">
        <f t="shared" si="165"/>
        <v xml:space="preserve">134)Palangan Ply 18mm - HB_41130+[Aica] ; Edg 2sisi standart  </v>
      </c>
      <c r="BC148" s="190"/>
      <c r="BD148" s="510" t="str">
        <f t="shared" si="166"/>
        <v>MINIFIX HETTICH</v>
      </c>
      <c r="BE148" s="510" t="str">
        <f t="shared" si="167"/>
        <v>DOWEL KAYU 4X8</v>
      </c>
      <c r="BF148" s="177">
        <f>IFERROR(INDEX((std_j_sikufr_prt),MATCH($H148,Prt,0)),"")*Q148</f>
        <v>0</v>
      </c>
      <c r="BG148" s="177">
        <f>IFERROR(INDEX((std_j_screwjf_prt),MATCH($H148,Prt,0)),"")*Q148</f>
        <v>0</v>
      </c>
      <c r="BH148" s="166">
        <f t="shared" si="168"/>
        <v>0</v>
      </c>
      <c r="BI148" s="474">
        <f t="shared" si="169"/>
        <v>0</v>
      </c>
      <c r="BJ148" s="166">
        <f t="shared" si="170"/>
        <v>0</v>
      </c>
      <c r="BK148" s="474">
        <f t="shared" si="171"/>
        <v>1.8140000000000001</v>
      </c>
      <c r="BL148" s="474">
        <f t="shared" si="172"/>
        <v>0.24</v>
      </c>
      <c r="BM148" s="474">
        <f t="shared" si="173"/>
        <v>4.1079999999999997</v>
      </c>
      <c r="BN148" s="166">
        <f>((J148*L148)/1000000)*Q148</f>
        <v>0.13872000000000001</v>
      </c>
      <c r="BO148" s="166" t="str">
        <f t="shared" si="174"/>
        <v>Ply_18</v>
      </c>
      <c r="BP148" s="204" t="str">
        <f t="shared" si="175"/>
        <v>Ply 18 HB_41130+[Aica]</v>
      </c>
      <c r="BQ148" s="475">
        <f t="shared" si="176"/>
        <v>0.14816666666666667</v>
      </c>
      <c r="BR148" s="205">
        <f t="shared" si="191"/>
        <v>0</v>
      </c>
      <c r="BS148" s="509">
        <f t="shared" si="177"/>
        <v>4</v>
      </c>
      <c r="BT148" s="509">
        <f t="shared" si="178"/>
        <v>4</v>
      </c>
      <c r="BU148" s="459">
        <f t="shared" si="192"/>
        <v>0</v>
      </c>
      <c r="BV148" s="459">
        <f t="shared" si="192"/>
        <v>0</v>
      </c>
      <c r="BW148" s="1">
        <f t="shared" si="179"/>
        <v>0.13872000000000001</v>
      </c>
      <c r="BX148" s="1">
        <f t="shared" si="180"/>
        <v>2.6356800000000001E-3</v>
      </c>
      <c r="BY148" s="546">
        <f t="shared" si="181"/>
        <v>1</v>
      </c>
      <c r="BZ148" s="546">
        <f t="shared" si="182"/>
        <v>0.5</v>
      </c>
      <c r="CA148" s="546" t="str">
        <f t="shared" si="183"/>
        <v/>
      </c>
      <c r="CB148" s="546" t="str">
        <f t="shared" si="184"/>
        <v/>
      </c>
      <c r="CC148" s="728" t="str">
        <f t="shared" si="185"/>
        <v/>
      </c>
      <c r="CD148" s="728">
        <f t="shared" si="186"/>
        <v>78.5</v>
      </c>
      <c r="CE148" s="170" t="str">
        <f t="shared" si="187"/>
        <v xml:space="preserve"> x 78,5 x 19</v>
      </c>
      <c r="CF148" t="str">
        <f t="shared" si="188"/>
        <v>867;80;2;Ply 18 HB_41130+[Aica];19;Palangan;-1; ;; ;;Edg_Décor_1723_B;1;Melanor;0,5</v>
      </c>
    </row>
    <row r="149" spans="1:84" customFormat="1">
      <c r="A149" s="701" t="str">
        <f t="shared" si="147"/>
        <v>…</v>
      </c>
      <c r="B149" s="447" t="str">
        <f t="shared" si="148"/>
        <v>kabinet</v>
      </c>
      <c r="C149" s="161" t="s">
        <v>1472</v>
      </c>
      <c r="D149" s="162" t="str">
        <f t="shared" si="189"/>
        <v>KS</v>
      </c>
      <c r="E149" s="1" t="s">
        <v>2167</v>
      </c>
      <c r="F149" s="811">
        <f t="shared" si="149"/>
        <v>1</v>
      </c>
      <c r="G149" s="440" t="str">
        <f t="shared" si="150"/>
        <v>...</v>
      </c>
      <c r="H149" s="1" t="s">
        <v>1783</v>
      </c>
      <c r="I149" s="55"/>
      <c r="J149" s="170">
        <f>N144-22</f>
        <v>710</v>
      </c>
      <c r="K149" s="1" t="s">
        <v>2137</v>
      </c>
      <c r="L149" s="170">
        <f>J144-21</f>
        <v>883</v>
      </c>
      <c r="M149" s="1" t="s">
        <v>2137</v>
      </c>
      <c r="N149" s="458">
        <f>+(S149+W149+Y149)</f>
        <v>7</v>
      </c>
      <c r="O149" s="170" t="str">
        <f t="shared" si="151"/>
        <v>710 x 883 x 7</v>
      </c>
      <c r="P149" s="441">
        <f>IFERROR(INDEX((std_sub_prt),MATCH($H149,Prt,0)),"")</f>
        <v>1</v>
      </c>
      <c r="Q149" s="55">
        <f>P149*Q144</f>
        <v>1</v>
      </c>
      <c r="R149" s="177" t="str">
        <f>IFERROR(INDEX((std_bhn_prt),MATCH($H149,Prt,0)),"")</f>
        <v>Ply</v>
      </c>
      <c r="S149" s="454">
        <f>IFERROR(INDEX((std_Tbahan_prt),MATCH($H149,Prt,0)),"")</f>
        <v>6</v>
      </c>
      <c r="T149" s="178">
        <f>INDEX((std_lapisan_luar_prt),MATCH($H149,Prt,0))</f>
        <v>9</v>
      </c>
      <c r="U149" s="178">
        <f>INDEX((std_lapisan_dalam_prt),MATCH($H149,Prt,0))</f>
        <v>11</v>
      </c>
      <c r="V149" s="179" t="str">
        <f>IFERROR(INDEX((tf),MATCH(T149,ctf,0)),"")</f>
        <v>[Aica]</v>
      </c>
      <c r="W149" s="180">
        <f>IFERROR(INDEX((tebal_lapisan),MATCH($V149,tf,0)),"")</f>
        <v>0.5</v>
      </c>
      <c r="X149" s="179" t="str">
        <f>IFERROR(INDEX((tf),MATCH(U149,ctf,0)),"")</f>
        <v>HB_41130</v>
      </c>
      <c r="Y149" s="180">
        <f>IFERROR(INDEX((tebal_lapisan),MATCH($X149,tf,0)),"")</f>
        <v>0.5</v>
      </c>
      <c r="Z149" s="178">
        <f>INDEX((std_edg_P1_prt),MATCH($H149,Prt,0))</f>
        <v>0</v>
      </c>
      <c r="AA149" s="178">
        <f>INDEX((std_edg_P2_prt),MATCH($H149,Prt,0))</f>
        <v>0</v>
      </c>
      <c r="AB149" s="178">
        <f>INDEX((std_edg_L1_prt),MATCH($H149,Prt,0))</f>
        <v>0</v>
      </c>
      <c r="AC149" s="178">
        <f>INDEX((std_edg_L2_prt),MATCH($H149,Prt,0))</f>
        <v>0</v>
      </c>
      <c r="AD149" s="182" t="str">
        <f t="shared" si="152"/>
        <v xml:space="preserve"> </v>
      </c>
      <c r="AE149" s="182" t="str">
        <f t="shared" si="153"/>
        <v xml:space="preserve"> </v>
      </c>
      <c r="AF149" s="182" t="str">
        <f t="shared" si="154"/>
        <v xml:space="preserve"> </v>
      </c>
      <c r="AG149" s="182" t="str">
        <f t="shared" si="155"/>
        <v xml:space="preserve"> </v>
      </c>
      <c r="AH149" s="401">
        <f>IFERROR(INDEX((std_profil3_prt),MATCH($H149,Prt,0)),"")</f>
        <v>0</v>
      </c>
      <c r="AI149" s="401">
        <f t="shared" si="156"/>
        <v>0</v>
      </c>
      <c r="AJ149" s="401">
        <f>IFERROR(INDEX((std_profil_prt),MATCH($H149,Prt,0)),"")</f>
        <v>0</v>
      </c>
      <c r="AK149" s="401">
        <f t="shared" si="157"/>
        <v>0</v>
      </c>
      <c r="AL149" s="401">
        <f t="shared" si="158"/>
        <v>0</v>
      </c>
      <c r="AM149" s="189"/>
      <c r="AN149" s="829">
        <f>IFERROR(INDEX((std_rel_prt),MATCH($H149,Prt,0)),"")</f>
        <v>0</v>
      </c>
      <c r="AO149" s="830">
        <f>IFERROR(INDEX((std_engsel_prt),MATCH($H149,Prt,0)),"")</f>
        <v>0</v>
      </c>
      <c r="AP149" s="401" t="str">
        <f t="shared" si="159"/>
        <v/>
      </c>
      <c r="AQ149" s="401" t="str">
        <f t="shared" si="160"/>
        <v/>
      </c>
      <c r="AR149" s="401" t="str">
        <f t="shared" si="161"/>
        <v/>
      </c>
      <c r="AS149" s="401">
        <f>IFERROR(INDEX((std_anodize_per_ukuran),MATCH($H149,Prt,0)),"")</f>
        <v>0</v>
      </c>
      <c r="AT149" s="403" t="str">
        <f>IF($AS149=edging7,L149,IF($AS149=edging8,L149,IF($AS149=edging9,L149,IF($AS149=Hand1,J148,IF($AS149=Hand2,L148,IF($AS149=hand3,"diisi manual",IF($AS149=hand4,"diisi manual",IF($AS149=hand5,"diisi manual",IF($AS149=mled02,J149,IF($AS149=mprf1,J149,IF($AS149=mlis1,J149,"")))))))))))</f>
        <v/>
      </c>
      <c r="AU149" s="403">
        <f>IF($AS149="","",Q149*BR149)</f>
        <v>0</v>
      </c>
      <c r="AV149" s="170"/>
      <c r="AW149" s="166" t="str">
        <f>CONCATENATE(VLOOKUP($V149,tabtf,2,0),VLOOKUP($X149,tabtf,2,0))</f>
        <v>52</v>
      </c>
      <c r="AX149" s="166" t="str">
        <f t="shared" si="162"/>
        <v>3333</v>
      </c>
      <c r="AY149" s="189" t="str">
        <f t="shared" si="163"/>
        <v>HB_41130+[Aica]</v>
      </c>
      <c r="AZ149" s="189" t="str">
        <f t="shared" si="164"/>
        <v xml:space="preserve"> -</v>
      </c>
      <c r="BA149" s="196" t="str">
        <f t="shared" si="190"/>
        <v>139)Dinding Belakang_HB_41130+[Aica]</v>
      </c>
      <c r="BB149" s="629" t="str">
        <f t="shared" si="165"/>
        <v xml:space="preserve">139)Dinding Belakang Ply 6mm - HB_41130+[Aica] ;  -  </v>
      </c>
      <c r="BC149" s="190"/>
      <c r="BD149" s="510">
        <f t="shared" si="166"/>
        <v>0</v>
      </c>
      <c r="BE149" s="510">
        <f t="shared" si="167"/>
        <v>0</v>
      </c>
      <c r="BF149" s="177">
        <f>IFERROR(INDEX((std_j_sikufr_prt),MATCH($H149,Prt,0)),"")*Q149</f>
        <v>0</v>
      </c>
      <c r="BG149" s="177">
        <f>IFERROR(INDEX((std_j_screwjf_prt),MATCH($H149,Prt,0)),"")*Q149</f>
        <v>0</v>
      </c>
      <c r="BH149" s="166">
        <f t="shared" si="168"/>
        <v>0</v>
      </c>
      <c r="BI149" s="474">
        <f t="shared" si="169"/>
        <v>0</v>
      </c>
      <c r="BJ149" s="166">
        <f t="shared" si="170"/>
        <v>0</v>
      </c>
      <c r="BK149" s="474">
        <f t="shared" si="171"/>
        <v>0.75</v>
      </c>
      <c r="BL149" s="474">
        <f t="shared" si="172"/>
        <v>0.92300000000000004</v>
      </c>
      <c r="BM149" s="474">
        <f t="shared" si="173"/>
        <v>3.3460000000000001</v>
      </c>
      <c r="BN149" s="166">
        <f>((J149*L149)/1000000)*Q149</f>
        <v>0.62692999999999999</v>
      </c>
      <c r="BO149" s="166" t="str">
        <f t="shared" si="174"/>
        <v>Ply_6</v>
      </c>
      <c r="BP149" s="204" t="str">
        <f t="shared" si="175"/>
        <v>Ply 6 HB_41130+[Aica]</v>
      </c>
      <c r="BQ149" s="475">
        <f t="shared" si="176"/>
        <v>0.31768402777777782</v>
      </c>
      <c r="BR149" s="205">
        <f t="shared" si="191"/>
        <v>0</v>
      </c>
      <c r="BS149" s="509">
        <f t="shared" si="177"/>
        <v>0</v>
      </c>
      <c r="BT149" s="509">
        <f t="shared" si="178"/>
        <v>0</v>
      </c>
      <c r="BU149" s="459">
        <f t="shared" si="192"/>
        <v>0</v>
      </c>
      <c r="BV149" s="459">
        <f t="shared" si="192"/>
        <v>0</v>
      </c>
      <c r="BW149" s="1">
        <f t="shared" si="179"/>
        <v>0.62692999999999999</v>
      </c>
      <c r="BX149" s="1">
        <f t="shared" si="180"/>
        <v>4.38851E-3</v>
      </c>
      <c r="BY149" s="546" t="str">
        <f t="shared" si="181"/>
        <v/>
      </c>
      <c r="BZ149" s="546" t="str">
        <f t="shared" si="182"/>
        <v/>
      </c>
      <c r="CA149" s="546" t="str">
        <f t="shared" si="183"/>
        <v/>
      </c>
      <c r="CB149" s="546" t="str">
        <f t="shared" si="184"/>
        <v/>
      </c>
      <c r="CC149" s="728" t="str">
        <f t="shared" si="185"/>
        <v/>
      </c>
      <c r="CD149" s="728" t="str">
        <f t="shared" si="186"/>
        <v/>
      </c>
      <c r="CE149" s="170" t="str">
        <f t="shared" si="187"/>
        <v xml:space="preserve"> x  x 7</v>
      </c>
      <c r="CF149" t="str">
        <f t="shared" si="188"/>
        <v>710;883;1;Ply 6 HB_41130+[Aica];7;Dinding Belakang;-1; ;; ;; ;; ;</v>
      </c>
    </row>
    <row r="150" spans="1:84" customFormat="1">
      <c r="A150" s="701" t="str">
        <f t="shared" si="147"/>
        <v>…</v>
      </c>
      <c r="B150" s="447" t="str">
        <f t="shared" si="148"/>
        <v>…</v>
      </c>
      <c r="C150" s="161"/>
      <c r="D150" s="162" t="str">
        <f t="shared" si="189"/>
        <v/>
      </c>
      <c r="E150" s="1"/>
      <c r="F150" s="811" t="str">
        <f t="shared" si="149"/>
        <v/>
      </c>
      <c r="G150" s="440" t="str">
        <f t="shared" si="150"/>
        <v>...</v>
      </c>
      <c r="H150" s="1"/>
      <c r="I150" s="55"/>
      <c r="J150" s="170"/>
      <c r="K150" s="1"/>
      <c r="L150" s="170"/>
      <c r="M150" s="1"/>
      <c r="N150" s="166"/>
      <c r="O150" s="170"/>
      <c r="P150" s="441"/>
      <c r="Q150" s="55"/>
      <c r="R150" s="177"/>
      <c r="S150" s="454"/>
      <c r="T150" s="178"/>
      <c r="U150" s="178"/>
      <c r="V150" s="179"/>
      <c r="W150" s="180"/>
      <c r="X150" s="179"/>
      <c r="Y150" s="180"/>
      <c r="Z150" s="178"/>
      <c r="AA150" s="178"/>
      <c r="AB150" s="178"/>
      <c r="AC150" s="178"/>
      <c r="AD150" s="182" t="str">
        <f t="shared" si="152"/>
        <v xml:space="preserve"> </v>
      </c>
      <c r="AE150" s="182" t="str">
        <f t="shared" si="153"/>
        <v xml:space="preserve"> </v>
      </c>
      <c r="AF150" s="182" t="str">
        <f t="shared" si="154"/>
        <v xml:space="preserve"> </v>
      </c>
      <c r="AG150" s="182" t="str">
        <f t="shared" si="155"/>
        <v xml:space="preserve"> </v>
      </c>
      <c r="AH150" s="401"/>
      <c r="AI150" s="401" t="str">
        <f t="shared" si="156"/>
        <v/>
      </c>
      <c r="AJ150" s="182"/>
      <c r="AK150" s="401" t="str">
        <f t="shared" si="157"/>
        <v/>
      </c>
      <c r="AL150" s="401" t="str">
        <f t="shared" si="158"/>
        <v/>
      </c>
      <c r="AM150" s="189"/>
      <c r="AN150" s="829"/>
      <c r="AO150" s="830"/>
      <c r="AP150" s="401" t="str">
        <f t="shared" si="159"/>
        <v/>
      </c>
      <c r="AQ150" s="401" t="str">
        <f t="shared" si="160"/>
        <v/>
      </c>
      <c r="AR150" s="401" t="str">
        <f t="shared" si="161"/>
        <v/>
      </c>
      <c r="AS150" s="401"/>
      <c r="AT150" s="403"/>
      <c r="AU150" s="403" t="str">
        <f>IF($AS150=0,"",Q150*BR150)</f>
        <v/>
      </c>
      <c r="AV150" s="170"/>
      <c r="AW150" s="166"/>
      <c r="AX150" s="166" t="str">
        <f t="shared" si="162"/>
        <v>3333</v>
      </c>
      <c r="AY150" s="189" t="str">
        <f t="shared" si="163"/>
        <v/>
      </c>
      <c r="AZ150" s="189" t="str">
        <f t="shared" si="164"/>
        <v xml:space="preserve"> -</v>
      </c>
      <c r="BA150" s="196" t="str">
        <f t="shared" si="190"/>
        <v xml:space="preserve">0)  </v>
      </c>
      <c r="BB150" s="629" t="str">
        <f t="shared" si="165"/>
        <v xml:space="preserve">0) </v>
      </c>
      <c r="BC150" s="190"/>
      <c r="BD150" s="510" t="str">
        <f t="shared" si="166"/>
        <v/>
      </c>
      <c r="BE150" s="510" t="str">
        <f t="shared" si="167"/>
        <v/>
      </c>
      <c r="BF150" s="177"/>
      <c r="BG150" s="177"/>
      <c r="BH150" s="166"/>
      <c r="BI150" s="474">
        <f t="shared" si="169"/>
        <v>0</v>
      </c>
      <c r="BJ150" s="166"/>
      <c r="BK150" s="474">
        <f t="shared" si="171"/>
        <v>0</v>
      </c>
      <c r="BL150" s="474">
        <f t="shared" si="172"/>
        <v>0</v>
      </c>
      <c r="BM150" s="474">
        <f t="shared" si="173"/>
        <v>0</v>
      </c>
      <c r="BN150" s="166"/>
      <c r="BO150" s="166"/>
      <c r="BP150" s="204"/>
      <c r="BQ150" s="475">
        <f t="shared" si="176"/>
        <v>0.1</v>
      </c>
      <c r="BR150" s="205"/>
      <c r="BS150" s="509">
        <f t="shared" si="177"/>
        <v>0</v>
      </c>
      <c r="BT150" s="509">
        <f t="shared" si="178"/>
        <v>0</v>
      </c>
      <c r="BU150" s="459"/>
      <c r="BV150" s="459"/>
      <c r="BW150" s="1">
        <f t="shared" si="179"/>
        <v>0</v>
      </c>
      <c r="BX150" s="1">
        <f t="shared" si="180"/>
        <v>0</v>
      </c>
      <c r="BY150" s="546" t="str">
        <f t="shared" si="181"/>
        <v/>
      </c>
      <c r="BZ150" s="546" t="str">
        <f t="shared" si="182"/>
        <v/>
      </c>
      <c r="CA150" s="546" t="str">
        <f t="shared" si="183"/>
        <v/>
      </c>
      <c r="CB150" s="546" t="str">
        <f t="shared" si="184"/>
        <v/>
      </c>
      <c r="CC150" s="728" t="str">
        <f t="shared" si="185"/>
        <v/>
      </c>
      <c r="CD150" s="728" t="str">
        <f t="shared" si="186"/>
        <v/>
      </c>
      <c r="CE150" s="170" t="str">
        <f t="shared" si="187"/>
        <v xml:space="preserve"> x  x </v>
      </c>
      <c r="CF150" t="str">
        <f t="shared" si="188"/>
        <v xml:space="preserve"> </v>
      </c>
    </row>
    <row r="151" spans="1:84" customFormat="1">
      <c r="A151" s="701" t="str">
        <f t="shared" si="147"/>
        <v>…</v>
      </c>
      <c r="B151" s="447" t="str">
        <f t="shared" si="148"/>
        <v>…</v>
      </c>
      <c r="C151" s="1" t="s">
        <v>2605</v>
      </c>
      <c r="D151" s="538" t="str">
        <f>(INDEX(KS_Set,MATCH($H151,Set_prt,0)))</f>
        <v>…</v>
      </c>
      <c r="E151" s="1" t="s">
        <v>2167</v>
      </c>
      <c r="F151" s="811" t="str">
        <f t="shared" si="149"/>
        <v/>
      </c>
      <c r="G151" s="440" t="str">
        <f t="shared" si="150"/>
        <v>•</v>
      </c>
      <c r="H151" s="1" t="s">
        <v>2837</v>
      </c>
      <c r="I151" s="55"/>
      <c r="J151" s="171">
        <v>300</v>
      </c>
      <c r="K151" s="55" t="s">
        <v>2137</v>
      </c>
      <c r="L151" s="171">
        <f>+J144-nat-nat</f>
        <v>902</v>
      </c>
      <c r="M151" s="55" t="s">
        <v>2137</v>
      </c>
      <c r="N151" s="172">
        <v>20</v>
      </c>
      <c r="O151" s="170" t="str">
        <f>CONCATENATE(J151," ",K151," ",L151," ",M151," ",N151)</f>
        <v>300 x 902 x 20</v>
      </c>
      <c r="P151" s="139">
        <v>1</v>
      </c>
      <c r="Q151" s="172">
        <f>+P151*Q144</f>
        <v>1</v>
      </c>
      <c r="R151" s="181"/>
      <c r="S151" s="455"/>
      <c r="T151" s="170"/>
      <c r="U151" s="170"/>
      <c r="V151" s="1"/>
      <c r="W151" s="173"/>
      <c r="X151" s="1"/>
      <c r="Y151" s="166"/>
      <c r="Z151" s="170"/>
      <c r="AA151" s="170"/>
      <c r="AB151" s="170"/>
      <c r="AC151" s="170"/>
      <c r="AD151" s="182" t="str">
        <f t="shared" si="152"/>
        <v xml:space="preserve"> </v>
      </c>
      <c r="AE151" s="182" t="str">
        <f t="shared" si="153"/>
        <v xml:space="preserve"> </v>
      </c>
      <c r="AF151" s="182" t="str">
        <f t="shared" si="154"/>
        <v xml:space="preserve"> </v>
      </c>
      <c r="AG151" s="182" t="str">
        <f t="shared" si="155"/>
        <v xml:space="preserve"> </v>
      </c>
      <c r="AH151" s="189"/>
      <c r="AI151" s="401" t="str">
        <f t="shared" si="156"/>
        <v/>
      </c>
      <c r="AJ151" s="189"/>
      <c r="AK151" s="401" t="str">
        <f t="shared" si="157"/>
        <v/>
      </c>
      <c r="AL151" s="401" t="str">
        <f t="shared" si="158"/>
        <v/>
      </c>
      <c r="AM151" s="189"/>
      <c r="AN151" s="782"/>
      <c r="AO151" s="189"/>
      <c r="AP151" s="401" t="str">
        <f t="shared" si="159"/>
        <v/>
      </c>
      <c r="AQ151" s="401" t="str">
        <f t="shared" si="160"/>
        <v/>
      </c>
      <c r="AR151" s="401" t="str">
        <f t="shared" si="161"/>
        <v/>
      </c>
      <c r="AS151" s="188"/>
      <c r="AT151" s="1"/>
      <c r="AU151" s="403" t="str">
        <f>IF($AS151=0,"",Q151*BR151)</f>
        <v/>
      </c>
      <c r="AV151" s="1"/>
      <c r="AW151" s="166"/>
      <c r="AX151" s="166" t="str">
        <f t="shared" si="162"/>
        <v>3333</v>
      </c>
      <c r="AY151" s="189" t="str">
        <f t="shared" si="163"/>
        <v/>
      </c>
      <c r="AZ151" s="189" t="str">
        <f t="shared" si="164"/>
        <v xml:space="preserve"> -</v>
      </c>
      <c r="BA151" s="196" t="str">
        <f t="shared" si="190"/>
        <v>0) Tutup laci Kaca S2(rakit tukang) 300</v>
      </c>
      <c r="BB151" s="629" t="str">
        <f t="shared" si="165"/>
        <v>0B) Tutup laci Kaca S2(rakit tukang)</v>
      </c>
      <c r="BC151" s="197"/>
      <c r="BD151" s="510" t="str">
        <f t="shared" si="166"/>
        <v/>
      </c>
      <c r="BE151" s="510" t="str">
        <f t="shared" si="167"/>
        <v/>
      </c>
      <c r="BF151" s="177"/>
      <c r="BG151" s="177"/>
      <c r="BH151" s="166">
        <f>IF($AM151=0,0,1)*Q151</f>
        <v>0</v>
      </c>
      <c r="BI151" s="474">
        <f t="shared" si="169"/>
        <v>0</v>
      </c>
      <c r="BJ151" s="166">
        <f>IF($AN151=0,0,1)*Q151</f>
        <v>0</v>
      </c>
      <c r="BK151" s="474">
        <f t="shared" si="171"/>
        <v>0.34</v>
      </c>
      <c r="BL151" s="474">
        <f t="shared" si="172"/>
        <v>0.94199999999999995</v>
      </c>
      <c r="BM151" s="474">
        <f t="shared" si="173"/>
        <v>0</v>
      </c>
      <c r="BN151" s="166"/>
      <c r="BO151" s="166" t="str">
        <f>CONCATENATE(R151,"_",S151)</f>
        <v>_</v>
      </c>
      <c r="BP151" s="204" t="str">
        <f>CONCATENATE(R151," ",S151," ",AY151)</f>
        <v xml:space="preserve">  </v>
      </c>
      <c r="BQ151" s="475">
        <f t="shared" si="176"/>
        <v>0.19395833333333334</v>
      </c>
      <c r="BR151" s="205" t="str">
        <f t="shared" si="191"/>
        <v/>
      </c>
      <c r="BS151" s="509">
        <f t="shared" si="177"/>
        <v>8</v>
      </c>
      <c r="BT151" s="509">
        <f t="shared" si="178"/>
        <v>10</v>
      </c>
      <c r="BU151" s="459"/>
      <c r="BV151" s="459"/>
      <c r="BW151" s="1">
        <f t="shared" si="179"/>
        <v>0.27060000000000001</v>
      </c>
      <c r="BX151" s="1">
        <f t="shared" si="180"/>
        <v>5.4120000000000001E-3</v>
      </c>
      <c r="BY151" s="546" t="str">
        <f t="shared" si="181"/>
        <v/>
      </c>
      <c r="BZ151" s="546" t="str">
        <f t="shared" si="182"/>
        <v/>
      </c>
      <c r="CA151" s="546" t="str">
        <f t="shared" si="183"/>
        <v/>
      </c>
      <c r="CB151" s="546" t="str">
        <f t="shared" si="184"/>
        <v/>
      </c>
      <c r="CC151" s="728" t="str">
        <f t="shared" si="185"/>
        <v/>
      </c>
      <c r="CD151" s="728" t="str">
        <f t="shared" si="186"/>
        <v/>
      </c>
      <c r="CE151" s="170" t="str">
        <f t="shared" si="187"/>
        <v xml:space="preserve"> x  x 20</v>
      </c>
      <c r="CF151" t="str">
        <f t="shared" si="188"/>
        <v xml:space="preserve"> </v>
      </c>
    </row>
    <row r="152" spans="1:84" customFormat="1">
      <c r="A152" s="701" t="str">
        <f t="shared" si="147"/>
        <v>…</v>
      </c>
      <c r="B152" s="447" t="str">
        <f t="shared" si="148"/>
        <v>pintu</v>
      </c>
      <c r="C152" s="161" t="s">
        <v>1472</v>
      </c>
      <c r="D152" s="162" t="str">
        <f t="shared" si="189"/>
        <v>─</v>
      </c>
      <c r="E152" s="1" t="s">
        <v>2167</v>
      </c>
      <c r="F152" s="811">
        <f t="shared" si="149"/>
        <v>0</v>
      </c>
      <c r="G152" s="440" t="str">
        <f t="shared" si="150"/>
        <v>...</v>
      </c>
      <c r="H152" s="1" t="s">
        <v>1828</v>
      </c>
      <c r="I152" s="55"/>
      <c r="J152" s="170">
        <f>+J151-trim-trim</f>
        <v>296</v>
      </c>
      <c r="K152" s="1" t="s">
        <v>2137</v>
      </c>
      <c r="L152" s="170">
        <f>L151</f>
        <v>902</v>
      </c>
      <c r="M152" s="1" t="s">
        <v>2137</v>
      </c>
      <c r="N152" s="458">
        <f>+(S152+W152+Y152)</f>
        <v>14.5</v>
      </c>
      <c r="O152" s="170" t="str">
        <f>CONCATENATE(J152," ",K152," ",L152," ",M152," ",N152)</f>
        <v>296 x 902 x 14,5</v>
      </c>
      <c r="P152" s="441">
        <v>1</v>
      </c>
      <c r="Q152" s="55">
        <f>+P152*Q151</f>
        <v>1</v>
      </c>
      <c r="R152" s="177" t="str">
        <f>IFERROR(INDEX((std_bhn_prt),MATCH($H152,Prt,0)),"")</f>
        <v>Ply</v>
      </c>
      <c r="S152" s="454">
        <f>IFERROR(INDEX((std_Tbahan_prt),MATCH($H152,Prt,0)),"")</f>
        <v>13.5</v>
      </c>
      <c r="T152" s="178">
        <f>INDEX((std_lapisan_luar_prt),MATCH($H152,Prt,0))</f>
        <v>22</v>
      </c>
      <c r="U152" s="178">
        <f>INDEX((std_lapisan_dalam_prt),MATCH($H152,Prt,0))</f>
        <v>11</v>
      </c>
      <c r="V152" s="179" t="str">
        <f>IFERROR(INDEX((tf),MATCH(T152,ctf,0)),"")</f>
        <v>Aica</v>
      </c>
      <c r="W152" s="180">
        <f>IFERROR(INDEX((tebal_lapisan),MATCH($V152,tf,0)),"")</f>
        <v>0.5</v>
      </c>
      <c r="X152" s="179" t="str">
        <f>IFERROR(INDEX((tf),MATCH(U152,ctf,0)),"")</f>
        <v>HB_41130</v>
      </c>
      <c r="Y152" s="180">
        <f>IFERROR(INDEX((tebal_lapisan),MATCH($X152,tf,0)),"")</f>
        <v>0.5</v>
      </c>
      <c r="Z152" s="178">
        <f>INDEX((std_edg_P1_prt),MATCH($H152,Prt,0))</f>
        <v>1</v>
      </c>
      <c r="AA152" s="178">
        <f>INDEX((std_edg_P2_prt),MATCH($H152,Prt,0))</f>
        <v>1</v>
      </c>
      <c r="AB152" s="178">
        <f>INDEX((std_edg_L1_prt),MATCH($H152,Prt,0))</f>
        <v>0</v>
      </c>
      <c r="AC152" s="178">
        <f>INDEX((std_edg_L2_prt),MATCH($H152,Prt,0))</f>
        <v>0</v>
      </c>
      <c r="AD152" s="182" t="str">
        <f t="shared" si="152"/>
        <v>Edg_EAW_5216D1</v>
      </c>
      <c r="AE152" s="182" t="str">
        <f t="shared" si="153"/>
        <v>Edg_EAW_5216D1</v>
      </c>
      <c r="AF152" s="182" t="str">
        <f t="shared" si="154"/>
        <v xml:space="preserve"> </v>
      </c>
      <c r="AG152" s="182" t="str">
        <f t="shared" si="155"/>
        <v xml:space="preserve"> </v>
      </c>
      <c r="AH152" s="401" t="str">
        <f>IFERROR(INDEX((std_profil3_prt),MATCH($H152,Prt,0)),"")</f>
        <v>SILICONE SIKAFLEX 221 PUTIH</v>
      </c>
      <c r="AI152" s="401">
        <f t="shared" si="156"/>
        <v>0</v>
      </c>
      <c r="AJ152" s="401">
        <f>IFERROR(INDEX((std_profil_prt),MATCH($H152,Prt,0)),"")</f>
        <v>0</v>
      </c>
      <c r="AK152" s="401">
        <f t="shared" si="157"/>
        <v>0</v>
      </c>
      <c r="AL152" s="401">
        <f t="shared" si="158"/>
        <v>0</v>
      </c>
      <c r="AM152" s="189"/>
      <c r="AN152" s="829">
        <f>IFERROR(INDEX((std_rel_prt),MATCH($H152,Prt,0)),"")</f>
        <v>0</v>
      </c>
      <c r="AO152" s="830">
        <f>IFERROR(INDEX((std_engsel_prt),MATCH($H152,Prt,0)),"")</f>
        <v>0</v>
      </c>
      <c r="AP152" s="401" t="str">
        <f t="shared" si="159"/>
        <v/>
      </c>
      <c r="AQ152" s="401" t="str">
        <f t="shared" si="160"/>
        <v/>
      </c>
      <c r="AR152" s="401" t="str">
        <f t="shared" si="161"/>
        <v/>
      </c>
      <c r="AS152" s="401" t="str">
        <f>IFERROR(INDEX((std_anodize_per_ukuran),MATCH($H152,Prt,0)),"")</f>
        <v>Trim 22 S2/S4 Brown Doff ( Alm. 75270 ) P3</v>
      </c>
      <c r="AT152" s="403">
        <f>IF($AS152=edging7,L152,IF($AS152=edging8,L152,IF($AS152=edging9,L152,IF($AS152=Hand1,J151,IF($AS152=Hand2,L151,IF($AS152=hand3,"diisi manual",IF($AS152=hand4,"diisi manual",IF($AS152=hand5,"diisi manual",IF($AS152=mled02,J152,IF($AS152=mprf1,J152,IF($AS152=mlis1,J152,"")))))))))))</f>
        <v>902</v>
      </c>
      <c r="AU152" s="403">
        <f>IF($AS152="","",Q152*BR152)</f>
        <v>2</v>
      </c>
      <c r="AV152" s="170"/>
      <c r="AW152" s="166" t="str">
        <f>CONCATENATE(VLOOKUP($V152,tabtf,2,0),VLOOKUP($X152,tabtf,2,0))</f>
        <v>72</v>
      </c>
      <c r="AX152" s="166" t="str">
        <f t="shared" si="162"/>
        <v>4433</v>
      </c>
      <c r="AY152" s="189" t="str">
        <f t="shared" si="163"/>
        <v>HB_41130+Aica</v>
      </c>
      <c r="AZ152" s="189" t="str">
        <f t="shared" si="164"/>
        <v>Edg_EAW_5216D1_2sisi_pjg</v>
      </c>
      <c r="BA152" s="196" t="str">
        <f t="shared" si="190"/>
        <v>333)Tutup laci Kaca S2_HB_41130+Aica</v>
      </c>
      <c r="BB152" s="629" t="str">
        <f t="shared" si="165"/>
        <v xml:space="preserve">333)Tutup laci Kaca S2 Ply 13,5mm - HB_41130+Aica ; Edg_EAW_5216D1_2sisi_pjg  </v>
      </c>
      <c r="BC152" s="190"/>
      <c r="BD152" s="510">
        <f t="shared" si="166"/>
        <v>0</v>
      </c>
      <c r="BE152" s="510">
        <f t="shared" si="167"/>
        <v>0</v>
      </c>
      <c r="BF152" s="177">
        <f>IFERROR(INDEX((std_j_sikufr_prt),MATCH($H152,Prt,0)),"")*Q152</f>
        <v>0</v>
      </c>
      <c r="BG152" s="177">
        <f>IFERROR(INDEX((std_j_screwjf_prt),MATCH($H152,Prt,0)),"")*Q152</f>
        <v>0</v>
      </c>
      <c r="BH152" s="166">
        <f>IF($AM152=0,0,1)*Q152</f>
        <v>0</v>
      </c>
      <c r="BI152" s="474">
        <f t="shared" si="169"/>
        <v>0</v>
      </c>
      <c r="BJ152" s="166">
        <f>IF($AN152=0,0,1)*Q152</f>
        <v>0</v>
      </c>
      <c r="BK152" s="474">
        <f t="shared" si="171"/>
        <v>0.33600000000000002</v>
      </c>
      <c r="BL152" s="474">
        <f t="shared" si="172"/>
        <v>0.94199999999999995</v>
      </c>
      <c r="BM152" s="474">
        <f t="shared" si="173"/>
        <v>2.556</v>
      </c>
      <c r="BN152" s="166">
        <f>((J152*L152)/1000000)*Q152</f>
        <v>0.26699200000000001</v>
      </c>
      <c r="BO152" s="166" t="str">
        <f>CONCATENATE(R152,"_",S152)</f>
        <v>Ply_13,5</v>
      </c>
      <c r="BP152" s="204" t="str">
        <f>CONCATENATE(R152," ",S152," ",AY152)</f>
        <v>Ply 13,5 HB_41130+Aica</v>
      </c>
      <c r="BQ152" s="475">
        <f t="shared" si="176"/>
        <v>0.19270555555555557</v>
      </c>
      <c r="BR152" s="205">
        <f t="shared" si="191"/>
        <v>2</v>
      </c>
      <c r="BS152" s="509">
        <f t="shared" si="177"/>
        <v>0</v>
      </c>
      <c r="BT152" s="509">
        <f t="shared" si="178"/>
        <v>0</v>
      </c>
      <c r="BU152" s="459">
        <f>BF152*$Q152</f>
        <v>0</v>
      </c>
      <c r="BV152" s="459">
        <f>BG152*$Q152</f>
        <v>0</v>
      </c>
      <c r="BW152" s="1">
        <f t="shared" si="179"/>
        <v>0.26699200000000001</v>
      </c>
      <c r="BX152" s="1">
        <f t="shared" si="180"/>
        <v>3.8713839999999998E-3</v>
      </c>
      <c r="BY152" s="546" t="str">
        <f t="shared" si="181"/>
        <v/>
      </c>
      <c r="BZ152" s="546" t="str">
        <f t="shared" si="182"/>
        <v/>
      </c>
      <c r="CA152" s="546" t="str">
        <f t="shared" si="183"/>
        <v/>
      </c>
      <c r="CB152" s="546" t="str">
        <f t="shared" si="184"/>
        <v/>
      </c>
      <c r="CC152" s="728" t="str">
        <f t="shared" si="185"/>
        <v/>
      </c>
      <c r="CD152" s="728" t="str">
        <f t="shared" si="186"/>
        <v/>
      </c>
      <c r="CE152" s="170" t="str">
        <f t="shared" si="187"/>
        <v xml:space="preserve"> x  x 14,5</v>
      </c>
      <c r="CF152" t="str">
        <f t="shared" si="188"/>
        <v xml:space="preserve"> </v>
      </c>
    </row>
    <row r="153" spans="1:84" customFormat="1">
      <c r="A153" s="701" t="str">
        <f t="shared" si="147"/>
        <v>…</v>
      </c>
      <c r="B153" s="447" t="str">
        <f t="shared" si="148"/>
        <v>Kc</v>
      </c>
      <c r="C153" s="161" t="s">
        <v>1472</v>
      </c>
      <c r="D153" s="162" t="str">
        <f t="shared" si="189"/>
        <v>k¢</v>
      </c>
      <c r="E153" s="1" t="s">
        <v>2167</v>
      </c>
      <c r="F153" s="811">
        <f t="shared" si="149"/>
        <v>1</v>
      </c>
      <c r="G153" s="440" t="str">
        <f t="shared" si="150"/>
        <v>...</v>
      </c>
      <c r="H153" s="1" t="s">
        <v>3490</v>
      </c>
      <c r="I153" s="55" t="s">
        <v>3591</v>
      </c>
      <c r="J153" s="170">
        <f>+J152-1</f>
        <v>295</v>
      </c>
      <c r="K153" s="1" t="s">
        <v>2137</v>
      </c>
      <c r="L153" s="170">
        <f>+L152-1</f>
        <v>901</v>
      </c>
      <c r="M153" s="1" t="s">
        <v>2137</v>
      </c>
      <c r="N153" s="458">
        <f>+(S153+W153+Y153)</f>
        <v>5</v>
      </c>
      <c r="O153" s="170" t="str">
        <f>CONCATENATE(J153," ",K153," ",L153," ",M153," ",N153)</f>
        <v>295 x 901 x 5</v>
      </c>
      <c r="P153" s="441">
        <f>IFERROR(INDEX((std_sub_prt),MATCH($H153,Prt,0)),"")</f>
        <v>1</v>
      </c>
      <c r="Q153" s="55">
        <f>+P153*Q151</f>
        <v>1</v>
      </c>
      <c r="R153" s="177" t="str">
        <f>IFERROR(INDEX((std_bhn_prt),MATCH($H153,Prt,0)),"")</f>
        <v>MG_Purewhite</v>
      </c>
      <c r="S153" s="454">
        <f>IFERROR(INDEX((std_Tbahan_prt),MATCH($H153,Prt,0)),"")</f>
        <v>5</v>
      </c>
      <c r="T153" s="178">
        <f>INDEX((std_lapisan_luar_prt),MATCH($H153,Prt,0))</f>
        <v>0</v>
      </c>
      <c r="U153" s="178">
        <f>INDEX((std_lapisan_dalam_prt),MATCH($H153,Prt,0))</f>
        <v>0</v>
      </c>
      <c r="V153" s="179" t="str">
        <f>IFERROR(INDEX((tf),MATCH(T153,ctf,0)),"")</f>
        <v>Polos</v>
      </c>
      <c r="W153" s="180">
        <f>IFERROR(INDEX((tebal_lapisan),MATCH($V153,tf,0)),"")</f>
        <v>0</v>
      </c>
      <c r="X153" s="179" t="str">
        <f>IFERROR(INDEX((tf),MATCH(U153,ctf,0)),"")</f>
        <v>Polos</v>
      </c>
      <c r="Y153" s="180">
        <f>IFERROR(INDEX((tebal_lapisan),MATCH($X153,tf,0)),"")</f>
        <v>0</v>
      </c>
      <c r="Z153" s="178">
        <f>INDEX((std_edg_P1_prt),MATCH($H153,Prt,0))</f>
        <v>0</v>
      </c>
      <c r="AA153" s="178">
        <f>INDEX((std_edg_P2_prt),MATCH($H153,Prt,0))</f>
        <v>0</v>
      </c>
      <c r="AB153" s="178">
        <f>INDEX((std_edg_L1_prt),MATCH($H153,Prt,0))</f>
        <v>0</v>
      </c>
      <c r="AC153" s="178">
        <f>INDEX((std_edg_L2_prt),MATCH($H153,Prt,0))</f>
        <v>0</v>
      </c>
      <c r="AD153" s="182" t="str">
        <f t="shared" si="152"/>
        <v xml:space="preserve"> </v>
      </c>
      <c r="AE153" s="182" t="str">
        <f t="shared" si="153"/>
        <v xml:space="preserve"> </v>
      </c>
      <c r="AF153" s="182" t="str">
        <f t="shared" si="154"/>
        <v xml:space="preserve"> </v>
      </c>
      <c r="AG153" s="182" t="str">
        <f t="shared" si="155"/>
        <v xml:space="preserve"> </v>
      </c>
      <c r="AH153" s="401">
        <f>IFERROR(INDEX((std_profil3_prt),MATCH($H153,Prt,0)),"")</f>
        <v>0</v>
      </c>
      <c r="AI153" s="401">
        <f t="shared" si="156"/>
        <v>0</v>
      </c>
      <c r="AJ153" s="401">
        <f>IFERROR(INDEX((std_profil_prt),MATCH($H153,Prt,0)),"")</f>
        <v>0</v>
      </c>
      <c r="AK153" s="401">
        <f t="shared" si="157"/>
        <v>0</v>
      </c>
      <c r="AL153" s="401">
        <f t="shared" si="158"/>
        <v>0</v>
      </c>
      <c r="AM153" s="189"/>
      <c r="AN153" s="829">
        <f>IFERROR(INDEX((std_rel_prt),MATCH($H153,Prt,0)),"")</f>
        <v>0</v>
      </c>
      <c r="AO153" s="830">
        <f>IFERROR(INDEX((std_engsel_prt),MATCH($H153,Prt,0)),"")</f>
        <v>0</v>
      </c>
      <c r="AP153" s="401">
        <f t="shared" si="159"/>
        <v>0</v>
      </c>
      <c r="AQ153" s="401">
        <f t="shared" si="160"/>
        <v>0</v>
      </c>
      <c r="AR153" s="401">
        <f t="shared" si="161"/>
        <v>0</v>
      </c>
      <c r="AS153" s="401">
        <f>IFERROR(INDEX((std_anodize_per_ukuran),MATCH($H153,Prt,0)),"")</f>
        <v>0</v>
      </c>
      <c r="AT153" s="403" t="str">
        <f>IF($AS153=edging7,L153,IF($AS153=edging8,L153,IF($AS153=edging9,L153,IF($AS153=Hand1,J152,IF($AS153=Hand2,L152,IF($AS153=hand3,"diisi manual",IF($AS153=hand4,"diisi manual",IF($AS153=hand5,"diisi manual",IF($AS153=mled02,J153,IF($AS153=mprf1,J153,IF($AS153=mlis1,J153,"")))))))))))</f>
        <v/>
      </c>
      <c r="AU153" s="403">
        <f>IF($AS153="","",Q153*BR153)</f>
        <v>0</v>
      </c>
      <c r="AV153" s="170"/>
      <c r="AW153" s="166" t="str">
        <f>CONCATENATE(VLOOKUP($V153,tabtf,2,0),VLOOKUP($X153,tabtf,2,0))</f>
        <v>33</v>
      </c>
      <c r="AX153" s="166" t="str">
        <f t="shared" si="162"/>
        <v>3333</v>
      </c>
      <c r="AY153" s="189" t="str">
        <f t="shared" si="163"/>
        <v>Polos</v>
      </c>
      <c r="AZ153" s="189" t="str">
        <f t="shared" si="164"/>
        <v xml:space="preserve"> -</v>
      </c>
      <c r="BA153" s="196" t="str">
        <f t="shared" si="190"/>
        <v>535)Kaca__Polos</v>
      </c>
      <c r="BB153" s="629" t="str">
        <f t="shared" si="165"/>
        <v>535)Kaca_ MG_Purewhite 5mm -  ;  -  (u/_S2) ; (pasang_rakit)</v>
      </c>
      <c r="BC153" s="190"/>
      <c r="BD153" s="510">
        <f t="shared" si="166"/>
        <v>0</v>
      </c>
      <c r="BE153" s="510">
        <f t="shared" si="167"/>
        <v>0</v>
      </c>
      <c r="BF153" s="177">
        <f>IFERROR(INDEX((std_j_sikufr_prt),MATCH($H153,Prt,0)),"")*Q153</f>
        <v>0</v>
      </c>
      <c r="BG153" s="177">
        <f>IFERROR(INDEX((std_j_screwjf_prt),MATCH($H153,Prt,0)),"")*Q153</f>
        <v>0</v>
      </c>
      <c r="BH153" s="166">
        <f>IF($AM153=0,0,1)*Q153</f>
        <v>0</v>
      </c>
      <c r="BI153" s="474">
        <f t="shared" si="169"/>
        <v>0</v>
      </c>
      <c r="BJ153" s="166">
        <f>IF($AN153=0,0,1)*Q153</f>
        <v>0</v>
      </c>
      <c r="BK153" s="474">
        <f t="shared" si="171"/>
        <v>0.33500000000000002</v>
      </c>
      <c r="BL153" s="474">
        <f t="shared" si="172"/>
        <v>0.94099999999999995</v>
      </c>
      <c r="BM153" s="474">
        <f t="shared" si="173"/>
        <v>2.552</v>
      </c>
      <c r="BN153" s="166">
        <f>((J153*L153)/1000000)*Q153</f>
        <v>0.265795</v>
      </c>
      <c r="BO153" s="166" t="str">
        <f>CONCATENATE(R153,"_",S153)</f>
        <v>MG_Purewhite_5</v>
      </c>
      <c r="BP153" s="204" t="str">
        <f>CONCATENATE(R153," ",S153," ",AY153)</f>
        <v>MG_Purewhite 5 Polos</v>
      </c>
      <c r="BQ153" s="475">
        <f t="shared" si="176"/>
        <v>0.19228993055555554</v>
      </c>
      <c r="BR153" s="205">
        <f t="shared" si="191"/>
        <v>0</v>
      </c>
      <c r="BS153" s="509">
        <f t="shared" si="177"/>
        <v>0</v>
      </c>
      <c r="BT153" s="509">
        <f t="shared" si="178"/>
        <v>0</v>
      </c>
      <c r="BU153" s="459">
        <f>BF153*$Q153</f>
        <v>0</v>
      </c>
      <c r="BV153" s="459">
        <f>BG153*$Q153</f>
        <v>0</v>
      </c>
      <c r="BW153" s="1">
        <f t="shared" si="179"/>
        <v>0.265795</v>
      </c>
      <c r="BX153" s="1">
        <f t="shared" si="180"/>
        <v>1.328975E-3</v>
      </c>
      <c r="BY153" s="546" t="str">
        <f t="shared" si="181"/>
        <v/>
      </c>
      <c r="BZ153" s="546" t="str">
        <f t="shared" si="182"/>
        <v/>
      </c>
      <c r="CA153" s="546" t="str">
        <f t="shared" si="183"/>
        <v/>
      </c>
      <c r="CB153" s="546" t="str">
        <f t="shared" si="184"/>
        <v/>
      </c>
      <c r="CC153" s="728" t="str">
        <f t="shared" si="185"/>
        <v/>
      </c>
      <c r="CD153" s="728" t="str">
        <f t="shared" si="186"/>
        <v/>
      </c>
      <c r="CE153" s="170" t="str">
        <f t="shared" si="187"/>
        <v xml:space="preserve"> x  x 5</v>
      </c>
      <c r="CF153" t="str">
        <f t="shared" si="188"/>
        <v>295;901;1;MG_Purewhite 5 Polos;5;Kaca_;-1; ;; ;; ;; ;</v>
      </c>
    </row>
    <row r="154" spans="1:84" customFormat="1">
      <c r="A154" s="701" t="str">
        <f t="shared" si="147"/>
        <v>…</v>
      </c>
      <c r="B154" s="447" t="str">
        <f t="shared" si="148"/>
        <v>…</v>
      </c>
      <c r="C154" s="161"/>
      <c r="D154" s="162" t="str">
        <f t="shared" si="189"/>
        <v/>
      </c>
      <c r="E154" s="1"/>
      <c r="F154" s="811" t="str">
        <f t="shared" si="149"/>
        <v/>
      </c>
      <c r="G154" s="440" t="str">
        <f t="shared" si="150"/>
        <v>...</v>
      </c>
      <c r="H154" s="1"/>
      <c r="I154" s="55"/>
      <c r="J154" s="170"/>
      <c r="K154" s="1"/>
      <c r="L154" s="170"/>
      <c r="M154" s="1"/>
      <c r="N154" s="166"/>
      <c r="O154" s="170"/>
      <c r="P154" s="441"/>
      <c r="Q154" s="55"/>
      <c r="R154" s="177"/>
      <c r="S154" s="454"/>
      <c r="T154" s="178"/>
      <c r="U154" s="178"/>
      <c r="V154" s="179"/>
      <c r="W154" s="180"/>
      <c r="X154" s="179"/>
      <c r="Y154" s="180"/>
      <c r="Z154" s="178"/>
      <c r="AA154" s="178"/>
      <c r="AB154" s="178"/>
      <c r="AC154" s="178"/>
      <c r="AD154" s="182" t="str">
        <f t="shared" si="152"/>
        <v xml:space="preserve"> </v>
      </c>
      <c r="AE154" s="182" t="str">
        <f t="shared" si="153"/>
        <v xml:space="preserve"> </v>
      </c>
      <c r="AF154" s="182" t="str">
        <f t="shared" si="154"/>
        <v xml:space="preserve"> </v>
      </c>
      <c r="AG154" s="182" t="str">
        <f t="shared" si="155"/>
        <v xml:space="preserve"> </v>
      </c>
      <c r="AH154" s="401"/>
      <c r="AI154" s="401" t="str">
        <f t="shared" si="156"/>
        <v/>
      </c>
      <c r="AJ154" s="182"/>
      <c r="AK154" s="401" t="str">
        <f t="shared" si="157"/>
        <v/>
      </c>
      <c r="AL154" s="401" t="str">
        <f t="shared" si="158"/>
        <v/>
      </c>
      <c r="AM154" s="189"/>
      <c r="AN154" s="829"/>
      <c r="AO154" s="830"/>
      <c r="AP154" s="401" t="str">
        <f t="shared" si="159"/>
        <v/>
      </c>
      <c r="AQ154" s="401" t="str">
        <f t="shared" si="160"/>
        <v/>
      </c>
      <c r="AR154" s="401" t="str">
        <f t="shared" si="161"/>
        <v/>
      </c>
      <c r="AS154" s="401"/>
      <c r="AT154" s="403"/>
      <c r="AU154" s="403" t="str">
        <f>IF($AS154=0,"",Q154*BR154)</f>
        <v/>
      </c>
      <c r="AV154" s="170"/>
      <c r="AW154" s="166"/>
      <c r="AX154" s="166" t="str">
        <f t="shared" si="162"/>
        <v>3333</v>
      </c>
      <c r="AY154" s="189" t="str">
        <f t="shared" si="163"/>
        <v/>
      </c>
      <c r="AZ154" s="189" t="str">
        <f t="shared" si="164"/>
        <v xml:space="preserve"> -</v>
      </c>
      <c r="BA154" s="196" t="str">
        <f t="shared" si="190"/>
        <v xml:space="preserve">0)  </v>
      </c>
      <c r="BB154" s="629" t="str">
        <f t="shared" si="165"/>
        <v xml:space="preserve">0) </v>
      </c>
      <c r="BC154" s="190"/>
      <c r="BD154" s="510" t="str">
        <f t="shared" si="166"/>
        <v/>
      </c>
      <c r="BE154" s="510" t="str">
        <f t="shared" si="167"/>
        <v/>
      </c>
      <c r="BF154" s="177"/>
      <c r="BG154" s="177"/>
      <c r="BH154" s="166"/>
      <c r="BI154" s="474">
        <f t="shared" si="169"/>
        <v>0</v>
      </c>
      <c r="BJ154" s="166"/>
      <c r="BK154" s="474">
        <f t="shared" si="171"/>
        <v>0</v>
      </c>
      <c r="BL154" s="474">
        <f t="shared" si="172"/>
        <v>0</v>
      </c>
      <c r="BM154" s="474">
        <f t="shared" si="173"/>
        <v>0</v>
      </c>
      <c r="BN154" s="166"/>
      <c r="BO154" s="166"/>
      <c r="BP154" s="204"/>
      <c r="BQ154" s="475">
        <f t="shared" si="176"/>
        <v>0.1</v>
      </c>
      <c r="BR154" s="205"/>
      <c r="BS154" s="509">
        <f t="shared" si="177"/>
        <v>0</v>
      </c>
      <c r="BT154" s="509">
        <f t="shared" si="178"/>
        <v>0</v>
      </c>
      <c r="BU154" s="459"/>
      <c r="BV154" s="459"/>
      <c r="BW154" s="1">
        <f t="shared" si="179"/>
        <v>0</v>
      </c>
      <c r="BX154" s="1">
        <f t="shared" si="180"/>
        <v>0</v>
      </c>
      <c r="BY154" s="546" t="str">
        <f t="shared" si="181"/>
        <v/>
      </c>
      <c r="BZ154" s="546" t="str">
        <f t="shared" si="182"/>
        <v/>
      </c>
      <c r="CA154" s="546" t="str">
        <f t="shared" si="183"/>
        <v/>
      </c>
      <c r="CB154" s="546" t="str">
        <f t="shared" si="184"/>
        <v/>
      </c>
      <c r="CC154" s="728" t="str">
        <f t="shared" si="185"/>
        <v/>
      </c>
      <c r="CD154" s="728" t="str">
        <f t="shared" si="186"/>
        <v/>
      </c>
      <c r="CE154" s="170" t="str">
        <f t="shared" si="187"/>
        <v xml:space="preserve"> x  x </v>
      </c>
      <c r="CF154" t="str">
        <f t="shared" si="188"/>
        <v xml:space="preserve"> </v>
      </c>
    </row>
    <row r="155" spans="1:84" customFormat="1">
      <c r="A155" s="701" t="str">
        <f t="shared" si="147"/>
        <v>…</v>
      </c>
      <c r="B155" s="447" t="str">
        <f t="shared" si="148"/>
        <v>…</v>
      </c>
      <c r="C155" s="1" t="s">
        <v>1471</v>
      </c>
      <c r="D155" s="538" t="str">
        <f>(INDEX(KS_Set,MATCH($H155,Set_prt,0)))</f>
        <v>[ks]</v>
      </c>
      <c r="E155" s="1" t="s">
        <v>2167</v>
      </c>
      <c r="F155" s="811" t="str">
        <f t="shared" si="149"/>
        <v/>
      </c>
      <c r="G155" s="440" t="str">
        <f t="shared" si="150"/>
        <v>•</v>
      </c>
      <c r="H155" s="371" t="s">
        <v>2349</v>
      </c>
      <c r="I155" s="55"/>
      <c r="J155" s="370">
        <f>+J157+N156+N156</f>
        <v>851</v>
      </c>
      <c r="K155" s="55" t="s">
        <v>2137</v>
      </c>
      <c r="L155" s="370">
        <f>+J156</f>
        <v>490</v>
      </c>
      <c r="M155" s="55" t="s">
        <v>2137</v>
      </c>
      <c r="N155" s="452">
        <f>+L156</f>
        <v>230</v>
      </c>
      <c r="O155" s="170" t="str">
        <f>CONCATENATE(J155," ",K155," ",L155," ",M155," ",N155)</f>
        <v>851 x 490 x 230</v>
      </c>
      <c r="P155" s="139">
        <v>1</v>
      </c>
      <c r="Q155" s="369">
        <f>+P155*Q151</f>
        <v>1</v>
      </c>
      <c r="R155" s="181"/>
      <c r="S155" s="455"/>
      <c r="T155" s="170"/>
      <c r="U155" s="170"/>
      <c r="V155" s="1"/>
      <c r="W155" s="173"/>
      <c r="X155" s="1"/>
      <c r="Y155" s="166"/>
      <c r="Z155" s="170"/>
      <c r="AA155" s="170"/>
      <c r="AB155" s="170"/>
      <c r="AC155" s="170"/>
      <c r="AD155" s="182" t="str">
        <f t="shared" si="152"/>
        <v xml:space="preserve"> </v>
      </c>
      <c r="AE155" s="182" t="str">
        <f t="shared" si="153"/>
        <v xml:space="preserve"> </v>
      </c>
      <c r="AF155" s="182" t="str">
        <f t="shared" si="154"/>
        <v xml:space="preserve"> </v>
      </c>
      <c r="AG155" s="182" t="str">
        <f t="shared" si="155"/>
        <v xml:space="preserve"> </v>
      </c>
      <c r="AH155" s="189"/>
      <c r="AI155" s="401" t="str">
        <f t="shared" si="156"/>
        <v/>
      </c>
      <c r="AJ155" s="189"/>
      <c r="AK155" s="401" t="str">
        <f t="shared" si="157"/>
        <v/>
      </c>
      <c r="AL155" s="401" t="str">
        <f t="shared" si="158"/>
        <v/>
      </c>
      <c r="AM155" s="189"/>
      <c r="AN155" s="782"/>
      <c r="AO155" s="189"/>
      <c r="AP155" s="401" t="str">
        <f t="shared" si="159"/>
        <v/>
      </c>
      <c r="AQ155" s="401" t="str">
        <f t="shared" si="160"/>
        <v/>
      </c>
      <c r="AR155" s="401" t="str">
        <f t="shared" si="161"/>
        <v/>
      </c>
      <c r="AS155" s="188"/>
      <c r="AT155" s="1"/>
      <c r="AU155" s="403" t="str">
        <f>IF($AS155=0,"",Q155*BR155)</f>
        <v/>
      </c>
      <c r="AV155" s="1"/>
      <c r="AW155" s="166"/>
      <c r="AX155" s="166" t="str">
        <f t="shared" si="162"/>
        <v>3333</v>
      </c>
      <c r="AY155" s="189" t="str">
        <f t="shared" si="163"/>
        <v/>
      </c>
      <c r="AZ155" s="189" t="str">
        <f t="shared" si="164"/>
        <v xml:space="preserve"> -</v>
      </c>
      <c r="BA155" s="196" t="str">
        <f>IF($R155=0,CONCATENATE(0,")"," ",$H155," ",$J155),CONCATENATE(VLOOKUP(H155,tabprt,2,0),")",$H155,"_",AY155))</f>
        <v>0) Kotak Laci (rakit tukang) 851</v>
      </c>
      <c r="BB155" s="629" t="str">
        <f t="shared" si="165"/>
        <v>0B) Kotak Laci (rakit tukang)</v>
      </c>
      <c r="BC155" s="197"/>
      <c r="BD155" s="510" t="str">
        <f t="shared" si="166"/>
        <v/>
      </c>
      <c r="BE155" s="510" t="str">
        <f t="shared" si="167"/>
        <v/>
      </c>
      <c r="BF155" s="177"/>
      <c r="BG155" s="177"/>
      <c r="BH155" s="166">
        <f>IF($AM155=0,0,1)*Q155</f>
        <v>0</v>
      </c>
      <c r="BI155" s="474">
        <f t="shared" si="169"/>
        <v>0</v>
      </c>
      <c r="BJ155" s="166">
        <f>IF($AN155=0,0,1)*Q155</f>
        <v>0</v>
      </c>
      <c r="BK155" s="474">
        <f t="shared" si="171"/>
        <v>0.89100000000000001</v>
      </c>
      <c r="BL155" s="474">
        <f t="shared" si="172"/>
        <v>0.53</v>
      </c>
      <c r="BM155" s="474">
        <f t="shared" si="173"/>
        <v>0</v>
      </c>
      <c r="BN155" s="166"/>
      <c r="BO155" s="166" t="str">
        <f>CONCATENATE(R155,"_",S155)</f>
        <v>_</v>
      </c>
      <c r="BP155" s="204" t="str">
        <f>CONCATENATE(R155," ",S155," ",AY155)</f>
        <v xml:space="preserve">  </v>
      </c>
      <c r="BQ155" s="475">
        <f t="shared" si="176"/>
        <v>0.24478819444444444</v>
      </c>
      <c r="BR155" s="205" t="str">
        <f>IFERROR(INDEX((std_jml_anodize_per_uk),MATCH($H155,Prt,0)),"")</f>
        <v/>
      </c>
      <c r="BS155" s="509">
        <f t="shared" si="177"/>
        <v>4</v>
      </c>
      <c r="BT155" s="509">
        <f t="shared" si="178"/>
        <v>6</v>
      </c>
      <c r="BU155" s="459"/>
      <c r="BV155" s="459"/>
      <c r="BW155" s="1">
        <f t="shared" si="179"/>
        <v>0.41699000000000003</v>
      </c>
      <c r="BX155" s="1">
        <f t="shared" si="180"/>
        <v>9.5907699999999999E-2</v>
      </c>
      <c r="BY155" s="546" t="str">
        <f t="shared" si="181"/>
        <v/>
      </c>
      <c r="BZ155" s="546" t="str">
        <f t="shared" si="182"/>
        <v/>
      </c>
      <c r="CA155" s="546" t="str">
        <f t="shared" si="183"/>
        <v/>
      </c>
      <c r="CB155" s="546" t="str">
        <f t="shared" si="184"/>
        <v/>
      </c>
      <c r="CC155" s="728" t="str">
        <f t="shared" si="185"/>
        <v/>
      </c>
      <c r="CD155" s="728" t="str">
        <f t="shared" si="186"/>
        <v/>
      </c>
      <c r="CE155" s="170" t="str">
        <f t="shared" si="187"/>
        <v xml:space="preserve"> x  x 230</v>
      </c>
      <c r="CF155" t="str">
        <f t="shared" si="188"/>
        <v xml:space="preserve"> </v>
      </c>
    </row>
    <row r="156" spans="1:84" customFormat="1">
      <c r="A156" s="701" t="str">
        <f t="shared" si="147"/>
        <v>…</v>
      </c>
      <c r="B156" s="447" t="str">
        <f t="shared" si="148"/>
        <v>kabinet</v>
      </c>
      <c r="C156" s="161" t="s">
        <v>1472</v>
      </c>
      <c r="D156" s="162" t="str">
        <f t="shared" si="189"/>
        <v>KS</v>
      </c>
      <c r="E156" s="1" t="s">
        <v>2167</v>
      </c>
      <c r="F156" s="811">
        <f t="shared" si="149"/>
        <v>1</v>
      </c>
      <c r="G156" s="440" t="str">
        <f t="shared" si="150"/>
        <v>...</v>
      </c>
      <c r="H156" s="1" t="s">
        <v>1799</v>
      </c>
      <c r="I156" s="55"/>
      <c r="J156" s="170">
        <f>D_tdm_50</f>
        <v>490</v>
      </c>
      <c r="K156" s="1" t="s">
        <v>2137</v>
      </c>
      <c r="L156" s="170">
        <f>+J151-70</f>
        <v>230</v>
      </c>
      <c r="M156" s="1" t="s">
        <v>2137</v>
      </c>
      <c r="N156" s="458">
        <f>+(S156+W156+Y156)</f>
        <v>13</v>
      </c>
      <c r="O156" s="170" t="str">
        <f>CONCATENATE(J156," ",K156," ",L156," ",M156," ",N156)</f>
        <v>490 x 230 x 13</v>
      </c>
      <c r="P156" s="441">
        <f>IFERROR(INDEX((std_sub_prt),MATCH($H156,Prt,0)),"")</f>
        <v>2</v>
      </c>
      <c r="Q156" s="55">
        <f>+P156*Q155</f>
        <v>2</v>
      </c>
      <c r="R156" s="177" t="str">
        <f>IFERROR(INDEX((std_bhn_prt),MATCH($H156,Prt,0)),"")</f>
        <v>Ply</v>
      </c>
      <c r="S156" s="454">
        <f>IFERROR(INDEX((std_Tbahan_prt),MATCH($H156,Prt,0)),"")</f>
        <v>12</v>
      </c>
      <c r="T156" s="178">
        <f>INDEX((std_lapisan_luar_prt),MATCH($H156,Prt,0))</f>
        <v>11</v>
      </c>
      <c r="U156" s="178">
        <f>INDEX((std_lapisan_dalam_prt),MATCH($H156,Prt,0))</f>
        <v>11</v>
      </c>
      <c r="V156" s="179" t="str">
        <f>IFERROR(INDEX((tf),MATCH(T156,ctf,0)),"")</f>
        <v>HB_41130</v>
      </c>
      <c r="W156" s="180">
        <f>IFERROR(INDEX((tebal_lapisan),MATCH($V156,tf,0)),"")</f>
        <v>0.5</v>
      </c>
      <c r="X156" s="179" t="str">
        <f>IFERROR(INDEX((tf),MATCH(U156,ctf,0)),"")</f>
        <v>HB_41130</v>
      </c>
      <c r="Y156" s="180">
        <f>IFERROR(INDEX((tebal_lapisan),MATCH($X156,tf,0)),"")</f>
        <v>0.5</v>
      </c>
      <c r="Z156" s="178">
        <f>INDEX((std_edg_P1_prt),MATCH($H156,Prt,0))</f>
        <v>11</v>
      </c>
      <c r="AA156" s="178">
        <f>INDEX((std_edg_P2_prt),MATCH($H156,Prt,0))</f>
        <v>11</v>
      </c>
      <c r="AB156" s="178">
        <f>INDEX((std_edg_L1_prt),MATCH($H156,Prt,0))</f>
        <v>11</v>
      </c>
      <c r="AC156" s="178">
        <f>INDEX((std_edg_L2_prt),MATCH($H156,Prt,0))</f>
        <v>11</v>
      </c>
      <c r="AD156" s="182" t="str">
        <f t="shared" si="152"/>
        <v>Edg_Décor_1723_B</v>
      </c>
      <c r="AE156" s="182" t="str">
        <f t="shared" si="153"/>
        <v>Edg_Décor_1723_B</v>
      </c>
      <c r="AF156" s="182" t="str">
        <f t="shared" si="154"/>
        <v>Edg_Décor_1723_B</v>
      </c>
      <c r="AG156" s="182" t="str">
        <f t="shared" si="155"/>
        <v>Edg_Décor_1723_B</v>
      </c>
      <c r="AH156" s="401">
        <f>IFERROR(INDEX((std_profil3_prt),MATCH($H156,Prt,0)),"")</f>
        <v>0</v>
      </c>
      <c r="AI156" s="401">
        <f t="shared" si="156"/>
        <v>0</v>
      </c>
      <c r="AJ156" s="401">
        <f>IFERROR(INDEX((std_profil_prt),MATCH($H156,Prt,0)),"")</f>
        <v>0</v>
      </c>
      <c r="AK156" s="401">
        <f t="shared" si="157"/>
        <v>0</v>
      </c>
      <c r="AL156" s="401">
        <f t="shared" si="158"/>
        <v>0</v>
      </c>
      <c r="AM156" s="189"/>
      <c r="AN156" s="829">
        <f>IFERROR(INDEX((std_rel_prt),MATCH($H156,Prt,0)),"")</f>
        <v>0</v>
      </c>
      <c r="AO156" s="830">
        <f>IFERROR(INDEX((std_engsel_prt),MATCH($H156,Prt,0)),"")</f>
        <v>0</v>
      </c>
      <c r="AP156" s="401" t="str">
        <f t="shared" si="159"/>
        <v/>
      </c>
      <c r="AQ156" s="401" t="str">
        <f t="shared" si="160"/>
        <v/>
      </c>
      <c r="AR156" s="401" t="str">
        <f t="shared" si="161"/>
        <v/>
      </c>
      <c r="AS156" s="401">
        <f>IFERROR(INDEX((std_anodize_per_ukuran),MATCH($H156,Prt,0)),"")</f>
        <v>0</v>
      </c>
      <c r="AT156" s="403" t="str">
        <f>IF($AS156=edging7,L156,IF($AS156=edging8,L156,IF($AS156=edging9,L156,IF($AS156=Hand1,J155,IF($AS156=Hand2,L155,IF($AS156=hand3,"diisi manual",IF($AS156=hand4,"diisi manual",IF($AS156=hand5,"diisi manual",IF($AS156=mled02,J156,IF($AS156=mprf1,J156,IF($AS156=mlis1,J156,"")))))))))))</f>
        <v/>
      </c>
      <c r="AU156" s="403">
        <f>IF($AS156="","",Q156*BR156)</f>
        <v>0</v>
      </c>
      <c r="AV156" s="170"/>
      <c r="AW156" s="166" t="str">
        <f>CONCATENATE(VLOOKUP($V156,tabtf,2,0),VLOOKUP($X156,tabtf,2,0))</f>
        <v>22</v>
      </c>
      <c r="AX156" s="166" t="str">
        <f t="shared" si="162"/>
        <v>1111</v>
      </c>
      <c r="AY156" s="189" t="str">
        <f t="shared" si="163"/>
        <v>HB_41130_2mk</v>
      </c>
      <c r="AZ156" s="189" t="str">
        <f t="shared" si="164"/>
        <v>Edg_Décor_1723_B_Keliling</v>
      </c>
      <c r="BA156" s="196" t="str">
        <f>IF($R156=0,CONCATENATE(0,")"," ",$H156," ",$J156),CONCATENATE(VLOOKUP(H156,tabprt,2,0),")",$H156,"_",AY156))</f>
        <v>176)Samping laci_HB_41130_2mk</v>
      </c>
      <c r="BB156" s="629" t="str">
        <f t="shared" si="165"/>
        <v xml:space="preserve">176)Samping laci Ply 12mm - HB_41130_2mk ; Edg_Décor_1723_B_Keliling  </v>
      </c>
      <c r="BC156" s="190"/>
      <c r="BD156" s="510">
        <f t="shared" si="166"/>
        <v>0</v>
      </c>
      <c r="BE156" s="510">
        <f t="shared" si="167"/>
        <v>0</v>
      </c>
      <c r="BF156" s="177">
        <f>IFERROR(INDEX((std_j_sikufr_prt),MATCH($H156,Prt,0)),"")*Q156</f>
        <v>0</v>
      </c>
      <c r="BG156" s="177">
        <f>IFERROR(INDEX((std_j_screwjf_prt),MATCH($H156,Prt,0)),"")*Q156</f>
        <v>0</v>
      </c>
      <c r="BH156" s="166">
        <f>IF($AM156=0,0,1)*Q156</f>
        <v>0</v>
      </c>
      <c r="BI156" s="474">
        <f t="shared" si="169"/>
        <v>0</v>
      </c>
      <c r="BJ156" s="166">
        <f>IF($AN156=0,0,1)*Q156</f>
        <v>0</v>
      </c>
      <c r="BK156" s="474">
        <f t="shared" si="171"/>
        <v>1.06</v>
      </c>
      <c r="BL156" s="474">
        <f t="shared" si="172"/>
        <v>0.54</v>
      </c>
      <c r="BM156" s="474">
        <f t="shared" si="173"/>
        <v>3.2</v>
      </c>
      <c r="BN156" s="166">
        <f>((J156*L156)/1000000)*Q156</f>
        <v>0.22539999999999999</v>
      </c>
      <c r="BO156" s="166" t="str">
        <f>CONCATENATE(R156,"_",S156)</f>
        <v>Ply_12</v>
      </c>
      <c r="BP156" s="204" t="str">
        <f>CONCATENATE(R156," ",S156," ",AY156)</f>
        <v>Ply 12 HB_41130_2mk</v>
      </c>
      <c r="BQ156" s="475">
        <f t="shared" si="176"/>
        <v>0.17826388888888889</v>
      </c>
      <c r="BR156" s="205">
        <f t="shared" si="191"/>
        <v>0</v>
      </c>
      <c r="BS156" s="509">
        <f t="shared" si="177"/>
        <v>0</v>
      </c>
      <c r="BT156" s="509">
        <f t="shared" si="178"/>
        <v>0</v>
      </c>
      <c r="BU156" s="459">
        <f t="shared" ref="BU156:BV158" si="193">BF156*$Q156</f>
        <v>0</v>
      </c>
      <c r="BV156" s="459">
        <f t="shared" si="193"/>
        <v>0</v>
      </c>
      <c r="BW156" s="1">
        <f t="shared" si="179"/>
        <v>0.22539999999999999</v>
      </c>
      <c r="BX156" s="1">
        <f t="shared" si="180"/>
        <v>2.9302E-3</v>
      </c>
      <c r="BY156" s="546">
        <f t="shared" si="181"/>
        <v>1</v>
      </c>
      <c r="BZ156" s="546">
        <f t="shared" si="182"/>
        <v>1</v>
      </c>
      <c r="CA156" s="546">
        <f t="shared" si="183"/>
        <v>1</v>
      </c>
      <c r="CB156" s="546">
        <f t="shared" si="184"/>
        <v>1</v>
      </c>
      <c r="CC156" s="728">
        <f t="shared" si="185"/>
        <v>488</v>
      </c>
      <c r="CD156" s="728">
        <f t="shared" si="186"/>
        <v>228</v>
      </c>
      <c r="CE156" s="170" t="str">
        <f t="shared" si="187"/>
        <v>488 x 228 x 13</v>
      </c>
      <c r="CF156" t="str">
        <f t="shared" si="188"/>
        <v>490;230;2;Ply 12 HB_41130_2mk;13;Samping laci;-1;Edg_Décor_1723_B;1;Edg_Décor_1723_B;1;Edg_Décor_1723_B;1;Edg_Décor_1723_B;1</v>
      </c>
    </row>
    <row r="157" spans="1:84" customFormat="1">
      <c r="A157" s="701" t="str">
        <f t="shared" si="147"/>
        <v>…</v>
      </c>
      <c r="B157" s="447" t="str">
        <f t="shared" si="148"/>
        <v>kabinet</v>
      </c>
      <c r="C157" s="161" t="s">
        <v>1472</v>
      </c>
      <c r="D157" s="162" t="str">
        <f t="shared" si="189"/>
        <v>KS</v>
      </c>
      <c r="E157" s="1" t="s">
        <v>2167</v>
      </c>
      <c r="F157" s="811">
        <f t="shared" si="149"/>
        <v>1</v>
      </c>
      <c r="G157" s="440" t="str">
        <f t="shared" si="150"/>
        <v>...</v>
      </c>
      <c r="H157" s="1" t="s">
        <v>1800</v>
      </c>
      <c r="I157" s="55"/>
      <c r="J157" s="751">
        <f>+J147-Tdm-(2*sl_tbl)</f>
        <v>825</v>
      </c>
      <c r="K157" s="1" t="s">
        <v>2137</v>
      </c>
      <c r="L157" s="457">
        <f>+ROUNDDOWN(L156-10-N158,0)</f>
        <v>213</v>
      </c>
      <c r="M157" s="1" t="s">
        <v>2137</v>
      </c>
      <c r="N157" s="458">
        <f>+(S157+W157+Y157)</f>
        <v>13</v>
      </c>
      <c r="O157" s="170" t="str">
        <f>CONCATENATE(J157," ",K157," ",L157," ",M157," ",N157)</f>
        <v>825 x 213 x 13</v>
      </c>
      <c r="P157" s="441">
        <f>IFERROR(INDEX((std_sub_prt),MATCH($H157,Prt,0)),"")</f>
        <v>2</v>
      </c>
      <c r="Q157" s="55">
        <f>+P157*Q155</f>
        <v>2</v>
      </c>
      <c r="R157" s="177" t="str">
        <f>IFERROR(INDEX((std_bhn_prt),MATCH($H157,Prt,0)),"")</f>
        <v>Ply</v>
      </c>
      <c r="S157" s="454">
        <f>IFERROR(INDEX((std_Tbahan_prt),MATCH($H157,Prt,0)),"")</f>
        <v>12</v>
      </c>
      <c r="T157" s="178">
        <f>INDEX((std_lapisan_luar_prt),MATCH($H157,Prt,0))</f>
        <v>11</v>
      </c>
      <c r="U157" s="178">
        <f>INDEX((std_lapisan_dalam_prt),MATCH($H157,Prt,0))</f>
        <v>11</v>
      </c>
      <c r="V157" s="179" t="str">
        <f>IFERROR(INDEX((tf),MATCH(T157,ctf,0)),"")</f>
        <v>HB_41130</v>
      </c>
      <c r="W157" s="180">
        <f>IFERROR(INDEX((tebal_lapisan),MATCH($V157,tf,0)),"")</f>
        <v>0.5</v>
      </c>
      <c r="X157" s="179" t="str">
        <f>IFERROR(INDEX((tf),MATCH(U157,ctf,0)),"")</f>
        <v>HB_41130</v>
      </c>
      <c r="Y157" s="180">
        <f>IFERROR(INDEX((tebal_lapisan),MATCH($X157,tf,0)),"")</f>
        <v>0.5</v>
      </c>
      <c r="Z157" s="178">
        <f>INDEX((std_edg_P1_prt),MATCH($H157,Prt,0))</f>
        <v>11</v>
      </c>
      <c r="AA157" s="178">
        <f>INDEX((std_edg_P2_prt),MATCH($H157,Prt,0))</f>
        <v>0</v>
      </c>
      <c r="AB157" s="178">
        <f>INDEX((std_edg_L1_prt),MATCH($H157,Prt,0))</f>
        <v>0</v>
      </c>
      <c r="AC157" s="178">
        <f>INDEX((std_edg_L2_prt),MATCH($H157,Prt,0))</f>
        <v>0</v>
      </c>
      <c r="AD157" s="182" t="str">
        <f t="shared" si="152"/>
        <v>Edg_Décor_1723_B</v>
      </c>
      <c r="AE157" s="182" t="str">
        <f t="shared" si="153"/>
        <v xml:space="preserve"> </v>
      </c>
      <c r="AF157" s="182" t="str">
        <f t="shared" si="154"/>
        <v xml:space="preserve"> </v>
      </c>
      <c r="AG157" s="182" t="str">
        <f t="shared" si="155"/>
        <v xml:space="preserve"> </v>
      </c>
      <c r="AH157" s="401">
        <f>IFERROR(INDEX((std_profil3_prt),MATCH($H157,Prt,0)),"")</f>
        <v>0</v>
      </c>
      <c r="AI157" s="401">
        <f t="shared" si="156"/>
        <v>0</v>
      </c>
      <c r="AJ157" s="401">
        <f>IFERROR(INDEX((std_profil_prt),MATCH($H157,Prt,0)),"")</f>
        <v>0</v>
      </c>
      <c r="AK157" s="401">
        <f t="shared" si="157"/>
        <v>0</v>
      </c>
      <c r="AL157" s="401">
        <f t="shared" si="158"/>
        <v>0</v>
      </c>
      <c r="AM157" s="189"/>
      <c r="AN157" s="829">
        <f>IFERROR(INDEX((std_rel_prt),MATCH($H157,Prt,0)),"")</f>
        <v>0</v>
      </c>
      <c r="AO157" s="830">
        <f>IFERROR(INDEX((std_engsel_prt),MATCH($H157,Prt,0)),"")</f>
        <v>0</v>
      </c>
      <c r="AP157" s="401" t="str">
        <f t="shared" si="159"/>
        <v/>
      </c>
      <c r="AQ157" s="401" t="str">
        <f t="shared" si="160"/>
        <v/>
      </c>
      <c r="AR157" s="401" t="str">
        <f t="shared" si="161"/>
        <v/>
      </c>
      <c r="AS157" s="401">
        <f>IFERROR(INDEX((std_anodize_per_ukuran),MATCH($H157,Prt,0)),"")</f>
        <v>0</v>
      </c>
      <c r="AT157" s="403" t="str">
        <f>IF($AS157=edging7,L157,IF($AS157=edging8,L157,IF($AS157=edging9,L157,IF($AS157=Hand1,J156,IF($AS157=Hand2,L156,IF($AS157=hand3,"diisi manual",IF($AS157=hand4,"diisi manual",IF($AS157=hand5,"diisi manual",IF($AS157=mled02,J157,IF($AS157=mprf1,J157,IF($AS157=mlis1,J157,"")))))))))))</f>
        <v/>
      </c>
      <c r="AU157" s="403">
        <f>IF($AS157="","",Q157*BR157)</f>
        <v>0</v>
      </c>
      <c r="AV157" s="170"/>
      <c r="AW157" s="166" t="str">
        <f>CONCATENATE(VLOOKUP($V157,tabtf,2,0),VLOOKUP($X157,tabtf,2,0))</f>
        <v>22</v>
      </c>
      <c r="AX157" s="166" t="str">
        <f t="shared" si="162"/>
        <v>1333</v>
      </c>
      <c r="AY157" s="189" t="str">
        <f t="shared" si="163"/>
        <v>HB_41130_2mk</v>
      </c>
      <c r="AZ157" s="189" t="str">
        <f t="shared" si="164"/>
        <v>Edg_Décor_1723_B_1sisi_pjg</v>
      </c>
      <c r="BA157" s="196" t="str">
        <f>IF($R157=0,CONCATENATE(0,")"," ",$H157," ",$J157),CONCATENATE(VLOOKUP(H157,tabprt,2,0),")",$H157,"_",AY157))</f>
        <v>179)Depan belakang laci_HB_41130_2mk</v>
      </c>
      <c r="BB157" s="629" t="str">
        <f t="shared" si="165"/>
        <v xml:space="preserve">179)Depan belakang laci Ply 12mm - HB_41130_2mk ; Edg_Décor_1723_B_1sisi_pjg  </v>
      </c>
      <c r="BC157" s="190"/>
      <c r="BD157" s="510">
        <f t="shared" si="166"/>
        <v>0</v>
      </c>
      <c r="BE157" s="510" t="str">
        <f t="shared" si="167"/>
        <v>DOWEL KAYU 4X8</v>
      </c>
      <c r="BF157" s="177">
        <f>IFERROR(INDEX((std_j_sikufr_prt),MATCH($H157,Prt,0)),"")*Q157</f>
        <v>0</v>
      </c>
      <c r="BG157" s="177">
        <f>IFERROR(INDEX((std_j_screwjf_prt),MATCH($H157,Prt,0)),"")*Q157</f>
        <v>0</v>
      </c>
      <c r="BH157" s="166">
        <f>IF($AM157=0,0,1)*Q157</f>
        <v>0</v>
      </c>
      <c r="BI157" s="474">
        <f t="shared" si="169"/>
        <v>0</v>
      </c>
      <c r="BJ157" s="166">
        <f>IF($AN157=0,0,1)*Q157</f>
        <v>0</v>
      </c>
      <c r="BK157" s="474">
        <f t="shared" si="171"/>
        <v>1.73</v>
      </c>
      <c r="BL157" s="474">
        <f t="shared" si="172"/>
        <v>0.50600000000000001</v>
      </c>
      <c r="BM157" s="474">
        <f t="shared" si="173"/>
        <v>4.4720000000000004</v>
      </c>
      <c r="BN157" s="166">
        <f>((J157*L157)/1000000)*Q157</f>
        <v>0.35144999999999998</v>
      </c>
      <c r="BO157" s="166" t="str">
        <f>CONCATENATE(R157,"_",S157)</f>
        <v>Ply_12</v>
      </c>
      <c r="BP157" s="204" t="str">
        <f>CONCATENATE(R157," ",S157," ",AY157)</f>
        <v>Ply 12 HB_41130_2mk</v>
      </c>
      <c r="BQ157" s="475">
        <f t="shared" si="176"/>
        <v>0.22203125000000001</v>
      </c>
      <c r="BR157" s="205">
        <f t="shared" si="191"/>
        <v>0</v>
      </c>
      <c r="BS157" s="509">
        <f t="shared" si="177"/>
        <v>0</v>
      </c>
      <c r="BT157" s="509">
        <f t="shared" si="178"/>
        <v>8</v>
      </c>
      <c r="BU157" s="459">
        <f t="shared" si="193"/>
        <v>0</v>
      </c>
      <c r="BV157" s="459">
        <f t="shared" si="193"/>
        <v>0</v>
      </c>
      <c r="BW157" s="1">
        <f t="shared" si="179"/>
        <v>0.35144999999999998</v>
      </c>
      <c r="BX157" s="1">
        <f t="shared" si="180"/>
        <v>4.5688500000000002E-3</v>
      </c>
      <c r="BY157" s="546">
        <f t="shared" si="181"/>
        <v>1</v>
      </c>
      <c r="BZ157" s="546" t="str">
        <f t="shared" si="182"/>
        <v/>
      </c>
      <c r="CA157" s="546" t="str">
        <f t="shared" si="183"/>
        <v/>
      </c>
      <c r="CB157" s="546" t="str">
        <f t="shared" si="184"/>
        <v/>
      </c>
      <c r="CC157" s="728" t="str">
        <f t="shared" si="185"/>
        <v/>
      </c>
      <c r="CD157" s="728" t="str">
        <f t="shared" si="186"/>
        <v/>
      </c>
      <c r="CE157" s="170" t="str">
        <f t="shared" si="187"/>
        <v xml:space="preserve"> x  x 13</v>
      </c>
      <c r="CF157" t="str">
        <f t="shared" si="188"/>
        <v>825;213;2;Ply 12 HB_41130_2mk;13;Depan belakang laci;-1; ;; ;;Edg_Décor_1723_B;1; ;</v>
      </c>
    </row>
    <row r="158" spans="1:84" customFormat="1">
      <c r="A158" s="701" t="str">
        <f t="shared" si="147"/>
        <v>…</v>
      </c>
      <c r="B158" s="447" t="str">
        <f t="shared" si="148"/>
        <v>kabinet</v>
      </c>
      <c r="C158" s="161" t="s">
        <v>1472</v>
      </c>
      <c r="D158" s="162" t="str">
        <f t="shared" si="189"/>
        <v>KS</v>
      </c>
      <c r="E158" s="1" t="s">
        <v>2167</v>
      </c>
      <c r="F158" s="811">
        <f t="shared" si="149"/>
        <v>1</v>
      </c>
      <c r="G158" s="440" t="str">
        <f t="shared" si="150"/>
        <v>...</v>
      </c>
      <c r="H158" s="1" t="s">
        <v>1803</v>
      </c>
      <c r="I158" s="55"/>
      <c r="J158" s="751">
        <f>+J157+12+(2*sl_tbl)</f>
        <v>837</v>
      </c>
      <c r="K158" s="1" t="s">
        <v>2137</v>
      </c>
      <c r="L158" s="170">
        <f>+J156-2</f>
        <v>488</v>
      </c>
      <c r="M158" s="1" t="s">
        <v>2137</v>
      </c>
      <c r="N158" s="458">
        <f>+(S158+W158+Y158)</f>
        <v>7</v>
      </c>
      <c r="O158" s="170" t="str">
        <f>CONCATENATE(J158," ",K158," ",L158," ",M158," ",N158)</f>
        <v>837 x 488 x 7</v>
      </c>
      <c r="P158" s="441">
        <f>IFERROR(INDEX((std_sub_prt),MATCH($H158,Prt,0)),"")</f>
        <v>1</v>
      </c>
      <c r="Q158" s="55">
        <f>+P158*Q155</f>
        <v>1</v>
      </c>
      <c r="R158" s="177" t="str">
        <f>IFERROR(INDEX((std_bhn_prt),MATCH($H158,Prt,0)),"")</f>
        <v>Ply</v>
      </c>
      <c r="S158" s="454">
        <f>IFERROR(INDEX((std_Tbahan_prt),MATCH($H158,Prt,0)),"")</f>
        <v>6</v>
      </c>
      <c r="T158" s="178">
        <f>INDEX((std_lapisan_luar_prt),MATCH($H158,Prt,0))</f>
        <v>9</v>
      </c>
      <c r="U158" s="178">
        <f>INDEX((std_lapisan_dalam_prt),MATCH($H158,Prt,0))</f>
        <v>11</v>
      </c>
      <c r="V158" s="179" t="str">
        <f>IFERROR(INDEX((tf),MATCH(T158,ctf,0)),"")</f>
        <v>[Aica]</v>
      </c>
      <c r="W158" s="180">
        <f>IFERROR(INDEX((tebal_lapisan),MATCH($V158,tf,0)),"")</f>
        <v>0.5</v>
      </c>
      <c r="X158" s="179" t="str">
        <f>IFERROR(INDEX((tf),MATCH(U158,ctf,0)),"")</f>
        <v>HB_41130</v>
      </c>
      <c r="Y158" s="180">
        <f>IFERROR(INDEX((tebal_lapisan),MATCH($X158,tf,0)),"")</f>
        <v>0.5</v>
      </c>
      <c r="Z158" s="178">
        <f>INDEX((std_edg_P1_prt),MATCH($H158,Prt,0))</f>
        <v>0</v>
      </c>
      <c r="AA158" s="178">
        <f>INDEX((std_edg_P2_prt),MATCH($H158,Prt,0))</f>
        <v>0</v>
      </c>
      <c r="AB158" s="178">
        <f>INDEX((std_edg_L1_prt),MATCH($H158,Prt,0))</f>
        <v>0</v>
      </c>
      <c r="AC158" s="178">
        <f>INDEX((std_edg_L2_prt),MATCH($H158,Prt,0))</f>
        <v>0</v>
      </c>
      <c r="AD158" s="182" t="str">
        <f t="shared" si="152"/>
        <v xml:space="preserve"> </v>
      </c>
      <c r="AE158" s="182" t="str">
        <f t="shared" si="153"/>
        <v xml:space="preserve"> </v>
      </c>
      <c r="AF158" s="182" t="str">
        <f t="shared" si="154"/>
        <v xml:space="preserve"> </v>
      </c>
      <c r="AG158" s="182" t="str">
        <f t="shared" si="155"/>
        <v xml:space="preserve"> </v>
      </c>
      <c r="AH158" s="401">
        <f>IFERROR(INDEX((std_profil3_prt),MATCH($H158,Prt,0)),"")</f>
        <v>0</v>
      </c>
      <c r="AI158" s="401">
        <f t="shared" si="156"/>
        <v>0</v>
      </c>
      <c r="AJ158" s="401">
        <f>IFERROR(INDEX((std_profil_prt),MATCH($H158,Prt,0)),"")</f>
        <v>0</v>
      </c>
      <c r="AK158" s="401">
        <f t="shared" si="157"/>
        <v>0</v>
      </c>
      <c r="AL158" s="401">
        <f t="shared" si="158"/>
        <v>0</v>
      </c>
      <c r="AM158" s="189"/>
      <c r="AN158" s="829" t="str">
        <f>IFERROR(INDEX((std_rel_prt),MATCH($H158,Prt,0)),"")</f>
        <v>REL TANDEM BLUM FULL EXT INTG P.500</v>
      </c>
      <c r="AO158" s="830">
        <f>IFERROR(INDEX((std_engsel_prt),MATCH($H158,Prt,0)),"")</f>
        <v>0</v>
      </c>
      <c r="AP158" s="401" t="str">
        <f t="shared" si="159"/>
        <v/>
      </c>
      <c r="AQ158" s="401" t="str">
        <f t="shared" si="160"/>
        <v/>
      </c>
      <c r="AR158" s="401" t="str">
        <f t="shared" si="161"/>
        <v/>
      </c>
      <c r="AS158" s="401">
        <f>IFERROR(INDEX((std_anodize_per_ukuran),MATCH($H158,Prt,0)),"")</f>
        <v>0</v>
      </c>
      <c r="AT158" s="403" t="str">
        <f>IF($AS158=edging7,L158,IF($AS158=edging8,L158,IF($AS158=edging9,L158,IF($AS158=Hand1,J157,IF($AS158=Hand2,L157,IF($AS158=hand3,"diisi manual",IF($AS158=hand4,"diisi manual",IF($AS158=hand5,"diisi manual",IF($AS158=mled02,J158,IF($AS158=mprf1,J158,IF($AS158=mlis1,J158,"")))))))))))</f>
        <v/>
      </c>
      <c r="AU158" s="403">
        <f>IF($AS158="","",Q158*BR158)</f>
        <v>0</v>
      </c>
      <c r="AV158" s="170"/>
      <c r="AW158" s="166" t="str">
        <f>CONCATENATE(VLOOKUP($V158,tabtf,2,0),VLOOKUP($X158,tabtf,2,0))</f>
        <v>52</v>
      </c>
      <c r="AX158" s="166" t="str">
        <f t="shared" si="162"/>
        <v>3333</v>
      </c>
      <c r="AY158" s="189" t="str">
        <f t="shared" si="163"/>
        <v>HB_41130+[Aica]</v>
      </c>
      <c r="AZ158" s="189" t="str">
        <f t="shared" si="164"/>
        <v xml:space="preserve"> -</v>
      </c>
      <c r="BA158" s="196" t="str">
        <f>IF($R158=0,CONCATENATE(0,")"," ",$H158," ",$J158),CONCATENATE(VLOOKUP(H158,tabprt,2,0),")",$H158,"_",AY158))</f>
        <v>185)Dasar laci_HB_41130+[Aica]</v>
      </c>
      <c r="BB158" s="629" t="str">
        <f t="shared" si="165"/>
        <v xml:space="preserve">185)Dasar laci Ply 6mm - HB_41130+[Aica] ;  -  </v>
      </c>
      <c r="BC158" s="190"/>
      <c r="BD158" s="510">
        <f t="shared" si="166"/>
        <v>0</v>
      </c>
      <c r="BE158" s="510">
        <f t="shared" si="167"/>
        <v>0</v>
      </c>
      <c r="BF158" s="177">
        <f>IFERROR(INDEX((std_j_sikufr_prt),MATCH($H158,Prt,0)),"")*Q158</f>
        <v>0</v>
      </c>
      <c r="BG158" s="177">
        <f>IFERROR(INDEX((std_j_screwjf_prt),MATCH($H158,Prt,0)),"")*Q158</f>
        <v>0</v>
      </c>
      <c r="BH158" s="166">
        <f>IF($AM158=0,0,1)*Q158</f>
        <v>0</v>
      </c>
      <c r="BI158" s="474">
        <f t="shared" si="169"/>
        <v>0</v>
      </c>
      <c r="BJ158" s="166">
        <f>IF($AN158=0,0,1)*Q158</f>
        <v>1</v>
      </c>
      <c r="BK158" s="474">
        <f t="shared" si="171"/>
        <v>0.877</v>
      </c>
      <c r="BL158" s="474">
        <f t="shared" si="172"/>
        <v>0.52800000000000002</v>
      </c>
      <c r="BM158" s="474">
        <f t="shared" si="173"/>
        <v>2.81</v>
      </c>
      <c r="BN158" s="166">
        <f>((J158*L158)/1000000)*Q158</f>
        <v>0.40845599999999999</v>
      </c>
      <c r="BO158" s="166" t="str">
        <f>CONCATENATE(R158,"_",S158)</f>
        <v>Ply_6</v>
      </c>
      <c r="BP158" s="204" t="str">
        <f>CONCATENATE(R158," ",S158," ",AY158)</f>
        <v>Ply 6 HB_41130+[Aica]</v>
      </c>
      <c r="BQ158" s="475">
        <f t="shared" si="176"/>
        <v>0.24182500000000001</v>
      </c>
      <c r="BR158" s="205">
        <f t="shared" si="191"/>
        <v>0</v>
      </c>
      <c r="BS158" s="509">
        <f t="shared" si="177"/>
        <v>0</v>
      </c>
      <c r="BT158" s="509">
        <f t="shared" si="178"/>
        <v>0</v>
      </c>
      <c r="BU158" s="459">
        <f t="shared" si="193"/>
        <v>0</v>
      </c>
      <c r="BV158" s="459">
        <f t="shared" si="193"/>
        <v>0</v>
      </c>
      <c r="BW158" s="1">
        <f t="shared" si="179"/>
        <v>0.40845599999999999</v>
      </c>
      <c r="BX158" s="1">
        <f t="shared" si="180"/>
        <v>2.859192E-3</v>
      </c>
      <c r="BY158" s="546" t="str">
        <f t="shared" si="181"/>
        <v/>
      </c>
      <c r="BZ158" s="546" t="str">
        <f t="shared" si="182"/>
        <v/>
      </c>
      <c r="CA158" s="546" t="str">
        <f t="shared" si="183"/>
        <v/>
      </c>
      <c r="CB158" s="546" t="str">
        <f t="shared" si="184"/>
        <v/>
      </c>
      <c r="CC158" s="728" t="str">
        <f t="shared" si="185"/>
        <v/>
      </c>
      <c r="CD158" s="728" t="str">
        <f t="shared" si="186"/>
        <v/>
      </c>
      <c r="CE158" s="170" t="str">
        <f t="shared" si="187"/>
        <v xml:space="preserve"> x  x 7</v>
      </c>
      <c r="CF158" t="str">
        <f t="shared" si="188"/>
        <v>837;488;1;Ply 6 HB_41130+[Aica];7;Dasar laci;-1; ;; ;; ;; ;</v>
      </c>
    </row>
    <row r="159" spans="1:84" customFormat="1">
      <c r="A159" s="701" t="str">
        <f t="shared" si="147"/>
        <v>…</v>
      </c>
      <c r="B159" s="447" t="str">
        <f t="shared" si="148"/>
        <v>…</v>
      </c>
      <c r="C159" s="161"/>
      <c r="D159" s="162"/>
      <c r="E159" s="1"/>
      <c r="F159" s="811" t="str">
        <f t="shared" si="149"/>
        <v/>
      </c>
      <c r="G159" s="440"/>
      <c r="H159" s="1"/>
      <c r="I159" s="55"/>
      <c r="J159" s="170"/>
      <c r="K159" s="1"/>
      <c r="L159" s="170"/>
      <c r="M159" s="1"/>
      <c r="N159" s="458"/>
      <c r="O159" s="170"/>
      <c r="P159" s="441"/>
      <c r="Q159" s="55"/>
      <c r="R159" s="177"/>
      <c r="S159" s="454"/>
      <c r="T159" s="178"/>
      <c r="U159" s="178"/>
      <c r="V159" s="179"/>
      <c r="W159" s="180"/>
      <c r="X159" s="179"/>
      <c r="Y159" s="180"/>
      <c r="Z159" s="178"/>
      <c r="AA159" s="178"/>
      <c r="AB159" s="178"/>
      <c r="AC159" s="178"/>
      <c r="AD159" s="182" t="str">
        <f t="shared" si="152"/>
        <v xml:space="preserve"> </v>
      </c>
      <c r="AE159" s="182" t="str">
        <f t="shared" si="153"/>
        <v xml:space="preserve"> </v>
      </c>
      <c r="AF159" s="182" t="str">
        <f t="shared" si="154"/>
        <v xml:space="preserve"> </v>
      </c>
      <c r="AG159" s="182" t="str">
        <f t="shared" si="155"/>
        <v xml:space="preserve"> </v>
      </c>
      <c r="AH159" s="401"/>
      <c r="AI159" s="401" t="str">
        <f t="shared" si="156"/>
        <v/>
      </c>
      <c r="AJ159" s="182"/>
      <c r="AK159" s="401" t="str">
        <f t="shared" si="157"/>
        <v/>
      </c>
      <c r="AL159" s="401" t="str">
        <f t="shared" si="158"/>
        <v/>
      </c>
      <c r="AM159" s="189"/>
      <c r="AN159" s="829"/>
      <c r="AO159" s="830"/>
      <c r="AP159" s="401" t="str">
        <f t="shared" si="159"/>
        <v/>
      </c>
      <c r="AQ159" s="401" t="str">
        <f t="shared" si="160"/>
        <v/>
      </c>
      <c r="AR159" s="401" t="str">
        <f t="shared" si="161"/>
        <v/>
      </c>
      <c r="AS159" s="401"/>
      <c r="AT159" s="403"/>
      <c r="AU159" s="403"/>
      <c r="AV159" s="170"/>
      <c r="AW159" s="166"/>
      <c r="AX159" s="166" t="str">
        <f t="shared" si="162"/>
        <v>3333</v>
      </c>
      <c r="AY159" s="189" t="str">
        <f t="shared" si="163"/>
        <v/>
      </c>
      <c r="AZ159" s="189" t="str">
        <f t="shared" si="164"/>
        <v xml:space="preserve"> -</v>
      </c>
      <c r="BA159" s="196"/>
      <c r="BB159" s="629" t="str">
        <f t="shared" si="165"/>
        <v xml:space="preserve">0) </v>
      </c>
      <c r="BC159" s="190"/>
      <c r="BD159" s="510" t="str">
        <f t="shared" si="166"/>
        <v/>
      </c>
      <c r="BE159" s="510" t="str">
        <f t="shared" si="167"/>
        <v/>
      </c>
      <c r="BF159" s="177"/>
      <c r="BG159" s="177"/>
      <c r="BH159" s="166"/>
      <c r="BI159" s="474">
        <f t="shared" si="169"/>
        <v>0</v>
      </c>
      <c r="BJ159" s="166"/>
      <c r="BK159" s="474">
        <f t="shared" si="171"/>
        <v>0</v>
      </c>
      <c r="BL159" s="474">
        <f t="shared" si="172"/>
        <v>0</v>
      </c>
      <c r="BM159" s="474">
        <f t="shared" si="173"/>
        <v>0</v>
      </c>
      <c r="BN159" s="166"/>
      <c r="BO159" s="166"/>
      <c r="BP159" s="204"/>
      <c r="BQ159" s="475">
        <f t="shared" si="176"/>
        <v>0.1</v>
      </c>
      <c r="BR159" s="205"/>
      <c r="BS159" s="509">
        <f t="shared" si="177"/>
        <v>0</v>
      </c>
      <c r="BT159" s="509">
        <f t="shared" si="178"/>
        <v>0</v>
      </c>
      <c r="BU159" s="459"/>
      <c r="BV159" s="459"/>
      <c r="BW159" s="1">
        <f t="shared" si="179"/>
        <v>0</v>
      </c>
      <c r="BX159" s="1">
        <f t="shared" si="180"/>
        <v>0</v>
      </c>
      <c r="BY159" s="546" t="str">
        <f t="shared" si="181"/>
        <v/>
      </c>
      <c r="BZ159" s="546" t="str">
        <f t="shared" si="182"/>
        <v/>
      </c>
      <c r="CA159" s="546" t="str">
        <f t="shared" si="183"/>
        <v/>
      </c>
      <c r="CB159" s="546" t="str">
        <f t="shared" si="184"/>
        <v/>
      </c>
      <c r="CC159" s="728" t="str">
        <f t="shared" si="185"/>
        <v/>
      </c>
      <c r="CD159" s="728" t="str">
        <f t="shared" si="186"/>
        <v/>
      </c>
      <c r="CE159" s="170" t="str">
        <f t="shared" si="187"/>
        <v xml:space="preserve"> x  x </v>
      </c>
      <c r="CF159" t="str">
        <f t="shared" si="188"/>
        <v xml:space="preserve"> </v>
      </c>
    </row>
    <row r="160" spans="1:84" customFormat="1">
      <c r="A160" s="701" t="str">
        <f t="shared" si="147"/>
        <v>…</v>
      </c>
      <c r="B160" s="447" t="str">
        <f t="shared" si="148"/>
        <v>…</v>
      </c>
      <c r="C160" s="1" t="s">
        <v>2605</v>
      </c>
      <c r="D160" s="538" t="str">
        <f>(INDEX(KS_Set,MATCH($H160,Set_prt,0)))</f>
        <v>…</v>
      </c>
      <c r="E160" s="1" t="s">
        <v>2167</v>
      </c>
      <c r="F160" s="811" t="str">
        <f t="shared" si="149"/>
        <v/>
      </c>
      <c r="G160" s="440" t="str">
        <f t="shared" ref="G160:G198" si="194">IFERROR(INDEX((no_ref),MATCH($H160,ref,0)),"...")</f>
        <v>•</v>
      </c>
      <c r="H160" s="1" t="s">
        <v>2837</v>
      </c>
      <c r="I160" s="55"/>
      <c r="J160" s="406">
        <f>+(N144-J151-(2*Nat_FC)-2)/2</f>
        <v>185</v>
      </c>
      <c r="K160" s="55" t="s">
        <v>2137</v>
      </c>
      <c r="L160" s="171">
        <f>+L151</f>
        <v>902</v>
      </c>
      <c r="M160" s="55" t="s">
        <v>2137</v>
      </c>
      <c r="N160" s="172">
        <v>20</v>
      </c>
      <c r="O160" s="170" t="str">
        <f>CONCATENATE(J160," ",K160," ",L160," ",M160," ",N160)</f>
        <v>185 x 902 x 20</v>
      </c>
      <c r="P160" s="139">
        <v>2</v>
      </c>
      <c r="Q160" s="172">
        <f>+P160*Q144</f>
        <v>2</v>
      </c>
      <c r="R160" s="181"/>
      <c r="S160" s="455"/>
      <c r="T160" s="170"/>
      <c r="U160" s="170"/>
      <c r="V160" s="1"/>
      <c r="W160" s="173"/>
      <c r="X160" s="1"/>
      <c r="Y160" s="166"/>
      <c r="Z160" s="170"/>
      <c r="AA160" s="170"/>
      <c r="AB160" s="170"/>
      <c r="AC160" s="170"/>
      <c r="AD160" s="182" t="str">
        <f t="shared" si="152"/>
        <v xml:space="preserve"> </v>
      </c>
      <c r="AE160" s="182" t="str">
        <f t="shared" si="153"/>
        <v xml:space="preserve"> </v>
      </c>
      <c r="AF160" s="182" t="str">
        <f t="shared" si="154"/>
        <v xml:space="preserve"> </v>
      </c>
      <c r="AG160" s="182" t="str">
        <f t="shared" si="155"/>
        <v xml:space="preserve"> </v>
      </c>
      <c r="AH160" s="189"/>
      <c r="AI160" s="401" t="str">
        <f t="shared" si="156"/>
        <v/>
      </c>
      <c r="AJ160" s="189"/>
      <c r="AK160" s="401" t="str">
        <f t="shared" si="157"/>
        <v/>
      </c>
      <c r="AL160" s="401" t="str">
        <f t="shared" si="158"/>
        <v/>
      </c>
      <c r="AM160" s="189"/>
      <c r="AN160" s="782"/>
      <c r="AO160" s="189"/>
      <c r="AP160" s="401" t="str">
        <f t="shared" si="159"/>
        <v/>
      </c>
      <c r="AQ160" s="401" t="str">
        <f t="shared" si="160"/>
        <v/>
      </c>
      <c r="AR160" s="401" t="str">
        <f t="shared" si="161"/>
        <v/>
      </c>
      <c r="AS160" s="188"/>
      <c r="AT160" s="1"/>
      <c r="AU160" s="403" t="str">
        <f>IF($AS160=0,"",Q160*BR160)</f>
        <v/>
      </c>
      <c r="AV160" s="1"/>
      <c r="AW160" s="166"/>
      <c r="AX160" s="166" t="str">
        <f t="shared" si="162"/>
        <v>3333</v>
      </c>
      <c r="AY160" s="189" t="str">
        <f t="shared" si="163"/>
        <v/>
      </c>
      <c r="AZ160" s="189" t="str">
        <f t="shared" si="164"/>
        <v xml:space="preserve"> -</v>
      </c>
      <c r="BA160" s="196" t="str">
        <f t="shared" ref="BA160:BA167" si="195">IF($R160=0,CONCATENATE(0,")"," ",$H160," ",$J160),CONCATENATE(VLOOKUP(H160,tabprt,2,0),")",$H160,"_",AY160))</f>
        <v>0) Tutup laci Kaca S2(rakit tukang) 185</v>
      </c>
      <c r="BB160" s="629" t="str">
        <f t="shared" si="165"/>
        <v>0B) Tutup laci Kaca S2(rakit tukang)</v>
      </c>
      <c r="BC160" s="197"/>
      <c r="BD160" s="510" t="str">
        <f t="shared" si="166"/>
        <v/>
      </c>
      <c r="BE160" s="510" t="str">
        <f t="shared" si="167"/>
        <v/>
      </c>
      <c r="BF160" s="177"/>
      <c r="BG160" s="177"/>
      <c r="BH160" s="166">
        <f>IF($AM160=0,0,1)*Q160</f>
        <v>0</v>
      </c>
      <c r="BI160" s="474">
        <f t="shared" si="169"/>
        <v>0</v>
      </c>
      <c r="BJ160" s="166">
        <f>IF($AN160=0,0,1)*Q160</f>
        <v>0</v>
      </c>
      <c r="BK160" s="474">
        <f t="shared" si="171"/>
        <v>0.45</v>
      </c>
      <c r="BL160" s="474">
        <f t="shared" si="172"/>
        <v>1.8839999999999999</v>
      </c>
      <c r="BM160" s="474">
        <f t="shared" si="173"/>
        <v>0</v>
      </c>
      <c r="BN160" s="166"/>
      <c r="BO160" s="166" t="str">
        <f>CONCATENATE(R160,"_",S160)</f>
        <v>_</v>
      </c>
      <c r="BP160" s="204" t="str">
        <f>CONCATENATE(R160," ",S160," ",AY160)</f>
        <v xml:space="preserve">  </v>
      </c>
      <c r="BQ160" s="475">
        <f t="shared" si="176"/>
        <v>0.21588194444444445</v>
      </c>
      <c r="BR160" s="205" t="str">
        <f t="shared" si="191"/>
        <v/>
      </c>
      <c r="BS160" s="509">
        <f t="shared" si="177"/>
        <v>16</v>
      </c>
      <c r="BT160" s="509">
        <f t="shared" si="178"/>
        <v>20</v>
      </c>
      <c r="BU160" s="459"/>
      <c r="BV160" s="459"/>
      <c r="BW160" s="1">
        <f t="shared" si="179"/>
        <v>0.33373999999999998</v>
      </c>
      <c r="BX160" s="1">
        <f t="shared" si="180"/>
        <v>6.6747999999999998E-3</v>
      </c>
      <c r="BY160" s="546" t="str">
        <f t="shared" si="181"/>
        <v/>
      </c>
      <c r="BZ160" s="546" t="str">
        <f t="shared" si="182"/>
        <v/>
      </c>
      <c r="CA160" s="546" t="str">
        <f t="shared" si="183"/>
        <v/>
      </c>
      <c r="CB160" s="546" t="str">
        <f t="shared" si="184"/>
        <v/>
      </c>
      <c r="CC160" s="728" t="str">
        <f t="shared" si="185"/>
        <v/>
      </c>
      <c r="CD160" s="728" t="str">
        <f t="shared" si="186"/>
        <v/>
      </c>
      <c r="CE160" s="170" t="str">
        <f t="shared" si="187"/>
        <v xml:space="preserve"> x  x 20</v>
      </c>
      <c r="CF160" t="str">
        <f t="shared" si="188"/>
        <v xml:space="preserve"> </v>
      </c>
    </row>
    <row r="161" spans="1:84" customFormat="1">
      <c r="A161" s="701" t="str">
        <f t="shared" si="147"/>
        <v>…</v>
      </c>
      <c r="B161" s="447" t="str">
        <f t="shared" si="148"/>
        <v>pintu</v>
      </c>
      <c r="C161" s="161" t="s">
        <v>1472</v>
      </c>
      <c r="D161" s="162" t="str">
        <f t="shared" si="189"/>
        <v>─</v>
      </c>
      <c r="E161" s="1" t="s">
        <v>2167</v>
      </c>
      <c r="F161" s="811">
        <f t="shared" si="149"/>
        <v>0</v>
      </c>
      <c r="G161" s="440" t="str">
        <f t="shared" si="194"/>
        <v>...</v>
      </c>
      <c r="H161" s="1" t="s">
        <v>1828</v>
      </c>
      <c r="I161" s="55"/>
      <c r="J161" s="170">
        <f>+J160-trim-trim</f>
        <v>181</v>
      </c>
      <c r="K161" s="1" t="s">
        <v>2137</v>
      </c>
      <c r="L161" s="170">
        <f>L160</f>
        <v>902</v>
      </c>
      <c r="M161" s="1" t="s">
        <v>2137</v>
      </c>
      <c r="N161" s="458">
        <f>+(S161+W161+Y161)</f>
        <v>14.5</v>
      </c>
      <c r="O161" s="170" t="str">
        <f>CONCATENATE(J161," ",K161," ",L161," ",M161," ",N161)</f>
        <v>181 x 902 x 14,5</v>
      </c>
      <c r="P161" s="441">
        <v>1</v>
      </c>
      <c r="Q161" s="55">
        <f>+P161*Q160</f>
        <v>2</v>
      </c>
      <c r="R161" s="177" t="str">
        <f>IFERROR(INDEX((std_bhn_prt),MATCH($H161,Prt,0)),"")</f>
        <v>Ply</v>
      </c>
      <c r="S161" s="454">
        <f>IFERROR(INDEX((std_Tbahan_prt),MATCH($H161,Prt,0)),"")</f>
        <v>13.5</v>
      </c>
      <c r="T161" s="178">
        <f>INDEX((std_lapisan_luar_prt),MATCH($H161,Prt,0))</f>
        <v>22</v>
      </c>
      <c r="U161" s="178">
        <f>INDEX((std_lapisan_dalam_prt),MATCH($H161,Prt,0))</f>
        <v>11</v>
      </c>
      <c r="V161" s="179" t="str">
        <f>IFERROR(INDEX((tf),MATCH(T161,ctf,0)),"")</f>
        <v>Aica</v>
      </c>
      <c r="W161" s="180">
        <f>IFERROR(INDEX((tebal_lapisan),MATCH($V161,tf,0)),"")</f>
        <v>0.5</v>
      </c>
      <c r="X161" s="179" t="str">
        <f>IFERROR(INDEX((tf),MATCH(U161,ctf,0)),"")</f>
        <v>HB_41130</v>
      </c>
      <c r="Y161" s="180">
        <f>IFERROR(INDEX((tebal_lapisan),MATCH($X161,tf,0)),"")</f>
        <v>0.5</v>
      </c>
      <c r="Z161" s="178">
        <f>INDEX((std_edg_P1_prt),MATCH($H161,Prt,0))</f>
        <v>1</v>
      </c>
      <c r="AA161" s="178">
        <f>INDEX((std_edg_P2_prt),MATCH($H161,Prt,0))</f>
        <v>1</v>
      </c>
      <c r="AB161" s="178">
        <f>INDEX((std_edg_L1_prt),MATCH($H161,Prt,0))</f>
        <v>0</v>
      </c>
      <c r="AC161" s="178">
        <f>INDEX((std_edg_L2_prt),MATCH($H161,Prt,0))</f>
        <v>0</v>
      </c>
      <c r="AD161" s="182" t="str">
        <f t="shared" si="152"/>
        <v>Edg_EAW_5216D1</v>
      </c>
      <c r="AE161" s="182" t="str">
        <f t="shared" si="153"/>
        <v>Edg_EAW_5216D1</v>
      </c>
      <c r="AF161" s="182" t="str">
        <f t="shared" si="154"/>
        <v xml:space="preserve"> </v>
      </c>
      <c r="AG161" s="182" t="str">
        <f t="shared" si="155"/>
        <v xml:space="preserve"> </v>
      </c>
      <c r="AH161" s="401" t="str">
        <f>IFERROR(INDEX((std_profil3_prt),MATCH($H161,Prt,0)),"")</f>
        <v>SILICONE SIKAFLEX 221 PUTIH</v>
      </c>
      <c r="AI161" s="401">
        <f t="shared" si="156"/>
        <v>0</v>
      </c>
      <c r="AJ161" s="401">
        <f>IFERROR(INDEX((std_profil_prt),MATCH($H161,Prt,0)),"")</f>
        <v>0</v>
      </c>
      <c r="AK161" s="401">
        <f t="shared" si="157"/>
        <v>0</v>
      </c>
      <c r="AL161" s="401">
        <f t="shared" si="158"/>
        <v>0</v>
      </c>
      <c r="AM161" s="189"/>
      <c r="AN161" s="829">
        <f>IFERROR(INDEX((std_rel_prt),MATCH($H161,Prt,0)),"")</f>
        <v>0</v>
      </c>
      <c r="AO161" s="830">
        <f>IFERROR(INDEX((std_engsel_prt),MATCH($H161,Prt,0)),"")</f>
        <v>0</v>
      </c>
      <c r="AP161" s="401" t="str">
        <f t="shared" si="159"/>
        <v/>
      </c>
      <c r="AQ161" s="401" t="str">
        <f t="shared" si="160"/>
        <v/>
      </c>
      <c r="AR161" s="401" t="str">
        <f t="shared" si="161"/>
        <v/>
      </c>
      <c r="AS161" s="401" t="str">
        <f>IFERROR(INDEX((std_anodize_per_ukuran),MATCH($H161,Prt,0)),"")</f>
        <v>Trim 22 S2/S4 Brown Doff ( Alm. 75270 ) P3</v>
      </c>
      <c r="AT161" s="403">
        <f>IF($AS161=edging7,L161,IF($AS161=edging8,L161,IF($AS161=edging9,L161,IF($AS161=Hand1,J160,IF($AS161=Hand2,L160,IF($AS161=hand3,"diisi manual",IF($AS161=hand4,"diisi manual",IF($AS161=hand5,"diisi manual",IF($AS161=mled02,J161,IF($AS161=mprf1,J161,IF($AS161=mlis1,J161,"")))))))))))</f>
        <v>902</v>
      </c>
      <c r="AU161" s="403">
        <f>IF($AS161="","",Q161*BR161)</f>
        <v>4</v>
      </c>
      <c r="AV161" s="170"/>
      <c r="AW161" s="166" t="str">
        <f>CONCATENATE(VLOOKUP($V161,tabtf,2,0),VLOOKUP($X161,tabtf,2,0))</f>
        <v>72</v>
      </c>
      <c r="AX161" s="166" t="str">
        <f t="shared" si="162"/>
        <v>4433</v>
      </c>
      <c r="AY161" s="189" t="str">
        <f t="shared" si="163"/>
        <v>HB_41130+Aica</v>
      </c>
      <c r="AZ161" s="189" t="str">
        <f t="shared" si="164"/>
        <v>Edg_EAW_5216D1_2sisi_pjg</v>
      </c>
      <c r="BA161" s="196" t="str">
        <f t="shared" si="195"/>
        <v>333)Tutup laci Kaca S2_HB_41130+Aica</v>
      </c>
      <c r="BB161" s="629" t="str">
        <f t="shared" si="165"/>
        <v xml:space="preserve">333)Tutup laci Kaca S2 Ply 13,5mm - HB_41130+Aica ; Edg_EAW_5216D1_2sisi_pjg  </v>
      </c>
      <c r="BC161" s="190"/>
      <c r="BD161" s="510">
        <f t="shared" si="166"/>
        <v>0</v>
      </c>
      <c r="BE161" s="510">
        <f t="shared" si="167"/>
        <v>0</v>
      </c>
      <c r="BF161" s="177">
        <f>IFERROR(INDEX((std_j_sikufr_prt),MATCH($H161,Prt,0)),"")*Q161</f>
        <v>0</v>
      </c>
      <c r="BG161" s="177">
        <f>IFERROR(INDEX((std_j_screwjf_prt),MATCH($H161,Prt,0)),"")*Q161</f>
        <v>0</v>
      </c>
      <c r="BH161" s="166">
        <f>IF($AM161=0,0,1)*Q161</f>
        <v>0</v>
      </c>
      <c r="BI161" s="474">
        <f t="shared" si="169"/>
        <v>0</v>
      </c>
      <c r="BJ161" s="166">
        <f>IF($AN161=0,0,1)*Q161</f>
        <v>0</v>
      </c>
      <c r="BK161" s="474">
        <f t="shared" si="171"/>
        <v>0.442</v>
      </c>
      <c r="BL161" s="474">
        <f t="shared" si="172"/>
        <v>1.8839999999999999</v>
      </c>
      <c r="BM161" s="474">
        <f t="shared" si="173"/>
        <v>4.6520000000000001</v>
      </c>
      <c r="BN161" s="166">
        <f>((J161*L161)/1000000)*Q161</f>
        <v>0.32652399999999998</v>
      </c>
      <c r="BO161" s="166" t="str">
        <f>CONCATENATE(R161,"_",S161)</f>
        <v>Ply_13,5</v>
      </c>
      <c r="BP161" s="204" t="str">
        <f>CONCATENATE(R161," ",S161," ",AY161)</f>
        <v>Ply 13,5 HB_41130+Aica</v>
      </c>
      <c r="BQ161" s="475">
        <f t="shared" si="176"/>
        <v>0.21337638888888888</v>
      </c>
      <c r="BR161" s="205">
        <f t="shared" si="191"/>
        <v>2</v>
      </c>
      <c r="BS161" s="509">
        <f t="shared" si="177"/>
        <v>0</v>
      </c>
      <c r="BT161" s="509">
        <f t="shared" si="178"/>
        <v>0</v>
      </c>
      <c r="BU161" s="459">
        <f>BF161*$Q161</f>
        <v>0</v>
      </c>
      <c r="BV161" s="459">
        <f>BG161*$Q161</f>
        <v>0</v>
      </c>
      <c r="BW161" s="1">
        <f t="shared" si="179"/>
        <v>0.32652399999999998</v>
      </c>
      <c r="BX161" s="1">
        <f t="shared" si="180"/>
        <v>4.7345979999999996E-3</v>
      </c>
      <c r="BY161" s="546" t="str">
        <f t="shared" si="181"/>
        <v/>
      </c>
      <c r="BZ161" s="546" t="str">
        <f t="shared" si="182"/>
        <v/>
      </c>
      <c r="CA161" s="546" t="str">
        <f t="shared" si="183"/>
        <v/>
      </c>
      <c r="CB161" s="546" t="str">
        <f t="shared" si="184"/>
        <v/>
      </c>
      <c r="CC161" s="728" t="str">
        <f t="shared" si="185"/>
        <v/>
      </c>
      <c r="CD161" s="728" t="str">
        <f t="shared" si="186"/>
        <v/>
      </c>
      <c r="CE161" s="170" t="str">
        <f t="shared" si="187"/>
        <v xml:space="preserve"> x  x 14,5</v>
      </c>
      <c r="CF161" t="str">
        <f t="shared" si="188"/>
        <v xml:space="preserve"> </v>
      </c>
    </row>
    <row r="162" spans="1:84" customFormat="1">
      <c r="A162" s="701" t="str">
        <f t="shared" si="147"/>
        <v>…</v>
      </c>
      <c r="B162" s="447" t="str">
        <f t="shared" si="148"/>
        <v>Kc</v>
      </c>
      <c r="C162" s="161" t="s">
        <v>1472</v>
      </c>
      <c r="D162" s="162" t="str">
        <f t="shared" si="189"/>
        <v>k¢</v>
      </c>
      <c r="E162" s="1" t="s">
        <v>2167</v>
      </c>
      <c r="F162" s="811">
        <f t="shared" si="149"/>
        <v>1</v>
      </c>
      <c r="G162" s="440" t="str">
        <f t="shared" si="194"/>
        <v>...</v>
      </c>
      <c r="H162" s="1" t="s">
        <v>3490</v>
      </c>
      <c r="I162" s="55" t="s">
        <v>3591</v>
      </c>
      <c r="J162" s="170">
        <f>+J161-1</f>
        <v>180</v>
      </c>
      <c r="K162" s="1" t="s">
        <v>2137</v>
      </c>
      <c r="L162" s="170">
        <f>+L161-1</f>
        <v>901</v>
      </c>
      <c r="M162" s="1" t="s">
        <v>2137</v>
      </c>
      <c r="N162" s="458">
        <f>+(S162+W162+Y162)</f>
        <v>5</v>
      </c>
      <c r="O162" s="170" t="str">
        <f>CONCATENATE(J162," ",K162," ",L162," ",M162," ",N162)</f>
        <v>180 x 901 x 5</v>
      </c>
      <c r="P162" s="441">
        <f>IFERROR(INDEX((std_sub_prt),MATCH($H162,Prt,0)),"")</f>
        <v>1</v>
      </c>
      <c r="Q162" s="55">
        <f>+P162*Q160</f>
        <v>2</v>
      </c>
      <c r="R162" s="177" t="str">
        <f>IFERROR(INDEX((std_bhn_prt),MATCH($H162,Prt,0)),"")</f>
        <v>MG_Purewhite</v>
      </c>
      <c r="S162" s="454">
        <f>IFERROR(INDEX((std_Tbahan_prt),MATCH($H162,Prt,0)),"")</f>
        <v>5</v>
      </c>
      <c r="T162" s="178">
        <f>INDEX((std_lapisan_luar_prt),MATCH($H162,Prt,0))</f>
        <v>0</v>
      </c>
      <c r="U162" s="178">
        <f>INDEX((std_lapisan_dalam_prt),MATCH($H162,Prt,0))</f>
        <v>0</v>
      </c>
      <c r="V162" s="179" t="str">
        <f>IFERROR(INDEX((tf),MATCH(T162,ctf,0)),"")</f>
        <v>Polos</v>
      </c>
      <c r="W162" s="180">
        <f>IFERROR(INDEX((tebal_lapisan),MATCH($V162,tf,0)),"")</f>
        <v>0</v>
      </c>
      <c r="X162" s="179" t="str">
        <f>IFERROR(INDEX((tf),MATCH(U162,ctf,0)),"")</f>
        <v>Polos</v>
      </c>
      <c r="Y162" s="180">
        <f>IFERROR(INDEX((tebal_lapisan),MATCH($X162,tf,0)),"")</f>
        <v>0</v>
      </c>
      <c r="Z162" s="178">
        <f>INDEX((std_edg_P1_prt),MATCH($H162,Prt,0))</f>
        <v>0</v>
      </c>
      <c r="AA162" s="178">
        <f>INDEX((std_edg_P2_prt),MATCH($H162,Prt,0))</f>
        <v>0</v>
      </c>
      <c r="AB162" s="178">
        <f>INDEX((std_edg_L1_prt),MATCH($H162,Prt,0))</f>
        <v>0</v>
      </c>
      <c r="AC162" s="178">
        <f>INDEX((std_edg_L2_prt),MATCH($H162,Prt,0))</f>
        <v>0</v>
      </c>
      <c r="AD162" s="182" t="str">
        <f t="shared" si="152"/>
        <v xml:space="preserve"> </v>
      </c>
      <c r="AE162" s="182" t="str">
        <f t="shared" si="153"/>
        <v xml:space="preserve"> </v>
      </c>
      <c r="AF162" s="182" t="str">
        <f t="shared" si="154"/>
        <v xml:space="preserve"> </v>
      </c>
      <c r="AG162" s="182" t="str">
        <f t="shared" si="155"/>
        <v xml:space="preserve"> </v>
      </c>
      <c r="AH162" s="401">
        <f>IFERROR(INDEX((std_profil3_prt),MATCH($H162,Prt,0)),"")</f>
        <v>0</v>
      </c>
      <c r="AI162" s="401">
        <f t="shared" si="156"/>
        <v>0</v>
      </c>
      <c r="AJ162" s="401">
        <f>IFERROR(INDEX((std_profil_prt),MATCH($H162,Prt,0)),"")</f>
        <v>0</v>
      </c>
      <c r="AK162" s="401">
        <f t="shared" si="157"/>
        <v>0</v>
      </c>
      <c r="AL162" s="401">
        <f t="shared" si="158"/>
        <v>0</v>
      </c>
      <c r="AM162" s="189"/>
      <c r="AN162" s="829">
        <f>IFERROR(INDEX((std_rel_prt),MATCH($H162,Prt,0)),"")</f>
        <v>0</v>
      </c>
      <c r="AO162" s="830">
        <f>IFERROR(INDEX((std_engsel_prt),MATCH($H162,Prt,0)),"")</f>
        <v>0</v>
      </c>
      <c r="AP162" s="401">
        <f t="shared" si="159"/>
        <v>0</v>
      </c>
      <c r="AQ162" s="401">
        <f t="shared" si="160"/>
        <v>0</v>
      </c>
      <c r="AR162" s="401">
        <f t="shared" si="161"/>
        <v>0</v>
      </c>
      <c r="AS162" s="401">
        <f>IFERROR(INDEX((std_anodize_per_ukuran),MATCH($H162,Prt,0)),"")</f>
        <v>0</v>
      </c>
      <c r="AT162" s="403" t="str">
        <f>IF($AS162=edging7,L162,IF($AS162=edging8,L162,IF($AS162=edging9,L162,IF($AS162=Hand1,J161,IF($AS162=Hand2,L161,IF($AS162=hand3,"diisi manual",IF($AS162=hand4,"diisi manual",IF($AS162=hand5,"diisi manual",IF($AS162=mled02,J162,IF($AS162=mprf1,J162,IF($AS162=mlis1,J162,"")))))))))))</f>
        <v/>
      </c>
      <c r="AU162" s="403">
        <f>IF($AS162="","",Q162*BR162)</f>
        <v>0</v>
      </c>
      <c r="AV162" s="170"/>
      <c r="AW162" s="166" t="str">
        <f>CONCATENATE(VLOOKUP($V162,tabtf,2,0),VLOOKUP($X162,tabtf,2,0))</f>
        <v>33</v>
      </c>
      <c r="AX162" s="166" t="str">
        <f t="shared" si="162"/>
        <v>3333</v>
      </c>
      <c r="AY162" s="189" t="str">
        <f t="shared" si="163"/>
        <v>Polos</v>
      </c>
      <c r="AZ162" s="189" t="str">
        <f t="shared" si="164"/>
        <v xml:space="preserve"> -</v>
      </c>
      <c r="BA162" s="196" t="str">
        <f t="shared" si="195"/>
        <v>535)Kaca__Polos</v>
      </c>
      <c r="BB162" s="629" t="str">
        <f t="shared" si="165"/>
        <v>535)Kaca_ MG_Purewhite 5mm -  ;  -  (u/_S2) ; (pasang_rakit)</v>
      </c>
      <c r="BC162" s="190"/>
      <c r="BD162" s="510">
        <f t="shared" si="166"/>
        <v>0</v>
      </c>
      <c r="BE162" s="510">
        <f t="shared" si="167"/>
        <v>0</v>
      </c>
      <c r="BF162" s="177">
        <f>IFERROR(INDEX((std_j_sikufr_prt),MATCH($H162,Prt,0)),"")*Q162</f>
        <v>0</v>
      </c>
      <c r="BG162" s="177">
        <f>IFERROR(INDEX((std_j_screwjf_prt),MATCH($H162,Prt,0)),"")*Q162</f>
        <v>0</v>
      </c>
      <c r="BH162" s="166">
        <f>IF($AM162=0,0,1)*Q162</f>
        <v>0</v>
      </c>
      <c r="BI162" s="474">
        <f t="shared" si="169"/>
        <v>0</v>
      </c>
      <c r="BJ162" s="166">
        <f>IF($AN162=0,0,1)*Q162</f>
        <v>0</v>
      </c>
      <c r="BK162" s="474">
        <f t="shared" si="171"/>
        <v>0.44</v>
      </c>
      <c r="BL162" s="474">
        <f t="shared" si="172"/>
        <v>1.8819999999999999</v>
      </c>
      <c r="BM162" s="474">
        <f t="shared" si="173"/>
        <v>4.6440000000000001</v>
      </c>
      <c r="BN162" s="166">
        <f>((J162*L162)/1000000)*Q162</f>
        <v>0.32435999999999998</v>
      </c>
      <c r="BO162" s="166" t="str">
        <f>CONCATENATE(R162,"_",S162)</f>
        <v>MG_Purewhite_5</v>
      </c>
      <c r="BP162" s="204" t="str">
        <f>CONCATENATE(R162," ",S162," ",AY162)</f>
        <v>MG_Purewhite 5 Polos</v>
      </c>
      <c r="BQ162" s="475">
        <f t="shared" si="176"/>
        <v>0.21262500000000001</v>
      </c>
      <c r="BR162" s="205">
        <f t="shared" si="191"/>
        <v>0</v>
      </c>
      <c r="BS162" s="509">
        <f t="shared" si="177"/>
        <v>0</v>
      </c>
      <c r="BT162" s="509">
        <f t="shared" si="178"/>
        <v>0</v>
      </c>
      <c r="BU162" s="459">
        <f>BF162*$Q162</f>
        <v>0</v>
      </c>
      <c r="BV162" s="459">
        <f>BG162*$Q162</f>
        <v>0</v>
      </c>
      <c r="BW162" s="1">
        <f t="shared" si="179"/>
        <v>0.32435999999999998</v>
      </c>
      <c r="BX162" s="1">
        <f t="shared" si="180"/>
        <v>1.6218000000000001E-3</v>
      </c>
      <c r="BY162" s="546" t="str">
        <f t="shared" si="181"/>
        <v/>
      </c>
      <c r="BZ162" s="546" t="str">
        <f t="shared" si="182"/>
        <v/>
      </c>
      <c r="CA162" s="546" t="str">
        <f t="shared" si="183"/>
        <v/>
      </c>
      <c r="CB162" s="546" t="str">
        <f t="shared" si="184"/>
        <v/>
      </c>
      <c r="CC162" s="728" t="str">
        <f t="shared" si="185"/>
        <v/>
      </c>
      <c r="CD162" s="728" t="str">
        <f t="shared" si="186"/>
        <v/>
      </c>
      <c r="CE162" s="170" t="str">
        <f t="shared" si="187"/>
        <v xml:space="preserve"> x  x 5</v>
      </c>
      <c r="CF162" t="str">
        <f t="shared" si="188"/>
        <v>180;901;2;MG_Purewhite 5 Polos;5;Kaca_;-1; ;; ;; ;; ;</v>
      </c>
    </row>
    <row r="163" spans="1:84" customFormat="1">
      <c r="A163" s="701" t="str">
        <f t="shared" si="147"/>
        <v>…</v>
      </c>
      <c r="B163" s="447" t="str">
        <f t="shared" si="148"/>
        <v>…</v>
      </c>
      <c r="C163" s="161"/>
      <c r="D163" s="162" t="str">
        <f t="shared" si="189"/>
        <v/>
      </c>
      <c r="E163" s="1"/>
      <c r="F163" s="811" t="str">
        <f t="shared" si="149"/>
        <v/>
      </c>
      <c r="G163" s="440" t="str">
        <f t="shared" si="194"/>
        <v>...</v>
      </c>
      <c r="H163" s="1"/>
      <c r="I163" s="55"/>
      <c r="J163" s="170"/>
      <c r="K163" s="1"/>
      <c r="L163" s="170"/>
      <c r="M163" s="1"/>
      <c r="N163" s="166"/>
      <c r="O163" s="170"/>
      <c r="P163" s="441"/>
      <c r="Q163" s="55"/>
      <c r="R163" s="177"/>
      <c r="S163" s="454"/>
      <c r="T163" s="178"/>
      <c r="U163" s="178"/>
      <c r="V163" s="179"/>
      <c r="W163" s="180"/>
      <c r="X163" s="179"/>
      <c r="Y163" s="180"/>
      <c r="Z163" s="178"/>
      <c r="AA163" s="178"/>
      <c r="AB163" s="178"/>
      <c r="AC163" s="178"/>
      <c r="AD163" s="182" t="str">
        <f t="shared" si="152"/>
        <v xml:space="preserve"> </v>
      </c>
      <c r="AE163" s="182" t="str">
        <f t="shared" si="153"/>
        <v xml:space="preserve"> </v>
      </c>
      <c r="AF163" s="182" t="str">
        <f t="shared" si="154"/>
        <v xml:space="preserve"> </v>
      </c>
      <c r="AG163" s="182" t="str">
        <f t="shared" si="155"/>
        <v xml:space="preserve"> </v>
      </c>
      <c r="AH163" s="401"/>
      <c r="AI163" s="401" t="str">
        <f t="shared" si="156"/>
        <v/>
      </c>
      <c r="AJ163" s="182"/>
      <c r="AK163" s="401" t="str">
        <f t="shared" si="157"/>
        <v/>
      </c>
      <c r="AL163" s="401" t="str">
        <f t="shared" si="158"/>
        <v/>
      </c>
      <c r="AM163" s="189"/>
      <c r="AN163" s="829"/>
      <c r="AO163" s="830"/>
      <c r="AP163" s="401" t="str">
        <f t="shared" si="159"/>
        <v/>
      </c>
      <c r="AQ163" s="401" t="str">
        <f t="shared" si="160"/>
        <v/>
      </c>
      <c r="AR163" s="401" t="str">
        <f t="shared" si="161"/>
        <v/>
      </c>
      <c r="AS163" s="401"/>
      <c r="AT163" s="403"/>
      <c r="AU163" s="403" t="str">
        <f>IF($AS163=0,"",Q163*BR163)</f>
        <v/>
      </c>
      <c r="AV163" s="170"/>
      <c r="AW163" s="166"/>
      <c r="AX163" s="166" t="str">
        <f t="shared" si="162"/>
        <v>3333</v>
      </c>
      <c r="AY163" s="189" t="str">
        <f t="shared" si="163"/>
        <v/>
      </c>
      <c r="AZ163" s="189" t="str">
        <f t="shared" si="164"/>
        <v xml:space="preserve"> -</v>
      </c>
      <c r="BA163" s="196" t="str">
        <f t="shared" si="195"/>
        <v xml:space="preserve">0)  </v>
      </c>
      <c r="BB163" s="629" t="str">
        <f t="shared" si="165"/>
        <v xml:space="preserve">0) </v>
      </c>
      <c r="BC163" s="190"/>
      <c r="BD163" s="510" t="str">
        <f t="shared" si="166"/>
        <v/>
      </c>
      <c r="BE163" s="510" t="str">
        <f t="shared" si="167"/>
        <v/>
      </c>
      <c r="BF163" s="177"/>
      <c r="BG163" s="177"/>
      <c r="BH163" s="166"/>
      <c r="BI163" s="474">
        <f t="shared" si="169"/>
        <v>0</v>
      </c>
      <c r="BJ163" s="166"/>
      <c r="BK163" s="474">
        <f t="shared" si="171"/>
        <v>0</v>
      </c>
      <c r="BL163" s="474">
        <f t="shared" si="172"/>
        <v>0</v>
      </c>
      <c r="BM163" s="474">
        <f t="shared" si="173"/>
        <v>0</v>
      </c>
      <c r="BN163" s="166"/>
      <c r="BO163" s="166"/>
      <c r="BP163" s="204"/>
      <c r="BQ163" s="475">
        <f t="shared" si="176"/>
        <v>0.1</v>
      </c>
      <c r="BR163" s="205"/>
      <c r="BS163" s="509">
        <f t="shared" si="177"/>
        <v>0</v>
      </c>
      <c r="BT163" s="509">
        <f t="shared" si="178"/>
        <v>0</v>
      </c>
      <c r="BU163" s="459"/>
      <c r="BV163" s="459"/>
      <c r="BW163" s="1">
        <f t="shared" si="179"/>
        <v>0</v>
      </c>
      <c r="BX163" s="1">
        <f t="shared" si="180"/>
        <v>0</v>
      </c>
      <c r="BY163" s="546" t="str">
        <f t="shared" si="181"/>
        <v/>
      </c>
      <c r="BZ163" s="546" t="str">
        <f t="shared" si="182"/>
        <v/>
      </c>
      <c r="CA163" s="546" t="str">
        <f t="shared" si="183"/>
        <v/>
      </c>
      <c r="CB163" s="546" t="str">
        <f t="shared" si="184"/>
        <v/>
      </c>
      <c r="CC163" s="728" t="str">
        <f t="shared" si="185"/>
        <v/>
      </c>
      <c r="CD163" s="728" t="str">
        <f t="shared" si="186"/>
        <v/>
      </c>
      <c r="CE163" s="170" t="str">
        <f t="shared" si="187"/>
        <v xml:space="preserve"> x  x </v>
      </c>
      <c r="CF163" t="str">
        <f t="shared" si="188"/>
        <v xml:space="preserve"> </v>
      </c>
    </row>
    <row r="164" spans="1:84" customFormat="1">
      <c r="A164" s="701" t="str">
        <f t="shared" si="147"/>
        <v>…</v>
      </c>
      <c r="B164" s="447" t="str">
        <f t="shared" si="148"/>
        <v>…</v>
      </c>
      <c r="C164" s="1" t="s">
        <v>1471</v>
      </c>
      <c r="D164" s="538" t="str">
        <f>(INDEX(KS_Set,MATCH($H164,Set_prt,0)))</f>
        <v>[ks]</v>
      </c>
      <c r="E164" s="1" t="s">
        <v>2167</v>
      </c>
      <c r="F164" s="811" t="str">
        <f t="shared" si="149"/>
        <v/>
      </c>
      <c r="G164" s="440" t="str">
        <f t="shared" si="194"/>
        <v>•</v>
      </c>
      <c r="H164" s="371" t="s">
        <v>2349</v>
      </c>
      <c r="I164" s="55"/>
      <c r="J164" s="370">
        <f>+J166+N165+N165</f>
        <v>851</v>
      </c>
      <c r="K164" s="55" t="s">
        <v>2137</v>
      </c>
      <c r="L164" s="370">
        <f>+J165</f>
        <v>490</v>
      </c>
      <c r="M164" s="55" t="s">
        <v>2137</v>
      </c>
      <c r="N164" s="452">
        <f>+L165</f>
        <v>135</v>
      </c>
      <c r="O164" s="170" t="str">
        <f>CONCATENATE(J164," ",K164," ",L164," ",M164," ",N164)</f>
        <v>851 x 490 x 135</v>
      </c>
      <c r="P164" s="139">
        <v>1</v>
      </c>
      <c r="Q164" s="369">
        <f>+P164*Q160</f>
        <v>2</v>
      </c>
      <c r="R164" s="181"/>
      <c r="S164" s="455"/>
      <c r="T164" s="170"/>
      <c r="U164" s="170"/>
      <c r="V164" s="1"/>
      <c r="W164" s="173"/>
      <c r="X164" s="1"/>
      <c r="Y164" s="166"/>
      <c r="Z164" s="170"/>
      <c r="AA164" s="170"/>
      <c r="AB164" s="170"/>
      <c r="AC164" s="170"/>
      <c r="AD164" s="182" t="str">
        <f t="shared" si="152"/>
        <v xml:space="preserve"> </v>
      </c>
      <c r="AE164" s="182" t="str">
        <f t="shared" si="153"/>
        <v xml:space="preserve"> </v>
      </c>
      <c r="AF164" s="182" t="str">
        <f t="shared" si="154"/>
        <v xml:space="preserve"> </v>
      </c>
      <c r="AG164" s="182" t="str">
        <f t="shared" si="155"/>
        <v xml:space="preserve"> </v>
      </c>
      <c r="AH164" s="189"/>
      <c r="AI164" s="401" t="str">
        <f t="shared" si="156"/>
        <v/>
      </c>
      <c r="AJ164" s="189"/>
      <c r="AK164" s="401" t="str">
        <f t="shared" si="157"/>
        <v/>
      </c>
      <c r="AL164" s="401" t="str">
        <f t="shared" si="158"/>
        <v/>
      </c>
      <c r="AM164" s="189"/>
      <c r="AN164" s="782"/>
      <c r="AO164" s="189"/>
      <c r="AP164" s="401" t="str">
        <f t="shared" si="159"/>
        <v/>
      </c>
      <c r="AQ164" s="401" t="str">
        <f t="shared" si="160"/>
        <v/>
      </c>
      <c r="AR164" s="401" t="str">
        <f t="shared" si="161"/>
        <v/>
      </c>
      <c r="AS164" s="188"/>
      <c r="AT164" s="1"/>
      <c r="AU164" s="403" t="str">
        <f>IF($AS164=0,"",Q164*BR164)</f>
        <v/>
      </c>
      <c r="AV164" s="1"/>
      <c r="AW164" s="166"/>
      <c r="AX164" s="166" t="str">
        <f t="shared" si="162"/>
        <v>3333</v>
      </c>
      <c r="AY164" s="189" t="str">
        <f t="shared" si="163"/>
        <v/>
      </c>
      <c r="AZ164" s="189" t="str">
        <f t="shared" si="164"/>
        <v xml:space="preserve"> -</v>
      </c>
      <c r="BA164" s="196" t="str">
        <f t="shared" si="195"/>
        <v>0) Kotak Laci (rakit tukang) 851</v>
      </c>
      <c r="BB164" s="629" t="str">
        <f t="shared" si="165"/>
        <v>0B) Kotak Laci (rakit tukang)</v>
      </c>
      <c r="BC164" s="197"/>
      <c r="BD164" s="510" t="str">
        <f t="shared" si="166"/>
        <v/>
      </c>
      <c r="BE164" s="510" t="str">
        <f t="shared" si="167"/>
        <v/>
      </c>
      <c r="BF164" s="177"/>
      <c r="BG164" s="177"/>
      <c r="BH164" s="166">
        <f>IF($AM164=0,0,1)*Q164</f>
        <v>0</v>
      </c>
      <c r="BI164" s="474">
        <f t="shared" si="169"/>
        <v>0</v>
      </c>
      <c r="BJ164" s="166">
        <f>IF($AN164=0,0,1)*Q164</f>
        <v>0</v>
      </c>
      <c r="BK164" s="474">
        <f t="shared" si="171"/>
        <v>1.782</v>
      </c>
      <c r="BL164" s="474">
        <f t="shared" si="172"/>
        <v>1.06</v>
      </c>
      <c r="BM164" s="474">
        <f t="shared" si="173"/>
        <v>0</v>
      </c>
      <c r="BN164" s="166"/>
      <c r="BO164" s="166" t="str">
        <f>CONCATENATE(R164,"_",S164)</f>
        <v>_</v>
      </c>
      <c r="BP164" s="204" t="str">
        <f>CONCATENATE(R164," ",S164," ",AY164)</f>
        <v xml:space="preserve">  </v>
      </c>
      <c r="BQ164" s="475">
        <f t="shared" si="176"/>
        <v>0.3895763888888889</v>
      </c>
      <c r="BR164" s="205" t="str">
        <f>IFERROR(INDEX((std_jml_anodize_per_uk),MATCH($H164,Prt,0)),"")</f>
        <v/>
      </c>
      <c r="BS164" s="509">
        <f t="shared" si="177"/>
        <v>8</v>
      </c>
      <c r="BT164" s="509">
        <f t="shared" si="178"/>
        <v>12</v>
      </c>
      <c r="BU164" s="459"/>
      <c r="BV164" s="459"/>
      <c r="BW164" s="1">
        <f t="shared" si="179"/>
        <v>0.83398000000000005</v>
      </c>
      <c r="BX164" s="1">
        <f t="shared" si="180"/>
        <v>0.1125873</v>
      </c>
      <c r="BY164" s="546" t="str">
        <f t="shared" si="181"/>
        <v/>
      </c>
      <c r="BZ164" s="546" t="str">
        <f t="shared" si="182"/>
        <v/>
      </c>
      <c r="CA164" s="546" t="str">
        <f t="shared" si="183"/>
        <v/>
      </c>
      <c r="CB164" s="546" t="str">
        <f t="shared" si="184"/>
        <v/>
      </c>
      <c r="CC164" s="728" t="str">
        <f t="shared" si="185"/>
        <v/>
      </c>
      <c r="CD164" s="728" t="str">
        <f t="shared" si="186"/>
        <v/>
      </c>
      <c r="CE164" s="170" t="str">
        <f t="shared" si="187"/>
        <v xml:space="preserve"> x  x 135</v>
      </c>
      <c r="CF164" t="str">
        <f t="shared" si="188"/>
        <v xml:space="preserve"> </v>
      </c>
    </row>
    <row r="165" spans="1:84" customFormat="1">
      <c r="A165" s="701" t="str">
        <f t="shared" si="147"/>
        <v>…</v>
      </c>
      <c r="B165" s="447" t="str">
        <f t="shared" si="148"/>
        <v>kabinet</v>
      </c>
      <c r="C165" s="161" t="s">
        <v>1472</v>
      </c>
      <c r="D165" s="162" t="str">
        <f t="shared" si="189"/>
        <v>KS</v>
      </c>
      <c r="E165" s="1" t="s">
        <v>2167</v>
      </c>
      <c r="F165" s="811">
        <f t="shared" si="149"/>
        <v>1</v>
      </c>
      <c r="G165" s="440" t="str">
        <f t="shared" si="194"/>
        <v>...</v>
      </c>
      <c r="H165" s="1" t="s">
        <v>1799</v>
      </c>
      <c r="I165" s="55"/>
      <c r="J165" s="170">
        <f>D_tdm_50</f>
        <v>490</v>
      </c>
      <c r="K165" s="1" t="s">
        <v>2137</v>
      </c>
      <c r="L165" s="170">
        <f>+J160-50</f>
        <v>135</v>
      </c>
      <c r="M165" s="1" t="s">
        <v>2137</v>
      </c>
      <c r="N165" s="458">
        <f>+(S165+W165+Y165)</f>
        <v>13</v>
      </c>
      <c r="O165" s="170" t="str">
        <f>CONCATENATE(J165," ",K165," ",L165," ",M165," ",N165)</f>
        <v>490 x 135 x 13</v>
      </c>
      <c r="P165" s="441">
        <f>IFERROR(INDEX((std_sub_prt),MATCH($H165,Prt,0)),"")</f>
        <v>2</v>
      </c>
      <c r="Q165" s="55">
        <f>+P165*Q164</f>
        <v>4</v>
      </c>
      <c r="R165" s="177" t="str">
        <f>IFERROR(INDEX((std_bhn_prt),MATCH($H165,Prt,0)),"")</f>
        <v>Ply</v>
      </c>
      <c r="S165" s="454">
        <f>IFERROR(INDEX((std_Tbahan_prt),MATCH($H165,Prt,0)),"")</f>
        <v>12</v>
      </c>
      <c r="T165" s="178">
        <f>INDEX((std_lapisan_luar_prt),MATCH($H165,Prt,0))</f>
        <v>11</v>
      </c>
      <c r="U165" s="178">
        <f>INDEX((std_lapisan_dalam_prt),MATCH($H165,Prt,0))</f>
        <v>11</v>
      </c>
      <c r="V165" s="179" t="str">
        <f>IFERROR(INDEX((tf),MATCH(T165,ctf,0)),"")</f>
        <v>HB_41130</v>
      </c>
      <c r="W165" s="180">
        <f>IFERROR(INDEX((tebal_lapisan),MATCH($V165,tf,0)),"")</f>
        <v>0.5</v>
      </c>
      <c r="X165" s="179" t="str">
        <f>IFERROR(INDEX((tf),MATCH(U165,ctf,0)),"")</f>
        <v>HB_41130</v>
      </c>
      <c r="Y165" s="180">
        <f>IFERROR(INDEX((tebal_lapisan),MATCH($X165,tf,0)),"")</f>
        <v>0.5</v>
      </c>
      <c r="Z165" s="178">
        <f>INDEX((std_edg_P1_prt),MATCH($H165,Prt,0))</f>
        <v>11</v>
      </c>
      <c r="AA165" s="178">
        <f>INDEX((std_edg_P2_prt),MATCH($H165,Prt,0))</f>
        <v>11</v>
      </c>
      <c r="AB165" s="178">
        <f>INDEX((std_edg_L1_prt),MATCH($H165,Prt,0))</f>
        <v>11</v>
      </c>
      <c r="AC165" s="178">
        <f>INDEX((std_edg_L2_prt),MATCH($H165,Prt,0))</f>
        <v>11</v>
      </c>
      <c r="AD165" s="182" t="str">
        <f t="shared" si="152"/>
        <v>Edg_Décor_1723_B</v>
      </c>
      <c r="AE165" s="182" t="str">
        <f t="shared" si="153"/>
        <v>Edg_Décor_1723_B</v>
      </c>
      <c r="AF165" s="182" t="str">
        <f t="shared" si="154"/>
        <v>Edg_Décor_1723_B</v>
      </c>
      <c r="AG165" s="182" t="str">
        <f t="shared" si="155"/>
        <v>Edg_Décor_1723_B</v>
      </c>
      <c r="AH165" s="401">
        <f>IFERROR(INDEX((std_profil3_prt),MATCH($H165,Prt,0)),"")</f>
        <v>0</v>
      </c>
      <c r="AI165" s="401">
        <f t="shared" si="156"/>
        <v>0</v>
      </c>
      <c r="AJ165" s="401">
        <f>IFERROR(INDEX((std_profil_prt),MATCH($H165,Prt,0)),"")</f>
        <v>0</v>
      </c>
      <c r="AK165" s="401">
        <f t="shared" si="157"/>
        <v>0</v>
      </c>
      <c r="AL165" s="401">
        <f t="shared" si="158"/>
        <v>0</v>
      </c>
      <c r="AM165" s="189"/>
      <c r="AN165" s="829">
        <f>IFERROR(INDEX((std_rel_prt),MATCH($H165,Prt,0)),"")</f>
        <v>0</v>
      </c>
      <c r="AO165" s="830">
        <f>IFERROR(INDEX((std_engsel_prt),MATCH($H165,Prt,0)),"")</f>
        <v>0</v>
      </c>
      <c r="AP165" s="401" t="str">
        <f t="shared" si="159"/>
        <v/>
      </c>
      <c r="AQ165" s="401" t="str">
        <f t="shared" si="160"/>
        <v/>
      </c>
      <c r="AR165" s="401" t="str">
        <f t="shared" si="161"/>
        <v/>
      </c>
      <c r="AS165" s="401">
        <f>IFERROR(INDEX((std_anodize_per_ukuran),MATCH($H165,Prt,0)),"")</f>
        <v>0</v>
      </c>
      <c r="AT165" s="403" t="str">
        <f>IF($AS165=edging7,L165,IF($AS165=edging8,L165,IF($AS165=edging9,L165,IF($AS165=Hand1,J164,IF($AS165=Hand2,L164,IF($AS165=hand3,"diisi manual",IF($AS165=hand4,"diisi manual",IF($AS165=hand5,"diisi manual",IF($AS165=mled02,J165,IF($AS165=mprf1,J165,IF($AS165=mlis1,J165,"")))))))))))</f>
        <v/>
      </c>
      <c r="AU165" s="403">
        <f>IF($AS165="","",Q165*BR165)</f>
        <v>0</v>
      </c>
      <c r="AV165" s="170"/>
      <c r="AW165" s="166" t="str">
        <f>CONCATENATE(VLOOKUP($V165,tabtf,2,0),VLOOKUP($X165,tabtf,2,0))</f>
        <v>22</v>
      </c>
      <c r="AX165" s="166" t="str">
        <f t="shared" si="162"/>
        <v>1111</v>
      </c>
      <c r="AY165" s="189" t="str">
        <f t="shared" si="163"/>
        <v>HB_41130_2mk</v>
      </c>
      <c r="AZ165" s="189" t="str">
        <f t="shared" si="164"/>
        <v>Edg_Décor_1723_B_Keliling</v>
      </c>
      <c r="BA165" s="196" t="str">
        <f t="shared" si="195"/>
        <v>176)Samping laci_HB_41130_2mk</v>
      </c>
      <c r="BB165" s="629" t="str">
        <f t="shared" si="165"/>
        <v xml:space="preserve">176)Samping laci Ply 12mm - HB_41130_2mk ; Edg_Décor_1723_B_Keliling  </v>
      </c>
      <c r="BC165" s="190"/>
      <c r="BD165" s="510">
        <f t="shared" si="166"/>
        <v>0</v>
      </c>
      <c r="BE165" s="510">
        <f t="shared" si="167"/>
        <v>0</v>
      </c>
      <c r="BF165" s="177">
        <f>IFERROR(INDEX((std_j_sikufr_prt),MATCH($H165,Prt,0)),"")*Q165</f>
        <v>0</v>
      </c>
      <c r="BG165" s="177">
        <f>IFERROR(INDEX((std_j_screwjf_prt),MATCH($H165,Prt,0)),"")*Q165</f>
        <v>0</v>
      </c>
      <c r="BH165" s="166">
        <f>IF($AM165=0,0,1)*Q165</f>
        <v>0</v>
      </c>
      <c r="BI165" s="474">
        <f t="shared" si="169"/>
        <v>0</v>
      </c>
      <c r="BJ165" s="166">
        <f>IF($AN165=0,0,1)*Q165</f>
        <v>0</v>
      </c>
      <c r="BK165" s="474">
        <f t="shared" si="171"/>
        <v>2.12</v>
      </c>
      <c r="BL165" s="474">
        <f t="shared" si="172"/>
        <v>0.7</v>
      </c>
      <c r="BM165" s="474">
        <f t="shared" si="173"/>
        <v>5.64</v>
      </c>
      <c r="BN165" s="166">
        <f>((J165*L165)/1000000)*Q165</f>
        <v>0.2646</v>
      </c>
      <c r="BO165" s="166" t="str">
        <f>CONCATENATE(R165,"_",S165)</f>
        <v>Ply_12</v>
      </c>
      <c r="BP165" s="204" t="str">
        <f>CONCATENATE(R165," ",S165," ",AY165)</f>
        <v>Ply 12 HB_41130_2mk</v>
      </c>
      <c r="BQ165" s="475">
        <f t="shared" si="176"/>
        <v>0.19187500000000002</v>
      </c>
      <c r="BR165" s="205">
        <f t="shared" si="191"/>
        <v>0</v>
      </c>
      <c r="BS165" s="509">
        <f t="shared" si="177"/>
        <v>0</v>
      </c>
      <c r="BT165" s="509">
        <f t="shared" si="178"/>
        <v>0</v>
      </c>
      <c r="BU165" s="459">
        <f t="shared" ref="BU165:BV167" si="196">BF165*$Q165</f>
        <v>0</v>
      </c>
      <c r="BV165" s="459">
        <f t="shared" si="196"/>
        <v>0</v>
      </c>
      <c r="BW165" s="1">
        <f t="shared" si="179"/>
        <v>0.2646</v>
      </c>
      <c r="BX165" s="1">
        <f t="shared" si="180"/>
        <v>3.4397999999999998E-3</v>
      </c>
      <c r="BY165" s="546">
        <f t="shared" si="181"/>
        <v>1</v>
      </c>
      <c r="BZ165" s="546">
        <f t="shared" si="182"/>
        <v>1</v>
      </c>
      <c r="CA165" s="546">
        <f t="shared" si="183"/>
        <v>1</v>
      </c>
      <c r="CB165" s="546">
        <f t="shared" si="184"/>
        <v>1</v>
      </c>
      <c r="CC165" s="728">
        <f t="shared" si="185"/>
        <v>488</v>
      </c>
      <c r="CD165" s="728">
        <f t="shared" si="186"/>
        <v>133</v>
      </c>
      <c r="CE165" s="170" t="str">
        <f t="shared" si="187"/>
        <v>488 x 133 x 13</v>
      </c>
      <c r="CF165" t="str">
        <f t="shared" si="188"/>
        <v>490;135;4;Ply 12 HB_41130_2mk;13;Samping laci;-1;Edg_Décor_1723_B;1;Edg_Décor_1723_B;1;Edg_Décor_1723_B;1;Edg_Décor_1723_B;1</v>
      </c>
    </row>
    <row r="166" spans="1:84" customFormat="1">
      <c r="A166" s="701" t="str">
        <f t="shared" si="147"/>
        <v>…</v>
      </c>
      <c r="B166" s="447" t="str">
        <f t="shared" si="148"/>
        <v>kabinet</v>
      </c>
      <c r="C166" s="161" t="s">
        <v>1472</v>
      </c>
      <c r="D166" s="162" t="str">
        <f t="shared" si="189"/>
        <v>KS</v>
      </c>
      <c r="E166" s="1" t="s">
        <v>2167</v>
      </c>
      <c r="F166" s="811">
        <f t="shared" si="149"/>
        <v>1</v>
      </c>
      <c r="G166" s="440" t="str">
        <f t="shared" si="194"/>
        <v>...</v>
      </c>
      <c r="H166" s="1" t="s">
        <v>1800</v>
      </c>
      <c r="I166" s="55"/>
      <c r="J166" s="828">
        <f>+J147-Tdm-(2*sl_tbl)</f>
        <v>825</v>
      </c>
      <c r="K166" s="1" t="s">
        <v>2137</v>
      </c>
      <c r="L166" s="170">
        <f>+L165-10-N167</f>
        <v>118</v>
      </c>
      <c r="M166" s="1" t="s">
        <v>2137</v>
      </c>
      <c r="N166" s="458">
        <f>+(S166+W166+Y166)</f>
        <v>13</v>
      </c>
      <c r="O166" s="170" t="str">
        <f>CONCATENATE(J166," ",K166," ",L166," ",M166," ",N166)</f>
        <v>825 x 118 x 13</v>
      </c>
      <c r="P166" s="441">
        <f>IFERROR(INDEX((std_sub_prt),MATCH($H166,Prt,0)),"")</f>
        <v>2</v>
      </c>
      <c r="Q166" s="55">
        <f>+P166*Q164</f>
        <v>4</v>
      </c>
      <c r="R166" s="177" t="str">
        <f>IFERROR(INDEX((std_bhn_prt),MATCH($H166,Prt,0)),"")</f>
        <v>Ply</v>
      </c>
      <c r="S166" s="454">
        <f>IFERROR(INDEX((std_Tbahan_prt),MATCH($H166,Prt,0)),"")</f>
        <v>12</v>
      </c>
      <c r="T166" s="178">
        <f>INDEX((std_lapisan_luar_prt),MATCH($H166,Prt,0))</f>
        <v>11</v>
      </c>
      <c r="U166" s="178">
        <f>INDEX((std_lapisan_dalam_prt),MATCH($H166,Prt,0))</f>
        <v>11</v>
      </c>
      <c r="V166" s="179" t="str">
        <f>IFERROR(INDEX((tf),MATCH(T166,ctf,0)),"")</f>
        <v>HB_41130</v>
      </c>
      <c r="W166" s="180">
        <f>IFERROR(INDEX((tebal_lapisan),MATCH($V166,tf,0)),"")</f>
        <v>0.5</v>
      </c>
      <c r="X166" s="179" t="str">
        <f>IFERROR(INDEX((tf),MATCH(U166,ctf,0)),"")</f>
        <v>HB_41130</v>
      </c>
      <c r="Y166" s="180">
        <f>IFERROR(INDEX((tebal_lapisan),MATCH($X166,tf,0)),"")</f>
        <v>0.5</v>
      </c>
      <c r="Z166" s="178">
        <f>INDEX((std_edg_P1_prt),MATCH($H166,Prt,0))</f>
        <v>11</v>
      </c>
      <c r="AA166" s="178">
        <f>INDEX((std_edg_P2_prt),MATCH($H166,Prt,0))</f>
        <v>0</v>
      </c>
      <c r="AB166" s="178">
        <f>INDEX((std_edg_L1_prt),MATCH($H166,Prt,0))</f>
        <v>0</v>
      </c>
      <c r="AC166" s="178">
        <f>INDEX((std_edg_L2_prt),MATCH($H166,Prt,0))</f>
        <v>0</v>
      </c>
      <c r="AD166" s="182" t="str">
        <f t="shared" si="152"/>
        <v>Edg_Décor_1723_B</v>
      </c>
      <c r="AE166" s="182" t="str">
        <f t="shared" si="153"/>
        <v xml:space="preserve"> </v>
      </c>
      <c r="AF166" s="182" t="str">
        <f t="shared" si="154"/>
        <v xml:space="preserve"> </v>
      </c>
      <c r="AG166" s="182" t="str">
        <f t="shared" si="155"/>
        <v xml:space="preserve"> </v>
      </c>
      <c r="AH166" s="401">
        <f>IFERROR(INDEX((std_profil3_prt),MATCH($H166,Prt,0)),"")</f>
        <v>0</v>
      </c>
      <c r="AI166" s="401">
        <f t="shared" si="156"/>
        <v>0</v>
      </c>
      <c r="AJ166" s="401">
        <f>IFERROR(INDEX((std_profil_prt),MATCH($H166,Prt,0)),"")</f>
        <v>0</v>
      </c>
      <c r="AK166" s="401">
        <f t="shared" si="157"/>
        <v>0</v>
      </c>
      <c r="AL166" s="401">
        <f t="shared" si="158"/>
        <v>0</v>
      </c>
      <c r="AM166" s="189"/>
      <c r="AN166" s="829">
        <f>IFERROR(INDEX((std_rel_prt),MATCH($H166,Prt,0)),"")</f>
        <v>0</v>
      </c>
      <c r="AO166" s="830">
        <f>IFERROR(INDEX((std_engsel_prt),MATCH($H166,Prt,0)),"")</f>
        <v>0</v>
      </c>
      <c r="AP166" s="401" t="str">
        <f t="shared" si="159"/>
        <v/>
      </c>
      <c r="AQ166" s="401" t="str">
        <f t="shared" si="160"/>
        <v/>
      </c>
      <c r="AR166" s="401" t="str">
        <f t="shared" si="161"/>
        <v/>
      </c>
      <c r="AS166" s="401">
        <f>IFERROR(INDEX((std_anodize_per_ukuran),MATCH($H166,Prt,0)),"")</f>
        <v>0</v>
      </c>
      <c r="AT166" s="403" t="str">
        <f>IF($AS166=edging7,L166,IF($AS166=edging8,L166,IF($AS166=edging9,L166,IF($AS166=Hand1,J165,IF($AS166=Hand2,L165,IF($AS166=hand3,"diisi manual",IF($AS166=hand4,"diisi manual",IF($AS166=hand5,"diisi manual",IF($AS166=mled02,J166,IF($AS166=mprf1,J166,IF($AS166=mlis1,J166,"")))))))))))</f>
        <v/>
      </c>
      <c r="AU166" s="403">
        <f>IF($AS166="","",Q166*BR166)</f>
        <v>0</v>
      </c>
      <c r="AV166" s="170"/>
      <c r="AW166" s="166" t="str">
        <f>CONCATENATE(VLOOKUP($V166,tabtf,2,0),VLOOKUP($X166,tabtf,2,0))</f>
        <v>22</v>
      </c>
      <c r="AX166" s="166" t="str">
        <f t="shared" si="162"/>
        <v>1333</v>
      </c>
      <c r="AY166" s="189" t="str">
        <f t="shared" si="163"/>
        <v>HB_41130_2mk</v>
      </c>
      <c r="AZ166" s="189" t="str">
        <f t="shared" si="164"/>
        <v>Edg_Décor_1723_B_1sisi_pjg</v>
      </c>
      <c r="BA166" s="196" t="str">
        <f t="shared" si="195"/>
        <v>179)Depan belakang laci_HB_41130_2mk</v>
      </c>
      <c r="BB166" s="629" t="str">
        <f t="shared" si="165"/>
        <v xml:space="preserve">179)Depan belakang laci Ply 12mm - HB_41130_2mk ; Edg_Décor_1723_B_1sisi_pjg  </v>
      </c>
      <c r="BC166" s="190"/>
      <c r="BD166" s="510">
        <f t="shared" si="166"/>
        <v>0</v>
      </c>
      <c r="BE166" s="510" t="str">
        <f t="shared" si="167"/>
        <v>DOWEL KAYU 4X8</v>
      </c>
      <c r="BF166" s="177">
        <f>IFERROR(INDEX((std_j_sikufr_prt),MATCH($H166,Prt,0)),"")*Q166</f>
        <v>0</v>
      </c>
      <c r="BG166" s="177">
        <f>IFERROR(INDEX((std_j_screwjf_prt),MATCH($H166,Prt,0)),"")*Q166</f>
        <v>0</v>
      </c>
      <c r="BH166" s="166">
        <f>IF($AM166=0,0,1)*Q166</f>
        <v>0</v>
      </c>
      <c r="BI166" s="474">
        <f t="shared" si="169"/>
        <v>0</v>
      </c>
      <c r="BJ166" s="166">
        <f>IF($AN166=0,0,1)*Q166</f>
        <v>0</v>
      </c>
      <c r="BK166" s="474">
        <f t="shared" si="171"/>
        <v>3.46</v>
      </c>
      <c r="BL166" s="474">
        <f t="shared" si="172"/>
        <v>0.63200000000000001</v>
      </c>
      <c r="BM166" s="474">
        <f t="shared" si="173"/>
        <v>8.1839999999999993</v>
      </c>
      <c r="BN166" s="166">
        <f>((J166*L166)/1000000)*Q166</f>
        <v>0.38940000000000002</v>
      </c>
      <c r="BO166" s="166" t="str">
        <f>CONCATENATE(R166,"_",S166)</f>
        <v>Ply_12</v>
      </c>
      <c r="BP166" s="204" t="str">
        <f>CONCATENATE(R166," ",S166," ",AY166)</f>
        <v>Ply 12 HB_41130_2mk</v>
      </c>
      <c r="BQ166" s="475">
        <f t="shared" si="176"/>
        <v>0.23520833333333335</v>
      </c>
      <c r="BR166" s="205">
        <f t="shared" si="191"/>
        <v>0</v>
      </c>
      <c r="BS166" s="509">
        <f t="shared" si="177"/>
        <v>0</v>
      </c>
      <c r="BT166" s="509">
        <f t="shared" si="178"/>
        <v>8</v>
      </c>
      <c r="BU166" s="459">
        <f t="shared" si="196"/>
        <v>0</v>
      </c>
      <c r="BV166" s="459">
        <f t="shared" si="196"/>
        <v>0</v>
      </c>
      <c r="BW166" s="1">
        <f t="shared" si="179"/>
        <v>0.38940000000000002</v>
      </c>
      <c r="BX166" s="1">
        <f t="shared" si="180"/>
        <v>5.0622000000000002E-3</v>
      </c>
      <c r="BY166" s="546">
        <f t="shared" si="181"/>
        <v>1</v>
      </c>
      <c r="BZ166" s="546" t="str">
        <f t="shared" si="182"/>
        <v/>
      </c>
      <c r="CA166" s="546" t="str">
        <f t="shared" si="183"/>
        <v/>
      </c>
      <c r="CB166" s="546" t="str">
        <f t="shared" si="184"/>
        <v/>
      </c>
      <c r="CC166" s="728" t="str">
        <f t="shared" si="185"/>
        <v/>
      </c>
      <c r="CD166" s="728" t="str">
        <f t="shared" si="186"/>
        <v/>
      </c>
      <c r="CE166" s="170" t="str">
        <f t="shared" si="187"/>
        <v xml:space="preserve"> x  x 13</v>
      </c>
      <c r="CF166" t="str">
        <f t="shared" si="188"/>
        <v>825;118;4;Ply 12 HB_41130_2mk;13;Depan belakang laci;-1; ;; ;;Edg_Décor_1723_B;1; ;</v>
      </c>
    </row>
    <row r="167" spans="1:84" customFormat="1">
      <c r="A167" s="701" t="str">
        <f t="shared" si="147"/>
        <v>…</v>
      </c>
      <c r="B167" s="447" t="str">
        <f t="shared" si="148"/>
        <v>kabinet</v>
      </c>
      <c r="C167" s="161" t="s">
        <v>1472</v>
      </c>
      <c r="D167" s="162" t="str">
        <f t="shared" si="189"/>
        <v>KS</v>
      </c>
      <c r="E167" s="1" t="s">
        <v>2167</v>
      </c>
      <c r="F167" s="811">
        <f t="shared" si="149"/>
        <v>1</v>
      </c>
      <c r="G167" s="440" t="str">
        <f t="shared" si="194"/>
        <v>...</v>
      </c>
      <c r="H167" s="1" t="s">
        <v>1803</v>
      </c>
      <c r="I167" s="55"/>
      <c r="J167" s="170">
        <f>+J166+12</f>
        <v>837</v>
      </c>
      <c r="K167" s="1" t="s">
        <v>2137</v>
      </c>
      <c r="L167" s="170">
        <f>+J165-2</f>
        <v>488</v>
      </c>
      <c r="M167" s="1" t="s">
        <v>2137</v>
      </c>
      <c r="N167" s="458">
        <f>+(S167+W167+Y167)</f>
        <v>7</v>
      </c>
      <c r="O167" s="170" t="str">
        <f>CONCATENATE(J167," ",K167," ",L167," ",M167," ",N167)</f>
        <v>837 x 488 x 7</v>
      </c>
      <c r="P167" s="441">
        <f>IFERROR(INDEX((std_sub_prt),MATCH($H167,Prt,0)),"")</f>
        <v>1</v>
      </c>
      <c r="Q167" s="55">
        <f>+P167*Q164</f>
        <v>2</v>
      </c>
      <c r="R167" s="177" t="str">
        <f>IFERROR(INDEX((std_bhn_prt),MATCH($H167,Prt,0)),"")</f>
        <v>Ply</v>
      </c>
      <c r="S167" s="454">
        <f>IFERROR(INDEX((std_Tbahan_prt),MATCH($H167,Prt,0)),"")</f>
        <v>6</v>
      </c>
      <c r="T167" s="178">
        <f>INDEX((std_lapisan_luar_prt),MATCH($H167,Prt,0))</f>
        <v>9</v>
      </c>
      <c r="U167" s="178">
        <f>INDEX((std_lapisan_dalam_prt),MATCH($H167,Prt,0))</f>
        <v>11</v>
      </c>
      <c r="V167" s="179" t="str">
        <f>IFERROR(INDEX((tf),MATCH(T167,ctf,0)),"")</f>
        <v>[Aica]</v>
      </c>
      <c r="W167" s="180">
        <f>IFERROR(INDEX((tebal_lapisan),MATCH($V167,tf,0)),"")</f>
        <v>0.5</v>
      </c>
      <c r="X167" s="179" t="str">
        <f>IFERROR(INDEX((tf),MATCH(U167,ctf,0)),"")</f>
        <v>HB_41130</v>
      </c>
      <c r="Y167" s="180">
        <f>IFERROR(INDEX((tebal_lapisan),MATCH($X167,tf,0)),"")</f>
        <v>0.5</v>
      </c>
      <c r="Z167" s="178">
        <f>INDEX((std_edg_P1_prt),MATCH($H167,Prt,0))</f>
        <v>0</v>
      </c>
      <c r="AA167" s="178">
        <f>INDEX((std_edg_P2_prt),MATCH($H167,Prt,0))</f>
        <v>0</v>
      </c>
      <c r="AB167" s="178">
        <f>INDEX((std_edg_L1_prt),MATCH($H167,Prt,0))</f>
        <v>0</v>
      </c>
      <c r="AC167" s="178">
        <f>INDEX((std_edg_L2_prt),MATCH($H167,Prt,0))</f>
        <v>0</v>
      </c>
      <c r="AD167" s="182" t="str">
        <f t="shared" si="152"/>
        <v xml:space="preserve"> </v>
      </c>
      <c r="AE167" s="182" t="str">
        <f t="shared" si="153"/>
        <v xml:space="preserve"> </v>
      </c>
      <c r="AF167" s="182" t="str">
        <f t="shared" si="154"/>
        <v xml:space="preserve"> </v>
      </c>
      <c r="AG167" s="182" t="str">
        <f t="shared" si="155"/>
        <v xml:space="preserve"> </v>
      </c>
      <c r="AH167" s="401">
        <f>IFERROR(INDEX((std_profil3_prt),MATCH($H167,Prt,0)),"")</f>
        <v>0</v>
      </c>
      <c r="AI167" s="401">
        <f t="shared" si="156"/>
        <v>0</v>
      </c>
      <c r="AJ167" s="401">
        <f>IFERROR(INDEX((std_profil_prt),MATCH($H167,Prt,0)),"")</f>
        <v>0</v>
      </c>
      <c r="AK167" s="401">
        <f t="shared" si="157"/>
        <v>0</v>
      </c>
      <c r="AL167" s="401">
        <f t="shared" si="158"/>
        <v>0</v>
      </c>
      <c r="AM167" s="189"/>
      <c r="AN167" s="829" t="str">
        <f>IFERROR(INDEX((std_rel_prt),MATCH($H167,Prt,0)),"")</f>
        <v>REL TANDEM BLUM FULL EXT INTG P.500</v>
      </c>
      <c r="AO167" s="830">
        <f>IFERROR(INDEX((std_engsel_prt),MATCH($H167,Prt,0)),"")</f>
        <v>0</v>
      </c>
      <c r="AP167" s="401" t="str">
        <f t="shared" si="159"/>
        <v/>
      </c>
      <c r="AQ167" s="401" t="str">
        <f t="shared" si="160"/>
        <v/>
      </c>
      <c r="AR167" s="401" t="str">
        <f t="shared" si="161"/>
        <v/>
      </c>
      <c r="AS167" s="401">
        <f>IFERROR(INDEX((std_anodize_per_ukuran),MATCH($H167,Prt,0)),"")</f>
        <v>0</v>
      </c>
      <c r="AT167" s="403" t="str">
        <f>IF($AS167=edging7,L167,IF($AS167=edging8,L167,IF($AS167=edging9,L167,IF($AS167=Hand1,J166,IF($AS167=Hand2,L166,IF($AS167=hand3,"diisi manual",IF($AS167=hand4,"diisi manual",IF($AS167=hand5,"diisi manual",IF($AS167=mled02,J167,IF($AS167=mprf1,J167,IF($AS167=mlis1,J167,"")))))))))))</f>
        <v/>
      </c>
      <c r="AU167" s="403">
        <f>IF($AS167="","",Q167*BR167)</f>
        <v>0</v>
      </c>
      <c r="AV167" s="170"/>
      <c r="AW167" s="166" t="str">
        <f>CONCATENATE(VLOOKUP($V167,tabtf,2,0),VLOOKUP($X167,tabtf,2,0))</f>
        <v>52</v>
      </c>
      <c r="AX167" s="166" t="str">
        <f t="shared" si="162"/>
        <v>3333</v>
      </c>
      <c r="AY167" s="189" t="str">
        <f t="shared" si="163"/>
        <v>HB_41130+[Aica]</v>
      </c>
      <c r="AZ167" s="189" t="str">
        <f t="shared" si="164"/>
        <v xml:space="preserve"> -</v>
      </c>
      <c r="BA167" s="196" t="str">
        <f t="shared" si="195"/>
        <v>185)Dasar laci_HB_41130+[Aica]</v>
      </c>
      <c r="BB167" s="629" t="str">
        <f t="shared" si="165"/>
        <v xml:space="preserve">185)Dasar laci Ply 6mm - HB_41130+[Aica] ;  -  </v>
      </c>
      <c r="BC167" s="190"/>
      <c r="BD167" s="510">
        <f t="shared" si="166"/>
        <v>0</v>
      </c>
      <c r="BE167" s="510">
        <f t="shared" si="167"/>
        <v>0</v>
      </c>
      <c r="BF167" s="177">
        <f>IFERROR(INDEX((std_j_sikufr_prt),MATCH($H167,Prt,0)),"")*Q167</f>
        <v>0</v>
      </c>
      <c r="BG167" s="177">
        <f>IFERROR(INDEX((std_j_screwjf_prt),MATCH($H167,Prt,0)),"")*Q167</f>
        <v>0</v>
      </c>
      <c r="BH167" s="166">
        <f>IF($AM167=0,0,1)*Q167</f>
        <v>0</v>
      </c>
      <c r="BI167" s="474">
        <f t="shared" si="169"/>
        <v>0</v>
      </c>
      <c r="BJ167" s="166">
        <f>IF($AN167=0,0,1)*Q167</f>
        <v>2</v>
      </c>
      <c r="BK167" s="474">
        <f t="shared" si="171"/>
        <v>1.754</v>
      </c>
      <c r="BL167" s="474">
        <f t="shared" si="172"/>
        <v>1.056</v>
      </c>
      <c r="BM167" s="474">
        <f t="shared" si="173"/>
        <v>5.62</v>
      </c>
      <c r="BN167" s="166">
        <f>((J167*L167)/1000000)*Q167</f>
        <v>0.81691199999999997</v>
      </c>
      <c r="BO167" s="166" t="str">
        <f>CONCATENATE(R167,"_",S167)</f>
        <v>Ply_6</v>
      </c>
      <c r="BP167" s="204" t="str">
        <f>CONCATENATE(R167," ",S167," ",AY167)</f>
        <v>Ply 6 HB_41130+[Aica]</v>
      </c>
      <c r="BQ167" s="475">
        <f t="shared" si="176"/>
        <v>0.38365000000000005</v>
      </c>
      <c r="BR167" s="205">
        <f t="shared" si="191"/>
        <v>0</v>
      </c>
      <c r="BS167" s="509">
        <f t="shared" si="177"/>
        <v>0</v>
      </c>
      <c r="BT167" s="509">
        <f t="shared" si="178"/>
        <v>0</v>
      </c>
      <c r="BU167" s="459">
        <f t="shared" si="196"/>
        <v>0</v>
      </c>
      <c r="BV167" s="459">
        <f t="shared" si="196"/>
        <v>0</v>
      </c>
      <c r="BW167" s="1">
        <f t="shared" si="179"/>
        <v>0.81691199999999997</v>
      </c>
      <c r="BX167" s="1">
        <f t="shared" si="180"/>
        <v>5.718384E-3</v>
      </c>
      <c r="BY167" s="546" t="str">
        <f t="shared" si="181"/>
        <v/>
      </c>
      <c r="BZ167" s="546" t="str">
        <f t="shared" si="182"/>
        <v/>
      </c>
      <c r="CA167" s="546" t="str">
        <f t="shared" si="183"/>
        <v/>
      </c>
      <c r="CB167" s="546" t="str">
        <f t="shared" si="184"/>
        <v/>
      </c>
      <c r="CC167" s="728" t="str">
        <f t="shared" si="185"/>
        <v/>
      </c>
      <c r="CD167" s="728" t="str">
        <f t="shared" si="186"/>
        <v/>
      </c>
      <c r="CE167" s="170" t="str">
        <f t="shared" si="187"/>
        <v xml:space="preserve"> x  x 7</v>
      </c>
      <c r="CF167" t="str">
        <f t="shared" si="188"/>
        <v>837;488;2;Ply 6 HB_41130+[Aica];7;Dasar laci;-1; ;; ;; ;; ;</v>
      </c>
    </row>
    <row r="168" spans="1:84" customFormat="1">
      <c r="A168" s="701" t="str">
        <f>IFERROR(INDEX((ID),MATCH(H168,BARANG,0)),"…")</f>
        <v>…</v>
      </c>
      <c r="B168" s="447" t="str">
        <f t="shared" si="148"/>
        <v>…</v>
      </c>
      <c r="C168" s="161"/>
      <c r="D168" s="162" t="str">
        <f t="shared" si="189"/>
        <v/>
      </c>
      <c r="E168" s="1"/>
      <c r="F168" s="811" t="str">
        <f t="shared" si="149"/>
        <v/>
      </c>
      <c r="G168" s="440" t="str">
        <f t="shared" si="194"/>
        <v>...</v>
      </c>
      <c r="H168" s="1"/>
      <c r="I168" s="55"/>
      <c r="J168" s="170"/>
      <c r="K168" s="1"/>
      <c r="L168" s="170"/>
      <c r="M168" s="1"/>
      <c r="N168" s="166"/>
      <c r="O168" s="170"/>
      <c r="P168" s="441"/>
      <c r="Q168" s="55"/>
      <c r="R168" s="177"/>
      <c r="S168" s="454"/>
      <c r="T168" s="178"/>
      <c r="U168" s="178"/>
      <c r="V168" s="179"/>
      <c r="W168" s="180"/>
      <c r="X168" s="179"/>
      <c r="Y168" s="180"/>
      <c r="Z168" s="178"/>
      <c r="AA168" s="178"/>
      <c r="AB168" s="178"/>
      <c r="AC168" s="178"/>
      <c r="AD168" s="182" t="str">
        <f t="shared" ref="AD168:AD183" si="197">IF($B168="alu",(INDEX((Fr),MATCH(Z168,cfr,0))),INDEX((te),MATCH(Z168,cte,0)))</f>
        <v xml:space="preserve"> </v>
      </c>
      <c r="AE168" s="182" t="str">
        <f t="shared" ref="AE168:AE183" si="198">IF($B168="alu",(INDEX((Fr),MATCH(AA168,cfr,0))),INDEX((te),MATCH(AA168,cte,0)))</f>
        <v xml:space="preserve"> </v>
      </c>
      <c r="AF168" s="182" t="str">
        <f t="shared" ref="AF168:AF183" si="199">IF($B168="alu",(INDEX((Fr),MATCH(AB168,cfr,0))),INDEX((te),MATCH(AB168,cte,0)))</f>
        <v xml:space="preserve"> </v>
      </c>
      <c r="AG168" s="182" t="str">
        <f t="shared" ref="AG168:AG183" si="200">IF($B168="alu",(INDEX((Fr),MATCH(AC168,cfr,0))),INDEX((te),MATCH(AC168,cte,0)))</f>
        <v xml:space="preserve"> </v>
      </c>
      <c r="AH168" s="401"/>
      <c r="AI168" s="401" t="str">
        <f t="shared" si="156"/>
        <v/>
      </c>
      <c r="AJ168" s="182"/>
      <c r="AK168" s="401" t="str">
        <f t="shared" si="157"/>
        <v/>
      </c>
      <c r="AL168" s="401" t="str">
        <f t="shared" si="158"/>
        <v/>
      </c>
      <c r="AM168" s="189"/>
      <c r="AN168" s="829"/>
      <c r="AO168" s="830"/>
      <c r="AP168" s="401" t="str">
        <f t="shared" si="159"/>
        <v/>
      </c>
      <c r="AQ168" s="401" t="str">
        <f t="shared" si="160"/>
        <v/>
      </c>
      <c r="AR168" s="401" t="str">
        <f t="shared" si="161"/>
        <v/>
      </c>
      <c r="AS168" s="401"/>
      <c r="AT168" s="403"/>
      <c r="AU168" s="403" t="str">
        <f>IF($AS168=0,"",Q168*BR168)</f>
        <v/>
      </c>
      <c r="AV168" s="170"/>
      <c r="AW168" s="166"/>
      <c r="AX168" s="166" t="str">
        <f t="shared" si="162"/>
        <v>3333</v>
      </c>
      <c r="AY168" s="189" t="str">
        <f t="shared" ref="AY168:AY183" si="201">IFERROR(VLOOKUP(AW168,descf,2,0),"")</f>
        <v/>
      </c>
      <c r="AZ168" s="189" t="str">
        <f t="shared" ref="AZ168:AZ183" si="202">IF($B168="alu",(VLOOKUP(AX168,descfr,2,0)),(VLOOKUP(AX168,desce,2,0)))</f>
        <v xml:space="preserve"> -</v>
      </c>
      <c r="BA168" s="196" t="str">
        <f>IF($R168=0,CONCATENATE(0,")"," ",$H168," ",$J168),CONCATENATE(VLOOKUP(H168,tabprt,2,0),")",$H168,"_",AY168))</f>
        <v xml:space="preserve">0)  </v>
      </c>
      <c r="BB168" s="629" t="str">
        <f>IF($B168="…",CONCATENATE(0,$E168,")"," ",$H168),IF($B168="kc",CONCATENATE(VLOOKUP(H168,tabprt,2,0),")",$H168," ",$R168," ",$S168,"mm"," ","-"," "," ",";"," ",$AZ168,"  ",$I168),IF($B168="alu",CONCATENATE(VLOOKUP(H168,tabprt,2,0),")",$H168," ",$R168," ",$S168,"mm"," ","-"," "," ",";"," ",$AZ168,"  ",$I168),CONCATENATE(VLOOKUP(H168,tabprt,2,0),")",$H168," ",$R168," ",$S168,"mm"," ","-"," ",$AY168," ",";"," ",$AZ168,"  ",$I168))))</f>
        <v xml:space="preserve">0) </v>
      </c>
      <c r="BC168" s="190"/>
      <c r="BD168" s="510" t="str">
        <f t="shared" si="166"/>
        <v/>
      </c>
      <c r="BE168" s="510" t="str">
        <f t="shared" si="167"/>
        <v/>
      </c>
      <c r="BF168" s="177"/>
      <c r="BG168" s="177"/>
      <c r="BH168" s="166"/>
      <c r="BI168" s="474">
        <f t="shared" si="169"/>
        <v>0</v>
      </c>
      <c r="BJ168" s="166"/>
      <c r="BK168" s="474">
        <f t="shared" si="171"/>
        <v>0</v>
      </c>
      <c r="BL168" s="474">
        <f t="shared" si="172"/>
        <v>0</v>
      </c>
      <c r="BM168" s="474">
        <f t="shared" ref="BM168:BM183" si="203">IF(R168=0,0,((2*((J168+tol_p)+(L168+tol_p))*Q168)/1000))</f>
        <v>0</v>
      </c>
      <c r="BN168" s="166"/>
      <c r="BO168" s="166"/>
      <c r="BP168" s="204"/>
      <c r="BQ168" s="475">
        <f t="shared" ref="BQ168:BQ183" si="204">((J168*L168*Q168)/(2400*1200))+10%</f>
        <v>0.1</v>
      </c>
      <c r="BR168" s="205"/>
      <c r="BS168" s="509">
        <f t="shared" si="177"/>
        <v>0</v>
      </c>
      <c r="BT168" s="509">
        <f t="shared" si="178"/>
        <v>0</v>
      </c>
      <c r="BU168" s="459"/>
      <c r="BV168" s="459"/>
      <c r="BW168" s="1">
        <f>+((J168*L168)*Q168)/1000000</f>
        <v>0</v>
      </c>
      <c r="BX168" s="1">
        <f>+((J168*L168*N168)*Q168)/1000000000</f>
        <v>0</v>
      </c>
      <c r="BY168" s="546" t="str">
        <f t="shared" si="181"/>
        <v/>
      </c>
      <c r="BZ168" s="546" t="str">
        <f t="shared" si="182"/>
        <v/>
      </c>
      <c r="CA168" s="546" t="str">
        <f t="shared" si="183"/>
        <v/>
      </c>
      <c r="CB168" s="546" t="str">
        <f t="shared" si="184"/>
        <v/>
      </c>
      <c r="CC168" s="728" t="str">
        <f t="shared" si="185"/>
        <v/>
      </c>
      <c r="CD168" s="728" t="str">
        <f t="shared" si="186"/>
        <v/>
      </c>
      <c r="CE168" s="170" t="str">
        <f t="shared" si="187"/>
        <v xml:space="preserve"> x  x </v>
      </c>
      <c r="CF168" t="str">
        <f t="shared" si="188"/>
        <v xml:space="preserve"> </v>
      </c>
    </row>
    <row r="169" spans="1:84" customFormat="1">
      <c r="A169" s="701" t="str">
        <f t="shared" ref="A169:A198" si="205">IFERROR(INDEX((ID),MATCH(H169,BARANG,0)),"…")</f>
        <v>…</v>
      </c>
      <c r="B169" s="447" t="str">
        <f t="shared" si="148"/>
        <v>…</v>
      </c>
      <c r="C169" s="1" t="s">
        <v>1471</v>
      </c>
      <c r="D169" s="538" t="e">
        <f>(INDEX(KS_Set,MATCH($H169,Set_prt,0)))</f>
        <v>#N/A</v>
      </c>
      <c r="E169" s="1" t="s">
        <v>2167</v>
      </c>
      <c r="F169" s="811" t="str">
        <f t="shared" si="149"/>
        <v/>
      </c>
      <c r="G169" s="440" t="str">
        <f t="shared" si="194"/>
        <v>...</v>
      </c>
      <c r="H169" s="1" t="s">
        <v>2858</v>
      </c>
      <c r="I169" s="55"/>
      <c r="J169" s="171">
        <v>602</v>
      </c>
      <c r="K169" s="55" t="s">
        <v>2137</v>
      </c>
      <c r="L169" s="171">
        <v>600</v>
      </c>
      <c r="M169" s="55" t="s">
        <v>2137</v>
      </c>
      <c r="N169" s="172">
        <v>2404</v>
      </c>
      <c r="O169" s="170" t="str">
        <f>CONCATENATE(J169," ",K169," ",L169," ",M169," ",N169)</f>
        <v>602 x 600 x 2404</v>
      </c>
      <c r="P169" s="139"/>
      <c r="Q169" s="171">
        <v>1</v>
      </c>
      <c r="R169" s="181"/>
      <c r="S169" s="455"/>
      <c r="T169" s="170"/>
      <c r="U169" s="170"/>
      <c r="V169" s="1"/>
      <c r="W169" s="173"/>
      <c r="X169" s="1"/>
      <c r="Y169" s="166"/>
      <c r="Z169" s="170"/>
      <c r="AA169" s="170"/>
      <c r="AB169" s="170"/>
      <c r="AC169" s="170"/>
      <c r="AD169" s="182" t="str">
        <f t="shared" si="197"/>
        <v xml:space="preserve"> </v>
      </c>
      <c r="AE169" s="182" t="str">
        <f t="shared" si="198"/>
        <v xml:space="preserve"> </v>
      </c>
      <c r="AF169" s="182" t="str">
        <f t="shared" si="199"/>
        <v xml:space="preserve"> </v>
      </c>
      <c r="AG169" s="182" t="str">
        <f t="shared" si="200"/>
        <v xml:space="preserve"> </v>
      </c>
      <c r="AH169" s="189"/>
      <c r="AI169" s="401" t="str">
        <f t="shared" si="156"/>
        <v/>
      </c>
      <c r="AJ169" s="189"/>
      <c r="AK169" s="401" t="str">
        <f t="shared" si="157"/>
        <v/>
      </c>
      <c r="AL169" s="401" t="str">
        <f t="shared" si="158"/>
        <v/>
      </c>
      <c r="AM169" s="189"/>
      <c r="AN169" s="782"/>
      <c r="AO169" s="189"/>
      <c r="AP169" s="401" t="str">
        <f t="shared" si="159"/>
        <v/>
      </c>
      <c r="AQ169" s="401" t="str">
        <f t="shared" si="160"/>
        <v/>
      </c>
      <c r="AR169" s="401" t="str">
        <f t="shared" si="161"/>
        <v/>
      </c>
      <c r="AS169" s="188"/>
      <c r="AT169" s="1"/>
      <c r="AU169" s="403" t="str">
        <f>IF($AS169=0,"",Q169*BR169)</f>
        <v/>
      </c>
      <c r="AV169" s="1"/>
      <c r="AW169" s="166"/>
      <c r="AX169" s="166" t="str">
        <f t="shared" si="162"/>
        <v>3333</v>
      </c>
      <c r="AY169" s="189" t="str">
        <f t="shared" si="201"/>
        <v/>
      </c>
      <c r="AZ169" s="189" t="str">
        <f t="shared" si="202"/>
        <v xml:space="preserve"> -</v>
      </c>
      <c r="BA169" s="196" t="str">
        <f>IF($R169=0,CONCATENATE(0,")"," ",$H169," ",$J169),CONCATENATE(VLOOKUP(H169,tabprt,2,0),")",$H169))</f>
        <v>0) TC Mw+Disp-║H◄5'+2+│-sw3K29a-pu0h50 602</v>
      </c>
      <c r="BB169" s="629" t="str">
        <f t="shared" ref="BB169:BB182" si="206">IF($B169="…",CONCATENATE(0,$E169,")"," ",$H169),IF($B169="kc",CONCATENATE(VLOOKUP(H169,tabprt,2,0),")",$H169," ",$R169," ",$S169,"mm"," ","-"," "," ",";"," ",$AZ169,"  ",$I169),IF($B169="alu",CONCATENATE(VLOOKUP(H169,tabprt,2,0),")",$H169," ",$R169," ",$S169,"mm"," ","-"," "," ",";"," ",$AZ169,"  ",$I169),CONCATENATE(VLOOKUP(H169,tabprt,2,0),")",$H169," ",$R169," ",$S169,"mm"," ","-"," ",$AY169," ",";"," ",$AZ169,"  ",$I169))))</f>
        <v>0B) TC Mw+Disp-║H◄5'+2+│-sw3K29a-pu0h50</v>
      </c>
      <c r="BC169" s="197"/>
      <c r="BD169" s="510" t="str">
        <f t="shared" si="166"/>
        <v/>
      </c>
      <c r="BE169" s="510" t="str">
        <f t="shared" si="167"/>
        <v/>
      </c>
      <c r="BF169" s="177"/>
      <c r="BG169" s="177"/>
      <c r="BH169" s="166">
        <f>IF($AM169=0,0,1)*Q169</f>
        <v>0</v>
      </c>
      <c r="BI169" s="474">
        <f t="shared" ref="BI169:BI198" si="207">IF($AO169=0,0,IF(J169&lt;=fp,2,(ROUNDUP(J169/fp,0))))*Q169</f>
        <v>0</v>
      </c>
      <c r="BJ169" s="166">
        <f>IF($AN169=0,0,1)*Q169</f>
        <v>0</v>
      </c>
      <c r="BK169" s="474">
        <f t="shared" si="171"/>
        <v>0.64200000000000002</v>
      </c>
      <c r="BL169" s="474">
        <f t="shared" si="172"/>
        <v>0.64</v>
      </c>
      <c r="BM169" s="474">
        <f t="shared" si="203"/>
        <v>0</v>
      </c>
      <c r="BN169" s="166"/>
      <c r="BO169" s="166" t="str">
        <f>CONCATENATE(R169,"_",S169)</f>
        <v>_</v>
      </c>
      <c r="BP169" s="204" t="str">
        <f>CONCATENATE(R169," ",S169," ",AY169)</f>
        <v xml:space="preserve">  </v>
      </c>
      <c r="BQ169" s="475">
        <f t="shared" si="204"/>
        <v>0.22541666666666668</v>
      </c>
      <c r="BR169" s="205" t="str">
        <f>IFERROR(INDEX((std_jml_anodize_per_uk),MATCH($H169,Prt,0)),"")</f>
        <v/>
      </c>
      <c r="BS169" s="509">
        <f t="shared" si="177"/>
        <v>6</v>
      </c>
      <c r="BT169" s="509">
        <f t="shared" si="178"/>
        <v>8</v>
      </c>
      <c r="BU169" s="459"/>
      <c r="BV169" s="459"/>
      <c r="BW169" s="1">
        <f t="shared" ref="BW169:BW198" si="208">+((J169*L169)*Q169)/1000000</f>
        <v>0.36120000000000002</v>
      </c>
      <c r="BX169" s="1">
        <f t="shared" ref="BX169:BX198" si="209">+((J169*L169*N169)*Q169)/1000000000</f>
        <v>0.86832480000000001</v>
      </c>
      <c r="BY169" s="546" t="str">
        <f t="shared" si="181"/>
        <v/>
      </c>
      <c r="BZ169" s="546" t="str">
        <f t="shared" si="182"/>
        <v/>
      </c>
      <c r="CA169" s="546" t="str">
        <f t="shared" si="183"/>
        <v/>
      </c>
      <c r="CB169" s="546" t="str">
        <f t="shared" si="184"/>
        <v/>
      </c>
      <c r="CC169" s="728" t="str">
        <f t="shared" si="185"/>
        <v/>
      </c>
      <c r="CD169" s="728" t="str">
        <f t="shared" si="186"/>
        <v/>
      </c>
      <c r="CE169" s="170" t="str">
        <f t="shared" si="187"/>
        <v xml:space="preserve"> x  x 2404</v>
      </c>
      <c r="CF169" t="str">
        <f t="shared" si="188"/>
        <v xml:space="preserve"> </v>
      </c>
    </row>
    <row r="170" spans="1:84" customFormat="1">
      <c r="A170" s="701" t="str">
        <f t="shared" si="205"/>
        <v>…</v>
      </c>
      <c r="B170" s="447" t="str">
        <f t="shared" si="148"/>
        <v>kabinet</v>
      </c>
      <c r="C170" s="161" t="s">
        <v>1472</v>
      </c>
      <c r="D170" s="162" t="str">
        <f t="shared" ref="D170:D180" si="210">IFERROR(INDEX((KS),MATCH($H170,Prt,0)),"")</f>
        <v>KS</v>
      </c>
      <c r="E170" s="1" t="s">
        <v>2167</v>
      </c>
      <c r="F170" s="811">
        <f t="shared" si="149"/>
        <v>1</v>
      </c>
      <c r="G170" s="440" t="str">
        <f t="shared" si="194"/>
        <v>...</v>
      </c>
      <c r="H170" s="1" t="s">
        <v>1770</v>
      </c>
      <c r="I170" s="55"/>
      <c r="J170" s="170">
        <f>N169</f>
        <v>2404</v>
      </c>
      <c r="K170" s="1" t="s">
        <v>2137</v>
      </c>
      <c r="L170" s="170">
        <f>+L169</f>
        <v>600</v>
      </c>
      <c r="M170" s="1" t="s">
        <v>2137</v>
      </c>
      <c r="N170" s="458">
        <f t="shared" ref="N170:N177" si="211">+(S170+W170+Y170)</f>
        <v>19.5</v>
      </c>
      <c r="O170" s="170" t="str">
        <f t="shared" ref="O170:O177" si="212">CONCATENATE(J170," ",K170," ",L170," ",M170," ",N170)</f>
        <v>2404 x 600 x 19,5</v>
      </c>
      <c r="P170" s="441">
        <f>IFERROR(INDEX((std_sub_prt),MATCH($H170,Prt,0)),"")</f>
        <v>1</v>
      </c>
      <c r="Q170" s="55">
        <f>P170*Q169</f>
        <v>1</v>
      </c>
      <c r="R170" s="177" t="str">
        <f t="shared" ref="R170:R180" si="213">IFERROR(INDEX((std_bhn_prt),MATCH($H170,Prt,0)),"")</f>
        <v>Ply</v>
      </c>
      <c r="S170" s="454">
        <f t="shared" ref="S170:S180" si="214">IFERROR(INDEX((std_Tbahan_prt),MATCH($H170,Prt,0)),"")</f>
        <v>18</v>
      </c>
      <c r="T170" s="178">
        <f t="shared" ref="T170:T180" si="215">INDEX((std_lapisan_luar_prt),MATCH($H170,Prt,0))</f>
        <v>1</v>
      </c>
      <c r="U170" s="178">
        <f t="shared" ref="U170:U180" si="216">INDEX((std_lapisan_dalam_prt),MATCH($H170,Prt,0))</f>
        <v>11</v>
      </c>
      <c r="V170" s="179" t="str">
        <f t="shared" ref="V170:V177" si="217">IFERROR(INDEX((tf),MATCH(T170,ctf,0)),"")</f>
        <v>WY_5216_D(V)</v>
      </c>
      <c r="W170" s="180">
        <f t="shared" ref="W170:W180" si="218">IFERROR(INDEX((tebal_lapisan),MATCH($V170,tf,0)),"")</f>
        <v>1</v>
      </c>
      <c r="X170" s="179" t="str">
        <f t="shared" ref="X170:X177" si="219">IFERROR(INDEX((tf),MATCH(U170,ctf,0)),"")</f>
        <v>HB_41130</v>
      </c>
      <c r="Y170" s="180">
        <f t="shared" ref="Y170:Y180" si="220">IFERROR(INDEX((tebal_lapisan),MATCH($X170,tf,0)),"")</f>
        <v>0.5</v>
      </c>
      <c r="Z170" s="178">
        <f t="shared" ref="Z170:Z180" si="221">INDEX((std_edg_P1_prt),MATCH($H170,Prt,0))</f>
        <v>1</v>
      </c>
      <c r="AA170" s="178">
        <f t="shared" ref="AA170:AA180" si="222">INDEX((std_edg_P2_prt),MATCH($H170,Prt,0))</f>
        <v>1</v>
      </c>
      <c r="AB170" s="178">
        <f t="shared" ref="AB170:AB180" si="223">INDEX((std_edg_L1_prt),MATCH($H170,Prt,0))</f>
        <v>1</v>
      </c>
      <c r="AC170" s="178">
        <f t="shared" ref="AC170:AC180" si="224">INDEX((std_edg_L2_prt),MATCH($H170,Prt,0))</f>
        <v>1</v>
      </c>
      <c r="AD170" s="182" t="str">
        <f t="shared" si="197"/>
        <v>Edg_EAW_5216D1</v>
      </c>
      <c r="AE170" s="182" t="str">
        <f t="shared" si="198"/>
        <v>Edg_EAW_5216D1</v>
      </c>
      <c r="AF170" s="182" t="str">
        <f t="shared" si="199"/>
        <v>Edg_EAW_5216D1</v>
      </c>
      <c r="AG170" s="182" t="str">
        <f t="shared" si="200"/>
        <v>Edg_EAW_5216D1</v>
      </c>
      <c r="AH170" s="401">
        <f t="shared" ref="AH170:AH181" si="225">IFERROR(INDEX((std_profil3_prt),MATCH($H170,Prt,0)),"")</f>
        <v>0</v>
      </c>
      <c r="AI170" s="401">
        <f t="shared" si="156"/>
        <v>0</v>
      </c>
      <c r="AJ170" s="401">
        <f t="shared" ref="AJ170:AJ181" si="226">IFERROR(INDEX((std_profil_prt),MATCH($H170,Prt,0)),"")</f>
        <v>0</v>
      </c>
      <c r="AK170" s="401">
        <f t="shared" si="157"/>
        <v>0</v>
      </c>
      <c r="AL170" s="401">
        <f t="shared" si="158"/>
        <v>0</v>
      </c>
      <c r="AM170" s="189"/>
      <c r="AN170" s="829">
        <f t="shared" ref="AN170:AN181" si="227">IFERROR(INDEX((std_rel_prt),MATCH($H170,Prt,0)),"")</f>
        <v>0</v>
      </c>
      <c r="AO170" s="830">
        <f t="shared" ref="AO170:AO181" si="228">IFERROR(INDEX((std_engsel_prt),MATCH($H170,Prt,0)),"")</f>
        <v>0</v>
      </c>
      <c r="AP170" s="401" t="str">
        <f t="shared" si="159"/>
        <v/>
      </c>
      <c r="AQ170" s="401" t="str">
        <f t="shared" si="160"/>
        <v/>
      </c>
      <c r="AR170" s="401" t="str">
        <f t="shared" si="161"/>
        <v/>
      </c>
      <c r="AS170" s="401">
        <f t="shared" ref="AS170:AS181" si="229">IFERROR(INDEX((std_anodize_per_ukuran),MATCH($H170,Prt,0)),"")</f>
        <v>0</v>
      </c>
      <c r="AT170" s="403" t="str">
        <f t="shared" ref="AT170:AT181" si="230">IF($AS170=edging7,L170,IF($AS170=edging8,L170,IF($AS170=edging9,L170,IF($AS170=Hand1,J169,IF($AS170=Hand2,L169,IF($AS170=hand3,"diisi manual",IF($AS170=hand4,"diisi manual",IF($AS170=hand5,"diisi manual",IF($AS170=mled02,J170,IF($AS170=mprf1,J170,IF($AS170=mlis1,J170,"")))))))))))</f>
        <v/>
      </c>
      <c r="AU170" s="403">
        <f t="shared" ref="AU170:AU181" si="231">IF($AS170="","",Q170*BR170)</f>
        <v>0</v>
      </c>
      <c r="AV170" s="170"/>
      <c r="AW170" s="166" t="str">
        <f t="shared" ref="AW170:AW180" si="232">CONCATENATE(VLOOKUP($V170,tabtf,2,0),VLOOKUP($X170,tabtf,2,0))</f>
        <v>12</v>
      </c>
      <c r="AX170" s="166" t="str">
        <f t="shared" si="162"/>
        <v>4444</v>
      </c>
      <c r="AY170" s="189" t="str">
        <f t="shared" si="201"/>
        <v>WY_5216_D(V)_+_HB_41130</v>
      </c>
      <c r="AZ170" s="189" t="str">
        <f t="shared" si="202"/>
        <v>Edg_EAW_5216D1_Keliling</v>
      </c>
      <c r="BA170" s="196" t="str">
        <f t="shared" ref="BA170:BA177" si="233">IF($R170=0,CONCATENATE(0,")"," ",$H170," ",$J170),CONCATENATE(VLOOKUP(H170,tabprt,2,0),")",$H170,"_",AY170))</f>
        <v>104)Dinding Samping I_WY_5216_D(V)_+_HB_41130</v>
      </c>
      <c r="BB170" s="629" t="str">
        <f t="shared" si="206"/>
        <v xml:space="preserve">104)Dinding Samping I Ply 18mm - WY_5216_D(V)_+_HB_41130 ; Edg_EAW_5216D1_Keliling  </v>
      </c>
      <c r="BC170" s="190"/>
      <c r="BD170" s="510">
        <f t="shared" si="166"/>
        <v>0</v>
      </c>
      <c r="BE170" s="510">
        <f t="shared" si="167"/>
        <v>0</v>
      </c>
      <c r="BF170" s="177">
        <f t="shared" ref="BF170:BF181" si="234">IFERROR(INDEX((std_j_sikufr_prt),MATCH($H170,Prt,0)),"")*Q170</f>
        <v>0</v>
      </c>
      <c r="BG170" s="177">
        <f t="shared" ref="BG170:BG181" si="235">IFERROR(INDEX((std_j_screwjf_prt),MATCH($H170,Prt,0)),"")*Q170</f>
        <v>0</v>
      </c>
      <c r="BH170" s="166">
        <f t="shared" ref="BH170:BH177" si="236">IF($AM170=0,0,1)*Q170</f>
        <v>0</v>
      </c>
      <c r="BI170" s="474">
        <f t="shared" si="207"/>
        <v>0</v>
      </c>
      <c r="BJ170" s="166">
        <f t="shared" ref="BJ170:BJ177" si="237">IF($AN170=0,0,1)*Q170</f>
        <v>0</v>
      </c>
      <c r="BK170" s="474">
        <f t="shared" si="171"/>
        <v>2.444</v>
      </c>
      <c r="BL170" s="474">
        <f t="shared" si="172"/>
        <v>0.64</v>
      </c>
      <c r="BM170" s="474">
        <f t="shared" si="203"/>
        <v>6.1680000000000001</v>
      </c>
      <c r="BN170" s="166">
        <f t="shared" ref="BN170:BN177" si="238">((J170*L170)/1000000)*Q170</f>
        <v>1.4423999999999999</v>
      </c>
      <c r="BO170" s="166" t="str">
        <f t="shared" ref="BO170:BO177" si="239">CONCATENATE(R170,"_",S170)</f>
        <v>Ply_18</v>
      </c>
      <c r="BP170" s="204" t="str">
        <f t="shared" ref="BP170:BP177" si="240">CONCATENATE(R170," ",S170," ",AY170)</f>
        <v>Ply 18 WY_5216_D(V)_+_HB_41130</v>
      </c>
      <c r="BQ170" s="475">
        <f t="shared" si="204"/>
        <v>0.60083333333333333</v>
      </c>
      <c r="BR170" s="205">
        <f t="shared" ref="BR170:BR180" si="241">IFERROR(INDEX((std_jml_anodize_per_uk),MATCH($H170,Prt,0)),"")</f>
        <v>0</v>
      </c>
      <c r="BS170" s="509">
        <f t="shared" si="177"/>
        <v>0</v>
      </c>
      <c r="BT170" s="509">
        <f t="shared" si="178"/>
        <v>0</v>
      </c>
      <c r="BU170" s="459">
        <f t="shared" ref="BU170:BU181" si="242">BF170*$Q170</f>
        <v>0</v>
      </c>
      <c r="BV170" s="459">
        <f t="shared" ref="BV170:BV181" si="243">BG170*$Q170</f>
        <v>0</v>
      </c>
      <c r="BW170" s="1">
        <f t="shared" si="208"/>
        <v>1.4423999999999999</v>
      </c>
      <c r="BX170" s="1">
        <f t="shared" si="209"/>
        <v>2.81268E-2</v>
      </c>
      <c r="BY170" s="546" t="str">
        <f t="shared" si="181"/>
        <v/>
      </c>
      <c r="BZ170" s="546" t="str">
        <f t="shared" si="182"/>
        <v/>
      </c>
      <c r="CA170" s="546" t="str">
        <f t="shared" si="183"/>
        <v/>
      </c>
      <c r="CB170" s="546" t="str">
        <f t="shared" si="184"/>
        <v/>
      </c>
      <c r="CC170" s="728" t="str">
        <f t="shared" si="185"/>
        <v/>
      </c>
      <c r="CD170" s="728" t="str">
        <f t="shared" si="186"/>
        <v/>
      </c>
      <c r="CE170" s="170" t="str">
        <f t="shared" si="187"/>
        <v xml:space="preserve"> x  x 19,5</v>
      </c>
      <c r="CF170" t="str">
        <f t="shared" si="188"/>
        <v>2404;600;1;Ply 18 WY_5216_D(V)_+_HB_41130;19,5;Dinding Samping I;-1;Edg_EAW_5216D1;;Edg_EAW_5216D1;;Edg_EAW_5216D1;;Edg_EAW_5216D1;</v>
      </c>
    </row>
    <row r="171" spans="1:84" customFormat="1">
      <c r="A171" s="701" t="str">
        <f t="shared" si="205"/>
        <v>…</v>
      </c>
      <c r="B171" s="447" t="str">
        <f t="shared" si="148"/>
        <v>kabinet</v>
      </c>
      <c r="C171" s="161" t="s">
        <v>1472</v>
      </c>
      <c r="D171" s="162" t="str">
        <f t="shared" si="210"/>
        <v>KS</v>
      </c>
      <c r="E171" s="1" t="s">
        <v>2167</v>
      </c>
      <c r="F171" s="811">
        <f t="shared" si="149"/>
        <v>1</v>
      </c>
      <c r="G171" s="440" t="str">
        <f t="shared" si="194"/>
        <v>...</v>
      </c>
      <c r="H171" s="1" t="s">
        <v>1769</v>
      </c>
      <c r="I171" s="55"/>
      <c r="J171" s="170">
        <f>N169</f>
        <v>2404</v>
      </c>
      <c r="K171" s="1" t="s">
        <v>2137</v>
      </c>
      <c r="L171" s="170">
        <f>+L169</f>
        <v>600</v>
      </c>
      <c r="M171" s="1" t="s">
        <v>2137</v>
      </c>
      <c r="N171" s="458">
        <f t="shared" si="211"/>
        <v>18.5</v>
      </c>
      <c r="O171" s="170" t="str">
        <f t="shared" si="212"/>
        <v>2404 x 600 x 18,5</v>
      </c>
      <c r="P171" s="441">
        <f>IFERROR(INDEX((std_sub_prt),MATCH($H171,Prt,0)),"")</f>
        <v>1</v>
      </c>
      <c r="Q171" s="55">
        <f>P171*Q169</f>
        <v>1</v>
      </c>
      <c r="R171" s="177" t="str">
        <f t="shared" si="213"/>
        <v>Ply</v>
      </c>
      <c r="S171" s="454">
        <f t="shared" si="214"/>
        <v>18</v>
      </c>
      <c r="T171" s="178">
        <f t="shared" si="215"/>
        <v>0</v>
      </c>
      <c r="U171" s="178">
        <f t="shared" si="216"/>
        <v>11</v>
      </c>
      <c r="V171" s="179" t="str">
        <f t="shared" si="217"/>
        <v>Polos</v>
      </c>
      <c r="W171" s="180">
        <f t="shared" si="218"/>
        <v>0</v>
      </c>
      <c r="X171" s="179" t="str">
        <f t="shared" si="219"/>
        <v>HB_41130</v>
      </c>
      <c r="Y171" s="180">
        <f t="shared" si="220"/>
        <v>0.5</v>
      </c>
      <c r="Z171" s="178">
        <f t="shared" si="221"/>
        <v>11</v>
      </c>
      <c r="AA171" s="178">
        <f t="shared" si="222"/>
        <v>9</v>
      </c>
      <c r="AB171" s="178">
        <f t="shared" si="223"/>
        <v>9</v>
      </c>
      <c r="AC171" s="178">
        <f t="shared" si="224"/>
        <v>9</v>
      </c>
      <c r="AD171" s="182" t="str">
        <f t="shared" si="197"/>
        <v>Edg_Décor_1723_B</v>
      </c>
      <c r="AE171" s="182" t="str">
        <f t="shared" si="198"/>
        <v>Melanor</v>
      </c>
      <c r="AF171" s="182" t="str">
        <f t="shared" si="199"/>
        <v>Melanor</v>
      </c>
      <c r="AG171" s="182" t="str">
        <f t="shared" si="200"/>
        <v>Melanor</v>
      </c>
      <c r="AH171" s="401">
        <f t="shared" si="225"/>
        <v>0</v>
      </c>
      <c r="AI171" s="401">
        <f t="shared" si="156"/>
        <v>0</v>
      </c>
      <c r="AJ171" s="401">
        <f t="shared" si="226"/>
        <v>0</v>
      </c>
      <c r="AK171" s="401">
        <f t="shared" si="157"/>
        <v>0</v>
      </c>
      <c r="AL171" s="401">
        <f t="shared" si="158"/>
        <v>0</v>
      </c>
      <c r="AM171" s="189"/>
      <c r="AN171" s="829">
        <f t="shared" si="227"/>
        <v>0</v>
      </c>
      <c r="AO171" s="830">
        <f t="shared" si="228"/>
        <v>0</v>
      </c>
      <c r="AP171" s="401" t="str">
        <f t="shared" si="159"/>
        <v/>
      </c>
      <c r="AQ171" s="401" t="str">
        <f t="shared" si="160"/>
        <v/>
      </c>
      <c r="AR171" s="401" t="str">
        <f t="shared" si="161"/>
        <v/>
      </c>
      <c r="AS171" s="401">
        <f t="shared" si="229"/>
        <v>0</v>
      </c>
      <c r="AT171" s="403" t="str">
        <f t="shared" si="230"/>
        <v/>
      </c>
      <c r="AU171" s="403">
        <f t="shared" si="231"/>
        <v>0</v>
      </c>
      <c r="AV171" s="170"/>
      <c r="AW171" s="166" t="str">
        <f t="shared" si="232"/>
        <v>32</v>
      </c>
      <c r="AX171" s="166" t="str">
        <f t="shared" si="162"/>
        <v>1222</v>
      </c>
      <c r="AY171" s="189" t="str">
        <f t="shared" si="201"/>
        <v>HB_41130_1mk_Polos</v>
      </c>
      <c r="AZ171" s="189" t="str">
        <f t="shared" si="202"/>
        <v>Edg Kll standart</v>
      </c>
      <c r="BA171" s="196" t="str">
        <f t="shared" si="233"/>
        <v>101)Dinding Samping_HB_41130_1mk_Polos</v>
      </c>
      <c r="BB171" s="629" t="str">
        <f t="shared" si="206"/>
        <v xml:space="preserve">101)Dinding Samping Ply 18mm - HB_41130_1mk_Polos ; Edg Kll standart  </v>
      </c>
      <c r="BC171" s="190"/>
      <c r="BD171" s="510">
        <f t="shared" si="166"/>
        <v>0</v>
      </c>
      <c r="BE171" s="510">
        <f t="shared" si="167"/>
        <v>0</v>
      </c>
      <c r="BF171" s="177">
        <f t="shared" si="234"/>
        <v>0</v>
      </c>
      <c r="BG171" s="177">
        <f t="shared" si="235"/>
        <v>0</v>
      </c>
      <c r="BH171" s="166">
        <f t="shared" si="236"/>
        <v>0</v>
      </c>
      <c r="BI171" s="474">
        <f t="shared" si="207"/>
        <v>0</v>
      </c>
      <c r="BJ171" s="166">
        <f t="shared" si="237"/>
        <v>0</v>
      </c>
      <c r="BK171" s="474">
        <f t="shared" si="171"/>
        <v>2.444</v>
      </c>
      <c r="BL171" s="474">
        <f t="shared" si="172"/>
        <v>0.64</v>
      </c>
      <c r="BM171" s="474">
        <f t="shared" si="203"/>
        <v>6.1680000000000001</v>
      </c>
      <c r="BN171" s="166">
        <f t="shared" si="238"/>
        <v>1.4423999999999999</v>
      </c>
      <c r="BO171" s="166" t="str">
        <f t="shared" si="239"/>
        <v>Ply_18</v>
      </c>
      <c r="BP171" s="204" t="str">
        <f t="shared" si="240"/>
        <v>Ply 18 HB_41130_1mk_Polos</v>
      </c>
      <c r="BQ171" s="475">
        <f t="shared" si="204"/>
        <v>0.60083333333333333</v>
      </c>
      <c r="BR171" s="205">
        <f t="shared" si="241"/>
        <v>0</v>
      </c>
      <c r="BS171" s="509">
        <f t="shared" si="177"/>
        <v>0</v>
      </c>
      <c r="BT171" s="509">
        <f t="shared" si="178"/>
        <v>0</v>
      </c>
      <c r="BU171" s="459">
        <f t="shared" si="242"/>
        <v>0</v>
      </c>
      <c r="BV171" s="459">
        <f t="shared" si="243"/>
        <v>0</v>
      </c>
      <c r="BW171" s="1">
        <f t="shared" si="208"/>
        <v>1.4423999999999999</v>
      </c>
      <c r="BX171" s="1">
        <f t="shared" si="209"/>
        <v>2.66844E-2</v>
      </c>
      <c r="BY171" s="546">
        <f t="shared" si="181"/>
        <v>1</v>
      </c>
      <c r="BZ171" s="546">
        <f t="shared" si="182"/>
        <v>0.5</v>
      </c>
      <c r="CA171" s="546">
        <f t="shared" si="183"/>
        <v>0.5</v>
      </c>
      <c r="CB171" s="546">
        <f t="shared" si="184"/>
        <v>0.5</v>
      </c>
      <c r="CC171" s="728">
        <f t="shared" si="185"/>
        <v>2403</v>
      </c>
      <c r="CD171" s="728">
        <f t="shared" si="186"/>
        <v>598.5</v>
      </c>
      <c r="CE171" s="170" t="str">
        <f t="shared" si="187"/>
        <v>2403 x 598,5 x 18,5</v>
      </c>
      <c r="CF171" t="str">
        <f t="shared" si="188"/>
        <v>2404;600;1;Ply 18 HB_41130_1mk_Polos;18,5;Dinding Samping;-1;Melanor;0,5;Melanor;0,5;Edg_Décor_1723_B;1;Melanor;0,5</v>
      </c>
    </row>
    <row r="172" spans="1:84" customFormat="1">
      <c r="A172" s="701" t="str">
        <f t="shared" si="205"/>
        <v>…</v>
      </c>
      <c r="B172" s="447" t="str">
        <f t="shared" si="148"/>
        <v>kabinet</v>
      </c>
      <c r="C172" s="161" t="s">
        <v>1472</v>
      </c>
      <c r="D172" s="162" t="str">
        <f t="shared" si="210"/>
        <v>KS</v>
      </c>
      <c r="E172" s="1" t="s">
        <v>2661</v>
      </c>
      <c r="F172" s="811">
        <f t="shared" si="149"/>
        <v>1</v>
      </c>
      <c r="G172" s="440" t="str">
        <f t="shared" si="194"/>
        <v>...</v>
      </c>
      <c r="H172" s="1" t="s">
        <v>1775</v>
      </c>
      <c r="I172" s="55"/>
      <c r="J172" s="457">
        <f>ROUNDDOWN((J169-N170-N171),0)</f>
        <v>564</v>
      </c>
      <c r="K172" s="1" t="s">
        <v>2137</v>
      </c>
      <c r="L172" s="170">
        <f>+L169</f>
        <v>600</v>
      </c>
      <c r="M172" s="1" t="s">
        <v>2137</v>
      </c>
      <c r="N172" s="458">
        <f t="shared" si="211"/>
        <v>19</v>
      </c>
      <c r="O172" s="170" t="str">
        <f t="shared" si="212"/>
        <v>564 x 600 x 19</v>
      </c>
      <c r="P172" s="441">
        <f>IFERROR(INDEX((std_sub_prt),MATCH($H172,Prt,0)),"")</f>
        <v>1</v>
      </c>
      <c r="Q172" s="55">
        <f>P172*Q169</f>
        <v>1</v>
      </c>
      <c r="R172" s="177" t="str">
        <f t="shared" si="213"/>
        <v>Ply</v>
      </c>
      <c r="S172" s="454">
        <f t="shared" si="214"/>
        <v>18</v>
      </c>
      <c r="T172" s="178">
        <f t="shared" si="215"/>
        <v>9</v>
      </c>
      <c r="U172" s="178">
        <f t="shared" si="216"/>
        <v>11</v>
      </c>
      <c r="V172" s="179" t="str">
        <f t="shared" si="217"/>
        <v>[Aica]</v>
      </c>
      <c r="W172" s="180">
        <f t="shared" si="218"/>
        <v>0.5</v>
      </c>
      <c r="X172" s="179" t="str">
        <f t="shared" si="219"/>
        <v>HB_41130</v>
      </c>
      <c r="Y172" s="180">
        <f t="shared" si="220"/>
        <v>0.5</v>
      </c>
      <c r="Z172" s="178">
        <f t="shared" si="221"/>
        <v>11</v>
      </c>
      <c r="AA172" s="178">
        <f t="shared" si="222"/>
        <v>9</v>
      </c>
      <c r="AB172" s="178">
        <f t="shared" si="223"/>
        <v>0</v>
      </c>
      <c r="AC172" s="178">
        <f t="shared" si="224"/>
        <v>0</v>
      </c>
      <c r="AD172" s="182" t="str">
        <f t="shared" si="197"/>
        <v>Edg_Décor_1723_B</v>
      </c>
      <c r="AE172" s="182" t="str">
        <f t="shared" si="198"/>
        <v>Melanor</v>
      </c>
      <c r="AF172" s="182" t="str">
        <f t="shared" si="199"/>
        <v xml:space="preserve"> </v>
      </c>
      <c r="AG172" s="182" t="str">
        <f t="shared" si="200"/>
        <v xml:space="preserve"> </v>
      </c>
      <c r="AH172" s="401">
        <f t="shared" si="225"/>
        <v>0</v>
      </c>
      <c r="AI172" s="401">
        <f t="shared" si="156"/>
        <v>0</v>
      </c>
      <c r="AJ172" s="401">
        <f t="shared" si="226"/>
        <v>0</v>
      </c>
      <c r="AK172" s="401">
        <f t="shared" si="157"/>
        <v>0</v>
      </c>
      <c r="AL172" s="401">
        <f t="shared" si="158"/>
        <v>0</v>
      </c>
      <c r="AM172" s="189"/>
      <c r="AN172" s="829">
        <f t="shared" si="227"/>
        <v>0</v>
      </c>
      <c r="AO172" s="830">
        <f t="shared" si="228"/>
        <v>0</v>
      </c>
      <c r="AP172" s="401" t="str">
        <f t="shared" si="159"/>
        <v/>
      </c>
      <c r="AQ172" s="401" t="str">
        <f t="shared" si="160"/>
        <v/>
      </c>
      <c r="AR172" s="401" t="str">
        <f t="shared" si="161"/>
        <v/>
      </c>
      <c r="AS172" s="401">
        <f t="shared" si="229"/>
        <v>0</v>
      </c>
      <c r="AT172" s="403" t="str">
        <f t="shared" si="230"/>
        <v/>
      </c>
      <c r="AU172" s="403">
        <f t="shared" si="231"/>
        <v>0</v>
      </c>
      <c r="AV172" s="170"/>
      <c r="AW172" s="166" t="str">
        <f t="shared" si="232"/>
        <v>52</v>
      </c>
      <c r="AX172" s="166" t="str">
        <f t="shared" si="162"/>
        <v>1233</v>
      </c>
      <c r="AY172" s="189" t="str">
        <f t="shared" si="201"/>
        <v>HB_41130+[Aica]</v>
      </c>
      <c r="AZ172" s="189" t="str">
        <f t="shared" si="202"/>
        <v>Edg 2sisi standart</v>
      </c>
      <c r="BA172" s="196" t="str">
        <f t="shared" si="233"/>
        <v>119)Dinding Atas Bawah_HB_41130+[Aica]</v>
      </c>
      <c r="BB172" s="629" t="str">
        <f t="shared" si="206"/>
        <v xml:space="preserve">119)Dinding Atas Bawah Ply 18mm - HB_41130+[Aica] ; Edg 2sisi standart  </v>
      </c>
      <c r="BC172" s="190"/>
      <c r="BD172" s="510" t="str">
        <f t="shared" si="166"/>
        <v>MINIFIX HETTICH</v>
      </c>
      <c r="BE172" s="510" t="str">
        <f t="shared" si="167"/>
        <v>DOWEL KAYU 4X8</v>
      </c>
      <c r="BF172" s="177">
        <f t="shared" si="234"/>
        <v>0</v>
      </c>
      <c r="BG172" s="177">
        <f t="shared" si="235"/>
        <v>0</v>
      </c>
      <c r="BH172" s="166">
        <f t="shared" si="236"/>
        <v>0</v>
      </c>
      <c r="BI172" s="474">
        <f t="shared" si="207"/>
        <v>0</v>
      </c>
      <c r="BJ172" s="166">
        <f t="shared" si="237"/>
        <v>0</v>
      </c>
      <c r="BK172" s="474">
        <f t="shared" si="171"/>
        <v>0.60399999999999998</v>
      </c>
      <c r="BL172" s="474">
        <f t="shared" si="172"/>
        <v>0.64</v>
      </c>
      <c r="BM172" s="474">
        <f t="shared" si="203"/>
        <v>2.488</v>
      </c>
      <c r="BN172" s="166">
        <f t="shared" si="238"/>
        <v>0.33839999999999998</v>
      </c>
      <c r="BO172" s="166" t="str">
        <f t="shared" si="239"/>
        <v>Ply_18</v>
      </c>
      <c r="BP172" s="204" t="str">
        <f t="shared" si="240"/>
        <v>Ply 18 HB_41130+[Aica]</v>
      </c>
      <c r="BQ172" s="475">
        <f t="shared" si="204"/>
        <v>0.2175</v>
      </c>
      <c r="BR172" s="205">
        <f t="shared" si="241"/>
        <v>0</v>
      </c>
      <c r="BS172" s="509">
        <f t="shared" si="177"/>
        <v>6</v>
      </c>
      <c r="BT172" s="509">
        <f t="shared" si="178"/>
        <v>8</v>
      </c>
      <c r="BU172" s="459">
        <f t="shared" si="242"/>
        <v>0</v>
      </c>
      <c r="BV172" s="459">
        <f t="shared" si="243"/>
        <v>0</v>
      </c>
      <c r="BW172" s="1">
        <f t="shared" si="208"/>
        <v>0.33839999999999998</v>
      </c>
      <c r="BX172" s="1">
        <f t="shared" si="209"/>
        <v>6.4295999999999997E-3</v>
      </c>
      <c r="BY172" s="546">
        <f t="shared" si="181"/>
        <v>1</v>
      </c>
      <c r="BZ172" s="546">
        <f t="shared" si="182"/>
        <v>0.5</v>
      </c>
      <c r="CA172" s="546" t="str">
        <f t="shared" si="183"/>
        <v/>
      </c>
      <c r="CB172" s="546" t="str">
        <f t="shared" si="184"/>
        <v/>
      </c>
      <c r="CC172" s="728" t="str">
        <f t="shared" si="185"/>
        <v/>
      </c>
      <c r="CD172" s="728">
        <f t="shared" si="186"/>
        <v>598.5</v>
      </c>
      <c r="CE172" s="170" t="str">
        <f t="shared" si="187"/>
        <v xml:space="preserve"> x 598,5 x 19</v>
      </c>
      <c r="CF172" t="str">
        <f t="shared" si="188"/>
        <v>564;600;1;Ply 18 HB_41130+[Aica];19;Dinding Atas Bawah;-1; ;; ;;Edg_Décor_1723_B;1;Melanor;0,5</v>
      </c>
    </row>
    <row r="173" spans="1:84" customFormat="1">
      <c r="A173" s="701" t="str">
        <f t="shared" si="205"/>
        <v>…</v>
      </c>
      <c r="B173" s="447" t="str">
        <f t="shared" si="148"/>
        <v>kabinet</v>
      </c>
      <c r="C173" s="161" t="s">
        <v>1472</v>
      </c>
      <c r="D173" s="162" t="str">
        <f t="shared" si="210"/>
        <v>KS</v>
      </c>
      <c r="E173" s="1" t="s">
        <v>2167</v>
      </c>
      <c r="F173" s="811">
        <f t="shared" si="149"/>
        <v>1</v>
      </c>
      <c r="G173" s="440" t="str">
        <f t="shared" si="194"/>
        <v>...</v>
      </c>
      <c r="H173" s="1" t="s">
        <v>1775</v>
      </c>
      <c r="I173" s="55"/>
      <c r="J173" s="170">
        <f>+J172</f>
        <v>564</v>
      </c>
      <c r="K173" s="1" t="s">
        <v>2137</v>
      </c>
      <c r="L173" s="170">
        <f>+L169-50</f>
        <v>550</v>
      </c>
      <c r="M173" s="1" t="s">
        <v>2137</v>
      </c>
      <c r="N173" s="458">
        <f t="shared" si="211"/>
        <v>19</v>
      </c>
      <c r="O173" s="170" t="str">
        <f t="shared" si="212"/>
        <v>564 x 550 x 19</v>
      </c>
      <c r="P173" s="441">
        <f>IFERROR(INDEX((std_sub_prt),MATCH($H173,Prt,0)),"")</f>
        <v>1</v>
      </c>
      <c r="Q173" s="55">
        <f>+P173*Q169</f>
        <v>1</v>
      </c>
      <c r="R173" s="177" t="str">
        <f t="shared" si="213"/>
        <v>Ply</v>
      </c>
      <c r="S173" s="454">
        <f t="shared" si="214"/>
        <v>18</v>
      </c>
      <c r="T173" s="178">
        <f t="shared" si="215"/>
        <v>9</v>
      </c>
      <c r="U173" s="178">
        <f t="shared" si="216"/>
        <v>11</v>
      </c>
      <c r="V173" s="179" t="str">
        <f t="shared" si="217"/>
        <v>[Aica]</v>
      </c>
      <c r="W173" s="180">
        <f t="shared" si="218"/>
        <v>0.5</v>
      </c>
      <c r="X173" s="179" t="str">
        <f t="shared" si="219"/>
        <v>HB_41130</v>
      </c>
      <c r="Y173" s="180">
        <f t="shared" si="220"/>
        <v>0.5</v>
      </c>
      <c r="Z173" s="178">
        <f t="shared" si="221"/>
        <v>11</v>
      </c>
      <c r="AA173" s="178">
        <f t="shared" si="222"/>
        <v>9</v>
      </c>
      <c r="AB173" s="178">
        <f t="shared" si="223"/>
        <v>0</v>
      </c>
      <c r="AC173" s="178">
        <f t="shared" si="224"/>
        <v>0</v>
      </c>
      <c r="AD173" s="182" t="str">
        <f t="shared" si="197"/>
        <v>Edg_Décor_1723_B</v>
      </c>
      <c r="AE173" s="182" t="str">
        <f t="shared" si="198"/>
        <v>Melanor</v>
      </c>
      <c r="AF173" s="182" t="str">
        <f t="shared" si="199"/>
        <v xml:space="preserve"> </v>
      </c>
      <c r="AG173" s="182" t="str">
        <f t="shared" si="200"/>
        <v xml:space="preserve"> </v>
      </c>
      <c r="AH173" s="401">
        <f t="shared" si="225"/>
        <v>0</v>
      </c>
      <c r="AI173" s="401">
        <f t="shared" si="156"/>
        <v>0</v>
      </c>
      <c r="AJ173" s="401">
        <f t="shared" si="226"/>
        <v>0</v>
      </c>
      <c r="AK173" s="401">
        <f t="shared" si="157"/>
        <v>0</v>
      </c>
      <c r="AL173" s="401">
        <f t="shared" si="158"/>
        <v>0</v>
      </c>
      <c r="AM173" s="189"/>
      <c r="AN173" s="829">
        <f t="shared" si="227"/>
        <v>0</v>
      </c>
      <c r="AO173" s="830">
        <f t="shared" si="228"/>
        <v>0</v>
      </c>
      <c r="AP173" s="401" t="str">
        <f t="shared" si="159"/>
        <v/>
      </c>
      <c r="AQ173" s="401" t="str">
        <f t="shared" si="160"/>
        <v/>
      </c>
      <c r="AR173" s="401" t="str">
        <f t="shared" si="161"/>
        <v/>
      </c>
      <c r="AS173" s="401">
        <f t="shared" si="229"/>
        <v>0</v>
      </c>
      <c r="AT173" s="403" t="str">
        <f t="shared" si="230"/>
        <v/>
      </c>
      <c r="AU173" s="403">
        <f t="shared" si="231"/>
        <v>0</v>
      </c>
      <c r="AV173" s="170"/>
      <c r="AW173" s="166" t="str">
        <f t="shared" si="232"/>
        <v>52</v>
      </c>
      <c r="AX173" s="166" t="str">
        <f t="shared" si="162"/>
        <v>1233</v>
      </c>
      <c r="AY173" s="189" t="str">
        <f t="shared" si="201"/>
        <v>HB_41130+[Aica]</v>
      </c>
      <c r="AZ173" s="189" t="str">
        <f t="shared" si="202"/>
        <v>Edg 2sisi standart</v>
      </c>
      <c r="BA173" s="196" t="str">
        <f t="shared" si="233"/>
        <v>119)Dinding Atas Bawah_HB_41130+[Aica]</v>
      </c>
      <c r="BB173" s="629" t="str">
        <f t="shared" si="206"/>
        <v xml:space="preserve">119)Dinding Atas Bawah Ply 18mm - HB_41130+[Aica] ; Edg 2sisi standart  </v>
      </c>
      <c r="BC173" s="190"/>
      <c r="BD173" s="510" t="str">
        <f t="shared" si="166"/>
        <v>MINIFIX HETTICH</v>
      </c>
      <c r="BE173" s="510" t="str">
        <f t="shared" si="167"/>
        <v>DOWEL KAYU 4X8</v>
      </c>
      <c r="BF173" s="177">
        <f t="shared" si="234"/>
        <v>0</v>
      </c>
      <c r="BG173" s="177">
        <f t="shared" si="235"/>
        <v>0</v>
      </c>
      <c r="BH173" s="166">
        <f t="shared" si="236"/>
        <v>0</v>
      </c>
      <c r="BI173" s="474">
        <f t="shared" si="207"/>
        <v>0</v>
      </c>
      <c r="BJ173" s="166">
        <f t="shared" si="237"/>
        <v>0</v>
      </c>
      <c r="BK173" s="474">
        <f t="shared" si="171"/>
        <v>0.60399999999999998</v>
      </c>
      <c r="BL173" s="474">
        <f t="shared" si="172"/>
        <v>0.59</v>
      </c>
      <c r="BM173" s="474">
        <f t="shared" si="203"/>
        <v>2.3879999999999999</v>
      </c>
      <c r="BN173" s="166">
        <f t="shared" si="238"/>
        <v>0.31019999999999998</v>
      </c>
      <c r="BO173" s="166" t="str">
        <f t="shared" si="239"/>
        <v>Ply_18</v>
      </c>
      <c r="BP173" s="204" t="str">
        <f t="shared" si="240"/>
        <v>Ply 18 HB_41130+[Aica]</v>
      </c>
      <c r="BQ173" s="475">
        <f t="shared" si="204"/>
        <v>0.20770833333333333</v>
      </c>
      <c r="BR173" s="205">
        <f t="shared" si="241"/>
        <v>0</v>
      </c>
      <c r="BS173" s="509">
        <f t="shared" si="177"/>
        <v>6</v>
      </c>
      <c r="BT173" s="509">
        <f t="shared" si="178"/>
        <v>6</v>
      </c>
      <c r="BU173" s="459">
        <f t="shared" si="242"/>
        <v>0</v>
      </c>
      <c r="BV173" s="459">
        <f t="shared" si="243"/>
        <v>0</v>
      </c>
      <c r="BW173" s="1">
        <f t="shared" si="208"/>
        <v>0.31019999999999998</v>
      </c>
      <c r="BX173" s="1">
        <f t="shared" si="209"/>
        <v>5.8938000000000003E-3</v>
      </c>
      <c r="BY173" s="546">
        <f t="shared" si="181"/>
        <v>1</v>
      </c>
      <c r="BZ173" s="546">
        <f t="shared" si="182"/>
        <v>0.5</v>
      </c>
      <c r="CA173" s="546" t="str">
        <f t="shared" si="183"/>
        <v/>
      </c>
      <c r="CB173" s="546" t="str">
        <f t="shared" si="184"/>
        <v/>
      </c>
      <c r="CC173" s="728" t="str">
        <f t="shared" si="185"/>
        <v/>
      </c>
      <c r="CD173" s="728">
        <f t="shared" si="186"/>
        <v>548.5</v>
      </c>
      <c r="CE173" s="170" t="str">
        <f t="shared" si="187"/>
        <v xml:space="preserve"> x 548,5 x 19</v>
      </c>
      <c r="CF173" t="str">
        <f t="shared" si="188"/>
        <v>564;550;1;Ply 18 HB_41130+[Aica];19;Dinding Atas Bawah;-1; ;; ;;Edg_Décor_1723_B;1;Melanor;0,5</v>
      </c>
    </row>
    <row r="174" spans="1:84" customFormat="1">
      <c r="A174" s="701" t="str">
        <f t="shared" si="205"/>
        <v>…</v>
      </c>
      <c r="B174" s="447" t="str">
        <f t="shared" si="148"/>
        <v>kabinet</v>
      </c>
      <c r="C174" s="161" t="s">
        <v>1472</v>
      </c>
      <c r="D174" s="162" t="str">
        <f t="shared" si="210"/>
        <v>KS</v>
      </c>
      <c r="E174" s="1" t="s">
        <v>2167</v>
      </c>
      <c r="F174" s="811">
        <f t="shared" si="149"/>
        <v>1</v>
      </c>
      <c r="G174" s="440" t="str">
        <f t="shared" si="194"/>
        <v>...</v>
      </c>
      <c r="H174" s="1" t="s">
        <v>1776</v>
      </c>
      <c r="I174" s="55"/>
      <c r="J174" s="170">
        <f>J172</f>
        <v>564</v>
      </c>
      <c r="K174" s="1" t="s">
        <v>2137</v>
      </c>
      <c r="L174" s="170">
        <f>+L169-50</f>
        <v>550</v>
      </c>
      <c r="M174" s="1" t="s">
        <v>2137</v>
      </c>
      <c r="N174" s="458">
        <f t="shared" si="211"/>
        <v>19</v>
      </c>
      <c r="O174" s="170" t="str">
        <f t="shared" si="212"/>
        <v>564 x 550 x 19</v>
      </c>
      <c r="P174" s="441">
        <v>1</v>
      </c>
      <c r="Q174" s="55">
        <f>P174*Q169</f>
        <v>1</v>
      </c>
      <c r="R174" s="177" t="str">
        <f t="shared" si="213"/>
        <v>Ply</v>
      </c>
      <c r="S174" s="454">
        <f t="shared" si="214"/>
        <v>18</v>
      </c>
      <c r="T174" s="178">
        <f t="shared" si="215"/>
        <v>11</v>
      </c>
      <c r="U174" s="178">
        <f t="shared" si="216"/>
        <v>11</v>
      </c>
      <c r="V174" s="179" t="str">
        <f t="shared" si="217"/>
        <v>HB_41130</v>
      </c>
      <c r="W174" s="180">
        <f t="shared" si="218"/>
        <v>0.5</v>
      </c>
      <c r="X174" s="179" t="str">
        <f t="shared" si="219"/>
        <v>HB_41130</v>
      </c>
      <c r="Y174" s="180">
        <f t="shared" si="220"/>
        <v>0.5</v>
      </c>
      <c r="Z174" s="178">
        <f t="shared" si="221"/>
        <v>11</v>
      </c>
      <c r="AA174" s="178">
        <f t="shared" si="222"/>
        <v>9</v>
      </c>
      <c r="AB174" s="178">
        <f t="shared" si="223"/>
        <v>0</v>
      </c>
      <c r="AC174" s="178">
        <f t="shared" si="224"/>
        <v>0</v>
      </c>
      <c r="AD174" s="182" t="str">
        <f t="shared" si="197"/>
        <v>Edg_Décor_1723_B</v>
      </c>
      <c r="AE174" s="182" t="str">
        <f t="shared" si="198"/>
        <v>Melanor</v>
      </c>
      <c r="AF174" s="182" t="str">
        <f t="shared" si="199"/>
        <v xml:space="preserve"> </v>
      </c>
      <c r="AG174" s="182" t="str">
        <f t="shared" si="200"/>
        <v xml:space="preserve"> </v>
      </c>
      <c r="AH174" s="401">
        <f t="shared" si="225"/>
        <v>0</v>
      </c>
      <c r="AI174" s="401">
        <f t="shared" si="156"/>
        <v>0</v>
      </c>
      <c r="AJ174" s="401">
        <f t="shared" si="226"/>
        <v>0</v>
      </c>
      <c r="AK174" s="401">
        <f t="shared" si="157"/>
        <v>0</v>
      </c>
      <c r="AL174" s="401">
        <f t="shared" si="158"/>
        <v>0</v>
      </c>
      <c r="AM174" s="189"/>
      <c r="AN174" s="829">
        <f t="shared" si="227"/>
        <v>0</v>
      </c>
      <c r="AO174" s="830">
        <f t="shared" si="228"/>
        <v>0</v>
      </c>
      <c r="AP174" s="401" t="str">
        <f t="shared" si="159"/>
        <v/>
      </c>
      <c r="AQ174" s="401" t="str">
        <f t="shared" si="160"/>
        <v/>
      </c>
      <c r="AR174" s="401" t="str">
        <f t="shared" si="161"/>
        <v/>
      </c>
      <c r="AS174" s="401">
        <f t="shared" si="229"/>
        <v>0</v>
      </c>
      <c r="AT174" s="403" t="str">
        <f t="shared" si="230"/>
        <v/>
      </c>
      <c r="AU174" s="403">
        <f t="shared" si="231"/>
        <v>0</v>
      </c>
      <c r="AV174" s="170"/>
      <c r="AW174" s="166" t="str">
        <f t="shared" si="232"/>
        <v>22</v>
      </c>
      <c r="AX174" s="166" t="str">
        <f t="shared" si="162"/>
        <v>1233</v>
      </c>
      <c r="AY174" s="189" t="str">
        <f t="shared" si="201"/>
        <v>HB_41130_2mk</v>
      </c>
      <c r="AZ174" s="189" t="str">
        <f t="shared" si="202"/>
        <v>Edg 2sisi standart</v>
      </c>
      <c r="BA174" s="196" t="str">
        <f t="shared" si="233"/>
        <v>122)Dinding Atas Bawah ≈_HB_41130_2mk</v>
      </c>
      <c r="BB174" s="629" t="str">
        <f t="shared" si="206"/>
        <v xml:space="preserve">122)Dinding Atas Bawah ≈ Ply 18mm - HB_41130_2mk ; Edg 2sisi standart  </v>
      </c>
      <c r="BC174" s="190"/>
      <c r="BD174" s="510" t="str">
        <f t="shared" si="166"/>
        <v>MINIFIX HETTICH</v>
      </c>
      <c r="BE174" s="510" t="str">
        <f t="shared" si="167"/>
        <v>DOWEL KAYU 4X8</v>
      </c>
      <c r="BF174" s="177">
        <f t="shared" si="234"/>
        <v>0</v>
      </c>
      <c r="BG174" s="177">
        <f t="shared" si="235"/>
        <v>0</v>
      </c>
      <c r="BH174" s="166">
        <f t="shared" si="236"/>
        <v>0</v>
      </c>
      <c r="BI174" s="474">
        <f t="shared" si="207"/>
        <v>0</v>
      </c>
      <c r="BJ174" s="166">
        <f t="shared" si="237"/>
        <v>0</v>
      </c>
      <c r="BK174" s="474">
        <f t="shared" si="171"/>
        <v>0.60399999999999998</v>
      </c>
      <c r="BL174" s="474">
        <f t="shared" si="172"/>
        <v>0.59</v>
      </c>
      <c r="BM174" s="474">
        <f t="shared" si="203"/>
        <v>2.3879999999999999</v>
      </c>
      <c r="BN174" s="166">
        <f t="shared" si="238"/>
        <v>0.31019999999999998</v>
      </c>
      <c r="BO174" s="166" t="str">
        <f t="shared" si="239"/>
        <v>Ply_18</v>
      </c>
      <c r="BP174" s="204" t="str">
        <f t="shared" si="240"/>
        <v>Ply 18 HB_41130_2mk</v>
      </c>
      <c r="BQ174" s="475">
        <f t="shared" si="204"/>
        <v>0.20770833333333333</v>
      </c>
      <c r="BR174" s="205">
        <f t="shared" si="241"/>
        <v>0</v>
      </c>
      <c r="BS174" s="509">
        <f t="shared" si="177"/>
        <v>6</v>
      </c>
      <c r="BT174" s="509">
        <f t="shared" si="178"/>
        <v>6</v>
      </c>
      <c r="BU174" s="459">
        <f t="shared" si="242"/>
        <v>0</v>
      </c>
      <c r="BV174" s="459">
        <f t="shared" si="243"/>
        <v>0</v>
      </c>
      <c r="BW174" s="1">
        <f t="shared" si="208"/>
        <v>0.31019999999999998</v>
      </c>
      <c r="BX174" s="1">
        <f t="shared" si="209"/>
        <v>5.8938000000000003E-3</v>
      </c>
      <c r="BY174" s="546">
        <f t="shared" si="181"/>
        <v>1</v>
      </c>
      <c r="BZ174" s="546">
        <f t="shared" si="182"/>
        <v>0.5</v>
      </c>
      <c r="CA174" s="546" t="str">
        <f t="shared" si="183"/>
        <v/>
      </c>
      <c r="CB174" s="546" t="str">
        <f t="shared" si="184"/>
        <v/>
      </c>
      <c r="CC174" s="728" t="str">
        <f t="shared" si="185"/>
        <v/>
      </c>
      <c r="CD174" s="728">
        <f t="shared" si="186"/>
        <v>548.5</v>
      </c>
      <c r="CE174" s="170" t="str">
        <f t="shared" si="187"/>
        <v xml:space="preserve"> x 548,5 x 19</v>
      </c>
      <c r="CF174" t="str">
        <f t="shared" si="188"/>
        <v>564;550;1;Ply 18 HB_41130_2mk;19;Dinding Atas Bawah ≈;-1; ;; ;;Edg_Décor_1723_B;1;Melanor;0,5</v>
      </c>
    </row>
    <row r="175" spans="1:84" customFormat="1">
      <c r="A175" s="701" t="str">
        <f t="shared" si="205"/>
        <v>…</v>
      </c>
      <c r="B175" s="447" t="str">
        <f t="shared" si="148"/>
        <v>kabinet</v>
      </c>
      <c r="C175" s="161" t="s">
        <v>1472</v>
      </c>
      <c r="D175" s="162" t="str">
        <f t="shared" si="210"/>
        <v>KS</v>
      </c>
      <c r="E175" s="1" t="s">
        <v>2167</v>
      </c>
      <c r="F175" s="811">
        <f t="shared" si="149"/>
        <v>1</v>
      </c>
      <c r="G175" s="440" t="str">
        <f t="shared" si="194"/>
        <v>...</v>
      </c>
      <c r="H175" s="1" t="s">
        <v>1783</v>
      </c>
      <c r="I175" s="55"/>
      <c r="J175" s="170">
        <f>+N169-11-50</f>
        <v>2343</v>
      </c>
      <c r="K175" s="1" t="s">
        <v>2137</v>
      </c>
      <c r="L175" s="170">
        <f>J169-21</f>
        <v>581</v>
      </c>
      <c r="M175" s="1" t="s">
        <v>2137</v>
      </c>
      <c r="N175" s="458">
        <f t="shared" si="211"/>
        <v>7</v>
      </c>
      <c r="O175" s="170" t="str">
        <f t="shared" si="212"/>
        <v>2343 x 581 x 7</v>
      </c>
      <c r="P175" s="441">
        <f>IFERROR(INDEX((std_sub_prt),MATCH($H175,Prt,0)),"")</f>
        <v>1</v>
      </c>
      <c r="Q175" s="55">
        <f>P175*Q169</f>
        <v>1</v>
      </c>
      <c r="R175" s="177" t="str">
        <f t="shared" si="213"/>
        <v>Ply</v>
      </c>
      <c r="S175" s="454">
        <f t="shared" si="214"/>
        <v>6</v>
      </c>
      <c r="T175" s="178">
        <f t="shared" si="215"/>
        <v>9</v>
      </c>
      <c r="U175" s="178">
        <f t="shared" si="216"/>
        <v>11</v>
      </c>
      <c r="V175" s="179" t="str">
        <f t="shared" si="217"/>
        <v>[Aica]</v>
      </c>
      <c r="W175" s="180">
        <f t="shared" si="218"/>
        <v>0.5</v>
      </c>
      <c r="X175" s="179" t="str">
        <f t="shared" si="219"/>
        <v>HB_41130</v>
      </c>
      <c r="Y175" s="180">
        <f t="shared" si="220"/>
        <v>0.5</v>
      </c>
      <c r="Z175" s="178">
        <f t="shared" si="221"/>
        <v>0</v>
      </c>
      <c r="AA175" s="178">
        <f t="shared" si="222"/>
        <v>0</v>
      </c>
      <c r="AB175" s="178">
        <f t="shared" si="223"/>
        <v>0</v>
      </c>
      <c r="AC175" s="178">
        <f t="shared" si="224"/>
        <v>0</v>
      </c>
      <c r="AD175" s="182" t="str">
        <f t="shared" si="197"/>
        <v xml:space="preserve"> </v>
      </c>
      <c r="AE175" s="182" t="str">
        <f t="shared" si="198"/>
        <v xml:space="preserve"> </v>
      </c>
      <c r="AF175" s="182" t="str">
        <f t="shared" si="199"/>
        <v xml:space="preserve"> </v>
      </c>
      <c r="AG175" s="182" t="str">
        <f t="shared" si="200"/>
        <v xml:space="preserve"> </v>
      </c>
      <c r="AH175" s="401">
        <f t="shared" si="225"/>
        <v>0</v>
      </c>
      <c r="AI175" s="401">
        <f t="shared" si="156"/>
        <v>0</v>
      </c>
      <c r="AJ175" s="401">
        <f t="shared" si="226"/>
        <v>0</v>
      </c>
      <c r="AK175" s="401">
        <f t="shared" si="157"/>
        <v>0</v>
      </c>
      <c r="AL175" s="401">
        <f t="shared" si="158"/>
        <v>0</v>
      </c>
      <c r="AM175" s="189"/>
      <c r="AN175" s="829">
        <f t="shared" si="227"/>
        <v>0</v>
      </c>
      <c r="AO175" s="830">
        <f t="shared" si="228"/>
        <v>0</v>
      </c>
      <c r="AP175" s="401" t="str">
        <f t="shared" si="159"/>
        <v/>
      </c>
      <c r="AQ175" s="401" t="str">
        <f t="shared" si="160"/>
        <v/>
      </c>
      <c r="AR175" s="401" t="str">
        <f t="shared" si="161"/>
        <v/>
      </c>
      <c r="AS175" s="401">
        <f t="shared" si="229"/>
        <v>0</v>
      </c>
      <c r="AT175" s="403" t="str">
        <f t="shared" si="230"/>
        <v/>
      </c>
      <c r="AU175" s="403">
        <f t="shared" si="231"/>
        <v>0</v>
      </c>
      <c r="AV175" s="170"/>
      <c r="AW175" s="166" t="str">
        <f t="shared" si="232"/>
        <v>52</v>
      </c>
      <c r="AX175" s="166" t="str">
        <f t="shared" si="162"/>
        <v>3333</v>
      </c>
      <c r="AY175" s="189" t="str">
        <f t="shared" si="201"/>
        <v>HB_41130+[Aica]</v>
      </c>
      <c r="AZ175" s="189" t="str">
        <f t="shared" si="202"/>
        <v xml:space="preserve"> -</v>
      </c>
      <c r="BA175" s="196" t="str">
        <f t="shared" si="233"/>
        <v>139)Dinding Belakang_HB_41130+[Aica]</v>
      </c>
      <c r="BB175" s="629" t="str">
        <f t="shared" si="206"/>
        <v xml:space="preserve">139)Dinding Belakang Ply 6mm - HB_41130+[Aica] ;  -  </v>
      </c>
      <c r="BC175" s="190"/>
      <c r="BD175" s="510">
        <f t="shared" si="166"/>
        <v>0</v>
      </c>
      <c r="BE175" s="510">
        <f t="shared" si="167"/>
        <v>0</v>
      </c>
      <c r="BF175" s="177">
        <f t="shared" si="234"/>
        <v>0</v>
      </c>
      <c r="BG175" s="177">
        <f t="shared" si="235"/>
        <v>0</v>
      </c>
      <c r="BH175" s="166">
        <f t="shared" si="236"/>
        <v>0</v>
      </c>
      <c r="BI175" s="474">
        <f t="shared" si="207"/>
        <v>0</v>
      </c>
      <c r="BJ175" s="166">
        <f t="shared" si="237"/>
        <v>0</v>
      </c>
      <c r="BK175" s="474">
        <f t="shared" si="171"/>
        <v>2.383</v>
      </c>
      <c r="BL175" s="474">
        <f t="shared" si="172"/>
        <v>0.621</v>
      </c>
      <c r="BM175" s="474">
        <f t="shared" si="203"/>
        <v>6.008</v>
      </c>
      <c r="BN175" s="166">
        <f t="shared" si="238"/>
        <v>1.361283</v>
      </c>
      <c r="BO175" s="166" t="str">
        <f t="shared" si="239"/>
        <v>Ply_6</v>
      </c>
      <c r="BP175" s="204" t="str">
        <f t="shared" si="240"/>
        <v>Ply 6 HB_41130+[Aica]</v>
      </c>
      <c r="BQ175" s="475">
        <f t="shared" si="204"/>
        <v>0.57266770833333336</v>
      </c>
      <c r="BR175" s="205">
        <f t="shared" si="241"/>
        <v>0</v>
      </c>
      <c r="BS175" s="509">
        <f t="shared" si="177"/>
        <v>0</v>
      </c>
      <c r="BT175" s="509">
        <f t="shared" si="178"/>
        <v>0</v>
      </c>
      <c r="BU175" s="459">
        <f t="shared" si="242"/>
        <v>0</v>
      </c>
      <c r="BV175" s="459">
        <f t="shared" si="243"/>
        <v>0</v>
      </c>
      <c r="BW175" s="1">
        <f t="shared" si="208"/>
        <v>1.361283</v>
      </c>
      <c r="BX175" s="1">
        <f t="shared" si="209"/>
        <v>9.5289810000000006E-3</v>
      </c>
      <c r="BY175" s="546" t="str">
        <f t="shared" si="181"/>
        <v/>
      </c>
      <c r="BZ175" s="546" t="str">
        <f t="shared" si="182"/>
        <v/>
      </c>
      <c r="CA175" s="546" t="str">
        <f t="shared" si="183"/>
        <v/>
      </c>
      <c r="CB175" s="546" t="str">
        <f t="shared" si="184"/>
        <v/>
      </c>
      <c r="CC175" s="728" t="str">
        <f t="shared" si="185"/>
        <v/>
      </c>
      <c r="CD175" s="728" t="str">
        <f t="shared" si="186"/>
        <v/>
      </c>
      <c r="CE175" s="170" t="str">
        <f t="shared" si="187"/>
        <v xml:space="preserve"> x  x 7</v>
      </c>
      <c r="CF175" t="str">
        <f t="shared" si="188"/>
        <v>2343;581;1;Ply 6 HB_41130+[Aica];7;Dinding Belakang;-1; ;; ;; ;; ;</v>
      </c>
    </row>
    <row r="176" spans="1:84" customFormat="1">
      <c r="A176" s="701" t="str">
        <f t="shared" si="205"/>
        <v>…</v>
      </c>
      <c r="B176" s="447" t="str">
        <f t="shared" si="148"/>
        <v>kabinet</v>
      </c>
      <c r="C176" s="161" t="s">
        <v>1472</v>
      </c>
      <c r="D176" s="162" t="str">
        <f t="shared" si="210"/>
        <v>KS</v>
      </c>
      <c r="E176" s="1" t="s">
        <v>2167</v>
      </c>
      <c r="F176" s="811">
        <f t="shared" si="149"/>
        <v>1</v>
      </c>
      <c r="G176" s="440" t="str">
        <f t="shared" si="194"/>
        <v>...</v>
      </c>
      <c r="H176" s="1" t="s">
        <v>1783</v>
      </c>
      <c r="I176" s="55"/>
      <c r="J176" s="170">
        <f>696+9-22</f>
        <v>683</v>
      </c>
      <c r="K176" s="1" t="s">
        <v>2137</v>
      </c>
      <c r="L176" s="170">
        <f>+L175</f>
        <v>581</v>
      </c>
      <c r="M176" s="1" t="s">
        <v>2137</v>
      </c>
      <c r="N176" s="458">
        <f t="shared" si="211"/>
        <v>7</v>
      </c>
      <c r="O176" s="170" t="str">
        <f t="shared" si="212"/>
        <v>683 x 581 x 7</v>
      </c>
      <c r="P176" s="441">
        <f>IFERROR(INDEX((std_sub_prt),MATCH($H176,Prt,0)),"")</f>
        <v>1</v>
      </c>
      <c r="Q176" s="55">
        <f>+P176*Q169</f>
        <v>1</v>
      </c>
      <c r="R176" s="177" t="str">
        <f t="shared" si="213"/>
        <v>Ply</v>
      </c>
      <c r="S176" s="454">
        <f t="shared" si="214"/>
        <v>6</v>
      </c>
      <c r="T176" s="178">
        <f t="shared" si="215"/>
        <v>9</v>
      </c>
      <c r="U176" s="178">
        <f t="shared" si="216"/>
        <v>11</v>
      </c>
      <c r="V176" s="179" t="str">
        <f t="shared" si="217"/>
        <v>[Aica]</v>
      </c>
      <c r="W176" s="180">
        <f t="shared" si="218"/>
        <v>0.5</v>
      </c>
      <c r="X176" s="179" t="str">
        <f t="shared" si="219"/>
        <v>HB_41130</v>
      </c>
      <c r="Y176" s="180">
        <f t="shared" si="220"/>
        <v>0.5</v>
      </c>
      <c r="Z176" s="178">
        <f t="shared" si="221"/>
        <v>0</v>
      </c>
      <c r="AA176" s="178">
        <f t="shared" si="222"/>
        <v>0</v>
      </c>
      <c r="AB176" s="178">
        <f t="shared" si="223"/>
        <v>0</v>
      </c>
      <c r="AC176" s="178">
        <f t="shared" si="224"/>
        <v>0</v>
      </c>
      <c r="AD176" s="182" t="str">
        <f t="shared" si="197"/>
        <v xml:space="preserve"> </v>
      </c>
      <c r="AE176" s="182" t="str">
        <f t="shared" si="198"/>
        <v xml:space="preserve"> </v>
      </c>
      <c r="AF176" s="182" t="str">
        <f t="shared" si="199"/>
        <v xml:space="preserve"> </v>
      </c>
      <c r="AG176" s="182" t="str">
        <f t="shared" si="200"/>
        <v xml:space="preserve"> </v>
      </c>
      <c r="AH176" s="401">
        <f t="shared" si="225"/>
        <v>0</v>
      </c>
      <c r="AI176" s="401">
        <f t="shared" si="156"/>
        <v>0</v>
      </c>
      <c r="AJ176" s="401">
        <f t="shared" si="226"/>
        <v>0</v>
      </c>
      <c r="AK176" s="401">
        <f t="shared" si="157"/>
        <v>0</v>
      </c>
      <c r="AL176" s="401">
        <f t="shared" si="158"/>
        <v>0</v>
      </c>
      <c r="AM176" s="189"/>
      <c r="AN176" s="829">
        <f t="shared" si="227"/>
        <v>0</v>
      </c>
      <c r="AO176" s="830">
        <f t="shared" si="228"/>
        <v>0</v>
      </c>
      <c r="AP176" s="401" t="str">
        <f t="shared" si="159"/>
        <v/>
      </c>
      <c r="AQ176" s="401" t="str">
        <f t="shared" si="160"/>
        <v/>
      </c>
      <c r="AR176" s="401" t="str">
        <f t="shared" si="161"/>
        <v/>
      </c>
      <c r="AS176" s="401">
        <f t="shared" si="229"/>
        <v>0</v>
      </c>
      <c r="AT176" s="403" t="str">
        <f t="shared" si="230"/>
        <v/>
      </c>
      <c r="AU176" s="403">
        <f t="shared" si="231"/>
        <v>0</v>
      </c>
      <c r="AV176" s="170"/>
      <c r="AW176" s="166" t="str">
        <f t="shared" si="232"/>
        <v>52</v>
      </c>
      <c r="AX176" s="166" t="str">
        <f t="shared" si="162"/>
        <v>3333</v>
      </c>
      <c r="AY176" s="189" t="str">
        <f t="shared" si="201"/>
        <v>HB_41130+[Aica]</v>
      </c>
      <c r="AZ176" s="189" t="str">
        <f t="shared" si="202"/>
        <v xml:space="preserve"> -</v>
      </c>
      <c r="BA176" s="196" t="str">
        <f t="shared" si="233"/>
        <v>139)Dinding Belakang_HB_41130+[Aica]</v>
      </c>
      <c r="BB176" s="629" t="str">
        <f t="shared" si="206"/>
        <v xml:space="preserve">139)Dinding Belakang Ply 6mm - HB_41130+[Aica] ;  -  </v>
      </c>
      <c r="BC176" s="190"/>
      <c r="BD176" s="510">
        <f t="shared" si="166"/>
        <v>0</v>
      </c>
      <c r="BE176" s="510">
        <f t="shared" si="167"/>
        <v>0</v>
      </c>
      <c r="BF176" s="177">
        <f t="shared" si="234"/>
        <v>0</v>
      </c>
      <c r="BG176" s="177">
        <f t="shared" si="235"/>
        <v>0</v>
      </c>
      <c r="BH176" s="166">
        <f t="shared" si="236"/>
        <v>0</v>
      </c>
      <c r="BI176" s="474">
        <f t="shared" si="207"/>
        <v>0</v>
      </c>
      <c r="BJ176" s="166">
        <f t="shared" si="237"/>
        <v>0</v>
      </c>
      <c r="BK176" s="474">
        <f t="shared" si="171"/>
        <v>0.72299999999999998</v>
      </c>
      <c r="BL176" s="474">
        <f t="shared" si="172"/>
        <v>0.621</v>
      </c>
      <c r="BM176" s="474">
        <f t="shared" si="203"/>
        <v>2.6880000000000002</v>
      </c>
      <c r="BN176" s="166">
        <f t="shared" si="238"/>
        <v>0.39682299999999998</v>
      </c>
      <c r="BO176" s="166" t="str">
        <f t="shared" si="239"/>
        <v>Ply_6</v>
      </c>
      <c r="BP176" s="204" t="str">
        <f t="shared" si="240"/>
        <v>Ply 6 HB_41130+[Aica]</v>
      </c>
      <c r="BQ176" s="475">
        <f t="shared" si="204"/>
        <v>0.23778576388888889</v>
      </c>
      <c r="BR176" s="205">
        <f t="shared" si="241"/>
        <v>0</v>
      </c>
      <c r="BS176" s="509">
        <f t="shared" si="177"/>
        <v>0</v>
      </c>
      <c r="BT176" s="509">
        <f t="shared" si="178"/>
        <v>0</v>
      </c>
      <c r="BU176" s="459">
        <f t="shared" si="242"/>
        <v>0</v>
      </c>
      <c r="BV176" s="459">
        <f t="shared" si="243"/>
        <v>0</v>
      </c>
      <c r="BW176" s="1">
        <f t="shared" si="208"/>
        <v>0.39682299999999998</v>
      </c>
      <c r="BX176" s="1">
        <f t="shared" si="209"/>
        <v>2.7777610000000001E-3</v>
      </c>
      <c r="BY176" s="546" t="str">
        <f t="shared" si="181"/>
        <v/>
      </c>
      <c r="BZ176" s="546" t="str">
        <f t="shared" si="182"/>
        <v/>
      </c>
      <c r="CA176" s="546" t="str">
        <f t="shared" si="183"/>
        <v/>
      </c>
      <c r="CB176" s="546" t="str">
        <f t="shared" si="184"/>
        <v/>
      </c>
      <c r="CC176" s="728" t="str">
        <f t="shared" si="185"/>
        <v/>
      </c>
      <c r="CD176" s="728" t="str">
        <f t="shared" si="186"/>
        <v/>
      </c>
      <c r="CE176" s="170" t="str">
        <f t="shared" si="187"/>
        <v xml:space="preserve"> x  x 7</v>
      </c>
      <c r="CF176" t="str">
        <f t="shared" si="188"/>
        <v>683;581;1;Ply 6 HB_41130+[Aica];7;Dinding Belakang;-1; ;; ;; ;; ;</v>
      </c>
    </row>
    <row r="177" spans="1:84" customFormat="1">
      <c r="A177" s="701" t="str">
        <f t="shared" si="205"/>
        <v>…</v>
      </c>
      <c r="B177" s="447" t="str">
        <f t="shared" si="148"/>
        <v>kabinet</v>
      </c>
      <c r="C177" s="161" t="s">
        <v>1472</v>
      </c>
      <c r="D177" s="162" t="str">
        <f t="shared" si="210"/>
        <v>KS</v>
      </c>
      <c r="E177" s="1" t="s">
        <v>2167</v>
      </c>
      <c r="F177" s="811">
        <f t="shared" si="149"/>
        <v>1</v>
      </c>
      <c r="G177" s="440" t="str">
        <f t="shared" si="194"/>
        <v>...</v>
      </c>
      <c r="H177" s="1" t="s">
        <v>1790</v>
      </c>
      <c r="I177" s="55"/>
      <c r="J177" s="170">
        <f>+J172</f>
        <v>564</v>
      </c>
      <c r="K177" s="1" t="s">
        <v>2137</v>
      </c>
      <c r="L177" s="170">
        <f>+L169-18</f>
        <v>582</v>
      </c>
      <c r="M177" s="1" t="s">
        <v>2137</v>
      </c>
      <c r="N177" s="458">
        <f t="shared" si="211"/>
        <v>19</v>
      </c>
      <c r="O177" s="170" t="str">
        <f t="shared" si="212"/>
        <v>564 x 582 x 19</v>
      </c>
      <c r="P177" s="441">
        <v>1</v>
      </c>
      <c r="Q177" s="55">
        <f>+P177*Q169</f>
        <v>1</v>
      </c>
      <c r="R177" s="177" t="str">
        <f t="shared" si="213"/>
        <v>Ply</v>
      </c>
      <c r="S177" s="454">
        <f t="shared" si="214"/>
        <v>18</v>
      </c>
      <c r="T177" s="178">
        <f t="shared" si="215"/>
        <v>11</v>
      </c>
      <c r="U177" s="178">
        <f t="shared" si="216"/>
        <v>11</v>
      </c>
      <c r="V177" s="179" t="str">
        <f t="shared" si="217"/>
        <v>HB_41130</v>
      </c>
      <c r="W177" s="180">
        <f t="shared" si="218"/>
        <v>0.5</v>
      </c>
      <c r="X177" s="179" t="str">
        <f t="shared" si="219"/>
        <v>HB_41130</v>
      </c>
      <c r="Y177" s="180">
        <f t="shared" si="220"/>
        <v>0.5</v>
      </c>
      <c r="Z177" s="178">
        <f t="shared" si="221"/>
        <v>11</v>
      </c>
      <c r="AA177" s="178">
        <f t="shared" si="222"/>
        <v>0</v>
      </c>
      <c r="AB177" s="178">
        <f t="shared" si="223"/>
        <v>0</v>
      </c>
      <c r="AC177" s="178">
        <f t="shared" si="224"/>
        <v>0</v>
      </c>
      <c r="AD177" s="182" t="str">
        <f t="shared" si="197"/>
        <v>Edg_Décor_1723_B</v>
      </c>
      <c r="AE177" s="182" t="str">
        <f t="shared" si="198"/>
        <v xml:space="preserve"> </v>
      </c>
      <c r="AF177" s="182" t="str">
        <f t="shared" si="199"/>
        <v xml:space="preserve"> </v>
      </c>
      <c r="AG177" s="182" t="str">
        <f t="shared" si="200"/>
        <v xml:space="preserve"> </v>
      </c>
      <c r="AH177" s="401">
        <f t="shared" si="225"/>
        <v>0</v>
      </c>
      <c r="AI177" s="401">
        <f t="shared" si="156"/>
        <v>0</v>
      </c>
      <c r="AJ177" s="401">
        <f t="shared" si="226"/>
        <v>0</v>
      </c>
      <c r="AK177" s="401">
        <f t="shared" si="157"/>
        <v>0</v>
      </c>
      <c r="AL177" s="401">
        <f t="shared" si="158"/>
        <v>0</v>
      </c>
      <c r="AM177" s="189"/>
      <c r="AN177" s="829">
        <f t="shared" si="227"/>
        <v>0</v>
      </c>
      <c r="AO177" s="830">
        <f t="shared" si="228"/>
        <v>0</v>
      </c>
      <c r="AP177" s="401" t="str">
        <f t="shared" si="159"/>
        <v/>
      </c>
      <c r="AQ177" s="401" t="str">
        <f t="shared" si="160"/>
        <v/>
      </c>
      <c r="AR177" s="401" t="str">
        <f t="shared" si="161"/>
        <v/>
      </c>
      <c r="AS177" s="401">
        <f t="shared" si="229"/>
        <v>0</v>
      </c>
      <c r="AT177" s="403" t="str">
        <f t="shared" si="230"/>
        <v/>
      </c>
      <c r="AU177" s="403">
        <f t="shared" si="231"/>
        <v>0</v>
      </c>
      <c r="AV177" s="170"/>
      <c r="AW177" s="166" t="str">
        <f t="shared" si="232"/>
        <v>22</v>
      </c>
      <c r="AX177" s="166" t="str">
        <f t="shared" si="162"/>
        <v>1333</v>
      </c>
      <c r="AY177" s="189" t="str">
        <f t="shared" si="201"/>
        <v>HB_41130_2mk</v>
      </c>
      <c r="AZ177" s="189" t="str">
        <f t="shared" si="202"/>
        <v>Edg_Décor_1723_B_1sisi_pjg</v>
      </c>
      <c r="BA177" s="196" t="str">
        <f t="shared" si="233"/>
        <v>152)Ambalan mati_HB_41130_2mk</v>
      </c>
      <c r="BB177" s="629" t="str">
        <f t="shared" si="206"/>
        <v xml:space="preserve">152)Ambalan mati Ply 18mm - HB_41130_2mk ; Edg_Décor_1723_B_1sisi_pjg  </v>
      </c>
      <c r="BC177" s="190"/>
      <c r="BD177" s="510" t="str">
        <f t="shared" si="166"/>
        <v>MINIFIX HETTICH</v>
      </c>
      <c r="BE177" s="510" t="str">
        <f t="shared" si="167"/>
        <v>DOWEL KAYU 4X8</v>
      </c>
      <c r="BF177" s="177">
        <f t="shared" si="234"/>
        <v>0</v>
      </c>
      <c r="BG177" s="177">
        <f t="shared" si="235"/>
        <v>0</v>
      </c>
      <c r="BH177" s="166">
        <f t="shared" si="236"/>
        <v>0</v>
      </c>
      <c r="BI177" s="474">
        <f t="shared" si="207"/>
        <v>0</v>
      </c>
      <c r="BJ177" s="166">
        <f t="shared" si="237"/>
        <v>0</v>
      </c>
      <c r="BK177" s="474">
        <f t="shared" si="171"/>
        <v>0.60399999999999998</v>
      </c>
      <c r="BL177" s="474">
        <f t="shared" si="172"/>
        <v>0.622</v>
      </c>
      <c r="BM177" s="474">
        <f t="shared" si="203"/>
        <v>2.452</v>
      </c>
      <c r="BN177" s="166">
        <f t="shared" si="238"/>
        <v>0.32824799999999998</v>
      </c>
      <c r="BO177" s="166" t="str">
        <f t="shared" si="239"/>
        <v>Ply_18</v>
      </c>
      <c r="BP177" s="204" t="str">
        <f t="shared" si="240"/>
        <v>Ply 18 HB_41130_2mk</v>
      </c>
      <c r="BQ177" s="475">
        <f t="shared" si="204"/>
        <v>0.21397500000000003</v>
      </c>
      <c r="BR177" s="205">
        <f t="shared" si="241"/>
        <v>0</v>
      </c>
      <c r="BS177" s="509">
        <f t="shared" si="177"/>
        <v>6</v>
      </c>
      <c r="BT177" s="509">
        <f t="shared" si="178"/>
        <v>6</v>
      </c>
      <c r="BU177" s="459">
        <f t="shared" si="242"/>
        <v>0</v>
      </c>
      <c r="BV177" s="459">
        <f t="shared" si="243"/>
        <v>0</v>
      </c>
      <c r="BW177" s="1">
        <f t="shared" si="208"/>
        <v>0.32824799999999998</v>
      </c>
      <c r="BX177" s="1">
        <f t="shared" si="209"/>
        <v>6.2367120000000002E-3</v>
      </c>
      <c r="BY177" s="546">
        <f t="shared" si="181"/>
        <v>1</v>
      </c>
      <c r="BZ177" s="546" t="str">
        <f t="shared" si="182"/>
        <v/>
      </c>
      <c r="CA177" s="546" t="str">
        <f t="shared" si="183"/>
        <v/>
      </c>
      <c r="CB177" s="546" t="str">
        <f t="shared" si="184"/>
        <v/>
      </c>
      <c r="CC177" s="728" t="str">
        <f t="shared" si="185"/>
        <v/>
      </c>
      <c r="CD177" s="728" t="str">
        <f t="shared" si="186"/>
        <v/>
      </c>
      <c r="CE177" s="170" t="str">
        <f t="shared" si="187"/>
        <v xml:space="preserve"> x  x 19</v>
      </c>
      <c r="CF177" t="str">
        <f t="shared" si="188"/>
        <v>564;582;1;Ply 18 HB_41130_2mk;19;Ambalan mati;-1; ;; ;;Edg_Décor_1723_B;1; ;</v>
      </c>
    </row>
    <row r="178" spans="1:84" customFormat="1">
      <c r="A178" s="701" t="str">
        <f t="shared" si="205"/>
        <v>…</v>
      </c>
      <c r="B178" s="447" t="str">
        <f t="shared" si="148"/>
        <v>kabinet</v>
      </c>
      <c r="C178" s="161" t="s">
        <v>1472</v>
      </c>
      <c r="D178" s="162" t="str">
        <f t="shared" si="210"/>
        <v>KS</v>
      </c>
      <c r="E178" s="1" t="s">
        <v>2167</v>
      </c>
      <c r="F178" s="811">
        <f t="shared" si="149"/>
        <v>1</v>
      </c>
      <c r="G178" s="440" t="str">
        <f t="shared" si="194"/>
        <v>...</v>
      </c>
      <c r="H178" s="1" t="s">
        <v>1790</v>
      </c>
      <c r="I178" s="55"/>
      <c r="J178" s="170">
        <f>+J177</f>
        <v>564</v>
      </c>
      <c r="K178" s="1" t="s">
        <v>2137</v>
      </c>
      <c r="L178" s="170">
        <f>+L169-50-T_gola</f>
        <v>526</v>
      </c>
      <c r="M178" s="1" t="s">
        <v>2137</v>
      </c>
      <c r="N178" s="458">
        <f>+(S178+W178+Y178)</f>
        <v>19</v>
      </c>
      <c r="O178" s="170" t="str">
        <f>CONCATENATE(J178," ",K178," ",L178," ",M178," ",N178)</f>
        <v>564 x 526 x 19</v>
      </c>
      <c r="P178" s="441">
        <v>1</v>
      </c>
      <c r="Q178" s="55">
        <f>+P178*Q169</f>
        <v>1</v>
      </c>
      <c r="R178" s="177" t="str">
        <f t="shared" si="213"/>
        <v>Ply</v>
      </c>
      <c r="S178" s="454">
        <f t="shared" si="214"/>
        <v>18</v>
      </c>
      <c r="T178" s="178">
        <f t="shared" si="215"/>
        <v>11</v>
      </c>
      <c r="U178" s="178">
        <f t="shared" si="216"/>
        <v>11</v>
      </c>
      <c r="V178" s="179" t="str">
        <f>IFERROR(INDEX((tf),MATCH(T178,ctf,0)),"")</f>
        <v>HB_41130</v>
      </c>
      <c r="W178" s="180">
        <f t="shared" si="218"/>
        <v>0.5</v>
      </c>
      <c r="X178" s="179" t="str">
        <f>IFERROR(INDEX((tf),MATCH(U178,ctf,0)),"")</f>
        <v>HB_41130</v>
      </c>
      <c r="Y178" s="180">
        <f t="shared" si="220"/>
        <v>0.5</v>
      </c>
      <c r="Z178" s="178">
        <f t="shared" si="221"/>
        <v>11</v>
      </c>
      <c r="AA178" s="178">
        <f t="shared" si="222"/>
        <v>0</v>
      </c>
      <c r="AB178" s="178">
        <f t="shared" si="223"/>
        <v>0</v>
      </c>
      <c r="AC178" s="178">
        <f t="shared" si="224"/>
        <v>0</v>
      </c>
      <c r="AD178" s="182" t="str">
        <f t="shared" si="197"/>
        <v>Edg_Décor_1723_B</v>
      </c>
      <c r="AE178" s="182" t="str">
        <f t="shared" si="198"/>
        <v xml:space="preserve"> </v>
      </c>
      <c r="AF178" s="182" t="str">
        <f t="shared" si="199"/>
        <v xml:space="preserve"> </v>
      </c>
      <c r="AG178" s="182" t="str">
        <f t="shared" si="200"/>
        <v xml:space="preserve"> </v>
      </c>
      <c r="AH178" s="401">
        <f t="shared" si="225"/>
        <v>0</v>
      </c>
      <c r="AI178" s="401">
        <f t="shared" si="156"/>
        <v>0</v>
      </c>
      <c r="AJ178" s="401">
        <f t="shared" si="226"/>
        <v>0</v>
      </c>
      <c r="AK178" s="401">
        <f t="shared" si="157"/>
        <v>0</v>
      </c>
      <c r="AL178" s="401">
        <f t="shared" si="158"/>
        <v>0</v>
      </c>
      <c r="AM178" s="189"/>
      <c r="AN178" s="829">
        <f t="shared" si="227"/>
        <v>0</v>
      </c>
      <c r="AO178" s="830">
        <f t="shared" si="228"/>
        <v>0</v>
      </c>
      <c r="AP178" s="401" t="str">
        <f t="shared" si="159"/>
        <v/>
      </c>
      <c r="AQ178" s="401" t="str">
        <f t="shared" si="160"/>
        <v/>
      </c>
      <c r="AR178" s="401" t="str">
        <f t="shared" si="161"/>
        <v/>
      </c>
      <c r="AS178" s="401">
        <f t="shared" si="229"/>
        <v>0</v>
      </c>
      <c r="AT178" s="403" t="str">
        <f t="shared" si="230"/>
        <v/>
      </c>
      <c r="AU178" s="403">
        <f t="shared" si="231"/>
        <v>0</v>
      </c>
      <c r="AV178" s="170"/>
      <c r="AW178" s="166" t="str">
        <f t="shared" si="232"/>
        <v>22</v>
      </c>
      <c r="AX178" s="166" t="str">
        <f t="shared" si="162"/>
        <v>1333</v>
      </c>
      <c r="AY178" s="189" t="str">
        <f t="shared" si="201"/>
        <v>HB_41130_2mk</v>
      </c>
      <c r="AZ178" s="189" t="str">
        <f t="shared" si="202"/>
        <v>Edg_Décor_1723_B_1sisi_pjg</v>
      </c>
      <c r="BA178" s="196" t="str">
        <f>IF($R178=0,CONCATENATE(0,")"," ",$H178," ",$J178),CONCATENATE(VLOOKUP(H178,tabprt,2,0),")",$H178,"_",AY178))</f>
        <v>152)Ambalan mati_HB_41130_2mk</v>
      </c>
      <c r="BB178" s="629" t="str">
        <f t="shared" si="206"/>
        <v xml:space="preserve">152)Ambalan mati Ply 18mm - HB_41130_2mk ; Edg_Décor_1723_B_1sisi_pjg  </v>
      </c>
      <c r="BC178" s="190"/>
      <c r="BD178" s="510" t="str">
        <f t="shared" si="166"/>
        <v>MINIFIX HETTICH</v>
      </c>
      <c r="BE178" s="510" t="str">
        <f t="shared" si="167"/>
        <v>DOWEL KAYU 4X8</v>
      </c>
      <c r="BF178" s="177">
        <f t="shared" si="234"/>
        <v>0</v>
      </c>
      <c r="BG178" s="177">
        <f t="shared" si="235"/>
        <v>0</v>
      </c>
      <c r="BH178" s="166">
        <f>IF($AM178=0,0,1)*Q178</f>
        <v>0</v>
      </c>
      <c r="BI178" s="474">
        <f t="shared" si="207"/>
        <v>0</v>
      </c>
      <c r="BJ178" s="166">
        <f>IF($AN178=0,0,1)*Q178</f>
        <v>0</v>
      </c>
      <c r="BK178" s="474">
        <f t="shared" si="171"/>
        <v>0.60399999999999998</v>
      </c>
      <c r="BL178" s="474">
        <f t="shared" si="172"/>
        <v>0.56599999999999995</v>
      </c>
      <c r="BM178" s="474">
        <f t="shared" si="203"/>
        <v>2.34</v>
      </c>
      <c r="BN178" s="166">
        <f>((J178*L178)/1000000)*Q178</f>
        <v>0.29666399999999998</v>
      </c>
      <c r="BO178" s="166" t="str">
        <f>CONCATENATE(R178,"_",S178)</f>
        <v>Ply_18</v>
      </c>
      <c r="BP178" s="204" t="str">
        <f>CONCATENATE(R178," ",S178," ",AY178)</f>
        <v>Ply 18 HB_41130_2mk</v>
      </c>
      <c r="BQ178" s="475">
        <f t="shared" si="204"/>
        <v>0.20300833333333335</v>
      </c>
      <c r="BR178" s="205">
        <f t="shared" si="241"/>
        <v>0</v>
      </c>
      <c r="BS178" s="509">
        <f t="shared" si="177"/>
        <v>6</v>
      </c>
      <c r="BT178" s="509">
        <f t="shared" si="178"/>
        <v>6</v>
      </c>
      <c r="BU178" s="459">
        <f t="shared" si="242"/>
        <v>0</v>
      </c>
      <c r="BV178" s="459">
        <f t="shared" si="243"/>
        <v>0</v>
      </c>
      <c r="BW178" s="1">
        <f t="shared" si="208"/>
        <v>0.29666399999999998</v>
      </c>
      <c r="BX178" s="1">
        <f t="shared" si="209"/>
        <v>5.6366159999999997E-3</v>
      </c>
      <c r="BY178" s="546">
        <f t="shared" si="181"/>
        <v>1</v>
      </c>
      <c r="BZ178" s="546" t="str">
        <f t="shared" si="182"/>
        <v/>
      </c>
      <c r="CA178" s="546" t="str">
        <f t="shared" si="183"/>
        <v/>
      </c>
      <c r="CB178" s="546" t="str">
        <f t="shared" si="184"/>
        <v/>
      </c>
      <c r="CC178" s="728" t="str">
        <f t="shared" si="185"/>
        <v/>
      </c>
      <c r="CD178" s="728" t="str">
        <f t="shared" si="186"/>
        <v/>
      </c>
      <c r="CE178" s="170" t="str">
        <f t="shared" si="187"/>
        <v xml:space="preserve"> x  x 19</v>
      </c>
      <c r="CF178" t="str">
        <f t="shared" si="188"/>
        <v>564;526;1;Ply 18 HB_41130_2mk;19;Ambalan mati;-1; ;; ;;Edg_Décor_1723_B;1; ;</v>
      </c>
    </row>
    <row r="179" spans="1:84" customFormat="1">
      <c r="A179" s="701" t="str">
        <f t="shared" si="205"/>
        <v>…</v>
      </c>
      <c r="B179" s="447" t="str">
        <f t="shared" si="148"/>
        <v>kabinet</v>
      </c>
      <c r="C179" s="161" t="s">
        <v>1472</v>
      </c>
      <c r="D179" s="162" t="str">
        <f t="shared" si="210"/>
        <v>KS</v>
      </c>
      <c r="E179" s="1" t="s">
        <v>2167</v>
      </c>
      <c r="F179" s="811">
        <f t="shared" si="149"/>
        <v>1</v>
      </c>
      <c r="G179" s="440" t="str">
        <f t="shared" si="194"/>
        <v>...</v>
      </c>
      <c r="H179" s="1" t="s">
        <v>1793</v>
      </c>
      <c r="I179" s="55"/>
      <c r="J179" s="170">
        <v>1149</v>
      </c>
      <c r="K179" s="1" t="s">
        <v>2137</v>
      </c>
      <c r="L179" s="170">
        <f>+L177</f>
        <v>582</v>
      </c>
      <c r="M179" s="1" t="s">
        <v>2137</v>
      </c>
      <c r="N179" s="458">
        <f>+(S179+W179+Y179)</f>
        <v>19.5</v>
      </c>
      <c r="O179" s="170" t="str">
        <f>CONCATENATE(J179," ",K179," ",L179," ",M179," ",N179)</f>
        <v>1149 x 582 x 19,5</v>
      </c>
      <c r="P179" s="441">
        <v>1</v>
      </c>
      <c r="Q179" s="55">
        <f>+P179*Q169</f>
        <v>1</v>
      </c>
      <c r="R179" s="177" t="str">
        <f t="shared" si="213"/>
        <v>Ply</v>
      </c>
      <c r="S179" s="454">
        <f t="shared" si="214"/>
        <v>18</v>
      </c>
      <c r="T179" s="205">
        <v>1</v>
      </c>
      <c r="U179" s="178">
        <f t="shared" si="216"/>
        <v>11</v>
      </c>
      <c r="V179" s="179" t="str">
        <f>IFERROR(INDEX((tf),MATCH(T179,ctf,0)),"")</f>
        <v>WY_5216_D(V)</v>
      </c>
      <c r="W179" s="180">
        <f t="shared" si="218"/>
        <v>1</v>
      </c>
      <c r="X179" s="179" t="str">
        <f>IFERROR(INDEX((tf),MATCH(U179,ctf,0)),"")</f>
        <v>HB_41130</v>
      </c>
      <c r="Y179" s="180">
        <f t="shared" si="220"/>
        <v>0.5</v>
      </c>
      <c r="Z179" s="178">
        <f t="shared" si="221"/>
        <v>11</v>
      </c>
      <c r="AA179" s="178">
        <f t="shared" si="222"/>
        <v>0</v>
      </c>
      <c r="AB179" s="178">
        <f t="shared" si="223"/>
        <v>0</v>
      </c>
      <c r="AC179" s="178">
        <f t="shared" si="224"/>
        <v>0</v>
      </c>
      <c r="AD179" s="182" t="str">
        <f t="shared" si="197"/>
        <v>Edg_Décor_1723_B</v>
      </c>
      <c r="AE179" s="182" t="str">
        <f t="shared" si="198"/>
        <v xml:space="preserve"> </v>
      </c>
      <c r="AF179" s="182" t="str">
        <f t="shared" si="199"/>
        <v xml:space="preserve"> </v>
      </c>
      <c r="AG179" s="182" t="str">
        <f t="shared" si="200"/>
        <v xml:space="preserve"> </v>
      </c>
      <c r="AH179" s="401">
        <f t="shared" si="225"/>
        <v>0</v>
      </c>
      <c r="AI179" s="401">
        <f t="shared" si="156"/>
        <v>0</v>
      </c>
      <c r="AJ179" s="401">
        <f t="shared" si="226"/>
        <v>0</v>
      </c>
      <c r="AK179" s="401">
        <f t="shared" si="157"/>
        <v>0</v>
      </c>
      <c r="AL179" s="401">
        <f t="shared" si="158"/>
        <v>0</v>
      </c>
      <c r="AM179" s="189"/>
      <c r="AN179" s="829">
        <f t="shared" si="227"/>
        <v>0</v>
      </c>
      <c r="AO179" s="830">
        <f t="shared" si="228"/>
        <v>0</v>
      </c>
      <c r="AP179" s="401" t="str">
        <f t="shared" si="159"/>
        <v/>
      </c>
      <c r="AQ179" s="401" t="str">
        <f t="shared" si="160"/>
        <v/>
      </c>
      <c r="AR179" s="401" t="str">
        <f t="shared" si="161"/>
        <v/>
      </c>
      <c r="AS179" s="401">
        <f t="shared" si="229"/>
        <v>0</v>
      </c>
      <c r="AT179" s="403" t="str">
        <f t="shared" si="230"/>
        <v/>
      </c>
      <c r="AU179" s="403">
        <f t="shared" si="231"/>
        <v>0</v>
      </c>
      <c r="AV179" s="170"/>
      <c r="AW179" s="166" t="str">
        <f t="shared" si="232"/>
        <v>12</v>
      </c>
      <c r="AX179" s="166" t="str">
        <f t="shared" si="162"/>
        <v>1333</v>
      </c>
      <c r="AY179" s="189" t="str">
        <f t="shared" si="201"/>
        <v>WY_5216_D(V)_+_HB_41130</v>
      </c>
      <c r="AZ179" s="189" t="str">
        <f t="shared" si="202"/>
        <v>Edg_Décor_1723_B_1sisi_pjg</v>
      </c>
      <c r="BA179" s="196" t="str">
        <f>IF($R179=0,CONCATENATE(0,")"," ",$H179," ",$J179),CONCATENATE(VLOOKUP(H179,tabprt,2,0),")",$H179,"_",AY179))</f>
        <v>160)Sekat_WY_5216_D(V)_+_HB_41130</v>
      </c>
      <c r="BB179" s="629" t="str">
        <f t="shared" si="206"/>
        <v xml:space="preserve">160)Sekat Ply 18mm - WY_5216_D(V)_+_HB_41130 ; Edg_Décor_1723_B_1sisi_pjg  </v>
      </c>
      <c r="BC179" s="190"/>
      <c r="BD179" s="510" t="str">
        <f t="shared" si="166"/>
        <v>MINIFIX HETTICH</v>
      </c>
      <c r="BE179" s="510" t="str">
        <f t="shared" si="167"/>
        <v>DOWEL KAYU 4X8</v>
      </c>
      <c r="BF179" s="177">
        <f t="shared" si="234"/>
        <v>0</v>
      </c>
      <c r="BG179" s="177">
        <f t="shared" si="235"/>
        <v>0</v>
      </c>
      <c r="BH179" s="166">
        <f>IF($AM179=0,0,1)*Q179</f>
        <v>0</v>
      </c>
      <c r="BI179" s="474">
        <f t="shared" si="207"/>
        <v>0</v>
      </c>
      <c r="BJ179" s="166">
        <f>IF($AN179=0,0,1)*Q179</f>
        <v>0</v>
      </c>
      <c r="BK179" s="474">
        <f t="shared" si="171"/>
        <v>1.1890000000000001</v>
      </c>
      <c r="BL179" s="474">
        <f t="shared" si="172"/>
        <v>0.622</v>
      </c>
      <c r="BM179" s="474">
        <f t="shared" si="203"/>
        <v>3.6219999999999999</v>
      </c>
      <c r="BN179" s="166">
        <f>((J179*L179)/1000000)*Q179</f>
        <v>0.66871800000000003</v>
      </c>
      <c r="BO179" s="166" t="str">
        <f>CONCATENATE(R179,"_",S179)</f>
        <v>Ply_18</v>
      </c>
      <c r="BP179" s="204" t="str">
        <f>CONCATENATE(R179," ",S179," ",AY179)</f>
        <v>Ply 18 WY_5216_D(V)_+_HB_41130</v>
      </c>
      <c r="BQ179" s="475">
        <f t="shared" si="204"/>
        <v>0.33219375000000001</v>
      </c>
      <c r="BR179" s="205">
        <f t="shared" si="241"/>
        <v>0</v>
      </c>
      <c r="BS179" s="509">
        <f t="shared" si="177"/>
        <v>6</v>
      </c>
      <c r="BT179" s="509">
        <f t="shared" si="178"/>
        <v>6</v>
      </c>
      <c r="BU179" s="459">
        <f t="shared" si="242"/>
        <v>0</v>
      </c>
      <c r="BV179" s="459">
        <f t="shared" si="243"/>
        <v>0</v>
      </c>
      <c r="BW179" s="1">
        <f t="shared" si="208"/>
        <v>0.66871800000000003</v>
      </c>
      <c r="BX179" s="1">
        <f t="shared" si="209"/>
        <v>1.3040001000000001E-2</v>
      </c>
      <c r="BY179" s="546">
        <f t="shared" si="181"/>
        <v>1</v>
      </c>
      <c r="BZ179" s="546" t="str">
        <f t="shared" si="182"/>
        <v/>
      </c>
      <c r="CA179" s="546" t="str">
        <f t="shared" si="183"/>
        <v/>
      </c>
      <c r="CB179" s="546" t="str">
        <f t="shared" si="184"/>
        <v/>
      </c>
      <c r="CC179" s="728" t="str">
        <f t="shared" si="185"/>
        <v/>
      </c>
      <c r="CD179" s="728" t="str">
        <f t="shared" si="186"/>
        <v/>
      </c>
      <c r="CE179" s="170" t="str">
        <f t="shared" si="187"/>
        <v xml:space="preserve"> x  x 19,5</v>
      </c>
      <c r="CF179" t="str">
        <f t="shared" si="188"/>
        <v>1149;582;1;Ply 18 WY_5216_D(V)_+_HB_41130;19,5;Sekat;-1; ;; ;;Edg_Décor_1723_B;1; ;</v>
      </c>
    </row>
    <row r="180" spans="1:84" customFormat="1">
      <c r="A180" s="701" t="str">
        <f t="shared" si="205"/>
        <v>…</v>
      </c>
      <c r="B180" s="447" t="str">
        <f t="shared" si="148"/>
        <v>kabinet</v>
      </c>
      <c r="C180" s="161" t="s">
        <v>1472</v>
      </c>
      <c r="D180" s="162" t="str">
        <f t="shared" si="210"/>
        <v>KS</v>
      </c>
      <c r="E180" s="1" t="s">
        <v>2167</v>
      </c>
      <c r="F180" s="811">
        <f t="shared" si="149"/>
        <v>0</v>
      </c>
      <c r="G180" s="440" t="str">
        <f t="shared" si="194"/>
        <v>...</v>
      </c>
      <c r="H180" s="1" t="s">
        <v>1791</v>
      </c>
      <c r="I180" s="55"/>
      <c r="J180" s="170">
        <v>154</v>
      </c>
      <c r="K180" s="1" t="s">
        <v>2137</v>
      </c>
      <c r="L180" s="170">
        <f>+L179-3</f>
        <v>579</v>
      </c>
      <c r="M180" s="1" t="s">
        <v>2137</v>
      </c>
      <c r="N180" s="458">
        <f>+(S180+W180+Y180)</f>
        <v>20</v>
      </c>
      <c r="O180" s="170" t="str">
        <f>CONCATENATE(J180," ",K180," ",L180," ",M180," ",N180)</f>
        <v>154 x 579 x 20</v>
      </c>
      <c r="P180" s="441">
        <v>3</v>
      </c>
      <c r="Q180" s="55">
        <f>+P180*Q169</f>
        <v>3</v>
      </c>
      <c r="R180" s="177" t="str">
        <f t="shared" si="213"/>
        <v>Ply</v>
      </c>
      <c r="S180" s="454">
        <f t="shared" si="214"/>
        <v>18</v>
      </c>
      <c r="T180" s="178">
        <f t="shared" si="215"/>
        <v>1</v>
      </c>
      <c r="U180" s="178">
        <f t="shared" si="216"/>
        <v>1</v>
      </c>
      <c r="V180" s="179" t="str">
        <f>IFERROR(INDEX((tf),MATCH(T180,ctf,0)),"")</f>
        <v>WY_5216_D(V)</v>
      </c>
      <c r="W180" s="180">
        <f t="shared" si="218"/>
        <v>1</v>
      </c>
      <c r="X180" s="179" t="str">
        <f>IFERROR(INDEX((tf),MATCH(U180,ctf,0)),"")</f>
        <v>WY_5216_D(V)</v>
      </c>
      <c r="Y180" s="180">
        <f t="shared" si="220"/>
        <v>1</v>
      </c>
      <c r="Z180" s="178">
        <f t="shared" si="221"/>
        <v>1</v>
      </c>
      <c r="AA180" s="178">
        <f t="shared" si="222"/>
        <v>0</v>
      </c>
      <c r="AB180" s="178">
        <f t="shared" si="223"/>
        <v>0</v>
      </c>
      <c r="AC180" s="178">
        <f t="shared" si="224"/>
        <v>0</v>
      </c>
      <c r="AD180" s="182" t="str">
        <f t="shared" si="197"/>
        <v>Edg_EAW_5216D1</v>
      </c>
      <c r="AE180" s="182" t="str">
        <f t="shared" si="198"/>
        <v xml:space="preserve"> </v>
      </c>
      <c r="AF180" s="182" t="str">
        <f t="shared" si="199"/>
        <v xml:space="preserve"> </v>
      </c>
      <c r="AG180" s="182" t="str">
        <f t="shared" si="200"/>
        <v xml:space="preserve"> </v>
      </c>
      <c r="AH180" s="401">
        <f t="shared" si="225"/>
        <v>0</v>
      </c>
      <c r="AI180" s="401">
        <f t="shared" si="156"/>
        <v>0</v>
      </c>
      <c r="AJ180" s="401">
        <f t="shared" si="226"/>
        <v>0</v>
      </c>
      <c r="AK180" s="401">
        <f t="shared" si="157"/>
        <v>0</v>
      </c>
      <c r="AL180" s="401">
        <f t="shared" si="158"/>
        <v>0</v>
      </c>
      <c r="AM180" s="189"/>
      <c r="AN180" s="829">
        <f t="shared" si="227"/>
        <v>0</v>
      </c>
      <c r="AO180" s="830">
        <f t="shared" si="228"/>
        <v>0</v>
      </c>
      <c r="AP180" s="401" t="str">
        <f t="shared" si="159"/>
        <v/>
      </c>
      <c r="AQ180" s="401" t="str">
        <f t="shared" si="160"/>
        <v/>
      </c>
      <c r="AR180" s="401" t="str">
        <f t="shared" si="161"/>
        <v/>
      </c>
      <c r="AS180" s="401">
        <f t="shared" si="229"/>
        <v>0</v>
      </c>
      <c r="AT180" s="403" t="str">
        <f t="shared" si="230"/>
        <v/>
      </c>
      <c r="AU180" s="403">
        <f t="shared" si="231"/>
        <v>0</v>
      </c>
      <c r="AV180" s="170"/>
      <c r="AW180" s="166" t="str">
        <f t="shared" si="232"/>
        <v>11</v>
      </c>
      <c r="AX180" s="166" t="str">
        <f t="shared" si="162"/>
        <v>4333</v>
      </c>
      <c r="AY180" s="189" t="str">
        <f t="shared" si="201"/>
        <v>WY_5216_D(V)_2mk</v>
      </c>
      <c r="AZ180" s="189" t="str">
        <f t="shared" si="202"/>
        <v>Edg_EAW_5216D1_1sisi_pjg</v>
      </c>
      <c r="BA180" s="196" t="str">
        <f>IF($R180=0,CONCATENATE(0,")"," ",$H180," ",$J180),CONCATENATE(VLOOKUP(H180,tabprt,2,0),")",$H180,"_",AY180))</f>
        <v>156)Ambalan mati OS_WY_5216_D(V)_2mk</v>
      </c>
      <c r="BB180" s="629" t="str">
        <f t="shared" si="206"/>
        <v xml:space="preserve">156)Ambalan mati OS Ply 18mm - WY_5216_D(V)_2mk ; Edg_EAW_5216D1_1sisi_pjg  </v>
      </c>
      <c r="BC180" s="190"/>
      <c r="BD180" s="510" t="str">
        <f t="shared" si="166"/>
        <v>MINIFIX HETTICH</v>
      </c>
      <c r="BE180" s="510" t="str">
        <f t="shared" si="167"/>
        <v>DOWEL KAYU 4X8</v>
      </c>
      <c r="BF180" s="177">
        <f t="shared" si="234"/>
        <v>0</v>
      </c>
      <c r="BG180" s="177">
        <f t="shared" si="235"/>
        <v>0</v>
      </c>
      <c r="BH180" s="166">
        <f>IF($AM180=0,0,1)*Q180</f>
        <v>0</v>
      </c>
      <c r="BI180" s="474">
        <f t="shared" si="207"/>
        <v>0</v>
      </c>
      <c r="BJ180" s="166">
        <f>IF($AN180=0,0,1)*Q180</f>
        <v>0</v>
      </c>
      <c r="BK180" s="474">
        <f t="shared" si="171"/>
        <v>0.58199999999999996</v>
      </c>
      <c r="BL180" s="474">
        <f t="shared" si="172"/>
        <v>1.857</v>
      </c>
      <c r="BM180" s="474">
        <f t="shared" si="203"/>
        <v>4.8780000000000001</v>
      </c>
      <c r="BN180" s="166">
        <f>((J180*L180)/1000000)*Q180</f>
        <v>0.26749800000000001</v>
      </c>
      <c r="BO180" s="166" t="str">
        <f>CONCATENATE(R180,"_",S180)</f>
        <v>Ply_18</v>
      </c>
      <c r="BP180" s="204" t="str">
        <f>CONCATENATE(R180," ",S180," ",AY180)</f>
        <v>Ply 18 WY_5216_D(V)_2mk</v>
      </c>
      <c r="BQ180" s="475">
        <f t="shared" si="204"/>
        <v>0.19288125</v>
      </c>
      <c r="BR180" s="205">
        <f t="shared" si="241"/>
        <v>0</v>
      </c>
      <c r="BS180" s="509">
        <f t="shared" si="177"/>
        <v>18</v>
      </c>
      <c r="BT180" s="509">
        <f t="shared" si="178"/>
        <v>18</v>
      </c>
      <c r="BU180" s="459">
        <f t="shared" si="242"/>
        <v>0</v>
      </c>
      <c r="BV180" s="459">
        <f t="shared" si="243"/>
        <v>0</v>
      </c>
      <c r="BW180" s="1">
        <f t="shared" si="208"/>
        <v>0.26749800000000001</v>
      </c>
      <c r="BX180" s="1">
        <f t="shared" si="209"/>
        <v>5.34996E-3</v>
      </c>
      <c r="BY180" s="546" t="str">
        <f t="shared" si="181"/>
        <v/>
      </c>
      <c r="BZ180" s="546" t="str">
        <f t="shared" si="182"/>
        <v/>
      </c>
      <c r="CA180" s="546" t="str">
        <f t="shared" si="183"/>
        <v/>
      </c>
      <c r="CB180" s="546" t="str">
        <f t="shared" si="184"/>
        <v/>
      </c>
      <c r="CC180" s="728" t="str">
        <f t="shared" si="185"/>
        <v/>
      </c>
      <c r="CD180" s="728" t="str">
        <f t="shared" si="186"/>
        <v/>
      </c>
      <c r="CE180" s="170" t="str">
        <f t="shared" si="187"/>
        <v xml:space="preserve"> x  x 20</v>
      </c>
      <c r="CF180" t="str">
        <f t="shared" si="188"/>
        <v xml:space="preserve"> </v>
      </c>
    </row>
    <row r="181" spans="1:84" customFormat="1">
      <c r="A181" s="701" t="str">
        <f t="shared" si="205"/>
        <v>…</v>
      </c>
      <c r="B181" s="447" t="str">
        <f t="shared" si="148"/>
        <v>kabinet</v>
      </c>
      <c r="C181" s="161" t="s">
        <v>1472</v>
      </c>
      <c r="D181" s="162" t="str">
        <f>IFERROR(INDEX((KS),MATCH($H181,Prt,0)),"")</f>
        <v>─</v>
      </c>
      <c r="E181" s="1" t="s">
        <v>2167</v>
      </c>
      <c r="F181" s="811">
        <f t="shared" si="149"/>
        <v>1</v>
      </c>
      <c r="G181" s="440" t="str">
        <f t="shared" si="194"/>
        <v>••</v>
      </c>
      <c r="H181" s="1" t="s">
        <v>1786</v>
      </c>
      <c r="I181" s="55"/>
      <c r="J181" s="170">
        <f>+J172-tol</f>
        <v>563</v>
      </c>
      <c r="K181" s="1" t="s">
        <v>2137</v>
      </c>
      <c r="L181" s="170">
        <f>+L172-25</f>
        <v>575</v>
      </c>
      <c r="M181" s="1" t="s">
        <v>2137</v>
      </c>
      <c r="N181" s="458">
        <f>+(S181+W181+Y181)</f>
        <v>19</v>
      </c>
      <c r="O181" s="170" t="str">
        <f>CONCATENATE(J181," ",K181," ",L181," ",M181," ",N181)</f>
        <v>563 x 575 x 19</v>
      </c>
      <c r="P181" s="441">
        <v>1</v>
      </c>
      <c r="Q181" s="55">
        <f>+P181*Q169</f>
        <v>1</v>
      </c>
      <c r="R181" s="177" t="str">
        <f>IFERROR(INDEX((std_bhn_prt),MATCH($H181,Prt,0)),"")</f>
        <v>Ply</v>
      </c>
      <c r="S181" s="454">
        <f>IFERROR(INDEX((std_Tbahan_prt),MATCH($H181,Prt,0)),"")</f>
        <v>18</v>
      </c>
      <c r="T181" s="178">
        <f>INDEX((std_lapisan_luar_prt),MATCH($H181,Prt,0))</f>
        <v>11</v>
      </c>
      <c r="U181" s="178">
        <f>INDEX((std_lapisan_dalam_prt),MATCH($H181,Prt,0))</f>
        <v>11</v>
      </c>
      <c r="V181" s="179" t="str">
        <f>IFERROR(INDEX((tf),MATCH(T181,ctf,0)),"")</f>
        <v>HB_41130</v>
      </c>
      <c r="W181" s="180">
        <f>IFERROR(INDEX((tebal_lapisan),MATCH($V181,tf,0)),"")</f>
        <v>0.5</v>
      </c>
      <c r="X181" s="179" t="str">
        <f>IFERROR(INDEX((tf),MATCH(U181,ctf,0)),"")</f>
        <v>HB_41130</v>
      </c>
      <c r="Y181" s="180">
        <f>IFERROR(INDEX((tebal_lapisan),MATCH($X181,tf,0)),"")</f>
        <v>0.5</v>
      </c>
      <c r="Z181" s="178">
        <f>INDEX((std_edg_P1_prt),MATCH($H181,Prt,0))</f>
        <v>11</v>
      </c>
      <c r="AA181" s="178">
        <f>INDEX((std_edg_P2_prt),MATCH($H181,Prt,0))</f>
        <v>11</v>
      </c>
      <c r="AB181" s="178">
        <f>INDEX((std_edg_L1_prt),MATCH($H181,Prt,0))</f>
        <v>11</v>
      </c>
      <c r="AC181" s="178">
        <f>INDEX((std_edg_L2_prt),MATCH($H181,Prt,0))</f>
        <v>11</v>
      </c>
      <c r="AD181" s="182" t="str">
        <f t="shared" si="197"/>
        <v>Edg_Décor_1723_B</v>
      </c>
      <c r="AE181" s="182" t="str">
        <f t="shared" si="198"/>
        <v>Edg_Décor_1723_B</v>
      </c>
      <c r="AF181" s="182" t="str">
        <f t="shared" si="199"/>
        <v>Edg_Décor_1723_B</v>
      </c>
      <c r="AG181" s="182" t="str">
        <f t="shared" si="200"/>
        <v>Edg_Décor_1723_B</v>
      </c>
      <c r="AH181" s="401">
        <f t="shared" si="225"/>
        <v>0</v>
      </c>
      <c r="AI181" s="401">
        <f t="shared" si="156"/>
        <v>0</v>
      </c>
      <c r="AJ181" s="401">
        <f t="shared" si="226"/>
        <v>0</v>
      </c>
      <c r="AK181" s="401">
        <f t="shared" si="157"/>
        <v>0</v>
      </c>
      <c r="AL181" s="401">
        <f t="shared" si="158"/>
        <v>0</v>
      </c>
      <c r="AM181" s="189"/>
      <c r="AN181" s="829">
        <f t="shared" si="227"/>
        <v>0</v>
      </c>
      <c r="AO181" s="830">
        <f t="shared" si="228"/>
        <v>0</v>
      </c>
      <c r="AP181" s="401" t="str">
        <f t="shared" si="159"/>
        <v/>
      </c>
      <c r="AQ181" s="401" t="str">
        <f t="shared" si="160"/>
        <v/>
      </c>
      <c r="AR181" s="401" t="str">
        <f t="shared" si="161"/>
        <v/>
      </c>
      <c r="AS181" s="401">
        <f t="shared" si="229"/>
        <v>0</v>
      </c>
      <c r="AT181" s="403" t="str">
        <f t="shared" si="230"/>
        <v/>
      </c>
      <c r="AU181" s="403">
        <f t="shared" si="231"/>
        <v>0</v>
      </c>
      <c r="AV181" s="170"/>
      <c r="AW181" s="166" t="str">
        <f>CONCATENATE(VLOOKUP($V181,tabtf,2,0),VLOOKUP($X181,tabtf,2,0))</f>
        <v>22</v>
      </c>
      <c r="AX181" s="166" t="str">
        <f t="shared" si="162"/>
        <v>1111</v>
      </c>
      <c r="AY181" s="189" t="str">
        <f t="shared" si="201"/>
        <v>HB_41130_2mk</v>
      </c>
      <c r="AZ181" s="189" t="str">
        <f t="shared" si="202"/>
        <v>Edg_Décor_1723_B_Keliling</v>
      </c>
      <c r="BA181" s="196" t="str">
        <f>IF($R181=0,CONCATENATE(0,")"," ",$H181," ",$J181),CONCATENATE(VLOOKUP(H181,tabprt,2,0),")",$H181,"_",AY181))</f>
        <v>145)Ambalan hidup_HB_41130_2mk</v>
      </c>
      <c r="BB181" s="629" t="str">
        <f t="shared" si="206"/>
        <v xml:space="preserve">145)Ambalan hidup Ply 18mm - HB_41130_2mk ; Edg_Décor_1723_B_Keliling  </v>
      </c>
      <c r="BC181" s="190"/>
      <c r="BD181" s="510">
        <f t="shared" si="166"/>
        <v>0</v>
      </c>
      <c r="BE181" s="510">
        <f t="shared" si="167"/>
        <v>0</v>
      </c>
      <c r="BF181" s="177">
        <f t="shared" si="234"/>
        <v>0</v>
      </c>
      <c r="BG181" s="177">
        <f t="shared" si="235"/>
        <v>0</v>
      </c>
      <c r="BH181" s="166">
        <f>IF($AM181=0,0,1)*Q181</f>
        <v>0</v>
      </c>
      <c r="BI181" s="474">
        <f t="shared" si="207"/>
        <v>0</v>
      </c>
      <c r="BJ181" s="166">
        <f>IF($AN181=0,0,1)*Q181</f>
        <v>0</v>
      </c>
      <c r="BK181" s="474">
        <f t="shared" si="171"/>
        <v>0.60299999999999998</v>
      </c>
      <c r="BL181" s="474">
        <f t="shared" si="172"/>
        <v>0.61499999999999999</v>
      </c>
      <c r="BM181" s="474">
        <f t="shared" si="203"/>
        <v>2.4359999999999999</v>
      </c>
      <c r="BN181" s="166">
        <f>((J181*L181)/1000000)*Q181</f>
        <v>0.32372499999999998</v>
      </c>
      <c r="BO181" s="166" t="str">
        <f>CONCATENATE(R181,"_",S181)</f>
        <v>Ply_18</v>
      </c>
      <c r="BP181" s="204" t="str">
        <f>CONCATENATE(R181," ",S181," ",AY181)</f>
        <v>Ply 18 HB_41130_2mk</v>
      </c>
      <c r="BQ181" s="475">
        <f t="shared" si="204"/>
        <v>0.2124045138888889</v>
      </c>
      <c r="BR181" s="205">
        <f>IFERROR(INDEX((std_jml_anodize_per_uk),MATCH($H181,Prt,0)),"")</f>
        <v>0</v>
      </c>
      <c r="BS181" s="509">
        <f t="shared" si="177"/>
        <v>0</v>
      </c>
      <c r="BT181" s="509">
        <f t="shared" si="178"/>
        <v>0</v>
      </c>
      <c r="BU181" s="459">
        <f t="shared" si="242"/>
        <v>0</v>
      </c>
      <c r="BV181" s="459">
        <f t="shared" si="243"/>
        <v>0</v>
      </c>
      <c r="BW181" s="1">
        <f t="shared" si="208"/>
        <v>0.32372499999999998</v>
      </c>
      <c r="BX181" s="1">
        <f t="shared" si="209"/>
        <v>6.1507749999999998E-3</v>
      </c>
      <c r="BY181" s="546">
        <f t="shared" si="181"/>
        <v>1</v>
      </c>
      <c r="BZ181" s="546">
        <f t="shared" si="182"/>
        <v>1</v>
      </c>
      <c r="CA181" s="546">
        <f t="shared" si="183"/>
        <v>1</v>
      </c>
      <c r="CB181" s="546">
        <f t="shared" si="184"/>
        <v>1</v>
      </c>
      <c r="CC181" s="728">
        <f t="shared" si="185"/>
        <v>561</v>
      </c>
      <c r="CD181" s="728">
        <f t="shared" si="186"/>
        <v>573</v>
      </c>
      <c r="CE181" s="170" t="str">
        <f t="shared" si="187"/>
        <v>561 x 573 x 19</v>
      </c>
      <c r="CF181" t="str">
        <f t="shared" si="188"/>
        <v>563;575;1;Ply 18 HB_41130_2mk;19;Ambalan hidup;-1;Edg_Décor_1723_B;1;Edg_Décor_1723_B;1;Edg_Décor_1723_B;1;Edg_Décor_1723_B;1</v>
      </c>
    </row>
    <row r="182" spans="1:84" customFormat="1">
      <c r="A182" s="701" t="str">
        <f t="shared" si="205"/>
        <v>…</v>
      </c>
      <c r="B182" s="447" t="str">
        <f t="shared" si="148"/>
        <v>…</v>
      </c>
      <c r="C182" s="161"/>
      <c r="D182" s="162"/>
      <c r="E182" s="1"/>
      <c r="F182" s="811" t="str">
        <f t="shared" si="149"/>
        <v/>
      </c>
      <c r="G182" s="440" t="str">
        <f t="shared" si="194"/>
        <v>...</v>
      </c>
      <c r="H182" s="1"/>
      <c r="I182" s="55"/>
      <c r="J182" s="170"/>
      <c r="K182" s="1"/>
      <c r="L182" s="170"/>
      <c r="M182" s="1"/>
      <c r="N182" s="166"/>
      <c r="O182" s="170"/>
      <c r="P182" s="441"/>
      <c r="Q182" s="55"/>
      <c r="R182" s="177"/>
      <c r="S182" s="454"/>
      <c r="T182" s="178"/>
      <c r="U182" s="178"/>
      <c r="V182" s="179"/>
      <c r="W182" s="180"/>
      <c r="X182" s="179"/>
      <c r="Y182" s="180"/>
      <c r="Z182" s="178"/>
      <c r="AA182" s="178"/>
      <c r="AB182" s="178"/>
      <c r="AC182" s="178"/>
      <c r="AD182" s="182" t="str">
        <f t="shared" si="197"/>
        <v xml:space="preserve"> </v>
      </c>
      <c r="AE182" s="182" t="str">
        <f t="shared" si="198"/>
        <v xml:space="preserve"> </v>
      </c>
      <c r="AF182" s="182" t="str">
        <f t="shared" si="199"/>
        <v xml:space="preserve"> </v>
      </c>
      <c r="AG182" s="182" t="str">
        <f t="shared" si="200"/>
        <v xml:space="preserve"> </v>
      </c>
      <c r="AH182" s="401"/>
      <c r="AI182" s="401" t="str">
        <f t="shared" si="156"/>
        <v/>
      </c>
      <c r="AJ182" s="182"/>
      <c r="AK182" s="401" t="str">
        <f t="shared" si="157"/>
        <v/>
      </c>
      <c r="AL182" s="401" t="str">
        <f t="shared" si="158"/>
        <v/>
      </c>
      <c r="AM182" s="189"/>
      <c r="AN182" s="829"/>
      <c r="AO182" s="830"/>
      <c r="AP182" s="401" t="str">
        <f t="shared" si="159"/>
        <v/>
      </c>
      <c r="AQ182" s="401" t="str">
        <f t="shared" si="160"/>
        <v/>
      </c>
      <c r="AR182" s="401" t="str">
        <f t="shared" si="161"/>
        <v/>
      </c>
      <c r="AS182" s="401"/>
      <c r="AT182" s="403"/>
      <c r="AU182" s="403"/>
      <c r="AV182" s="170"/>
      <c r="AW182" s="166"/>
      <c r="AX182" s="166" t="str">
        <f t="shared" si="162"/>
        <v>3333</v>
      </c>
      <c r="AY182" s="189" t="str">
        <f t="shared" si="201"/>
        <v/>
      </c>
      <c r="AZ182" s="189" t="str">
        <f t="shared" si="202"/>
        <v xml:space="preserve"> -</v>
      </c>
      <c r="BA182" s="196"/>
      <c r="BB182" s="629" t="str">
        <f t="shared" si="206"/>
        <v xml:space="preserve">0) </v>
      </c>
      <c r="BC182" s="190"/>
      <c r="BD182" s="510" t="str">
        <f t="shared" si="166"/>
        <v/>
      </c>
      <c r="BE182" s="510" t="str">
        <f t="shared" si="167"/>
        <v/>
      </c>
      <c r="BF182" s="177"/>
      <c r="BG182" s="177"/>
      <c r="BH182" s="166"/>
      <c r="BI182" s="474">
        <f t="shared" si="207"/>
        <v>0</v>
      </c>
      <c r="BJ182" s="166"/>
      <c r="BK182" s="474">
        <f t="shared" si="171"/>
        <v>0</v>
      </c>
      <c r="BL182" s="474">
        <f t="shared" si="172"/>
        <v>0</v>
      </c>
      <c r="BM182" s="474">
        <f t="shared" si="203"/>
        <v>0</v>
      </c>
      <c r="BN182" s="166"/>
      <c r="BO182" s="166"/>
      <c r="BP182" s="204"/>
      <c r="BQ182" s="475">
        <f t="shared" si="204"/>
        <v>0.1</v>
      </c>
      <c r="BR182" s="205"/>
      <c r="BS182" s="509">
        <f t="shared" si="177"/>
        <v>0</v>
      </c>
      <c r="BT182" s="509">
        <f t="shared" si="178"/>
        <v>0</v>
      </c>
      <c r="BU182" s="459"/>
      <c r="BV182" s="459"/>
      <c r="BW182" s="1">
        <f t="shared" si="208"/>
        <v>0</v>
      </c>
      <c r="BX182" s="1">
        <f t="shared" si="209"/>
        <v>0</v>
      </c>
      <c r="BY182" s="546" t="str">
        <f t="shared" si="181"/>
        <v/>
      </c>
      <c r="BZ182" s="546" t="str">
        <f t="shared" si="182"/>
        <v/>
      </c>
      <c r="CA182" s="546" t="str">
        <f t="shared" si="183"/>
        <v/>
      </c>
      <c r="CB182" s="546" t="str">
        <f t="shared" si="184"/>
        <v/>
      </c>
      <c r="CC182" s="728" t="str">
        <f t="shared" si="185"/>
        <v/>
      </c>
      <c r="CD182" s="728" t="str">
        <f t="shared" si="186"/>
        <v/>
      </c>
      <c r="CE182" s="170" t="str">
        <f t="shared" si="187"/>
        <v xml:space="preserve"> x  x </v>
      </c>
      <c r="CF182" t="str">
        <f t="shared" si="188"/>
        <v xml:space="preserve"> </v>
      </c>
    </row>
    <row r="183" spans="1:84" customFormat="1">
      <c r="A183" s="701" t="str">
        <f t="shared" si="205"/>
        <v>…</v>
      </c>
      <c r="B183" s="447" t="str">
        <f t="shared" si="148"/>
        <v>…</v>
      </c>
      <c r="C183" s="1" t="s">
        <v>2605</v>
      </c>
      <c r="D183" s="538" t="str">
        <f>(INDEX(KS_Set,MATCH($H183,Set_prt,0)))</f>
        <v>[ks]</v>
      </c>
      <c r="E183" s="1" t="s">
        <v>2167</v>
      </c>
      <c r="F183" s="811" t="str">
        <f t="shared" si="149"/>
        <v/>
      </c>
      <c r="G183" s="440" t="str">
        <f>IFERROR(INDEX((no_ref),MATCH($H183,ref,0)),"...")</f>
        <v>•</v>
      </c>
      <c r="H183" s="371" t="s">
        <v>3894</v>
      </c>
      <c r="I183" s="55"/>
      <c r="J183" s="370">
        <f>+J186</f>
        <v>360</v>
      </c>
      <c r="K183" s="55" t="s">
        <v>2137</v>
      </c>
      <c r="L183" s="370">
        <f>+L186</f>
        <v>490</v>
      </c>
      <c r="M183" s="55" t="s">
        <v>2137</v>
      </c>
      <c r="N183" s="452" t="s">
        <v>3895</v>
      </c>
      <c r="O183" s="170" t="str">
        <f>CONCATENATE(J183," ",K183," ",L183," ",M183," ",N183)</f>
        <v>360 x 490 x 19/28</v>
      </c>
      <c r="P183" s="139">
        <v>1</v>
      </c>
      <c r="Q183" s="369">
        <f>+P183*Q169</f>
        <v>1</v>
      </c>
      <c r="R183" s="181"/>
      <c r="S183" s="455"/>
      <c r="T183" s="170"/>
      <c r="U183" s="170"/>
      <c r="V183" s="1"/>
      <c r="W183" s="173"/>
      <c r="X183" s="1"/>
      <c r="Y183" s="166"/>
      <c r="Z183" s="170"/>
      <c r="AA183" s="170"/>
      <c r="AB183" s="170"/>
      <c r="AC183" s="170"/>
      <c r="AD183" s="182" t="str">
        <f t="shared" si="197"/>
        <v xml:space="preserve"> </v>
      </c>
      <c r="AE183" s="182" t="str">
        <f t="shared" si="198"/>
        <v xml:space="preserve"> </v>
      </c>
      <c r="AF183" s="182" t="str">
        <f t="shared" si="199"/>
        <v xml:space="preserve"> </v>
      </c>
      <c r="AG183" s="182" t="str">
        <f t="shared" si="200"/>
        <v xml:space="preserve"> </v>
      </c>
      <c r="AH183" s="189"/>
      <c r="AI183" s="401" t="str">
        <f t="shared" si="156"/>
        <v/>
      </c>
      <c r="AJ183" s="189"/>
      <c r="AK183" s="401" t="str">
        <f t="shared" si="157"/>
        <v/>
      </c>
      <c r="AL183" s="401" t="str">
        <f t="shared" si="158"/>
        <v/>
      </c>
      <c r="AM183" s="189"/>
      <c r="AN183" s="782"/>
      <c r="AO183" s="189"/>
      <c r="AP183" s="401" t="str">
        <f t="shared" si="159"/>
        <v/>
      </c>
      <c r="AQ183" s="401" t="str">
        <f t="shared" si="160"/>
        <v/>
      </c>
      <c r="AR183" s="401" t="str">
        <f t="shared" si="161"/>
        <v/>
      </c>
      <c r="AS183" s="188"/>
      <c r="AT183" s="1"/>
      <c r="AU183" s="403" t="str">
        <f>IF($AS183=0,"",Q183*BR183)</f>
        <v/>
      </c>
      <c r="AV183" s="1"/>
      <c r="AW183" s="166"/>
      <c r="AX183" s="166" t="str">
        <f t="shared" si="162"/>
        <v>3333</v>
      </c>
      <c r="AY183" s="189" t="str">
        <f t="shared" si="201"/>
        <v/>
      </c>
      <c r="AZ183" s="189" t="str">
        <f t="shared" si="202"/>
        <v xml:space="preserve"> -</v>
      </c>
      <c r="BA183" s="196" t="str">
        <f>IF($R183=0,CONCATENATE(0,")"," ",$H183," ",$J183),CONCATENATE(VLOOKUP(H183,tabprt,2,0),")",$H183,"_",AY183))</f>
        <v>0) Dasar Laci Pull Out (rakit tukang) 360</v>
      </c>
      <c r="BB183" s="629" t="str">
        <f>IF($B183="…",CONCATENATE(0,$E183,")"," ",$H183),IF($B183="kc",CONCATENATE(VLOOKUP(H183,tabprt,2,0),")",$H183," ",$R183," ",$S183,"mm"," ","-"," "," ",";"," ",$AZ183,"  ",$I183),IF($B183="alu",CONCATENATE(VLOOKUP(H183,tabprt,2,0),")",$H183," ",$R183," ",$S183,"mm"," ","-"," "," ",";"," ",$AZ183,"  ",$I183),CONCATENATE(VLOOKUP(H183,tabprt,2,0),")",$H183," ",$R183," ",$S183,"mm"," ","-"," ",$AY183," ",";"," ",$AZ183,"  ",$I183))))</f>
        <v>0B) Dasar Laci Pull Out (rakit tukang)</v>
      </c>
      <c r="BC183" s="197"/>
      <c r="BD183" s="510" t="str">
        <f t="shared" si="166"/>
        <v/>
      </c>
      <c r="BE183" s="510" t="str">
        <f t="shared" si="167"/>
        <v/>
      </c>
      <c r="BF183" s="177"/>
      <c r="BG183" s="177"/>
      <c r="BH183" s="166">
        <f>IF($AM183=0,0,1)*Q183</f>
        <v>0</v>
      </c>
      <c r="BI183" s="474">
        <f t="shared" si="207"/>
        <v>0</v>
      </c>
      <c r="BJ183" s="166">
        <f>IF($AN183=0,0,1)*Q183</f>
        <v>0</v>
      </c>
      <c r="BK183" s="474">
        <f t="shared" si="171"/>
        <v>0.4</v>
      </c>
      <c r="BL183" s="474">
        <f t="shared" si="172"/>
        <v>0.53</v>
      </c>
      <c r="BM183" s="474">
        <f t="shared" si="203"/>
        <v>0</v>
      </c>
      <c r="BN183" s="166"/>
      <c r="BO183" s="166" t="str">
        <f>CONCATENATE(R183,"_",S183)</f>
        <v>_</v>
      </c>
      <c r="BP183" s="204" t="str">
        <f>CONCATENATE(R183," ",S183," ",AY183)</f>
        <v xml:space="preserve">  </v>
      </c>
      <c r="BQ183" s="475">
        <f t="shared" si="204"/>
        <v>0.16125</v>
      </c>
      <c r="BR183" s="205" t="str">
        <f>IFERROR(INDEX((std_jml_anodize_per_uk),MATCH($H183,Prt,0)),"")</f>
        <v/>
      </c>
      <c r="BS183" s="509">
        <f t="shared" si="177"/>
        <v>4</v>
      </c>
      <c r="BT183" s="509">
        <f t="shared" si="178"/>
        <v>6</v>
      </c>
      <c r="BU183" s="459"/>
      <c r="BV183" s="459"/>
      <c r="BW183" s="1">
        <f t="shared" si="208"/>
        <v>0.1764</v>
      </c>
      <c r="BX183" s="1" t="e">
        <f t="shared" si="209"/>
        <v>#VALUE!</v>
      </c>
      <c r="BY183" s="546" t="str">
        <f t="shared" si="181"/>
        <v/>
      </c>
      <c r="BZ183" s="546" t="str">
        <f t="shared" si="182"/>
        <v/>
      </c>
      <c r="CA183" s="546" t="str">
        <f t="shared" si="183"/>
        <v/>
      </c>
      <c r="CB183" s="546" t="str">
        <f t="shared" si="184"/>
        <v/>
      </c>
      <c r="CC183" s="728" t="str">
        <f t="shared" si="185"/>
        <v/>
      </c>
      <c r="CD183" s="728" t="str">
        <f t="shared" si="186"/>
        <v/>
      </c>
      <c r="CE183" s="170" t="str">
        <f t="shared" si="187"/>
        <v xml:space="preserve"> x  x 19/28</v>
      </c>
      <c r="CF183" t="str">
        <f t="shared" si="188"/>
        <v xml:space="preserve"> </v>
      </c>
    </row>
    <row r="184" spans="1:84" customFormat="1">
      <c r="A184" s="701" t="str">
        <f t="shared" si="205"/>
        <v>…</v>
      </c>
      <c r="B184" s="447" t="str">
        <f t="shared" si="148"/>
        <v>kabinet</v>
      </c>
      <c r="C184" s="161" t="s">
        <v>1472</v>
      </c>
      <c r="D184" s="162" t="str">
        <f>IFERROR(INDEX((KS),MATCH($H184,Prt,0)),"")</f>
        <v>─</v>
      </c>
      <c r="E184" s="1" t="s">
        <v>2167</v>
      </c>
      <c r="F184" s="811">
        <f t="shared" si="149"/>
        <v>1</v>
      </c>
      <c r="G184" s="440" t="str">
        <f t="shared" si="194"/>
        <v>••</v>
      </c>
      <c r="H184" s="1" t="s">
        <v>1786</v>
      </c>
      <c r="I184" s="55"/>
      <c r="J184" s="170">
        <v>506</v>
      </c>
      <c r="K184" s="1" t="s">
        <v>2137</v>
      </c>
      <c r="L184" s="170">
        <v>50</v>
      </c>
      <c r="M184" s="1" t="s">
        <v>2137</v>
      </c>
      <c r="N184" s="458">
        <f>+(S184+W184+Y184)</f>
        <v>19</v>
      </c>
      <c r="O184" s="170" t="str">
        <f>CONCATENATE(J184," ",K184," ",L184," ",M184," ",N184)</f>
        <v>506 x 50 x 19</v>
      </c>
      <c r="P184" s="441">
        <f>IFERROR(INDEX((std_sub_prt),MATCH($H184,Prt,0)),"")</f>
        <v>1</v>
      </c>
      <c r="Q184" s="367">
        <f>+P184*Q183</f>
        <v>1</v>
      </c>
      <c r="R184" s="177" t="str">
        <f>IFERROR(INDEX((std_bhn_prt),MATCH($H184,Prt,0)),"")</f>
        <v>Ply</v>
      </c>
      <c r="S184" s="454">
        <f>IFERROR(INDEX((std_Tbahan_prt),MATCH($H184,Prt,0)),"")</f>
        <v>18</v>
      </c>
      <c r="T184" s="178">
        <f>INDEX((std_lapisan_luar_prt),MATCH($H184,Prt,0))</f>
        <v>11</v>
      </c>
      <c r="U184" s="178">
        <f>INDEX((std_lapisan_dalam_prt),MATCH($H184,Prt,0))</f>
        <v>11</v>
      </c>
      <c r="V184" s="179" t="str">
        <f>IFERROR(INDEX((tf),MATCH(T184,ctf,0)),"")</f>
        <v>HB_41130</v>
      </c>
      <c r="W184" s="180">
        <f>IFERROR(INDEX((tebal_lapisan),MATCH($V184,tf,0)),"")</f>
        <v>0.5</v>
      </c>
      <c r="X184" s="179" t="str">
        <f>IFERROR(INDEX((tf),MATCH(U184,ctf,0)),"")</f>
        <v>HB_41130</v>
      </c>
      <c r="Y184" s="180">
        <f>IFERROR(INDEX((tebal_lapisan),MATCH($X184,tf,0)),"")</f>
        <v>0.5</v>
      </c>
      <c r="Z184" s="178">
        <f>INDEX((std_edg_P1_prt),MATCH($H184,Prt,0))</f>
        <v>11</v>
      </c>
      <c r="AA184" s="178">
        <f>INDEX((std_edg_P2_prt),MATCH($H184,Prt,0))</f>
        <v>11</v>
      </c>
      <c r="AB184" s="178">
        <f>INDEX((std_edg_L1_prt),MATCH($H184,Prt,0))</f>
        <v>11</v>
      </c>
      <c r="AC184" s="178">
        <f>INDEX((std_edg_L2_prt),MATCH($H184,Prt,0))</f>
        <v>11</v>
      </c>
      <c r="AD184" s="182" t="str">
        <f t="shared" ref="AD184:AD198" si="244">IF($B184="alu",(INDEX((Fr),MATCH(Z184,cfr,0))),INDEX((te),MATCH(Z184,cte,0)))</f>
        <v>Edg_Décor_1723_B</v>
      </c>
      <c r="AE184" s="182" t="str">
        <f t="shared" ref="AE184:AE198" si="245">IF($B184="alu",(INDEX((Fr),MATCH(AA184,cfr,0))),INDEX((te),MATCH(AA184,cte,0)))</f>
        <v>Edg_Décor_1723_B</v>
      </c>
      <c r="AF184" s="182" t="str">
        <f t="shared" ref="AF184:AF198" si="246">IF($B184="alu",(INDEX((Fr),MATCH(AB184,cfr,0))),INDEX((te),MATCH(AB184,cte,0)))</f>
        <v>Edg_Décor_1723_B</v>
      </c>
      <c r="AG184" s="182" t="str">
        <f t="shared" ref="AG184:AG198" si="247">IF($B184="alu",(INDEX((Fr),MATCH(AC184,cfr,0))),INDEX((te),MATCH(AC184,cte,0)))</f>
        <v>Edg_Décor_1723_B</v>
      </c>
      <c r="AH184" s="401">
        <f>IFERROR(INDEX((std_profil3_prt),MATCH($H184,Prt,0)),"")</f>
        <v>0</v>
      </c>
      <c r="AI184" s="401">
        <f t="shared" si="156"/>
        <v>0</v>
      </c>
      <c r="AJ184" s="401">
        <f>IFERROR(INDEX((std_profil_prt),MATCH($H184,Prt,0)),"")</f>
        <v>0</v>
      </c>
      <c r="AK184" s="401">
        <f t="shared" si="157"/>
        <v>0</v>
      </c>
      <c r="AL184" s="401">
        <f t="shared" si="158"/>
        <v>0</v>
      </c>
      <c r="AM184" s="189"/>
      <c r="AN184" s="829">
        <f>IFERROR(INDEX((std_rel_prt),MATCH($H184,Prt,0)),"")</f>
        <v>0</v>
      </c>
      <c r="AO184" s="830">
        <f>IFERROR(INDEX((std_engsel_prt),MATCH($H184,Prt,0)),"")</f>
        <v>0</v>
      </c>
      <c r="AP184" s="401" t="str">
        <f t="shared" si="159"/>
        <v/>
      </c>
      <c r="AQ184" s="401" t="str">
        <f t="shared" si="160"/>
        <v/>
      </c>
      <c r="AR184" s="401" t="str">
        <f t="shared" si="161"/>
        <v/>
      </c>
      <c r="AS184" s="401">
        <f>IFERROR(INDEX((std_anodize_per_ukuran),MATCH($H184,Prt,0)),"")</f>
        <v>0</v>
      </c>
      <c r="AT184" s="403" t="str">
        <f>IF($AS184=edging7,L184,IF($AS184=edging8,L184,IF($AS184=edging9,L184,IF($AS184=Hand1,J182,IF($AS184=Hand2,L182,IF($AS184=hand3,"diisi manual",IF($AS184=hand4,"diisi manual",IF($AS184=hand5,"diisi manual",IF($AS184=mled02,J184,IF($AS184=mprf1,J184,IF($AS184=mlis1,J184,"")))))))))))</f>
        <v/>
      </c>
      <c r="AU184" s="403">
        <f>IF($AS184="","",Q184*BR184)</f>
        <v>0</v>
      </c>
      <c r="AV184" s="170"/>
      <c r="AW184" s="166" t="str">
        <f>CONCATENATE(VLOOKUP($V184,tabtf,2,0),VLOOKUP($X184,tabtf,2,0))</f>
        <v>22</v>
      </c>
      <c r="AX184" s="166" t="str">
        <f t="shared" si="162"/>
        <v>1111</v>
      </c>
      <c r="AY184" s="189" t="str">
        <f t="shared" ref="AY184:AY198" si="248">IFERROR(VLOOKUP(AW184,descf,2,0),"")</f>
        <v>HB_41130_2mk</v>
      </c>
      <c r="AZ184" s="189" t="str">
        <f t="shared" ref="AZ184:AZ198" si="249">IF($B184="alu",(VLOOKUP(AX184,descfr,2,0)),(VLOOKUP(AX184,desce,2,0)))</f>
        <v>Edg_Décor_1723_B_Keliling</v>
      </c>
      <c r="BA184" s="196" t="str">
        <f>IF($R184=0,CONCATENATE(0,")"," ",$H184," ",$J184),CONCATENATE(VLOOKUP(H184,tabprt,2,0),")",$H184,"_",AY184))</f>
        <v>145)Ambalan hidup_HB_41130_2mk</v>
      </c>
      <c r="BB184" s="629" t="str">
        <f t="shared" ref="BB184:BB198" si="250">IF($B184="…",CONCATENATE(0,$E184,")"," ",$H184),IF($B184="kc",CONCATENATE(VLOOKUP(H184,tabprt,2,0),")",$H184," ",$R184," ",$S184,"mm"," ","-"," "," ",";"," ",$AZ184,"  ",$I184),IF($B184="alu",CONCATENATE(VLOOKUP(H184,tabprt,2,0),")",$H184," ",$R184," ",$S184,"mm"," ","-"," "," ",";"," ",$AZ184,"  ",$I184),CONCATENATE(VLOOKUP(H184,tabprt,2,0),")",$H184," ",$R184," ",$S184,"mm"," ","-"," ",$AY184," ",";"," ",$AZ184,"  ",$I184))))</f>
        <v xml:space="preserve">145)Ambalan hidup Ply 18mm - HB_41130_2mk ; Edg_Décor_1723_B_Keliling  </v>
      </c>
      <c r="BC184" s="190"/>
      <c r="BD184" s="510">
        <f t="shared" si="166"/>
        <v>0</v>
      </c>
      <c r="BE184" s="510">
        <f t="shared" si="167"/>
        <v>0</v>
      </c>
      <c r="BF184" s="177">
        <f>IFERROR(INDEX((std_j_sikufr_prt),MATCH($H184,Prt,0)),"")*Q184</f>
        <v>0</v>
      </c>
      <c r="BG184" s="177">
        <f>IFERROR(INDEX((std_j_screwjf_prt),MATCH($H184,Prt,0)),"")*Q184</f>
        <v>0</v>
      </c>
      <c r="BH184" s="166">
        <f>IF($AM184=0,0,1)*Q184</f>
        <v>0</v>
      </c>
      <c r="BI184" s="474">
        <f t="shared" si="207"/>
        <v>0</v>
      </c>
      <c r="BJ184" s="166">
        <f>IF($AN184=0,0,1)*Q184</f>
        <v>0</v>
      </c>
      <c r="BK184" s="474">
        <f t="shared" si="171"/>
        <v>0.54600000000000004</v>
      </c>
      <c r="BL184" s="474">
        <f t="shared" si="172"/>
        <v>0.09</v>
      </c>
      <c r="BM184" s="474">
        <f t="shared" ref="BM184:BM198" si="251">IF(R184=0,0,((2*((J184+tol_p)+(L184+tol_p))*Q184)/1000))</f>
        <v>1.272</v>
      </c>
      <c r="BN184" s="166">
        <f>((J184*L184)/1000000)*Q184</f>
        <v>2.53E-2</v>
      </c>
      <c r="BO184" s="166" t="str">
        <f>CONCATENATE(R184,"_",S184)</f>
        <v>Ply_18</v>
      </c>
      <c r="BP184" s="204" t="str">
        <f>CONCATENATE(R184," ",S184," ",AY184)</f>
        <v>Ply 18 HB_41130_2mk</v>
      </c>
      <c r="BQ184" s="475">
        <f t="shared" ref="BQ184:BQ198" si="252">((J184*L184*Q184)/(2400*1200))+10%</f>
        <v>0.10878472222222223</v>
      </c>
      <c r="BR184" s="205">
        <f>IFERROR(INDEX((std_jml_anodize_per_uk),MATCH($H184,Prt,0)),"")</f>
        <v>0</v>
      </c>
      <c r="BS184" s="509">
        <f t="shared" si="177"/>
        <v>0</v>
      </c>
      <c r="BT184" s="509">
        <f t="shared" si="178"/>
        <v>0</v>
      </c>
      <c r="BU184" s="459">
        <f t="shared" ref="BU184:BV186" si="253">BF184*$Q184</f>
        <v>0</v>
      </c>
      <c r="BV184" s="459">
        <f t="shared" si="253"/>
        <v>0</v>
      </c>
      <c r="BW184" s="1">
        <f t="shared" si="208"/>
        <v>2.53E-2</v>
      </c>
      <c r="BX184" s="1">
        <f t="shared" si="209"/>
        <v>4.8069999999999997E-4</v>
      </c>
      <c r="BY184" s="546">
        <f t="shared" si="181"/>
        <v>1</v>
      </c>
      <c r="BZ184" s="546">
        <f t="shared" si="182"/>
        <v>1</v>
      </c>
      <c r="CA184" s="546">
        <f t="shared" si="183"/>
        <v>1</v>
      </c>
      <c r="CB184" s="546">
        <f t="shared" si="184"/>
        <v>1</v>
      </c>
      <c r="CC184" s="728">
        <f t="shared" si="185"/>
        <v>504</v>
      </c>
      <c r="CD184" s="728">
        <f t="shared" si="186"/>
        <v>48</v>
      </c>
      <c r="CE184" s="170" t="str">
        <f t="shared" si="187"/>
        <v>504 x 48 x 19</v>
      </c>
      <c r="CF184" t="str">
        <f t="shared" si="188"/>
        <v>506;50;1;Ply 18 HB_41130_2mk;19;Ambalan hidup;-1;Edg_Décor_1723_B;1;Edg_Décor_1723_B;1;Edg_Décor_1723_B;1;Edg_Décor_1723_B;1</v>
      </c>
    </row>
    <row r="185" spans="1:84" customFormat="1">
      <c r="A185" s="701" t="str">
        <f t="shared" si="205"/>
        <v>…</v>
      </c>
      <c r="B185" s="447" t="str">
        <f t="shared" si="148"/>
        <v>pintu</v>
      </c>
      <c r="C185" s="161" t="s">
        <v>1472</v>
      </c>
      <c r="D185" s="162" t="str">
        <f>IFERROR(INDEX((KS),MATCH($H185,Prt,0)),"")</f>
        <v>KS</v>
      </c>
      <c r="E185" s="1" t="s">
        <v>2167</v>
      </c>
      <c r="F185" s="811">
        <f t="shared" si="149"/>
        <v>1</v>
      </c>
      <c r="G185" s="440" t="str">
        <f t="shared" si="194"/>
        <v>••</v>
      </c>
      <c r="H185" s="1" t="s">
        <v>1831</v>
      </c>
      <c r="I185" s="55"/>
      <c r="J185" s="170">
        <v>65</v>
      </c>
      <c r="K185" s="1" t="s">
        <v>2137</v>
      </c>
      <c r="L185" s="170">
        <f>391-N184-2</f>
        <v>370</v>
      </c>
      <c r="M185" s="1" t="s">
        <v>2137</v>
      </c>
      <c r="N185" s="458">
        <f>+(S185+W185+Y185)</f>
        <v>19</v>
      </c>
      <c r="O185" s="170" t="str">
        <f>CONCATENATE(J185," ",K185," ",L185," ",M185," ",N185)</f>
        <v>65 x 370 x 19</v>
      </c>
      <c r="P185" s="441">
        <f>IFERROR(INDEX((std_sub_prt),MATCH($H185,Prt,0)),"")</f>
        <v>1</v>
      </c>
      <c r="Q185" s="55">
        <f>+P185*Q183</f>
        <v>1</v>
      </c>
      <c r="R185" s="177" t="str">
        <f>IFERROR(INDEX((std_bhn_prt),MATCH($H185,Prt,0)),"")</f>
        <v>Ply</v>
      </c>
      <c r="S185" s="454">
        <f>IFERROR(INDEX((std_Tbahan_prt),MATCH($H185,Prt,0)),"")</f>
        <v>18</v>
      </c>
      <c r="T185" s="178">
        <f>INDEX((std_lapisan_luar_prt),MATCH($H185,Prt,0))</f>
        <v>11</v>
      </c>
      <c r="U185" s="178">
        <f>INDEX((std_lapisan_dalam_prt),MATCH($H185,Prt,0))</f>
        <v>11</v>
      </c>
      <c r="V185" s="179" t="str">
        <f>IFERROR(INDEX((tf),MATCH(T185,ctf,0)),"")</f>
        <v>HB_41130</v>
      </c>
      <c r="W185" s="180">
        <f>IFERROR(INDEX((tebal_lapisan),MATCH($V185,tf,0)),"")</f>
        <v>0.5</v>
      </c>
      <c r="X185" s="179" t="str">
        <f>IFERROR(INDEX((tf),MATCH(U185,ctf,0)),"")</f>
        <v>HB_41130</v>
      </c>
      <c r="Y185" s="180">
        <f>IFERROR(INDEX((tebal_lapisan),MATCH($X185,tf,0)),"")</f>
        <v>0.5</v>
      </c>
      <c r="Z185" s="178">
        <f>INDEX((std_edg_P1_prt),MATCH($H185,Prt,0))</f>
        <v>11</v>
      </c>
      <c r="AA185" s="178">
        <f>INDEX((std_edg_P2_prt),MATCH($H185,Prt,0))</f>
        <v>11</v>
      </c>
      <c r="AB185" s="178">
        <f>INDEX((std_edg_L1_prt),MATCH($H185,Prt,0))</f>
        <v>11</v>
      </c>
      <c r="AC185" s="178">
        <f>INDEX((std_edg_L2_prt),MATCH($H185,Prt,0))</f>
        <v>11</v>
      </c>
      <c r="AD185" s="182" t="str">
        <f t="shared" si="244"/>
        <v>Edg_Décor_1723_B</v>
      </c>
      <c r="AE185" s="182" t="str">
        <f t="shared" si="245"/>
        <v>Edg_Décor_1723_B</v>
      </c>
      <c r="AF185" s="182" t="str">
        <f t="shared" si="246"/>
        <v>Edg_Décor_1723_B</v>
      </c>
      <c r="AG185" s="182" t="str">
        <f t="shared" si="247"/>
        <v>Edg_Décor_1723_B</v>
      </c>
      <c r="AH185" s="401">
        <f>IFERROR(INDEX((std_profil3_prt),MATCH($H185,Prt,0)),"")</f>
        <v>0</v>
      </c>
      <c r="AI185" s="401">
        <f t="shared" si="156"/>
        <v>0</v>
      </c>
      <c r="AJ185" s="401">
        <f>IFERROR(INDEX((std_profil_prt),MATCH($H185,Prt,0)),"")</f>
        <v>0</v>
      </c>
      <c r="AK185" s="401">
        <f t="shared" si="157"/>
        <v>0</v>
      </c>
      <c r="AL185" s="401">
        <f t="shared" si="158"/>
        <v>0</v>
      </c>
      <c r="AM185" s="189"/>
      <c r="AN185" s="829">
        <f>IFERROR(INDEX((std_rel_prt),MATCH($H185,Prt,0)),"")</f>
        <v>0</v>
      </c>
      <c r="AO185" s="830">
        <f>IFERROR(INDEX((std_engsel_prt),MATCH($H185,Prt,0)),"")</f>
        <v>0</v>
      </c>
      <c r="AP185" s="401" t="str">
        <f t="shared" si="159"/>
        <v/>
      </c>
      <c r="AQ185" s="401" t="str">
        <f t="shared" si="160"/>
        <v/>
      </c>
      <c r="AR185" s="401" t="str">
        <f t="shared" si="161"/>
        <v/>
      </c>
      <c r="AS185" s="401">
        <f>IFERROR(INDEX((std_anodize_per_ukuran),MATCH($H185,Prt,0)),"")</f>
        <v>0</v>
      </c>
      <c r="AT185" s="403" t="str">
        <f>IF($AS185=edging7,L185,IF($AS185=edging8,L185,IF($AS185=edging9,L185,IF($AS185=Hand1,J184,IF($AS185=Hand2,L184,IF($AS185=hand3,"diisi manual",IF($AS185=hand4,"diisi manual",IF($AS185=hand5,"diisi manual",IF($AS185=mled02,J185,IF($AS185=mprf1,J185,IF($AS185=mlis1,J185,"")))))))))))</f>
        <v/>
      </c>
      <c r="AU185" s="403">
        <f>IF($AS185="","",Q185*BR185)</f>
        <v>0</v>
      </c>
      <c r="AV185" s="170"/>
      <c r="AW185" s="166" t="str">
        <f>CONCATENATE(VLOOKUP($V185,tabtf,2,0),VLOOKUP($X185,tabtf,2,0))</f>
        <v>22</v>
      </c>
      <c r="AX185" s="166" t="str">
        <f t="shared" si="162"/>
        <v>1111</v>
      </c>
      <c r="AY185" s="189" t="str">
        <f t="shared" si="248"/>
        <v>HB_41130_2mk</v>
      </c>
      <c r="AZ185" s="189" t="str">
        <f t="shared" si="249"/>
        <v>Edg_Décor_1723_B_Keliling</v>
      </c>
      <c r="BA185" s="196" t="str">
        <f>IF($R185=0,CONCATENATE(0,")"," ",$H185," ",$J185),CONCATENATE(VLOOKUP(H185,tabprt,2,0),")",$H185,"_",AY185))</f>
        <v>358)Tutup laci dalam_HB_41130_2mk</v>
      </c>
      <c r="BB185" s="629" t="str">
        <f t="shared" si="250"/>
        <v xml:space="preserve">358)Tutup laci dalam Ply 18mm - HB_41130_2mk ; Edg_Décor_1723_B_Keliling  </v>
      </c>
      <c r="BC185" s="190"/>
      <c r="BD185" s="510">
        <f t="shared" si="166"/>
        <v>0</v>
      </c>
      <c r="BE185" s="510">
        <f t="shared" si="167"/>
        <v>0</v>
      </c>
      <c r="BF185" s="177">
        <f>IFERROR(INDEX((std_j_sikufr_prt),MATCH($H185,Prt,0)),"")*Q185</f>
        <v>0</v>
      </c>
      <c r="BG185" s="177">
        <f>IFERROR(INDEX((std_j_screwjf_prt),MATCH($H185,Prt,0)),"")*Q185</f>
        <v>0</v>
      </c>
      <c r="BH185" s="166">
        <f>IF($AM185=0,0,1)*Q185</f>
        <v>0</v>
      </c>
      <c r="BI185" s="474">
        <f t="shared" si="207"/>
        <v>0</v>
      </c>
      <c r="BJ185" s="166">
        <f>IF($AN185=0,0,1)*Q185</f>
        <v>0</v>
      </c>
      <c r="BK185" s="474">
        <f t="shared" si="171"/>
        <v>0.105</v>
      </c>
      <c r="BL185" s="474">
        <f t="shared" si="172"/>
        <v>0.41</v>
      </c>
      <c r="BM185" s="474">
        <f t="shared" si="251"/>
        <v>1.03</v>
      </c>
      <c r="BN185" s="166">
        <f>((J185*L185)/1000000)*Q185</f>
        <v>2.4049999999999998E-2</v>
      </c>
      <c r="BO185" s="166" t="str">
        <f>CONCATENATE(R185,"_",S185)</f>
        <v>Ply_18</v>
      </c>
      <c r="BP185" s="204" t="str">
        <f>CONCATENATE(R185," ",S185," ",AY185)</f>
        <v>Ply 18 HB_41130_2mk</v>
      </c>
      <c r="BQ185" s="475">
        <f t="shared" si="252"/>
        <v>0.10835069444444445</v>
      </c>
      <c r="BR185" s="205">
        <f>IFERROR(INDEX((std_jml_anodize_per_uk),MATCH($H185,Prt,0)),"")</f>
        <v>0</v>
      </c>
      <c r="BS185" s="509">
        <f t="shared" si="177"/>
        <v>0</v>
      </c>
      <c r="BT185" s="509">
        <f t="shared" si="178"/>
        <v>0</v>
      </c>
      <c r="BU185" s="459">
        <f t="shared" si="253"/>
        <v>0</v>
      </c>
      <c r="BV185" s="459">
        <f t="shared" si="253"/>
        <v>0</v>
      </c>
      <c r="BW185" s="1">
        <f t="shared" si="208"/>
        <v>2.4049999999999998E-2</v>
      </c>
      <c r="BX185" s="1">
        <f t="shared" si="209"/>
        <v>4.5695000000000002E-4</v>
      </c>
      <c r="BY185" s="546">
        <f t="shared" si="181"/>
        <v>1</v>
      </c>
      <c r="BZ185" s="546">
        <f t="shared" si="182"/>
        <v>1</v>
      </c>
      <c r="CA185" s="546">
        <f t="shared" si="183"/>
        <v>1</v>
      </c>
      <c r="CB185" s="546">
        <f t="shared" si="184"/>
        <v>1</v>
      </c>
      <c r="CC185" s="728">
        <f t="shared" si="185"/>
        <v>63</v>
      </c>
      <c r="CD185" s="728">
        <f t="shared" si="186"/>
        <v>368</v>
      </c>
      <c r="CE185" s="170" t="str">
        <f t="shared" si="187"/>
        <v>63 x 368 x 19</v>
      </c>
      <c r="CF185" t="str">
        <f t="shared" si="188"/>
        <v>65;370;1;Ply 18 HB_41130_2mk;19;Tutup laci dalam;-1;Edg_Décor_1723_B;1;Edg_Décor_1723_B;1;Edg_Décor_1723_B;1;Edg_Décor_1723_B;1</v>
      </c>
    </row>
    <row r="186" spans="1:84" customFormat="1">
      <c r="A186" s="701" t="str">
        <f t="shared" si="205"/>
        <v>…</v>
      </c>
      <c r="B186" s="447" t="str">
        <f t="shared" si="148"/>
        <v>kabinet</v>
      </c>
      <c r="C186" s="161" t="s">
        <v>1472</v>
      </c>
      <c r="D186" s="162" t="str">
        <f>IFERROR(INDEX((KS),MATCH($H186,Prt,0)),"")</f>
        <v>KS</v>
      </c>
      <c r="E186" s="1" t="s">
        <v>2167</v>
      </c>
      <c r="F186" s="811">
        <f t="shared" si="149"/>
        <v>1</v>
      </c>
      <c r="G186" s="440" t="str">
        <f t="shared" si="194"/>
        <v>…</v>
      </c>
      <c r="H186" s="1" t="s">
        <v>1804</v>
      </c>
      <c r="I186" s="55"/>
      <c r="J186" s="170">
        <f>391-Tdm+30-N184</f>
        <v>360</v>
      </c>
      <c r="K186" s="1" t="s">
        <v>2137</v>
      </c>
      <c r="L186" s="170">
        <v>490</v>
      </c>
      <c r="M186" s="1" t="s">
        <v>2137</v>
      </c>
      <c r="N186" s="458">
        <f>+(S186+W186+Y186)</f>
        <v>19</v>
      </c>
      <c r="O186" s="170" t="str">
        <f>CONCATENATE(J186," ",K186," ",L186," ",M186," ",N186)</f>
        <v>360 x 490 x 19</v>
      </c>
      <c r="P186" s="441">
        <f>IFERROR(INDEX((std_sub_prt),MATCH($H186,Prt,0)),"")</f>
        <v>1</v>
      </c>
      <c r="Q186" s="55">
        <f>+P186*Q183</f>
        <v>1</v>
      </c>
      <c r="R186" s="177" t="str">
        <f>IFERROR(INDEX((std_bhn_prt),MATCH($H186,Prt,0)),"")</f>
        <v>Ply</v>
      </c>
      <c r="S186" s="454">
        <f>IFERROR(INDEX((std_Tbahan_prt),MATCH($H186,Prt,0)),"")</f>
        <v>18</v>
      </c>
      <c r="T186" s="178">
        <f>INDEX((std_lapisan_luar_prt),MATCH($H186,Prt,0))</f>
        <v>11</v>
      </c>
      <c r="U186" s="178">
        <f>INDEX((std_lapisan_dalam_prt),MATCH($H186,Prt,0))</f>
        <v>11</v>
      </c>
      <c r="V186" s="179" t="str">
        <f>IFERROR(INDEX((tf),MATCH(T186,ctf,0)),"")</f>
        <v>HB_41130</v>
      </c>
      <c r="W186" s="180">
        <f>IFERROR(INDEX((tebal_lapisan),MATCH($V186,tf,0)),"")</f>
        <v>0.5</v>
      </c>
      <c r="X186" s="179" t="str">
        <f>IFERROR(INDEX((tf),MATCH(U186,ctf,0)),"")</f>
        <v>HB_41130</v>
      </c>
      <c r="Y186" s="180">
        <f>IFERROR(INDEX((tebal_lapisan),MATCH($X186,tf,0)),"")</f>
        <v>0.5</v>
      </c>
      <c r="Z186" s="178">
        <f>INDEX((std_edg_P1_prt),MATCH($H186,Prt,0))</f>
        <v>11</v>
      </c>
      <c r="AA186" s="178">
        <f>INDEX((std_edg_P2_prt),MATCH($H186,Prt,0))</f>
        <v>11</v>
      </c>
      <c r="AB186" s="178">
        <f>INDEX((std_edg_L1_prt),MATCH($H186,Prt,0))</f>
        <v>11</v>
      </c>
      <c r="AC186" s="178">
        <f>INDEX((std_edg_L2_prt),MATCH($H186,Prt,0))</f>
        <v>11</v>
      </c>
      <c r="AD186" s="182" t="str">
        <f t="shared" si="244"/>
        <v>Edg_Décor_1723_B</v>
      </c>
      <c r="AE186" s="182" t="str">
        <f t="shared" si="245"/>
        <v>Edg_Décor_1723_B</v>
      </c>
      <c r="AF186" s="182" t="str">
        <f t="shared" si="246"/>
        <v>Edg_Décor_1723_B</v>
      </c>
      <c r="AG186" s="182" t="str">
        <f t="shared" si="247"/>
        <v>Edg_Décor_1723_B</v>
      </c>
      <c r="AH186" s="401">
        <f>IFERROR(INDEX((std_profil3_prt),MATCH($H186,Prt,0)),"")</f>
        <v>0</v>
      </c>
      <c r="AI186" s="401">
        <f t="shared" si="156"/>
        <v>0</v>
      </c>
      <c r="AJ186" s="401">
        <f>IFERROR(INDEX((std_profil_prt),MATCH($H186,Prt,0)),"")</f>
        <v>0</v>
      </c>
      <c r="AK186" s="401" t="str">
        <f t="shared" si="157"/>
        <v>SIKU BR 012</v>
      </c>
      <c r="AL186" s="401">
        <f t="shared" si="158"/>
        <v>0</v>
      </c>
      <c r="AM186" s="189"/>
      <c r="AN186" s="829" t="str">
        <f>IFERROR(INDEX((std_rel_prt),MATCH($H186,Prt,0)),"")</f>
        <v>REL TANDEM BLUM FULL EXT INTG P.500</v>
      </c>
      <c r="AO186" s="830">
        <f>IFERROR(INDEX((std_engsel_prt),MATCH($H186,Prt,0)),"")</f>
        <v>0</v>
      </c>
      <c r="AP186" s="401" t="str">
        <f t="shared" si="159"/>
        <v/>
      </c>
      <c r="AQ186" s="401" t="str">
        <f t="shared" si="160"/>
        <v/>
      </c>
      <c r="AR186" s="401" t="str">
        <f t="shared" si="161"/>
        <v/>
      </c>
      <c r="AS186" s="401">
        <f>IFERROR(INDEX((std_anodize_per_ukuran),MATCH($H186,Prt,0)),"")</f>
        <v>0</v>
      </c>
      <c r="AT186" s="403" t="str">
        <f>IF($AS186=edging7,L186,IF($AS186=edging8,L186,IF($AS186=edging9,L186,IF($AS186=Hand1,J185,IF($AS186=Hand2,L185,IF($AS186=hand3,"diisi manual",IF($AS186=hand4,"diisi manual",IF($AS186=hand5,"diisi manual",IF($AS186=mled02,J186,IF($AS186=mprf1,J186,IF($AS186=mlis1,J186,"")))))))))))</f>
        <v/>
      </c>
      <c r="AU186" s="403">
        <f>IF($AS186="","",Q186*BR186)</f>
        <v>0</v>
      </c>
      <c r="AV186" s="170"/>
      <c r="AW186" s="166" t="str">
        <f>CONCATENATE(VLOOKUP($V186,tabtf,2,0),VLOOKUP($X186,tabtf,2,0))</f>
        <v>22</v>
      </c>
      <c r="AX186" s="166" t="str">
        <f t="shared" si="162"/>
        <v>1111</v>
      </c>
      <c r="AY186" s="189" t="str">
        <f t="shared" si="248"/>
        <v>HB_41130_2mk</v>
      </c>
      <c r="AZ186" s="189" t="str">
        <f t="shared" si="249"/>
        <v>Edg_Décor_1723_B_Keliling</v>
      </c>
      <c r="BA186" s="196" t="str">
        <f>IF($R186=0,CONCATENATE(0,")"," ",$H186," ",$J186),CONCATENATE(VLOOKUP(H186,tabprt,2,0),")",$H186,"_",AY186))</f>
        <v>186)Dasar laci Pull Out_HB_41130_2mk</v>
      </c>
      <c r="BB186" s="629" t="str">
        <f t="shared" si="250"/>
        <v xml:space="preserve">186)Dasar laci Pull Out Ply 18mm - HB_41130_2mk ; Edg_Décor_1723_B_Keliling  </v>
      </c>
      <c r="BC186" s="190"/>
      <c r="BD186" s="510">
        <f t="shared" si="166"/>
        <v>0</v>
      </c>
      <c r="BE186" s="510">
        <f t="shared" si="167"/>
        <v>0</v>
      </c>
      <c r="BF186" s="177">
        <f>IFERROR(INDEX((std_j_sikufr_prt),MATCH($H186,Prt,0)),"")*Q186</f>
        <v>0</v>
      </c>
      <c r="BG186" s="177">
        <f>IFERROR(INDEX((std_j_screwjf_prt),MATCH($H186,Prt,0)),"")*Q186</f>
        <v>0</v>
      </c>
      <c r="BH186" s="166">
        <f>IF($AM186=0,0,1)*Q186</f>
        <v>0</v>
      </c>
      <c r="BI186" s="474">
        <f t="shared" si="207"/>
        <v>0</v>
      </c>
      <c r="BJ186" s="166">
        <f>IF($AN186=0,0,1)*Q186</f>
        <v>1</v>
      </c>
      <c r="BK186" s="474">
        <f t="shared" si="171"/>
        <v>0.4</v>
      </c>
      <c r="BL186" s="474">
        <f t="shared" si="172"/>
        <v>0.53</v>
      </c>
      <c r="BM186" s="474">
        <f t="shared" si="251"/>
        <v>1.86</v>
      </c>
      <c r="BN186" s="166">
        <f>((J186*L186)/1000000)*Q186</f>
        <v>0.1764</v>
      </c>
      <c r="BO186" s="166" t="str">
        <f>CONCATENATE(R186,"_",S186)</f>
        <v>Ply_18</v>
      </c>
      <c r="BP186" s="204" t="str">
        <f>CONCATENATE(R186," ",S186," ",AY186)</f>
        <v>Ply 18 HB_41130_2mk</v>
      </c>
      <c r="BQ186" s="475">
        <f t="shared" si="252"/>
        <v>0.16125</v>
      </c>
      <c r="BR186" s="205">
        <f>IFERROR(INDEX((std_jml_anodize_per_uk),MATCH($H186,Prt,0)),"")</f>
        <v>0</v>
      </c>
      <c r="BS186" s="509">
        <f t="shared" si="177"/>
        <v>0</v>
      </c>
      <c r="BT186" s="509">
        <f t="shared" si="178"/>
        <v>0</v>
      </c>
      <c r="BU186" s="459">
        <f t="shared" si="253"/>
        <v>0</v>
      </c>
      <c r="BV186" s="459">
        <f t="shared" si="253"/>
        <v>0</v>
      </c>
      <c r="BW186" s="1">
        <f t="shared" si="208"/>
        <v>0.1764</v>
      </c>
      <c r="BX186" s="1">
        <f t="shared" si="209"/>
        <v>3.3516000000000002E-3</v>
      </c>
      <c r="BY186" s="546">
        <f t="shared" si="181"/>
        <v>1</v>
      </c>
      <c r="BZ186" s="546">
        <f t="shared" si="182"/>
        <v>1</v>
      </c>
      <c r="CA186" s="546">
        <f t="shared" si="183"/>
        <v>1</v>
      </c>
      <c r="CB186" s="546">
        <f t="shared" si="184"/>
        <v>1</v>
      </c>
      <c r="CC186" s="728">
        <f t="shared" si="185"/>
        <v>358</v>
      </c>
      <c r="CD186" s="728">
        <f t="shared" si="186"/>
        <v>488</v>
      </c>
      <c r="CE186" s="170" t="str">
        <f t="shared" si="187"/>
        <v>358 x 488 x 19</v>
      </c>
      <c r="CF186" t="str">
        <f t="shared" si="188"/>
        <v>360;490;1;Ply 18 HB_41130_2mk;19;Dasar laci Pull Out;-1;Edg_Décor_1723_B;1;Edg_Décor_1723_B;1;Edg_Décor_1723_B;1;Edg_Décor_1723_B;1</v>
      </c>
    </row>
    <row r="187" spans="1:84" customFormat="1">
      <c r="A187" s="701" t="str">
        <f t="shared" si="205"/>
        <v>…</v>
      </c>
      <c r="B187" s="447" t="str">
        <f t="shared" si="148"/>
        <v>…</v>
      </c>
      <c r="C187" s="161"/>
      <c r="D187" s="162"/>
      <c r="E187" s="1"/>
      <c r="F187" s="811" t="str">
        <f t="shared" si="149"/>
        <v/>
      </c>
      <c r="G187" s="440" t="str">
        <f t="shared" si="194"/>
        <v>...</v>
      </c>
      <c r="H187" s="1"/>
      <c r="I187" s="55"/>
      <c r="J187" s="170"/>
      <c r="K187" s="1"/>
      <c r="L187" s="170"/>
      <c r="M187" s="1"/>
      <c r="N187" s="166"/>
      <c r="O187" s="170"/>
      <c r="P187" s="441"/>
      <c r="Q187" s="55"/>
      <c r="R187" s="177"/>
      <c r="S187" s="454"/>
      <c r="T187" s="178"/>
      <c r="U187" s="178"/>
      <c r="V187" s="179"/>
      <c r="W187" s="180"/>
      <c r="X187" s="179"/>
      <c r="Y187" s="180"/>
      <c r="Z187" s="178"/>
      <c r="AA187" s="178"/>
      <c r="AB187" s="178"/>
      <c r="AC187" s="178"/>
      <c r="AD187" s="182" t="str">
        <f t="shared" si="244"/>
        <v xml:space="preserve"> </v>
      </c>
      <c r="AE187" s="182" t="str">
        <f t="shared" si="245"/>
        <v xml:space="preserve"> </v>
      </c>
      <c r="AF187" s="182" t="str">
        <f t="shared" si="246"/>
        <v xml:space="preserve"> </v>
      </c>
      <c r="AG187" s="182" t="str">
        <f t="shared" si="247"/>
        <v xml:space="preserve"> </v>
      </c>
      <c r="AH187" s="401"/>
      <c r="AI187" s="401" t="str">
        <f t="shared" si="156"/>
        <v/>
      </c>
      <c r="AJ187" s="182"/>
      <c r="AK187" s="401" t="str">
        <f t="shared" si="157"/>
        <v/>
      </c>
      <c r="AL187" s="401" t="str">
        <f t="shared" si="158"/>
        <v/>
      </c>
      <c r="AM187" s="189"/>
      <c r="AN187" s="829"/>
      <c r="AO187" s="830"/>
      <c r="AP187" s="401" t="str">
        <f t="shared" si="159"/>
        <v/>
      </c>
      <c r="AQ187" s="401" t="str">
        <f t="shared" si="160"/>
        <v/>
      </c>
      <c r="AR187" s="401" t="str">
        <f t="shared" si="161"/>
        <v/>
      </c>
      <c r="AS187" s="401"/>
      <c r="AT187" s="403"/>
      <c r="AU187" s="403"/>
      <c r="AV187" s="170"/>
      <c r="AW187" s="166"/>
      <c r="AX187" s="166" t="str">
        <f t="shared" si="162"/>
        <v>3333</v>
      </c>
      <c r="AY187" s="189" t="str">
        <f t="shared" si="248"/>
        <v/>
      </c>
      <c r="AZ187" s="189" t="str">
        <f t="shared" si="249"/>
        <v xml:space="preserve"> -</v>
      </c>
      <c r="BA187" s="196"/>
      <c r="BB187" s="629" t="str">
        <f t="shared" si="250"/>
        <v xml:space="preserve">0) </v>
      </c>
      <c r="BC187" s="190"/>
      <c r="BD187" s="510" t="str">
        <f t="shared" si="166"/>
        <v/>
      </c>
      <c r="BE187" s="510" t="str">
        <f t="shared" si="167"/>
        <v/>
      </c>
      <c r="BF187" s="177"/>
      <c r="BG187" s="177"/>
      <c r="BH187" s="166"/>
      <c r="BI187" s="474">
        <f t="shared" si="207"/>
        <v>0</v>
      </c>
      <c r="BJ187" s="166"/>
      <c r="BK187" s="474">
        <f t="shared" si="171"/>
        <v>0</v>
      </c>
      <c r="BL187" s="474">
        <f t="shared" si="172"/>
        <v>0</v>
      </c>
      <c r="BM187" s="474">
        <f t="shared" si="251"/>
        <v>0</v>
      </c>
      <c r="BN187" s="166"/>
      <c r="BO187" s="166"/>
      <c r="BP187" s="204"/>
      <c r="BQ187" s="475">
        <f t="shared" si="252"/>
        <v>0.1</v>
      </c>
      <c r="BR187" s="205"/>
      <c r="BS187" s="509">
        <f t="shared" si="177"/>
        <v>0</v>
      </c>
      <c r="BT187" s="509">
        <f t="shared" si="178"/>
        <v>0</v>
      </c>
      <c r="BU187" s="459"/>
      <c r="BV187" s="459"/>
      <c r="BW187" s="1">
        <f t="shared" si="208"/>
        <v>0</v>
      </c>
      <c r="BX187" s="1">
        <f t="shared" si="209"/>
        <v>0</v>
      </c>
      <c r="BY187" s="546" t="str">
        <f t="shared" si="181"/>
        <v/>
      </c>
      <c r="BZ187" s="546" t="str">
        <f t="shared" si="182"/>
        <v/>
      </c>
      <c r="CA187" s="546" t="str">
        <f t="shared" si="183"/>
        <v/>
      </c>
      <c r="CB187" s="546" t="str">
        <f t="shared" si="184"/>
        <v/>
      </c>
      <c r="CC187" s="728" t="str">
        <f t="shared" si="185"/>
        <v/>
      </c>
      <c r="CD187" s="728" t="str">
        <f t="shared" si="186"/>
        <v/>
      </c>
      <c r="CE187" s="170" t="str">
        <f t="shared" si="187"/>
        <v xml:space="preserve"> x  x </v>
      </c>
      <c r="CF187" t="str">
        <f t="shared" si="188"/>
        <v xml:space="preserve"> </v>
      </c>
    </row>
    <row r="188" spans="1:84" customFormat="1">
      <c r="A188" s="701" t="str">
        <f t="shared" si="205"/>
        <v>…</v>
      </c>
      <c r="B188" s="447" t="str">
        <f t="shared" si="148"/>
        <v>…</v>
      </c>
      <c r="C188" s="1" t="s">
        <v>2605</v>
      </c>
      <c r="D188" s="538" t="str">
        <f>(INDEX(KS_Set,MATCH($H188,Set_prt,0)))</f>
        <v>…</v>
      </c>
      <c r="E188" s="1" t="s">
        <v>2167</v>
      </c>
      <c r="F188" s="811" t="str">
        <f t="shared" si="149"/>
        <v/>
      </c>
      <c r="G188" s="440" t="str">
        <f t="shared" si="194"/>
        <v>•</v>
      </c>
      <c r="H188" s="1" t="s">
        <v>2854</v>
      </c>
      <c r="I188" s="55"/>
      <c r="J188" s="171">
        <v>718</v>
      </c>
      <c r="K188" s="55" t="s">
        <v>2137</v>
      </c>
      <c r="L188" s="171">
        <f>+(J169/P188)-nat-nat</f>
        <v>600</v>
      </c>
      <c r="M188" s="55" t="s">
        <v>2137</v>
      </c>
      <c r="N188" s="172">
        <v>20</v>
      </c>
      <c r="O188" s="170" t="str">
        <f>CONCATENATE(J188," ",K188," ",L188," ",M188," ",N188)</f>
        <v>718 x 600 x 20</v>
      </c>
      <c r="P188" s="139">
        <v>1</v>
      </c>
      <c r="Q188" s="172">
        <f>+P188*Q169</f>
        <v>1</v>
      </c>
      <c r="R188" s="181"/>
      <c r="S188" s="455"/>
      <c r="T188" s="170"/>
      <c r="U188" s="170"/>
      <c r="V188" s="1"/>
      <c r="W188" s="173"/>
      <c r="X188" s="1"/>
      <c r="Y188" s="166"/>
      <c r="Z188" s="170"/>
      <c r="AA188" s="170"/>
      <c r="AB188" s="170"/>
      <c r="AC188" s="170"/>
      <c r="AD188" s="182" t="str">
        <f t="shared" si="244"/>
        <v xml:space="preserve"> </v>
      </c>
      <c r="AE188" s="182" t="str">
        <f t="shared" si="245"/>
        <v xml:space="preserve"> </v>
      </c>
      <c r="AF188" s="182" t="str">
        <f t="shared" si="246"/>
        <v xml:space="preserve"> </v>
      </c>
      <c r="AG188" s="182" t="str">
        <f t="shared" si="247"/>
        <v xml:space="preserve"> </v>
      </c>
      <c r="AH188" s="189"/>
      <c r="AI188" s="401" t="str">
        <f t="shared" si="156"/>
        <v/>
      </c>
      <c r="AJ188" s="189"/>
      <c r="AK188" s="401" t="str">
        <f t="shared" si="157"/>
        <v/>
      </c>
      <c r="AL188" s="401" t="str">
        <f t="shared" si="158"/>
        <v/>
      </c>
      <c r="AM188" s="189"/>
      <c r="AN188" s="782"/>
      <c r="AO188" s="189"/>
      <c r="AP188" s="401" t="str">
        <f t="shared" si="159"/>
        <v/>
      </c>
      <c r="AQ188" s="401" t="str">
        <f t="shared" si="160"/>
        <v/>
      </c>
      <c r="AR188" s="401" t="str">
        <f t="shared" si="161"/>
        <v/>
      </c>
      <c r="AS188" s="188"/>
      <c r="AT188" s="1"/>
      <c r="AU188" s="403" t="str">
        <f>IF($AS188=0,"",Q188*BR188)</f>
        <v/>
      </c>
      <c r="AV188" s="1"/>
      <c r="AW188" s="166"/>
      <c r="AX188" s="166" t="str">
        <f t="shared" si="162"/>
        <v>3333</v>
      </c>
      <c r="AY188" s="189" t="str">
        <f t="shared" si="248"/>
        <v/>
      </c>
      <c r="AZ188" s="189" t="str">
        <f t="shared" si="249"/>
        <v xml:space="preserve"> -</v>
      </c>
      <c r="BA188" s="196" t="str">
        <f>IF($R188=0,CONCATENATE(0,")"," ",$H188," ",$J188),CONCATENATE(VLOOKUP(H188,tabprt,2,0),")",$H188,"_",AY188))</f>
        <v>0) Pintu Kaca (ukuran tunggu info) 718</v>
      </c>
      <c r="BB188" s="629" t="str">
        <f t="shared" si="250"/>
        <v>0B) Pintu Kaca (ukuran tunggu info)</v>
      </c>
      <c r="BC188" s="197"/>
      <c r="BD188" s="510" t="str">
        <f t="shared" si="166"/>
        <v/>
      </c>
      <c r="BE188" s="510" t="str">
        <f t="shared" si="167"/>
        <v/>
      </c>
      <c r="BF188" s="177"/>
      <c r="BG188" s="177"/>
      <c r="BH188" s="166">
        <f>IF($AM188=0,0,1)*Q188</f>
        <v>0</v>
      </c>
      <c r="BI188" s="474">
        <f t="shared" si="207"/>
        <v>0</v>
      </c>
      <c r="BJ188" s="166">
        <f>IF($AN188=0,0,1)*Q188</f>
        <v>0</v>
      </c>
      <c r="BK188" s="474">
        <f t="shared" si="171"/>
        <v>0.75800000000000001</v>
      </c>
      <c r="BL188" s="474">
        <f t="shared" si="172"/>
        <v>0.64</v>
      </c>
      <c r="BM188" s="474">
        <f t="shared" si="251"/>
        <v>0</v>
      </c>
      <c r="BN188" s="166"/>
      <c r="BO188" s="166" t="str">
        <f>CONCATENATE(R188,"_",S188)</f>
        <v>_</v>
      </c>
      <c r="BP188" s="204" t="str">
        <f>CONCATENATE(R188," ",S188," ",AY188)</f>
        <v xml:space="preserve">  </v>
      </c>
      <c r="BQ188" s="475">
        <f t="shared" si="252"/>
        <v>0.24958333333333335</v>
      </c>
      <c r="BR188" s="205" t="str">
        <f>IFERROR(INDEX((std_jml_anodize_per_uk),MATCH($H188,Prt,0)),"")</f>
        <v/>
      </c>
      <c r="BS188" s="509">
        <f t="shared" si="177"/>
        <v>6</v>
      </c>
      <c r="BT188" s="509">
        <f t="shared" si="178"/>
        <v>8</v>
      </c>
      <c r="BU188" s="459"/>
      <c r="BV188" s="459"/>
      <c r="BW188" s="1">
        <f t="shared" si="208"/>
        <v>0.43080000000000002</v>
      </c>
      <c r="BX188" s="1">
        <f t="shared" si="209"/>
        <v>8.6160000000000004E-3</v>
      </c>
      <c r="BY188" s="546" t="str">
        <f t="shared" si="181"/>
        <v/>
      </c>
      <c r="BZ188" s="546" t="str">
        <f t="shared" si="182"/>
        <v/>
      </c>
      <c r="CA188" s="546" t="str">
        <f t="shared" si="183"/>
        <v/>
      </c>
      <c r="CB188" s="546" t="str">
        <f t="shared" si="184"/>
        <v/>
      </c>
      <c r="CC188" s="728" t="str">
        <f t="shared" si="185"/>
        <v/>
      </c>
      <c r="CD188" s="728" t="str">
        <f t="shared" si="186"/>
        <v/>
      </c>
      <c r="CE188" s="170" t="str">
        <f t="shared" si="187"/>
        <v xml:space="preserve"> x  x 20</v>
      </c>
      <c r="CF188" t="str">
        <f t="shared" si="188"/>
        <v xml:space="preserve"> </v>
      </c>
    </row>
    <row r="189" spans="1:84" customFormat="1">
      <c r="A189" s="701" t="str">
        <f t="shared" si="205"/>
        <v>…</v>
      </c>
      <c r="B189" s="447" t="str">
        <f t="shared" si="148"/>
        <v>pintu</v>
      </c>
      <c r="C189" s="161" t="s">
        <v>1472</v>
      </c>
      <c r="D189" s="162" t="str">
        <f>IFERROR(INDEX((KS),MATCH($H189,Prt,0)),"")</f>
        <v>─</v>
      </c>
      <c r="E189" s="1" t="s">
        <v>2661</v>
      </c>
      <c r="F189" s="811">
        <f t="shared" si="149"/>
        <v>0</v>
      </c>
      <c r="G189" s="440" t="str">
        <f t="shared" si="194"/>
        <v>...</v>
      </c>
      <c r="H189" s="1" t="s">
        <v>1815</v>
      </c>
      <c r="I189" s="55"/>
      <c r="J189" s="170">
        <f>+J188-trim-trim</f>
        <v>714</v>
      </c>
      <c r="K189" s="1" t="s">
        <v>2137</v>
      </c>
      <c r="L189" s="170">
        <f>L188</f>
        <v>600</v>
      </c>
      <c r="M189" s="1" t="s">
        <v>2137</v>
      </c>
      <c r="N189" s="458">
        <f>+(S189+W189+Y189)</f>
        <v>14.5</v>
      </c>
      <c r="O189" s="170" t="str">
        <f>CONCATENATE(J189," ",K189," ",L189," ",M189," ",N189)</f>
        <v>714 x 600 x 14,5</v>
      </c>
      <c r="P189" s="441">
        <v>1</v>
      </c>
      <c r="Q189" s="55">
        <f>+P189*Q188</f>
        <v>1</v>
      </c>
      <c r="R189" s="177" t="str">
        <f>IFERROR(INDEX((std_bhn_prt),MATCH($H189,Prt,0)),"")</f>
        <v>Ply</v>
      </c>
      <c r="S189" s="454">
        <f>IFERROR(INDEX((std_Tbahan_prt),MATCH($H189,Prt,0)),"")</f>
        <v>13.5</v>
      </c>
      <c r="T189" s="178">
        <f>INDEX((std_lapisan_luar_prt),MATCH($H189,Prt,0))</f>
        <v>22</v>
      </c>
      <c r="U189" s="178">
        <f>INDEX((std_lapisan_dalam_prt),MATCH($H189,Prt,0))</f>
        <v>11</v>
      </c>
      <c r="V189" s="179" t="str">
        <f>IFERROR(INDEX((tf),MATCH(T189,ctf,0)),"")</f>
        <v>Aica</v>
      </c>
      <c r="W189" s="180">
        <f>IFERROR(INDEX((tebal_lapisan),MATCH($V189,tf,0)),"")</f>
        <v>0.5</v>
      </c>
      <c r="X189" s="179" t="str">
        <f>IFERROR(INDEX((tf),MATCH(U189,ctf,0)),"")</f>
        <v>HB_41130</v>
      </c>
      <c r="Y189" s="180">
        <f>IFERROR(INDEX((tebal_lapisan),MATCH($X189,tf,0)),"")</f>
        <v>0.5</v>
      </c>
      <c r="Z189" s="178">
        <f>INDEX((std_edg_P1_prt),MATCH($H189,Prt,0))</f>
        <v>1</v>
      </c>
      <c r="AA189" s="178">
        <f>INDEX((std_edg_P2_prt),MATCH($H189,Prt,0))</f>
        <v>1</v>
      </c>
      <c r="AB189" s="178">
        <f>INDEX((std_edg_L1_prt),MATCH($H189,Prt,0))</f>
        <v>0</v>
      </c>
      <c r="AC189" s="178">
        <f>INDEX((std_edg_L2_prt),MATCH($H189,Prt,0))</f>
        <v>0</v>
      </c>
      <c r="AD189" s="182" t="str">
        <f t="shared" si="244"/>
        <v>Edg_EAW_5216D1</v>
      </c>
      <c r="AE189" s="182" t="str">
        <f t="shared" si="245"/>
        <v>Edg_EAW_5216D1</v>
      </c>
      <c r="AF189" s="182" t="str">
        <f t="shared" si="246"/>
        <v xml:space="preserve"> </v>
      </c>
      <c r="AG189" s="182" t="str">
        <f t="shared" si="247"/>
        <v xml:space="preserve"> </v>
      </c>
      <c r="AH189" s="401" t="str">
        <f>IFERROR(INDEX((std_profil3_prt),MATCH($H189,Prt,0)),"")</f>
        <v>SILICONE SIKAFLEX 221 PUTIH</v>
      </c>
      <c r="AI189" s="401">
        <f t="shared" si="156"/>
        <v>0</v>
      </c>
      <c r="AJ189" s="401">
        <f>IFERROR(INDEX((std_profil_prt),MATCH($H189,Prt,0)),"")</f>
        <v>0</v>
      </c>
      <c r="AK189" s="401">
        <f t="shared" si="157"/>
        <v>0</v>
      </c>
      <c r="AL189" s="401">
        <f t="shared" si="158"/>
        <v>0</v>
      </c>
      <c r="AM189" s="189"/>
      <c r="AN189" s="829">
        <f>IFERROR(INDEX((std_rel_prt),MATCH($H189,Prt,0)),"")</f>
        <v>0</v>
      </c>
      <c r="AO189" s="830" t="str">
        <f>IFERROR(INDEX((std_engsel_prt),MATCH($H189,Prt,0)),"")</f>
        <v>ENGSEL CLIP TOP  107 DEG INTEGRATED 75 B 1550 + 173 L 6100</v>
      </c>
      <c r="AP189" s="401" t="str">
        <f t="shared" si="159"/>
        <v/>
      </c>
      <c r="AQ189" s="401" t="str">
        <f t="shared" si="160"/>
        <v/>
      </c>
      <c r="AR189" s="401" t="str">
        <f t="shared" si="161"/>
        <v/>
      </c>
      <c r="AS189" s="401" t="str">
        <f>IFERROR(INDEX((std_anodize_per_ukuran),MATCH($H189,Prt,0)),"")</f>
        <v>Trim 22 S2/S4 Brown Doff ( Alm. 75270 ) P3</v>
      </c>
      <c r="AT189" s="403">
        <f>IF($AS189=edging7,L189,IF($AS189=edging8,L189,IF($AS189=edging9,L189,IF($AS189=Hand1,J188,IF($AS189=Hand2,L188,IF($AS189=hand3,"diisi manual",IF($AS189=hand4,"diisi manual",IF($AS189=hand5,"diisi manual",IF($AS189=mled02,J189,IF($AS189=mprf1,J189,IF($AS189=mlis1,J189,"")))))))))))</f>
        <v>600</v>
      </c>
      <c r="AU189" s="403">
        <f>IF($AS189="","",Q189*BR189)</f>
        <v>2</v>
      </c>
      <c r="AV189" s="170"/>
      <c r="AW189" s="166" t="str">
        <f>CONCATENATE(VLOOKUP($V189,tabtf,2,0),VLOOKUP($X189,tabtf,2,0))</f>
        <v>72</v>
      </c>
      <c r="AX189" s="166" t="str">
        <f t="shared" si="162"/>
        <v>4433</v>
      </c>
      <c r="AY189" s="189" t="str">
        <f t="shared" si="248"/>
        <v>HB_41130+Aica</v>
      </c>
      <c r="AZ189" s="189" t="str">
        <f t="shared" si="249"/>
        <v>Edg_EAW_5216D1_2sisi_pjg</v>
      </c>
      <c r="BA189" s="196" t="str">
        <f>IF($R189=0,CONCATENATE(0,")"," ",$H189," ",$J189),CONCATENATE(VLOOKUP(H189,tabprt,2,0),")",$H189,"_",AY189))</f>
        <v>278)Pintu Kaca S2_HB_41130+Aica</v>
      </c>
      <c r="BB189" s="629" t="str">
        <f t="shared" si="250"/>
        <v xml:space="preserve">278)Pintu Kaca S2 Ply 13,5mm - HB_41130+Aica ; Edg_EAW_5216D1_2sisi_pjg  </v>
      </c>
      <c r="BC189" s="190"/>
      <c r="BD189" s="510">
        <f t="shared" si="166"/>
        <v>0</v>
      </c>
      <c r="BE189" s="510">
        <f t="shared" si="167"/>
        <v>0</v>
      </c>
      <c r="BF189" s="177">
        <f>IFERROR(INDEX((std_j_sikufr_prt),MATCH($H189,Prt,0)),"")*Q189</f>
        <v>0</v>
      </c>
      <c r="BG189" s="177">
        <f>IFERROR(INDEX((std_j_screwjf_prt),MATCH($H189,Prt,0)),"")*Q189</f>
        <v>0</v>
      </c>
      <c r="BH189" s="166">
        <f>IF($AM189=0,0,1)*Q189</f>
        <v>0</v>
      </c>
      <c r="BI189" s="474">
        <f t="shared" si="207"/>
        <v>2</v>
      </c>
      <c r="BJ189" s="166">
        <f>IF($AN189=0,0,1)*Q189</f>
        <v>0</v>
      </c>
      <c r="BK189" s="474">
        <f t="shared" si="171"/>
        <v>0.754</v>
      </c>
      <c r="BL189" s="474">
        <f t="shared" si="172"/>
        <v>0.64</v>
      </c>
      <c r="BM189" s="474">
        <f t="shared" si="251"/>
        <v>2.7879999999999998</v>
      </c>
      <c r="BN189" s="166">
        <f>((J189*L189)/1000000)*Q189</f>
        <v>0.4284</v>
      </c>
      <c r="BO189" s="166" t="str">
        <f>CONCATENATE(R189,"_",S189)</f>
        <v>Ply_13,5</v>
      </c>
      <c r="BP189" s="204" t="str">
        <f>CONCATENATE(R189," ",S189," ",AY189)</f>
        <v>Ply 13,5 HB_41130+Aica</v>
      </c>
      <c r="BQ189" s="475">
        <f t="shared" si="252"/>
        <v>0.24875</v>
      </c>
      <c r="BR189" s="205">
        <f>IFERROR(INDEX((std_jml_anodize_per_uk),MATCH($H189,Prt,0)),"")</f>
        <v>2</v>
      </c>
      <c r="BS189" s="509">
        <f t="shared" si="177"/>
        <v>0</v>
      </c>
      <c r="BT189" s="509">
        <f t="shared" si="178"/>
        <v>0</v>
      </c>
      <c r="BU189" s="459">
        <f>BF189*$Q189</f>
        <v>0</v>
      </c>
      <c r="BV189" s="459">
        <f>BG189*$Q189</f>
        <v>0</v>
      </c>
      <c r="BW189" s="1">
        <f t="shared" si="208"/>
        <v>0.4284</v>
      </c>
      <c r="BX189" s="1">
        <f t="shared" si="209"/>
        <v>6.2118E-3</v>
      </c>
      <c r="BY189" s="546" t="str">
        <f t="shared" si="181"/>
        <v/>
      </c>
      <c r="BZ189" s="546" t="str">
        <f t="shared" si="182"/>
        <v/>
      </c>
      <c r="CA189" s="546" t="str">
        <f t="shared" si="183"/>
        <v/>
      </c>
      <c r="CB189" s="546" t="str">
        <f t="shared" si="184"/>
        <v/>
      </c>
      <c r="CC189" s="728" t="str">
        <f t="shared" si="185"/>
        <v/>
      </c>
      <c r="CD189" s="728" t="str">
        <f t="shared" si="186"/>
        <v/>
      </c>
      <c r="CE189" s="170" t="str">
        <f t="shared" si="187"/>
        <v xml:space="preserve"> x  x 14,5</v>
      </c>
      <c r="CF189" t="str">
        <f t="shared" si="188"/>
        <v xml:space="preserve"> </v>
      </c>
    </row>
    <row r="190" spans="1:84" customFormat="1">
      <c r="A190" s="701" t="str">
        <f t="shared" si="205"/>
        <v>…</v>
      </c>
      <c r="B190" s="447" t="str">
        <f t="shared" si="148"/>
        <v>Kc</v>
      </c>
      <c r="C190" s="161" t="s">
        <v>1472</v>
      </c>
      <c r="D190" s="162" t="str">
        <f>IFERROR(INDEX((KS),MATCH($H190,Prt,0)),"")</f>
        <v>k¢</v>
      </c>
      <c r="E190" s="1" t="s">
        <v>2167</v>
      </c>
      <c r="F190" s="811">
        <f t="shared" si="149"/>
        <v>1</v>
      </c>
      <c r="G190" s="440" t="str">
        <f t="shared" si="194"/>
        <v>...</v>
      </c>
      <c r="H190" s="1" t="s">
        <v>3490</v>
      </c>
      <c r="I190" s="55" t="s">
        <v>3591</v>
      </c>
      <c r="J190" s="170">
        <f>+J189-1</f>
        <v>713</v>
      </c>
      <c r="K190" s="1" t="s">
        <v>2137</v>
      </c>
      <c r="L190" s="170">
        <f>+L189-1</f>
        <v>599</v>
      </c>
      <c r="M190" s="1" t="s">
        <v>2137</v>
      </c>
      <c r="N190" s="458">
        <f>+(S190+W190+Y190)</f>
        <v>5</v>
      </c>
      <c r="O190" s="170" t="str">
        <f>CONCATENATE(J190," ",K190," ",L190," ",M190," ",N190)</f>
        <v>713 x 599 x 5</v>
      </c>
      <c r="P190" s="441">
        <f>IFERROR(INDEX((std_sub_prt),MATCH($H190,Prt,0)),"")</f>
        <v>1</v>
      </c>
      <c r="Q190" s="55">
        <f>+P190*Q188</f>
        <v>1</v>
      </c>
      <c r="R190" s="177" t="str">
        <f>IFERROR(INDEX((std_bhn_prt),MATCH($H190,Prt,0)),"")</f>
        <v>MG_Purewhite</v>
      </c>
      <c r="S190" s="454">
        <f>IFERROR(INDEX((std_Tbahan_prt),MATCH($H190,Prt,0)),"")</f>
        <v>5</v>
      </c>
      <c r="T190" s="178">
        <f>INDEX((std_lapisan_luar_prt),MATCH($H190,Prt,0))</f>
        <v>0</v>
      </c>
      <c r="U190" s="178">
        <f>INDEX((std_lapisan_dalam_prt),MATCH($H190,Prt,0))</f>
        <v>0</v>
      </c>
      <c r="V190" s="179" t="str">
        <f>IFERROR(INDEX((tf),MATCH(T190,ctf,0)),"")</f>
        <v>Polos</v>
      </c>
      <c r="W190" s="180">
        <f>IFERROR(INDEX((tebal_lapisan),MATCH($V190,tf,0)),"")</f>
        <v>0</v>
      </c>
      <c r="X190" s="179" t="str">
        <f>IFERROR(INDEX((tf),MATCH(U190,ctf,0)),"")</f>
        <v>Polos</v>
      </c>
      <c r="Y190" s="180">
        <f>IFERROR(INDEX((tebal_lapisan),MATCH($X190,tf,0)),"")</f>
        <v>0</v>
      </c>
      <c r="Z190" s="178">
        <f>INDEX((std_edg_P1_prt),MATCH($H190,Prt,0))</f>
        <v>0</v>
      </c>
      <c r="AA190" s="178">
        <f>INDEX((std_edg_P2_prt),MATCH($H190,Prt,0))</f>
        <v>0</v>
      </c>
      <c r="AB190" s="178">
        <f>INDEX((std_edg_L1_prt),MATCH($H190,Prt,0))</f>
        <v>0</v>
      </c>
      <c r="AC190" s="178">
        <f>INDEX((std_edg_L2_prt),MATCH($H190,Prt,0))</f>
        <v>0</v>
      </c>
      <c r="AD190" s="182" t="str">
        <f t="shared" si="244"/>
        <v xml:space="preserve"> </v>
      </c>
      <c r="AE190" s="182" t="str">
        <f t="shared" si="245"/>
        <v xml:space="preserve"> </v>
      </c>
      <c r="AF190" s="182" t="str">
        <f t="shared" si="246"/>
        <v xml:space="preserve"> </v>
      </c>
      <c r="AG190" s="182" t="str">
        <f t="shared" si="247"/>
        <v xml:space="preserve"> </v>
      </c>
      <c r="AH190" s="401">
        <f>IFERROR(INDEX((std_profil3_prt),MATCH($H190,Prt,0)),"")</f>
        <v>0</v>
      </c>
      <c r="AI190" s="401">
        <f t="shared" si="156"/>
        <v>0</v>
      </c>
      <c r="AJ190" s="401">
        <f>IFERROR(INDEX((std_profil_prt),MATCH($H190,Prt,0)),"")</f>
        <v>0</v>
      </c>
      <c r="AK190" s="401">
        <f t="shared" si="157"/>
        <v>0</v>
      </c>
      <c r="AL190" s="401">
        <f t="shared" si="158"/>
        <v>0</v>
      </c>
      <c r="AM190" s="189"/>
      <c r="AN190" s="829">
        <f>IFERROR(INDEX((std_rel_prt),MATCH($H190,Prt,0)),"")</f>
        <v>0</v>
      </c>
      <c r="AO190" s="830">
        <f>IFERROR(INDEX((std_engsel_prt),MATCH($H190,Prt,0)),"")</f>
        <v>0</v>
      </c>
      <c r="AP190" s="401">
        <f t="shared" si="159"/>
        <v>0</v>
      </c>
      <c r="AQ190" s="401">
        <f t="shared" si="160"/>
        <v>0</v>
      </c>
      <c r="AR190" s="401">
        <f t="shared" si="161"/>
        <v>0</v>
      </c>
      <c r="AS190" s="401">
        <f>IFERROR(INDEX((std_anodize_per_ukuran),MATCH($H190,Prt,0)),"")</f>
        <v>0</v>
      </c>
      <c r="AT190" s="403" t="str">
        <f>IF($AS190=edging7,L190,IF($AS190=edging8,L190,IF($AS190=edging9,L190,IF($AS190=Hand1,J189,IF($AS190=Hand2,L189,IF($AS190=hand3,"diisi manual",IF($AS190=hand4,"diisi manual",IF($AS190=hand5,"diisi manual",IF($AS190=mled02,J190,IF($AS190=mprf1,J190,IF($AS190=mlis1,J190,"")))))))))))</f>
        <v/>
      </c>
      <c r="AU190" s="403">
        <f>IF($AS190="","",Q190*BR190)</f>
        <v>0</v>
      </c>
      <c r="AV190" s="170"/>
      <c r="AW190" s="166" t="str">
        <f>CONCATENATE(VLOOKUP($V190,tabtf,2,0),VLOOKUP($X190,tabtf,2,0))</f>
        <v>33</v>
      </c>
      <c r="AX190" s="166" t="str">
        <f t="shared" si="162"/>
        <v>3333</v>
      </c>
      <c r="AY190" s="189" t="str">
        <f t="shared" si="248"/>
        <v>Polos</v>
      </c>
      <c r="AZ190" s="189" t="str">
        <f t="shared" si="249"/>
        <v xml:space="preserve"> -</v>
      </c>
      <c r="BA190" s="196" t="str">
        <f>IF($R190=0,CONCATENATE(0,")"," ",$H190," ",$J190),CONCATENATE(VLOOKUP(H190,tabprt,2,0),")",$H190,"_",AY190))</f>
        <v>535)Kaca__Polos</v>
      </c>
      <c r="BB190" s="629" t="str">
        <f t="shared" si="250"/>
        <v>535)Kaca_ MG_Purewhite 5mm -  ;  -  (u/_S2) ; (pasang_rakit)</v>
      </c>
      <c r="BC190" s="190"/>
      <c r="BD190" s="510">
        <f t="shared" si="166"/>
        <v>0</v>
      </c>
      <c r="BE190" s="510">
        <f t="shared" si="167"/>
        <v>0</v>
      </c>
      <c r="BF190" s="177">
        <f>IFERROR(INDEX((std_j_sikufr_prt),MATCH($H190,Prt,0)),"")*Q190</f>
        <v>0</v>
      </c>
      <c r="BG190" s="177">
        <f>IFERROR(INDEX((std_j_screwjf_prt),MATCH($H190,Prt,0)),"")*Q190</f>
        <v>0</v>
      </c>
      <c r="BH190" s="166">
        <f>IF($AM190=0,0,1)*Q190</f>
        <v>0</v>
      </c>
      <c r="BI190" s="474">
        <f t="shared" si="207"/>
        <v>0</v>
      </c>
      <c r="BJ190" s="166">
        <f>IF($AN190=0,0,1)*Q190</f>
        <v>0</v>
      </c>
      <c r="BK190" s="474">
        <f t="shared" si="171"/>
        <v>0.753</v>
      </c>
      <c r="BL190" s="474">
        <f t="shared" si="172"/>
        <v>0.63900000000000001</v>
      </c>
      <c r="BM190" s="474">
        <f t="shared" si="251"/>
        <v>2.7839999999999998</v>
      </c>
      <c r="BN190" s="166">
        <f>((J190*L190)/1000000)*Q190</f>
        <v>0.42708699999999999</v>
      </c>
      <c r="BO190" s="166" t="str">
        <f>CONCATENATE(R190,"_",S190)</f>
        <v>MG_Purewhite_5</v>
      </c>
      <c r="BP190" s="204" t="str">
        <f>CONCATENATE(R190," ",S190," ",AY190)</f>
        <v>MG_Purewhite 5 Polos</v>
      </c>
      <c r="BQ190" s="475">
        <f t="shared" si="252"/>
        <v>0.24829409722222223</v>
      </c>
      <c r="BR190" s="205">
        <f>IFERROR(INDEX((std_jml_anodize_per_uk),MATCH($H190,Prt,0)),"")</f>
        <v>0</v>
      </c>
      <c r="BS190" s="509">
        <f t="shared" si="177"/>
        <v>0</v>
      </c>
      <c r="BT190" s="509">
        <f t="shared" si="178"/>
        <v>0</v>
      </c>
      <c r="BU190" s="459">
        <f>BF190*$Q190</f>
        <v>0</v>
      </c>
      <c r="BV190" s="459">
        <f>BG190*$Q190</f>
        <v>0</v>
      </c>
      <c r="BW190" s="1">
        <f t="shared" si="208"/>
        <v>0.42708699999999999</v>
      </c>
      <c r="BX190" s="1">
        <f t="shared" si="209"/>
        <v>2.1354350000000002E-3</v>
      </c>
      <c r="BY190" s="546" t="str">
        <f t="shared" si="181"/>
        <v/>
      </c>
      <c r="BZ190" s="546" t="str">
        <f t="shared" si="182"/>
        <v/>
      </c>
      <c r="CA190" s="546" t="str">
        <f t="shared" si="183"/>
        <v/>
      </c>
      <c r="CB190" s="546" t="str">
        <f t="shared" si="184"/>
        <v/>
      </c>
      <c r="CC190" s="728" t="str">
        <f t="shared" si="185"/>
        <v/>
      </c>
      <c r="CD190" s="728" t="str">
        <f t="shared" si="186"/>
        <v/>
      </c>
      <c r="CE190" s="170" t="str">
        <f t="shared" si="187"/>
        <v xml:space="preserve"> x  x 5</v>
      </c>
      <c r="CF190" t="str">
        <f t="shared" si="188"/>
        <v>713;599;1;MG_Purewhite 5 Polos;5;Kaca_;-1; ;; ;; ;; ;</v>
      </c>
    </row>
    <row r="191" spans="1:84" customFormat="1">
      <c r="A191" s="701" t="str">
        <f t="shared" si="205"/>
        <v>…</v>
      </c>
      <c r="B191" s="447" t="str">
        <f t="shared" si="148"/>
        <v>…</v>
      </c>
      <c r="C191" s="161"/>
      <c r="D191" s="162"/>
      <c r="E191" s="1"/>
      <c r="F191" s="811" t="str">
        <f t="shared" si="149"/>
        <v/>
      </c>
      <c r="G191" s="440"/>
      <c r="H191" s="1"/>
      <c r="I191" s="55"/>
      <c r="J191" s="170"/>
      <c r="K191" s="1"/>
      <c r="L191" s="170"/>
      <c r="M191" s="1"/>
      <c r="N191" s="458"/>
      <c r="O191" s="170"/>
      <c r="P191" s="441"/>
      <c r="Q191" s="55"/>
      <c r="R191" s="177"/>
      <c r="S191" s="454"/>
      <c r="T191" s="178"/>
      <c r="U191" s="178"/>
      <c r="V191" s="179"/>
      <c r="W191" s="180"/>
      <c r="X191" s="179"/>
      <c r="Y191" s="180"/>
      <c r="Z191" s="178"/>
      <c r="AA191" s="178"/>
      <c r="AB191" s="178"/>
      <c r="AC191" s="178"/>
      <c r="AD191" s="182" t="str">
        <f t="shared" si="244"/>
        <v xml:space="preserve"> </v>
      </c>
      <c r="AE191" s="182" t="str">
        <f t="shared" si="245"/>
        <v xml:space="preserve"> </v>
      </c>
      <c r="AF191" s="182" t="str">
        <f t="shared" si="246"/>
        <v xml:space="preserve"> </v>
      </c>
      <c r="AG191" s="182" t="str">
        <f t="shared" si="247"/>
        <v xml:space="preserve"> </v>
      </c>
      <c r="AH191" s="401"/>
      <c r="AI191" s="401" t="str">
        <f t="shared" si="156"/>
        <v/>
      </c>
      <c r="AJ191" s="182"/>
      <c r="AK191" s="401" t="str">
        <f t="shared" si="157"/>
        <v/>
      </c>
      <c r="AL191" s="401" t="str">
        <f t="shared" si="158"/>
        <v/>
      </c>
      <c r="AM191" s="189"/>
      <c r="AN191" s="829"/>
      <c r="AO191" s="830"/>
      <c r="AP191" s="401" t="str">
        <f t="shared" si="159"/>
        <v/>
      </c>
      <c r="AQ191" s="401" t="str">
        <f t="shared" si="160"/>
        <v/>
      </c>
      <c r="AR191" s="401" t="str">
        <f t="shared" si="161"/>
        <v/>
      </c>
      <c r="AS191" s="401"/>
      <c r="AT191" s="403"/>
      <c r="AU191" s="403"/>
      <c r="AV191" s="170"/>
      <c r="AW191" s="166"/>
      <c r="AX191" s="166" t="str">
        <f t="shared" si="162"/>
        <v>3333</v>
      </c>
      <c r="AY191" s="189" t="str">
        <f t="shared" si="248"/>
        <v/>
      </c>
      <c r="AZ191" s="189" t="str">
        <f t="shared" si="249"/>
        <v xml:space="preserve"> -</v>
      </c>
      <c r="BA191" s="196"/>
      <c r="BB191" s="629" t="str">
        <f t="shared" si="250"/>
        <v xml:space="preserve">0) </v>
      </c>
      <c r="BC191" s="190"/>
      <c r="BD191" s="510" t="str">
        <f t="shared" si="166"/>
        <v/>
      </c>
      <c r="BE191" s="510" t="str">
        <f t="shared" si="167"/>
        <v/>
      </c>
      <c r="BF191" s="177"/>
      <c r="BG191" s="177"/>
      <c r="BH191" s="166"/>
      <c r="BI191" s="474">
        <f t="shared" si="207"/>
        <v>0</v>
      </c>
      <c r="BJ191" s="166"/>
      <c r="BK191" s="474">
        <f t="shared" si="171"/>
        <v>0</v>
      </c>
      <c r="BL191" s="474">
        <f t="shared" si="172"/>
        <v>0</v>
      </c>
      <c r="BM191" s="474">
        <f t="shared" si="251"/>
        <v>0</v>
      </c>
      <c r="BN191" s="166"/>
      <c r="BO191" s="166"/>
      <c r="BP191" s="204"/>
      <c r="BQ191" s="475">
        <f t="shared" si="252"/>
        <v>0.1</v>
      </c>
      <c r="BR191" s="205"/>
      <c r="BS191" s="509">
        <f t="shared" si="177"/>
        <v>0</v>
      </c>
      <c r="BT191" s="509">
        <f t="shared" si="178"/>
        <v>0</v>
      </c>
      <c r="BU191" s="459"/>
      <c r="BV191" s="459"/>
      <c r="BW191" s="1">
        <f t="shared" si="208"/>
        <v>0</v>
      </c>
      <c r="BX191" s="1">
        <f t="shared" si="209"/>
        <v>0</v>
      </c>
      <c r="BY191" s="546" t="str">
        <f t="shared" si="181"/>
        <v/>
      </c>
      <c r="BZ191" s="546" t="str">
        <f t="shared" si="182"/>
        <v/>
      </c>
      <c r="CA191" s="546" t="str">
        <f t="shared" si="183"/>
        <v/>
      </c>
      <c r="CB191" s="546" t="str">
        <f t="shared" si="184"/>
        <v/>
      </c>
      <c r="CC191" s="728" t="str">
        <f t="shared" si="185"/>
        <v/>
      </c>
      <c r="CD191" s="728" t="str">
        <f t="shared" si="186"/>
        <v/>
      </c>
      <c r="CE191" s="170" t="str">
        <f t="shared" si="187"/>
        <v xml:space="preserve"> x  x </v>
      </c>
      <c r="CF191" t="str">
        <f t="shared" si="188"/>
        <v xml:space="preserve"> </v>
      </c>
    </row>
    <row r="192" spans="1:84" customFormat="1">
      <c r="A192" s="701" t="str">
        <f t="shared" si="205"/>
        <v>…</v>
      </c>
      <c r="B192" s="447" t="str">
        <f t="shared" si="148"/>
        <v>…</v>
      </c>
      <c r="C192" s="1" t="s">
        <v>2605</v>
      </c>
      <c r="D192" s="538" t="str">
        <f>(INDEX(KS_Set,MATCH($H192,Set_prt,0)))</f>
        <v>…</v>
      </c>
      <c r="E192" s="1" t="s">
        <v>2167</v>
      </c>
      <c r="F192" s="811" t="str">
        <f t="shared" si="149"/>
        <v/>
      </c>
      <c r="G192" s="440" t="str">
        <f t="shared" si="194"/>
        <v>•</v>
      </c>
      <c r="H192" s="1" t="s">
        <v>2854</v>
      </c>
      <c r="I192" s="55"/>
      <c r="J192" s="171">
        <v>1200</v>
      </c>
      <c r="K192" s="55" t="s">
        <v>2137</v>
      </c>
      <c r="L192" s="171">
        <f>410-nat-nat</f>
        <v>408</v>
      </c>
      <c r="M192" s="55" t="s">
        <v>2137</v>
      </c>
      <c r="N192" s="172">
        <v>20</v>
      </c>
      <c r="O192" s="170" t="str">
        <f>CONCATENATE(J192," ",K192," ",L192," ",M192," ",N192)</f>
        <v>1200 x 408 x 20</v>
      </c>
      <c r="P192" s="139">
        <v>1</v>
      </c>
      <c r="Q192" s="172">
        <f>+P192*Q169</f>
        <v>1</v>
      </c>
      <c r="R192" s="181"/>
      <c r="S192" s="455"/>
      <c r="T192" s="170"/>
      <c r="U192" s="170"/>
      <c r="V192" s="1"/>
      <c r="W192" s="173"/>
      <c r="X192" s="1"/>
      <c r="Y192" s="166"/>
      <c r="Z192" s="170"/>
      <c r="AA192" s="170"/>
      <c r="AB192" s="170"/>
      <c r="AC192" s="170"/>
      <c r="AD192" s="182" t="str">
        <f t="shared" si="244"/>
        <v xml:space="preserve"> </v>
      </c>
      <c r="AE192" s="182" t="str">
        <f t="shared" si="245"/>
        <v xml:space="preserve"> </v>
      </c>
      <c r="AF192" s="182" t="str">
        <f t="shared" si="246"/>
        <v xml:space="preserve"> </v>
      </c>
      <c r="AG192" s="182" t="str">
        <f t="shared" si="247"/>
        <v xml:space="preserve"> </v>
      </c>
      <c r="AH192" s="189"/>
      <c r="AI192" s="401" t="str">
        <f t="shared" si="156"/>
        <v/>
      </c>
      <c r="AJ192" s="189"/>
      <c r="AK192" s="401" t="str">
        <f t="shared" si="157"/>
        <v/>
      </c>
      <c r="AL192" s="401" t="str">
        <f t="shared" si="158"/>
        <v/>
      </c>
      <c r="AM192" s="189"/>
      <c r="AN192" s="782"/>
      <c r="AO192" s="189"/>
      <c r="AP192" s="401" t="str">
        <f t="shared" si="159"/>
        <v/>
      </c>
      <c r="AQ192" s="401" t="str">
        <f t="shared" si="160"/>
        <v/>
      </c>
      <c r="AR192" s="401" t="str">
        <f t="shared" si="161"/>
        <v/>
      </c>
      <c r="AS192" s="188"/>
      <c r="AT192" s="1"/>
      <c r="AU192" s="403" t="str">
        <f>IF($AS192=0,"",Q192*BR192)</f>
        <v/>
      </c>
      <c r="AV192" s="1"/>
      <c r="AW192" s="166"/>
      <c r="AX192" s="166" t="str">
        <f t="shared" si="162"/>
        <v>3333</v>
      </c>
      <c r="AY192" s="189" t="str">
        <f t="shared" si="248"/>
        <v/>
      </c>
      <c r="AZ192" s="189" t="str">
        <f t="shared" si="249"/>
        <v xml:space="preserve"> -</v>
      </c>
      <c r="BA192" s="196" t="str">
        <f>IF($R192=0,CONCATENATE(0,")"," ",$H192," ",$J192),CONCATENATE(VLOOKUP(H192,tabprt,2,0),")",$H192,"_",AY192))</f>
        <v>0) Pintu Kaca (ukuran tunggu info) 1200</v>
      </c>
      <c r="BB192" s="629" t="str">
        <f t="shared" si="250"/>
        <v>0B) Pintu Kaca (ukuran tunggu info)</v>
      </c>
      <c r="BC192" s="197"/>
      <c r="BD192" s="510" t="str">
        <f t="shared" si="166"/>
        <v/>
      </c>
      <c r="BE192" s="510" t="str">
        <f t="shared" si="167"/>
        <v/>
      </c>
      <c r="BF192" s="177"/>
      <c r="BG192" s="177"/>
      <c r="BH192" s="166">
        <f>IF($AM192=0,0,1)*Q192</f>
        <v>0</v>
      </c>
      <c r="BI192" s="474">
        <f t="shared" si="207"/>
        <v>0</v>
      </c>
      <c r="BJ192" s="166">
        <f>IF($AN192=0,0,1)*Q192</f>
        <v>0</v>
      </c>
      <c r="BK192" s="474">
        <f t="shared" si="171"/>
        <v>1.24</v>
      </c>
      <c r="BL192" s="474">
        <f t="shared" si="172"/>
        <v>0.44800000000000001</v>
      </c>
      <c r="BM192" s="474">
        <f t="shared" si="251"/>
        <v>0</v>
      </c>
      <c r="BN192" s="166"/>
      <c r="BO192" s="166" t="str">
        <f>CONCATENATE(R192,"_",S192)</f>
        <v>_</v>
      </c>
      <c r="BP192" s="204" t="str">
        <f>CONCATENATE(R192," ",S192," ",AY192)</f>
        <v xml:space="preserve">  </v>
      </c>
      <c r="BQ192" s="475">
        <f t="shared" si="252"/>
        <v>0.27</v>
      </c>
      <c r="BR192" s="205" t="str">
        <f>IFERROR(INDEX((std_jml_anodize_per_uk),MATCH($H192,Prt,0)),"")</f>
        <v/>
      </c>
      <c r="BS192" s="509">
        <f t="shared" si="177"/>
        <v>4</v>
      </c>
      <c r="BT192" s="509">
        <f t="shared" si="178"/>
        <v>6</v>
      </c>
      <c r="BU192" s="459"/>
      <c r="BV192" s="459"/>
      <c r="BW192" s="1">
        <f t="shared" si="208"/>
        <v>0.48959999999999998</v>
      </c>
      <c r="BX192" s="1">
        <f t="shared" si="209"/>
        <v>9.7920000000000004E-3</v>
      </c>
      <c r="BY192" s="546" t="str">
        <f t="shared" si="181"/>
        <v/>
      </c>
      <c r="BZ192" s="546" t="str">
        <f t="shared" si="182"/>
        <v/>
      </c>
      <c r="CA192" s="546" t="str">
        <f t="shared" si="183"/>
        <v/>
      </c>
      <c r="CB192" s="546" t="str">
        <f t="shared" si="184"/>
        <v/>
      </c>
      <c r="CC192" s="728" t="str">
        <f t="shared" si="185"/>
        <v/>
      </c>
      <c r="CD192" s="728" t="str">
        <f t="shared" si="186"/>
        <v/>
      </c>
      <c r="CE192" s="170" t="str">
        <f t="shared" si="187"/>
        <v xml:space="preserve"> x  x 20</v>
      </c>
      <c r="CF192" t="str">
        <f t="shared" si="188"/>
        <v xml:space="preserve"> </v>
      </c>
    </row>
    <row r="193" spans="1:84" customFormat="1">
      <c r="A193" s="701" t="str">
        <f t="shared" si="205"/>
        <v>…</v>
      </c>
      <c r="B193" s="447" t="str">
        <f t="shared" si="148"/>
        <v>pintu</v>
      </c>
      <c r="C193" s="161" t="s">
        <v>1472</v>
      </c>
      <c r="D193" s="162" t="str">
        <f>IFERROR(INDEX((KS),MATCH($H193,Prt,0)),"")</f>
        <v>─</v>
      </c>
      <c r="E193" s="1" t="s">
        <v>2661</v>
      </c>
      <c r="F193" s="811">
        <f t="shared" si="149"/>
        <v>0</v>
      </c>
      <c r="G193" s="440" t="str">
        <f t="shared" si="194"/>
        <v>...</v>
      </c>
      <c r="H193" s="1" t="s">
        <v>1815</v>
      </c>
      <c r="I193" s="55"/>
      <c r="J193" s="170">
        <f>+J192-trim-trim</f>
        <v>1196</v>
      </c>
      <c r="K193" s="1" t="s">
        <v>2137</v>
      </c>
      <c r="L193" s="170">
        <f>L192</f>
        <v>408</v>
      </c>
      <c r="M193" s="1" t="s">
        <v>2137</v>
      </c>
      <c r="N193" s="458">
        <f>+(S193+W193+Y193)</f>
        <v>14.5</v>
      </c>
      <c r="O193" s="170" t="str">
        <f>CONCATENATE(J193," ",K193," ",L193," ",M193," ",N193)</f>
        <v>1196 x 408 x 14,5</v>
      </c>
      <c r="P193" s="441">
        <v>1</v>
      </c>
      <c r="Q193" s="55">
        <f>+P193*Q192</f>
        <v>1</v>
      </c>
      <c r="R193" s="177" t="str">
        <f>IFERROR(INDEX((std_bhn_prt),MATCH($H193,Prt,0)),"")</f>
        <v>Ply</v>
      </c>
      <c r="S193" s="454">
        <f>IFERROR(INDEX((std_Tbahan_prt),MATCH($H193,Prt,0)),"")</f>
        <v>13.5</v>
      </c>
      <c r="T193" s="178">
        <f>INDEX((std_lapisan_luar_prt),MATCH($H193,Prt,0))</f>
        <v>22</v>
      </c>
      <c r="U193" s="178">
        <f>INDEX((std_lapisan_dalam_prt),MATCH($H193,Prt,0))</f>
        <v>11</v>
      </c>
      <c r="V193" s="179" t="str">
        <f>IFERROR(INDEX((tf),MATCH(T193,ctf,0)),"")</f>
        <v>Aica</v>
      </c>
      <c r="W193" s="180">
        <f>IFERROR(INDEX((tebal_lapisan),MATCH($V193,tf,0)),"")</f>
        <v>0.5</v>
      </c>
      <c r="X193" s="179" t="str">
        <f>IFERROR(INDEX((tf),MATCH(U193,ctf,0)),"")</f>
        <v>HB_41130</v>
      </c>
      <c r="Y193" s="180">
        <f>IFERROR(INDEX((tebal_lapisan),MATCH($X193,tf,0)),"")</f>
        <v>0.5</v>
      </c>
      <c r="Z193" s="178">
        <f>INDEX((std_edg_P1_prt),MATCH($H193,Prt,0))</f>
        <v>1</v>
      </c>
      <c r="AA193" s="178">
        <f>INDEX((std_edg_P2_prt),MATCH($H193,Prt,0))</f>
        <v>1</v>
      </c>
      <c r="AB193" s="178">
        <f>INDEX((std_edg_L1_prt),MATCH($H193,Prt,0))</f>
        <v>0</v>
      </c>
      <c r="AC193" s="178">
        <f>INDEX((std_edg_L2_prt),MATCH($H193,Prt,0))</f>
        <v>0</v>
      </c>
      <c r="AD193" s="182" t="str">
        <f t="shared" si="244"/>
        <v>Edg_EAW_5216D1</v>
      </c>
      <c r="AE193" s="182" t="str">
        <f t="shared" si="245"/>
        <v>Edg_EAW_5216D1</v>
      </c>
      <c r="AF193" s="182" t="str">
        <f t="shared" si="246"/>
        <v xml:space="preserve"> </v>
      </c>
      <c r="AG193" s="182" t="str">
        <f t="shared" si="247"/>
        <v xml:space="preserve"> </v>
      </c>
      <c r="AH193" s="401" t="str">
        <f>IFERROR(INDEX((std_profil3_prt),MATCH($H193,Prt,0)),"")</f>
        <v>SILICONE SIKAFLEX 221 PUTIH</v>
      </c>
      <c r="AI193" s="401">
        <f t="shared" si="156"/>
        <v>0</v>
      </c>
      <c r="AJ193" s="401">
        <f>IFERROR(INDEX((std_profil_prt),MATCH($H193,Prt,0)),"")</f>
        <v>0</v>
      </c>
      <c r="AK193" s="401">
        <f t="shared" si="157"/>
        <v>0</v>
      </c>
      <c r="AL193" s="401">
        <f t="shared" si="158"/>
        <v>0</v>
      </c>
      <c r="AM193" s="189"/>
      <c r="AN193" s="829">
        <f>IFERROR(INDEX((std_rel_prt),MATCH($H193,Prt,0)),"")</f>
        <v>0</v>
      </c>
      <c r="AO193" s="830" t="str">
        <f>IFERROR(INDEX((std_engsel_prt),MATCH($H193,Prt,0)),"")</f>
        <v>ENGSEL CLIP TOP  107 DEG INTEGRATED 75 B 1550 + 173 L 6100</v>
      </c>
      <c r="AP193" s="401" t="str">
        <f t="shared" si="159"/>
        <v/>
      </c>
      <c r="AQ193" s="401" t="str">
        <f t="shared" si="160"/>
        <v/>
      </c>
      <c r="AR193" s="401" t="str">
        <f t="shared" si="161"/>
        <v/>
      </c>
      <c r="AS193" s="401" t="str">
        <f>IFERROR(INDEX((std_anodize_per_ukuran),MATCH($H193,Prt,0)),"")</f>
        <v>Trim 22 S2/S4 Brown Doff ( Alm. 75270 ) P3</v>
      </c>
      <c r="AT193" s="403">
        <f>IF($AS193=edging7,L193,IF($AS193=edging8,L193,IF($AS193=edging9,L193,IF($AS193=Hand1,J192,IF($AS193=Hand2,L192,IF($AS193=hand3,"diisi manual",IF($AS193=hand4,"diisi manual",IF($AS193=hand5,"diisi manual",IF($AS193=mled02,J193,IF($AS193=mprf1,J193,IF($AS193=mlis1,J193,"")))))))))))</f>
        <v>408</v>
      </c>
      <c r="AU193" s="403">
        <f>IF($AS193="","",Q193*BR193)</f>
        <v>2</v>
      </c>
      <c r="AV193" s="170"/>
      <c r="AW193" s="166" t="str">
        <f>CONCATENATE(VLOOKUP($V193,tabtf,2,0),VLOOKUP($X193,tabtf,2,0))</f>
        <v>72</v>
      </c>
      <c r="AX193" s="166" t="str">
        <f t="shared" si="162"/>
        <v>4433</v>
      </c>
      <c r="AY193" s="189" t="str">
        <f t="shared" si="248"/>
        <v>HB_41130+Aica</v>
      </c>
      <c r="AZ193" s="189" t="str">
        <f t="shared" si="249"/>
        <v>Edg_EAW_5216D1_2sisi_pjg</v>
      </c>
      <c r="BA193" s="196" t="str">
        <f>IF($R193=0,CONCATENATE(0,")"," ",$H193," ",$J193),CONCATENATE(VLOOKUP(H193,tabprt,2,0),")",$H193,"_",AY193))</f>
        <v>278)Pintu Kaca S2_HB_41130+Aica</v>
      </c>
      <c r="BB193" s="629" t="str">
        <f t="shared" si="250"/>
        <v xml:space="preserve">278)Pintu Kaca S2 Ply 13,5mm - HB_41130+Aica ; Edg_EAW_5216D1_2sisi_pjg  </v>
      </c>
      <c r="BC193" s="190"/>
      <c r="BD193" s="510">
        <f t="shared" si="166"/>
        <v>0</v>
      </c>
      <c r="BE193" s="510">
        <f t="shared" si="167"/>
        <v>0</v>
      </c>
      <c r="BF193" s="177">
        <f>IFERROR(INDEX((std_j_sikufr_prt),MATCH($H193,Prt,0)),"")*Q193</f>
        <v>0</v>
      </c>
      <c r="BG193" s="177">
        <f>IFERROR(INDEX((std_j_screwjf_prt),MATCH($H193,Prt,0)),"")*Q193</f>
        <v>0</v>
      </c>
      <c r="BH193" s="166">
        <f>IF($AM193=0,0,1)*Q193</f>
        <v>0</v>
      </c>
      <c r="BI193" s="474">
        <f t="shared" si="207"/>
        <v>3</v>
      </c>
      <c r="BJ193" s="166">
        <f>IF($AN193=0,0,1)*Q193</f>
        <v>0</v>
      </c>
      <c r="BK193" s="474">
        <f t="shared" si="171"/>
        <v>1.236</v>
      </c>
      <c r="BL193" s="474">
        <f t="shared" si="172"/>
        <v>0.44800000000000001</v>
      </c>
      <c r="BM193" s="474">
        <f t="shared" si="251"/>
        <v>3.3679999999999999</v>
      </c>
      <c r="BN193" s="166">
        <f>((J193*L193)/1000000)*Q193</f>
        <v>0.48796800000000001</v>
      </c>
      <c r="BO193" s="166" t="str">
        <f>CONCATENATE(R193,"_",S193)</f>
        <v>Ply_13,5</v>
      </c>
      <c r="BP193" s="204" t="str">
        <f>CONCATENATE(R193," ",S193," ",AY193)</f>
        <v>Ply 13,5 HB_41130+Aica</v>
      </c>
      <c r="BQ193" s="475">
        <f t="shared" si="252"/>
        <v>0.2694333333333333</v>
      </c>
      <c r="BR193" s="205">
        <f>IFERROR(INDEX((std_jml_anodize_per_uk),MATCH($H193,Prt,0)),"")</f>
        <v>2</v>
      </c>
      <c r="BS193" s="509">
        <f t="shared" si="177"/>
        <v>0</v>
      </c>
      <c r="BT193" s="509">
        <f t="shared" si="178"/>
        <v>0</v>
      </c>
      <c r="BU193" s="459">
        <f>BF193*$Q193</f>
        <v>0</v>
      </c>
      <c r="BV193" s="459">
        <f>BG193*$Q193</f>
        <v>0</v>
      </c>
      <c r="BW193" s="1">
        <f t="shared" si="208"/>
        <v>0.48796800000000001</v>
      </c>
      <c r="BX193" s="1">
        <f t="shared" si="209"/>
        <v>7.0755360000000003E-3</v>
      </c>
      <c r="BY193" s="546" t="str">
        <f t="shared" si="181"/>
        <v/>
      </c>
      <c r="BZ193" s="546" t="str">
        <f t="shared" si="182"/>
        <v/>
      </c>
      <c r="CA193" s="546" t="str">
        <f t="shared" si="183"/>
        <v/>
      </c>
      <c r="CB193" s="546" t="str">
        <f t="shared" si="184"/>
        <v/>
      </c>
      <c r="CC193" s="728" t="str">
        <f t="shared" si="185"/>
        <v/>
      </c>
      <c r="CD193" s="728" t="str">
        <f t="shared" si="186"/>
        <v/>
      </c>
      <c r="CE193" s="170" t="str">
        <f t="shared" si="187"/>
        <v xml:space="preserve"> x  x 14,5</v>
      </c>
      <c r="CF193" t="str">
        <f t="shared" si="188"/>
        <v xml:space="preserve"> </v>
      </c>
    </row>
    <row r="194" spans="1:84" customFormat="1">
      <c r="A194" s="701" t="str">
        <f t="shared" si="205"/>
        <v>…</v>
      </c>
      <c r="B194" s="447" t="str">
        <f t="shared" si="148"/>
        <v>Kc</v>
      </c>
      <c r="C194" s="161" t="s">
        <v>1472</v>
      </c>
      <c r="D194" s="162" t="str">
        <f>IFERROR(INDEX((KS),MATCH($H194,Prt,0)),"")</f>
        <v>k¢</v>
      </c>
      <c r="E194" s="1" t="s">
        <v>2167</v>
      </c>
      <c r="F194" s="811">
        <f t="shared" si="149"/>
        <v>1</v>
      </c>
      <c r="G194" s="440" t="str">
        <f t="shared" si="194"/>
        <v>...</v>
      </c>
      <c r="H194" s="1" t="s">
        <v>3490</v>
      </c>
      <c r="I194" s="55" t="s">
        <v>3591</v>
      </c>
      <c r="J194" s="170">
        <f>+J193-1</f>
        <v>1195</v>
      </c>
      <c r="K194" s="1" t="s">
        <v>2137</v>
      </c>
      <c r="L194" s="170">
        <f>+L193-1</f>
        <v>407</v>
      </c>
      <c r="M194" s="1" t="s">
        <v>2137</v>
      </c>
      <c r="N194" s="458">
        <f>+(S194+W194+Y194)</f>
        <v>5</v>
      </c>
      <c r="O194" s="170" t="str">
        <f>CONCATENATE(J194," ",K194," ",L194," ",M194," ",N194)</f>
        <v>1195 x 407 x 5</v>
      </c>
      <c r="P194" s="441">
        <f>IFERROR(INDEX((std_sub_prt),MATCH($H194,Prt,0)),"")</f>
        <v>1</v>
      </c>
      <c r="Q194" s="55">
        <f>+P194*Q192</f>
        <v>1</v>
      </c>
      <c r="R194" s="177" t="str">
        <f>IFERROR(INDEX((std_bhn_prt),MATCH($H194,Prt,0)),"")</f>
        <v>MG_Purewhite</v>
      </c>
      <c r="S194" s="454">
        <f>IFERROR(INDEX((std_Tbahan_prt),MATCH($H194,Prt,0)),"")</f>
        <v>5</v>
      </c>
      <c r="T194" s="178">
        <f>INDEX((std_lapisan_luar_prt),MATCH($H194,Prt,0))</f>
        <v>0</v>
      </c>
      <c r="U194" s="178">
        <f>INDEX((std_lapisan_dalam_prt),MATCH($H194,Prt,0))</f>
        <v>0</v>
      </c>
      <c r="V194" s="179" t="str">
        <f>IFERROR(INDEX((tf),MATCH(T194,ctf,0)),"")</f>
        <v>Polos</v>
      </c>
      <c r="W194" s="180">
        <f>IFERROR(INDEX((tebal_lapisan),MATCH($V194,tf,0)),"")</f>
        <v>0</v>
      </c>
      <c r="X194" s="179" t="str">
        <f>IFERROR(INDEX((tf),MATCH(U194,ctf,0)),"")</f>
        <v>Polos</v>
      </c>
      <c r="Y194" s="180">
        <f>IFERROR(INDEX((tebal_lapisan),MATCH($X194,tf,0)),"")</f>
        <v>0</v>
      </c>
      <c r="Z194" s="178">
        <f>INDEX((std_edg_P1_prt),MATCH($H194,Prt,0))</f>
        <v>0</v>
      </c>
      <c r="AA194" s="178">
        <f>INDEX((std_edg_P2_prt),MATCH($H194,Prt,0))</f>
        <v>0</v>
      </c>
      <c r="AB194" s="178">
        <f>INDEX((std_edg_L1_prt),MATCH($H194,Prt,0))</f>
        <v>0</v>
      </c>
      <c r="AC194" s="178">
        <f>INDEX((std_edg_L2_prt),MATCH($H194,Prt,0))</f>
        <v>0</v>
      </c>
      <c r="AD194" s="182" t="str">
        <f t="shared" si="244"/>
        <v xml:space="preserve"> </v>
      </c>
      <c r="AE194" s="182" t="str">
        <f t="shared" si="245"/>
        <v xml:space="preserve"> </v>
      </c>
      <c r="AF194" s="182" t="str">
        <f t="shared" si="246"/>
        <v xml:space="preserve"> </v>
      </c>
      <c r="AG194" s="182" t="str">
        <f t="shared" si="247"/>
        <v xml:space="preserve"> </v>
      </c>
      <c r="AH194" s="401">
        <f>IFERROR(INDEX((std_profil3_prt),MATCH($H194,Prt,0)),"")</f>
        <v>0</v>
      </c>
      <c r="AI194" s="401">
        <f t="shared" si="156"/>
        <v>0</v>
      </c>
      <c r="AJ194" s="182"/>
      <c r="AK194" s="401">
        <f t="shared" si="157"/>
        <v>0</v>
      </c>
      <c r="AL194" s="401">
        <f t="shared" si="158"/>
        <v>0</v>
      </c>
      <c r="AM194" s="189"/>
      <c r="AN194" s="829">
        <f>IFERROR(INDEX((std_rel_prt),MATCH($H194,Prt,0)),"")</f>
        <v>0</v>
      </c>
      <c r="AO194" s="830">
        <f>IFERROR(INDEX((std_engsel_prt),MATCH($H194,Prt,0)),"")</f>
        <v>0</v>
      </c>
      <c r="AP194" s="401">
        <f t="shared" si="159"/>
        <v>0</v>
      </c>
      <c r="AQ194" s="401">
        <f t="shared" si="160"/>
        <v>0</v>
      </c>
      <c r="AR194" s="401">
        <f t="shared" si="161"/>
        <v>0</v>
      </c>
      <c r="AS194" s="401">
        <f>IFERROR(INDEX((std_anodize_per_ukuran),MATCH($H194,Prt,0)),"")</f>
        <v>0</v>
      </c>
      <c r="AT194" s="403" t="str">
        <f>IF($AS194=0,"",L194)</f>
        <v/>
      </c>
      <c r="AU194" s="403" t="str">
        <f>IF($AS194=0,"",Q194*BR194)</f>
        <v/>
      </c>
      <c r="AV194" s="170"/>
      <c r="AW194" s="166" t="str">
        <f>CONCATENATE(VLOOKUP($V194,tabtf,2,0),VLOOKUP($X194,tabtf,2,0))</f>
        <v>33</v>
      </c>
      <c r="AX194" s="166" t="str">
        <f t="shared" si="162"/>
        <v>3333</v>
      </c>
      <c r="AY194" s="189" t="str">
        <f t="shared" si="248"/>
        <v>Polos</v>
      </c>
      <c r="AZ194" s="189" t="str">
        <f t="shared" si="249"/>
        <v xml:space="preserve"> -</v>
      </c>
      <c r="BA194" s="196" t="str">
        <f>IF($R194=0,CONCATENATE(0,")"," ",$H194," ",$J194),CONCATENATE(VLOOKUP(H194,tabprt,2,0),")",$H194,"_",AY194))</f>
        <v>535)Kaca__Polos</v>
      </c>
      <c r="BB194" s="629" t="str">
        <f t="shared" si="250"/>
        <v>535)Kaca_ MG_Purewhite 5mm -  ;  -  (u/_S2) ; (pasang_rakit)</v>
      </c>
      <c r="BC194" s="190"/>
      <c r="BD194" s="510">
        <f t="shared" si="166"/>
        <v>0</v>
      </c>
      <c r="BE194" s="510">
        <f t="shared" si="167"/>
        <v>0</v>
      </c>
      <c r="BF194" s="177">
        <f>IFERROR(INDEX((std_j_sikufr_prt),MATCH($H194,Prt,0)),"")*Q194</f>
        <v>0</v>
      </c>
      <c r="BG194" s="177">
        <f>IFERROR(INDEX((std_j_screwjf_prt),MATCH($H194,Prt,0)),"")*Q194</f>
        <v>0</v>
      </c>
      <c r="BH194" s="166">
        <f>IF($AM194=0,0,1)*Q194</f>
        <v>0</v>
      </c>
      <c r="BI194" s="474">
        <f t="shared" si="207"/>
        <v>0</v>
      </c>
      <c r="BJ194" s="166">
        <f>IF($AN194=0,0,1)*Q194</f>
        <v>0</v>
      </c>
      <c r="BK194" s="474">
        <f t="shared" si="171"/>
        <v>1.2350000000000001</v>
      </c>
      <c r="BL194" s="474">
        <f t="shared" si="172"/>
        <v>0.44700000000000001</v>
      </c>
      <c r="BM194" s="474">
        <f t="shared" si="251"/>
        <v>3.3639999999999999</v>
      </c>
      <c r="BN194" s="166">
        <f>((J194*L194)/1000000)*Q194</f>
        <v>0.48636499999999999</v>
      </c>
      <c r="BO194" s="166" t="str">
        <f>CONCATENATE(R194,"_",S194)</f>
        <v>MG_Purewhite_5</v>
      </c>
      <c r="BP194" s="204" t="str">
        <f>CONCATENATE(R194," ",S194," ",AY194)</f>
        <v>MG_Purewhite 5 Polos</v>
      </c>
      <c r="BQ194" s="475">
        <f t="shared" si="252"/>
        <v>0.26887673611111113</v>
      </c>
      <c r="BR194" s="205">
        <f>IFERROR(INDEX((std_jml_anodize_per_uk),MATCH($H194,Prt,0)),"")</f>
        <v>0</v>
      </c>
      <c r="BS194" s="509">
        <f t="shared" si="177"/>
        <v>0</v>
      </c>
      <c r="BT194" s="509">
        <f t="shared" si="178"/>
        <v>0</v>
      </c>
      <c r="BU194" s="459">
        <f>BF194*$Q194</f>
        <v>0</v>
      </c>
      <c r="BV194" s="459">
        <f>BG194*$Q194</f>
        <v>0</v>
      </c>
      <c r="BW194" s="1">
        <f t="shared" si="208"/>
        <v>0.48636499999999999</v>
      </c>
      <c r="BX194" s="1">
        <f t="shared" si="209"/>
        <v>2.4318249999999999E-3</v>
      </c>
      <c r="BY194" s="546" t="str">
        <f t="shared" si="181"/>
        <v/>
      </c>
      <c r="BZ194" s="546" t="str">
        <f t="shared" si="182"/>
        <v/>
      </c>
      <c r="CA194" s="546" t="str">
        <f t="shared" si="183"/>
        <v/>
      </c>
      <c r="CB194" s="546" t="str">
        <f t="shared" si="184"/>
        <v/>
      </c>
      <c r="CC194" s="728" t="str">
        <f t="shared" si="185"/>
        <v/>
      </c>
      <c r="CD194" s="728" t="str">
        <f t="shared" si="186"/>
        <v/>
      </c>
      <c r="CE194" s="170" t="str">
        <f t="shared" si="187"/>
        <v xml:space="preserve"> x  x 5</v>
      </c>
      <c r="CF194" t="str">
        <f t="shared" si="188"/>
        <v>1195;407;1;MG_Purewhite 5 Polos;5;Kaca_;-1; ;; ;; ;; ;</v>
      </c>
    </row>
    <row r="195" spans="1:84" customFormat="1">
      <c r="A195" s="701" t="str">
        <f t="shared" si="205"/>
        <v>…</v>
      </c>
      <c r="B195" s="447" t="str">
        <f t="shared" si="148"/>
        <v>…</v>
      </c>
      <c r="C195" s="1"/>
      <c r="D195" s="162"/>
      <c r="E195" s="1"/>
      <c r="F195" s="811" t="str">
        <f t="shared" si="149"/>
        <v/>
      </c>
      <c r="G195" s="440"/>
      <c r="H195" s="1"/>
      <c r="I195" s="55"/>
      <c r="J195" s="170"/>
      <c r="K195" s="1"/>
      <c r="L195" s="170"/>
      <c r="M195" s="1"/>
      <c r="N195" s="458"/>
      <c r="O195" s="170"/>
      <c r="P195" s="441"/>
      <c r="Q195" s="55"/>
      <c r="R195" s="181"/>
      <c r="S195" s="455"/>
      <c r="T195" s="170"/>
      <c r="U195" s="170"/>
      <c r="V195" s="1"/>
      <c r="W195" s="173"/>
      <c r="X195" s="1"/>
      <c r="Y195" s="166"/>
      <c r="Z195" s="170"/>
      <c r="AA195" s="170"/>
      <c r="AB195" s="170"/>
      <c r="AC195" s="170"/>
      <c r="AD195" s="182" t="str">
        <f t="shared" si="244"/>
        <v xml:space="preserve"> </v>
      </c>
      <c r="AE195" s="182" t="str">
        <f t="shared" si="245"/>
        <v xml:space="preserve"> </v>
      </c>
      <c r="AF195" s="182" t="str">
        <f t="shared" si="246"/>
        <v xml:space="preserve"> </v>
      </c>
      <c r="AG195" s="182" t="str">
        <f t="shared" si="247"/>
        <v xml:space="preserve"> </v>
      </c>
      <c r="AH195" s="189"/>
      <c r="AI195" s="401" t="str">
        <f t="shared" si="156"/>
        <v/>
      </c>
      <c r="AJ195" s="189"/>
      <c r="AK195" s="401" t="str">
        <f t="shared" si="157"/>
        <v/>
      </c>
      <c r="AL195" s="401" t="str">
        <f t="shared" si="158"/>
        <v/>
      </c>
      <c r="AM195" s="189"/>
      <c r="AN195" s="782"/>
      <c r="AO195" s="189"/>
      <c r="AP195" s="401" t="str">
        <f t="shared" si="159"/>
        <v/>
      </c>
      <c r="AQ195" s="401" t="str">
        <f t="shared" si="160"/>
        <v/>
      </c>
      <c r="AR195" s="401" t="str">
        <f t="shared" si="161"/>
        <v/>
      </c>
      <c r="AS195" s="434"/>
      <c r="AT195" s="402"/>
      <c r="AU195" s="403"/>
      <c r="AV195" s="1"/>
      <c r="AW195" s="166"/>
      <c r="AX195" s="166" t="str">
        <f t="shared" si="162"/>
        <v>3333</v>
      </c>
      <c r="AY195" s="189" t="str">
        <f t="shared" si="248"/>
        <v/>
      </c>
      <c r="AZ195" s="189" t="str">
        <f t="shared" si="249"/>
        <v xml:space="preserve"> -</v>
      </c>
      <c r="BA195" s="196"/>
      <c r="BB195" s="629" t="str">
        <f t="shared" si="250"/>
        <v xml:space="preserve">0) </v>
      </c>
      <c r="BC195" s="197"/>
      <c r="BD195" s="510" t="str">
        <f t="shared" si="166"/>
        <v/>
      </c>
      <c r="BE195" s="510" t="str">
        <f t="shared" si="167"/>
        <v/>
      </c>
      <c r="BF195" s="177"/>
      <c r="BG195" s="177"/>
      <c r="BH195" s="166"/>
      <c r="BI195" s="474">
        <f t="shared" si="207"/>
        <v>0</v>
      </c>
      <c r="BJ195" s="166"/>
      <c r="BK195" s="474">
        <f t="shared" si="171"/>
        <v>0</v>
      </c>
      <c r="BL195" s="474">
        <f t="shared" si="172"/>
        <v>0</v>
      </c>
      <c r="BM195" s="474">
        <f t="shared" si="251"/>
        <v>0</v>
      </c>
      <c r="BN195" s="166"/>
      <c r="BO195" s="166"/>
      <c r="BP195" s="204"/>
      <c r="BQ195" s="475">
        <f t="shared" si="252"/>
        <v>0.1</v>
      </c>
      <c r="BR195" s="205"/>
      <c r="BS195" s="509">
        <f t="shared" si="177"/>
        <v>0</v>
      </c>
      <c r="BT195" s="509">
        <f t="shared" si="178"/>
        <v>0</v>
      </c>
      <c r="BU195" s="459"/>
      <c r="BV195" s="459"/>
      <c r="BW195" s="1">
        <f t="shared" si="208"/>
        <v>0</v>
      </c>
      <c r="BX195" s="1">
        <f t="shared" si="209"/>
        <v>0</v>
      </c>
      <c r="BY195" s="546" t="str">
        <f t="shared" si="181"/>
        <v/>
      </c>
      <c r="BZ195" s="546" t="str">
        <f t="shared" si="182"/>
        <v/>
      </c>
      <c r="CA195" s="546" t="str">
        <f t="shared" si="183"/>
        <v/>
      </c>
      <c r="CB195" s="546" t="str">
        <f t="shared" si="184"/>
        <v/>
      </c>
      <c r="CC195" s="728" t="str">
        <f t="shared" si="185"/>
        <v/>
      </c>
      <c r="CD195" s="728" t="str">
        <f t="shared" si="186"/>
        <v/>
      </c>
      <c r="CE195" s="170" t="str">
        <f t="shared" si="187"/>
        <v xml:space="preserve"> x  x </v>
      </c>
      <c r="CF195" t="str">
        <f t="shared" si="188"/>
        <v xml:space="preserve"> </v>
      </c>
    </row>
    <row r="196" spans="1:84" customFormat="1">
      <c r="A196" s="701" t="str">
        <f t="shared" si="205"/>
        <v>…</v>
      </c>
      <c r="B196" s="447" t="str">
        <f t="shared" si="148"/>
        <v>…</v>
      </c>
      <c r="C196" s="1" t="s">
        <v>2605</v>
      </c>
      <c r="D196" s="538" t="str">
        <f>(INDEX(KS_Set,MATCH($H196,Set_prt,0)))</f>
        <v>…</v>
      </c>
      <c r="E196" s="1" t="s">
        <v>2167</v>
      </c>
      <c r="F196" s="811" t="str">
        <f t="shared" si="149"/>
        <v/>
      </c>
      <c r="G196" s="440" t="str">
        <f t="shared" si="194"/>
        <v>•</v>
      </c>
      <c r="H196" s="1" t="s">
        <v>2870</v>
      </c>
      <c r="I196" s="55"/>
      <c r="J196" s="171">
        <v>1200</v>
      </c>
      <c r="K196" s="55" t="s">
        <v>2137</v>
      </c>
      <c r="L196" s="171">
        <f>192-nat-nat</f>
        <v>190</v>
      </c>
      <c r="M196" s="55" t="s">
        <v>2137</v>
      </c>
      <c r="N196" s="172">
        <v>20</v>
      </c>
      <c r="O196" s="170" t="str">
        <f>CONCATENATE(J196," ",K196," ",L196," ",M196," ",N196)</f>
        <v>1200 x 190 x 20</v>
      </c>
      <c r="P196" s="139">
        <v>1</v>
      </c>
      <c r="Q196" s="172">
        <f>+P196*Q169</f>
        <v>1</v>
      </c>
      <c r="R196" s="181"/>
      <c r="S196" s="455"/>
      <c r="T196" s="170"/>
      <c r="U196" s="170"/>
      <c r="V196" s="1"/>
      <c r="W196" s="173"/>
      <c r="X196" s="1"/>
      <c r="Y196" s="166"/>
      <c r="Z196" s="170"/>
      <c r="AA196" s="170"/>
      <c r="AB196" s="170"/>
      <c r="AC196" s="170"/>
      <c r="AD196" s="182" t="str">
        <f t="shared" si="244"/>
        <v xml:space="preserve"> </v>
      </c>
      <c r="AE196" s="182" t="str">
        <f t="shared" si="245"/>
        <v xml:space="preserve"> </v>
      </c>
      <c r="AF196" s="182" t="str">
        <f t="shared" si="246"/>
        <v xml:space="preserve"> </v>
      </c>
      <c r="AG196" s="182" t="str">
        <f t="shared" si="247"/>
        <v xml:space="preserve"> </v>
      </c>
      <c r="AH196" s="189"/>
      <c r="AI196" s="401" t="str">
        <f t="shared" si="156"/>
        <v/>
      </c>
      <c r="AJ196" s="189"/>
      <c r="AK196" s="401" t="str">
        <f t="shared" si="157"/>
        <v/>
      </c>
      <c r="AL196" s="401" t="str">
        <f t="shared" si="158"/>
        <v/>
      </c>
      <c r="AM196" s="189"/>
      <c r="AN196" s="782"/>
      <c r="AO196" s="189"/>
      <c r="AP196" s="401" t="str">
        <f t="shared" si="159"/>
        <v/>
      </c>
      <c r="AQ196" s="401" t="str">
        <f t="shared" si="160"/>
        <v/>
      </c>
      <c r="AR196" s="401" t="str">
        <f t="shared" si="161"/>
        <v/>
      </c>
      <c r="AS196" s="188"/>
      <c r="AT196" s="1"/>
      <c r="AU196" s="403" t="str">
        <f>IF($AS196=0,"",Q196*BR196)</f>
        <v/>
      </c>
      <c r="AV196" s="1"/>
      <c r="AW196" s="166"/>
      <c r="AX196" s="166" t="str">
        <f t="shared" si="162"/>
        <v>3333</v>
      </c>
      <c r="AY196" s="189" t="str">
        <f t="shared" si="248"/>
        <v/>
      </c>
      <c r="AZ196" s="189" t="str">
        <f t="shared" si="249"/>
        <v xml:space="preserve"> -</v>
      </c>
      <c r="BA196" s="196" t="str">
        <f>IF($R196=0,CONCATENATE(0,")"," ",$H196," ",$J196),CONCATENATE(VLOOKUP(H196,tabprt,2,0),")",$H196,"_",AY196))</f>
        <v>0) Pintu Kaca S2 (rakit tukang) 1200</v>
      </c>
      <c r="BB196" s="629" t="str">
        <f t="shared" si="250"/>
        <v>0B) Pintu Kaca S2 (rakit tukang)</v>
      </c>
      <c r="BC196" s="197"/>
      <c r="BD196" s="510" t="str">
        <f t="shared" si="166"/>
        <v/>
      </c>
      <c r="BE196" s="510" t="str">
        <f t="shared" si="167"/>
        <v/>
      </c>
      <c r="BF196" s="177"/>
      <c r="BG196" s="177"/>
      <c r="BH196" s="166">
        <f>IF($AM196=0,0,1)*Q196</f>
        <v>0</v>
      </c>
      <c r="BI196" s="474">
        <f t="shared" si="207"/>
        <v>0</v>
      </c>
      <c r="BJ196" s="166">
        <f>IF($AN196=0,0,1)*Q196</f>
        <v>0</v>
      </c>
      <c r="BK196" s="474">
        <f t="shared" si="171"/>
        <v>1.24</v>
      </c>
      <c r="BL196" s="474">
        <f t="shared" si="172"/>
        <v>0.23</v>
      </c>
      <c r="BM196" s="474">
        <f t="shared" si="251"/>
        <v>0</v>
      </c>
      <c r="BN196" s="166"/>
      <c r="BO196" s="166" t="str">
        <f>CONCATENATE(R196,"_",S196)</f>
        <v>_</v>
      </c>
      <c r="BP196" s="204" t="str">
        <f>CONCATENATE(R196," ",S196," ",AY196)</f>
        <v xml:space="preserve">  </v>
      </c>
      <c r="BQ196" s="475">
        <f t="shared" si="252"/>
        <v>0.17916666666666667</v>
      </c>
      <c r="BR196" s="205" t="str">
        <f>IFERROR(INDEX((std_jml_anodize_per_uk),MATCH($H196,Prt,0)),"")</f>
        <v/>
      </c>
      <c r="BS196" s="509">
        <f t="shared" si="177"/>
        <v>2</v>
      </c>
      <c r="BT196" s="509">
        <f t="shared" si="178"/>
        <v>2</v>
      </c>
      <c r="BU196" s="459"/>
      <c r="BV196" s="459"/>
      <c r="BW196" s="1">
        <f t="shared" si="208"/>
        <v>0.22800000000000001</v>
      </c>
      <c r="BX196" s="1">
        <f t="shared" si="209"/>
        <v>4.5599999999999998E-3</v>
      </c>
      <c r="BY196" s="546" t="str">
        <f t="shared" si="181"/>
        <v/>
      </c>
      <c r="BZ196" s="546" t="str">
        <f t="shared" si="182"/>
        <v/>
      </c>
      <c r="CA196" s="546" t="str">
        <f t="shared" si="183"/>
        <v/>
      </c>
      <c r="CB196" s="546" t="str">
        <f t="shared" si="184"/>
        <v/>
      </c>
      <c r="CC196" s="728" t="str">
        <f t="shared" si="185"/>
        <v/>
      </c>
      <c r="CD196" s="728" t="str">
        <f t="shared" si="186"/>
        <v/>
      </c>
      <c r="CE196" s="170" t="str">
        <f t="shared" si="187"/>
        <v xml:space="preserve"> x  x 20</v>
      </c>
      <c r="CF196" t="str">
        <f t="shared" si="188"/>
        <v xml:space="preserve"> </v>
      </c>
    </row>
    <row r="197" spans="1:84" customFormat="1">
      <c r="A197" s="701" t="str">
        <f t="shared" si="205"/>
        <v>…</v>
      </c>
      <c r="B197" s="447" t="str">
        <f t="shared" si="148"/>
        <v>pintu</v>
      </c>
      <c r="C197" s="161" t="s">
        <v>1472</v>
      </c>
      <c r="D197" s="162" t="str">
        <f>IFERROR(INDEX((KS),MATCH($H197,Prt,0)),"")</f>
        <v>─</v>
      </c>
      <c r="E197" s="1" t="s">
        <v>2661</v>
      </c>
      <c r="F197" s="811">
        <f t="shared" si="149"/>
        <v>0</v>
      </c>
      <c r="G197" s="440" t="str">
        <f t="shared" si="194"/>
        <v>...</v>
      </c>
      <c r="H197" s="1" t="s">
        <v>1815</v>
      </c>
      <c r="I197" s="55"/>
      <c r="J197" s="170">
        <f>+J196-trim-trim</f>
        <v>1196</v>
      </c>
      <c r="K197" s="1" t="s">
        <v>2137</v>
      </c>
      <c r="L197" s="170">
        <f>L196</f>
        <v>190</v>
      </c>
      <c r="M197" s="1" t="s">
        <v>2137</v>
      </c>
      <c r="N197" s="458">
        <f>+(S197+W197+Y197)</f>
        <v>14.5</v>
      </c>
      <c r="O197" s="170" t="str">
        <f>CONCATENATE(J197," ",K197," ",L197," ",M197," ",N197)</f>
        <v>1196 x 190 x 14,5</v>
      </c>
      <c r="P197" s="441">
        <v>1</v>
      </c>
      <c r="Q197" s="55">
        <f>+P197*Q196</f>
        <v>1</v>
      </c>
      <c r="R197" s="177" t="str">
        <f>IFERROR(INDEX((std_bhn_prt),MATCH($H197,Prt,0)),"")</f>
        <v>Ply</v>
      </c>
      <c r="S197" s="454">
        <f>IFERROR(INDEX((std_Tbahan_prt),MATCH($H197,Prt,0)),"")</f>
        <v>13.5</v>
      </c>
      <c r="T197" s="178">
        <f>INDEX((std_lapisan_luar_prt),MATCH($H197,Prt,0))</f>
        <v>22</v>
      </c>
      <c r="U197" s="178">
        <f>INDEX((std_lapisan_dalam_prt),MATCH($H197,Prt,0))</f>
        <v>11</v>
      </c>
      <c r="V197" s="179" t="str">
        <f>IFERROR(INDEX((tf),MATCH(T197,ctf,0)),"")</f>
        <v>Aica</v>
      </c>
      <c r="W197" s="180">
        <f>IFERROR(INDEX((tebal_lapisan),MATCH($V197,tf,0)),"")</f>
        <v>0.5</v>
      </c>
      <c r="X197" s="179" t="str">
        <f>IFERROR(INDEX((tf),MATCH(U197,ctf,0)),"")</f>
        <v>HB_41130</v>
      </c>
      <c r="Y197" s="180">
        <f>IFERROR(INDEX((tebal_lapisan),MATCH($X197,tf,0)),"")</f>
        <v>0.5</v>
      </c>
      <c r="Z197" s="178">
        <f>INDEX((std_edg_P1_prt),MATCH($H197,Prt,0))</f>
        <v>1</v>
      </c>
      <c r="AA197" s="178">
        <f>INDEX((std_edg_P2_prt),MATCH($H197,Prt,0))</f>
        <v>1</v>
      </c>
      <c r="AB197" s="178">
        <f>INDEX((std_edg_L1_prt),MATCH($H197,Prt,0))</f>
        <v>0</v>
      </c>
      <c r="AC197" s="178">
        <f>INDEX((std_edg_L2_prt),MATCH($H197,Prt,0))</f>
        <v>0</v>
      </c>
      <c r="AD197" s="182" t="str">
        <f t="shared" si="244"/>
        <v>Edg_EAW_5216D1</v>
      </c>
      <c r="AE197" s="182" t="str">
        <f t="shared" si="245"/>
        <v>Edg_EAW_5216D1</v>
      </c>
      <c r="AF197" s="182" t="str">
        <f t="shared" si="246"/>
        <v xml:space="preserve"> </v>
      </c>
      <c r="AG197" s="182" t="str">
        <f t="shared" si="247"/>
        <v xml:space="preserve"> </v>
      </c>
      <c r="AH197" s="401" t="str">
        <f>IFERROR(INDEX((std_profil3_prt),MATCH($H197,Prt,0)),"")</f>
        <v>SILICONE SIKAFLEX 221 PUTIH</v>
      </c>
      <c r="AI197" s="401">
        <f t="shared" si="156"/>
        <v>0</v>
      </c>
      <c r="AJ197" s="401">
        <f>IFERROR(INDEX((std_profil_prt),MATCH($H197,Prt,0)),"")</f>
        <v>0</v>
      </c>
      <c r="AK197" s="401">
        <f t="shared" si="157"/>
        <v>0</v>
      </c>
      <c r="AL197" s="401">
        <f t="shared" si="158"/>
        <v>0</v>
      </c>
      <c r="AM197" s="189"/>
      <c r="AN197" s="829">
        <f>IFERROR(INDEX((std_rel_prt),MATCH($H197,Prt,0)),"")</f>
        <v>0</v>
      </c>
      <c r="AO197" s="830" t="str">
        <f>IFERROR(INDEX((std_engsel_prt),MATCH($H197,Prt,0)),"")</f>
        <v>ENGSEL CLIP TOP  107 DEG INTEGRATED 75 B 1550 + 173 L 6100</v>
      </c>
      <c r="AP197" s="401" t="str">
        <f t="shared" si="159"/>
        <v/>
      </c>
      <c r="AQ197" s="401" t="str">
        <f t="shared" si="160"/>
        <v/>
      </c>
      <c r="AR197" s="401" t="str">
        <f t="shared" si="161"/>
        <v/>
      </c>
      <c r="AS197" s="401" t="str">
        <f>IFERROR(INDEX((std_anodize_per_ukuran),MATCH($H197,Prt,0)),"")</f>
        <v>Trim 22 S2/S4 Brown Doff ( Alm. 75270 ) P3</v>
      </c>
      <c r="AT197" s="403">
        <f>IF($AS197=edging7,L197,IF($AS197=edging8,L197,IF($AS197=edging9,L197,IF($AS197=Hand1,J196,IF($AS197=Hand2,L196,IF($AS197=hand3,"diisi manual",IF($AS197=hand4,"diisi manual",IF($AS197=hand5,"diisi manual",IF($AS197=mled02,J197,IF($AS197=mprf1,J197,IF($AS197=mlis1,J197,"")))))))))))</f>
        <v>190</v>
      </c>
      <c r="AU197" s="403">
        <f>IF($AS197="","",Q197*BR197)</f>
        <v>2</v>
      </c>
      <c r="AV197" s="170"/>
      <c r="AW197" s="166" t="str">
        <f>CONCATENATE(VLOOKUP($V197,tabtf,2,0),VLOOKUP($X197,tabtf,2,0))</f>
        <v>72</v>
      </c>
      <c r="AX197" s="166" t="str">
        <f t="shared" si="162"/>
        <v>4433</v>
      </c>
      <c r="AY197" s="189" t="str">
        <f t="shared" si="248"/>
        <v>HB_41130+Aica</v>
      </c>
      <c r="AZ197" s="189" t="str">
        <f t="shared" si="249"/>
        <v>Edg_EAW_5216D1_2sisi_pjg</v>
      </c>
      <c r="BA197" s="196" t="str">
        <f>IF($R197=0,CONCATENATE(0,")"," ",$H197," ",$J197),CONCATENATE(VLOOKUP(H197,tabprt,2,0),")",$H197,"_",AY197))</f>
        <v>278)Pintu Kaca S2_HB_41130+Aica</v>
      </c>
      <c r="BB197" s="629" t="str">
        <f t="shared" si="250"/>
        <v xml:space="preserve">278)Pintu Kaca S2 Ply 13,5mm - HB_41130+Aica ; Edg_EAW_5216D1_2sisi_pjg  </v>
      </c>
      <c r="BC197" s="190"/>
      <c r="BD197" s="510">
        <f t="shared" si="166"/>
        <v>0</v>
      </c>
      <c r="BE197" s="510">
        <f t="shared" si="167"/>
        <v>0</v>
      </c>
      <c r="BF197" s="177">
        <f>IFERROR(INDEX((std_j_sikufr_prt),MATCH($H197,Prt,0)),"")*Q197</f>
        <v>0</v>
      </c>
      <c r="BG197" s="177">
        <f>IFERROR(INDEX((std_j_screwjf_prt),MATCH($H197,Prt,0)),"")*Q197</f>
        <v>0</v>
      </c>
      <c r="BH197" s="166">
        <f>IF($AM197=0,0,1)*Q197</f>
        <v>0</v>
      </c>
      <c r="BI197" s="474">
        <f t="shared" si="207"/>
        <v>3</v>
      </c>
      <c r="BJ197" s="166">
        <f>IF($AN197=0,0,1)*Q197</f>
        <v>0</v>
      </c>
      <c r="BK197" s="474">
        <f t="shared" si="171"/>
        <v>1.236</v>
      </c>
      <c r="BL197" s="474">
        <f t="shared" si="172"/>
        <v>0.23</v>
      </c>
      <c r="BM197" s="474">
        <f t="shared" si="251"/>
        <v>2.9319999999999999</v>
      </c>
      <c r="BN197" s="166">
        <f>((J197*L197)/1000000)*Q197</f>
        <v>0.22724</v>
      </c>
      <c r="BO197" s="166" t="str">
        <f>CONCATENATE(R197,"_",S197)</f>
        <v>Ply_13,5</v>
      </c>
      <c r="BP197" s="204" t="str">
        <f>CONCATENATE(R197," ",S197," ",AY197)</f>
        <v>Ply 13,5 HB_41130+Aica</v>
      </c>
      <c r="BQ197" s="475">
        <f t="shared" si="252"/>
        <v>0.1789027777777778</v>
      </c>
      <c r="BR197" s="205">
        <f>IFERROR(INDEX((std_jml_anodize_per_uk),MATCH($H197,Prt,0)),"")</f>
        <v>2</v>
      </c>
      <c r="BS197" s="509">
        <f t="shared" si="177"/>
        <v>0</v>
      </c>
      <c r="BT197" s="509">
        <f t="shared" si="178"/>
        <v>0</v>
      </c>
      <c r="BU197" s="459">
        <f>BF197*$Q197</f>
        <v>0</v>
      </c>
      <c r="BV197" s="459">
        <f>BG197*$Q197</f>
        <v>0</v>
      </c>
      <c r="BW197" s="1">
        <f t="shared" si="208"/>
        <v>0.22724</v>
      </c>
      <c r="BX197" s="1">
        <f t="shared" si="209"/>
        <v>3.2949799999999999E-3</v>
      </c>
      <c r="BY197" s="546" t="str">
        <f t="shared" si="181"/>
        <v/>
      </c>
      <c r="BZ197" s="546" t="str">
        <f t="shared" si="182"/>
        <v/>
      </c>
      <c r="CA197" s="546" t="str">
        <f t="shared" si="183"/>
        <v/>
      </c>
      <c r="CB197" s="546" t="str">
        <f t="shared" si="184"/>
        <v/>
      </c>
      <c r="CC197" s="728" t="str">
        <f t="shared" si="185"/>
        <v/>
      </c>
      <c r="CD197" s="728" t="str">
        <f t="shared" si="186"/>
        <v/>
      </c>
      <c r="CE197" s="170" t="str">
        <f t="shared" si="187"/>
        <v xml:space="preserve"> x  x 14,5</v>
      </c>
      <c r="CF197" t="str">
        <f t="shared" si="188"/>
        <v xml:space="preserve"> </v>
      </c>
    </row>
    <row r="198" spans="1:84" customFormat="1">
      <c r="A198" s="701" t="str">
        <f t="shared" si="205"/>
        <v>…</v>
      </c>
      <c r="B198" s="447" t="str">
        <f t="shared" si="148"/>
        <v>Kc</v>
      </c>
      <c r="C198" s="161" t="s">
        <v>1472</v>
      </c>
      <c r="D198" s="162" t="str">
        <f>IFERROR(INDEX((KS),MATCH($H198,Prt,0)),"")</f>
        <v>k¢</v>
      </c>
      <c r="E198" s="1" t="s">
        <v>2167</v>
      </c>
      <c r="F198" s="811">
        <f t="shared" si="149"/>
        <v>1</v>
      </c>
      <c r="G198" s="440" t="str">
        <f t="shared" si="194"/>
        <v>...</v>
      </c>
      <c r="H198" s="1" t="s">
        <v>3490</v>
      </c>
      <c r="I198" s="55" t="s">
        <v>3591</v>
      </c>
      <c r="J198" s="170">
        <f>+J197-1</f>
        <v>1195</v>
      </c>
      <c r="K198" s="1" t="s">
        <v>2137</v>
      </c>
      <c r="L198" s="170">
        <f>+L197-1</f>
        <v>189</v>
      </c>
      <c r="M198" s="1" t="s">
        <v>2137</v>
      </c>
      <c r="N198" s="458">
        <f>+(S198+W198+Y198)</f>
        <v>5</v>
      </c>
      <c r="O198" s="170" t="str">
        <f>CONCATENATE(J198," ",K198," ",L198," ",M198," ",N198)</f>
        <v>1195 x 189 x 5</v>
      </c>
      <c r="P198" s="441">
        <f>IFERROR(INDEX((std_sub_prt),MATCH($H198,Prt,0)),"")</f>
        <v>1</v>
      </c>
      <c r="Q198" s="55">
        <f>+P198*Q196</f>
        <v>1</v>
      </c>
      <c r="R198" s="177" t="str">
        <f>IFERROR(INDEX((std_bhn_prt),MATCH($H198,Prt,0)),"")</f>
        <v>MG_Purewhite</v>
      </c>
      <c r="S198" s="454">
        <f>IFERROR(INDEX((std_Tbahan_prt),MATCH($H198,Prt,0)),"")</f>
        <v>5</v>
      </c>
      <c r="T198" s="178">
        <f>INDEX((std_lapisan_luar_prt),MATCH($H198,Prt,0))</f>
        <v>0</v>
      </c>
      <c r="U198" s="178">
        <f>INDEX((std_lapisan_dalam_prt),MATCH($H198,Prt,0))</f>
        <v>0</v>
      </c>
      <c r="V198" s="179" t="str">
        <f>IFERROR(INDEX((tf),MATCH(T198,ctf,0)),"")</f>
        <v>Polos</v>
      </c>
      <c r="W198" s="180">
        <f>IFERROR(INDEX((tebal_lapisan),MATCH($V198,tf,0)),"")</f>
        <v>0</v>
      </c>
      <c r="X198" s="179" t="str">
        <f>IFERROR(INDEX((tf),MATCH(U198,ctf,0)),"")</f>
        <v>Polos</v>
      </c>
      <c r="Y198" s="180">
        <f>IFERROR(INDEX((tebal_lapisan),MATCH($X198,tf,0)),"")</f>
        <v>0</v>
      </c>
      <c r="Z198" s="178">
        <f>INDEX((std_edg_P1_prt),MATCH($H198,Prt,0))</f>
        <v>0</v>
      </c>
      <c r="AA198" s="178">
        <f>INDEX((std_edg_P2_prt),MATCH($H198,Prt,0))</f>
        <v>0</v>
      </c>
      <c r="AB198" s="178">
        <f>INDEX((std_edg_L1_prt),MATCH($H198,Prt,0))</f>
        <v>0</v>
      </c>
      <c r="AC198" s="178">
        <f>INDEX((std_edg_L2_prt),MATCH($H198,Prt,0))</f>
        <v>0</v>
      </c>
      <c r="AD198" s="182" t="str">
        <f t="shared" si="244"/>
        <v xml:space="preserve"> </v>
      </c>
      <c r="AE198" s="182" t="str">
        <f t="shared" si="245"/>
        <v xml:space="preserve"> </v>
      </c>
      <c r="AF198" s="182" t="str">
        <f t="shared" si="246"/>
        <v xml:space="preserve"> </v>
      </c>
      <c r="AG198" s="182" t="str">
        <f t="shared" si="247"/>
        <v xml:space="preserve"> </v>
      </c>
      <c r="AH198" s="401">
        <f>IFERROR(INDEX((std_profil3_prt),MATCH($H198,Prt,0)),"")</f>
        <v>0</v>
      </c>
      <c r="AI198" s="401">
        <f t="shared" si="156"/>
        <v>0</v>
      </c>
      <c r="AJ198" s="182"/>
      <c r="AK198" s="401">
        <f t="shared" si="157"/>
        <v>0</v>
      </c>
      <c r="AL198" s="401">
        <f t="shared" si="158"/>
        <v>0</v>
      </c>
      <c r="AM198" s="189"/>
      <c r="AN198" s="829">
        <f>IFERROR(INDEX((std_rel_prt),MATCH($H198,Prt,0)),"")</f>
        <v>0</v>
      </c>
      <c r="AO198" s="830">
        <f>IFERROR(INDEX((std_engsel_prt),MATCH($H198,Prt,0)),"")</f>
        <v>0</v>
      </c>
      <c r="AP198" s="401">
        <f t="shared" si="159"/>
        <v>0</v>
      </c>
      <c r="AQ198" s="401">
        <f t="shared" si="160"/>
        <v>0</v>
      </c>
      <c r="AR198" s="401">
        <f t="shared" si="161"/>
        <v>0</v>
      </c>
      <c r="AS198" s="401">
        <f>IFERROR(INDEX((std_anodize_per_ukuran),MATCH($H198,Prt,0)),"")</f>
        <v>0</v>
      </c>
      <c r="AT198" s="403" t="str">
        <f>IF($AS198=0,"",L198)</f>
        <v/>
      </c>
      <c r="AU198" s="403" t="str">
        <f>IF($AS198=0,"",Q198*BR198)</f>
        <v/>
      </c>
      <c r="AV198" s="170"/>
      <c r="AW198" s="166" t="str">
        <f>CONCATENATE(VLOOKUP($V198,tabtf,2,0),VLOOKUP($X198,tabtf,2,0))</f>
        <v>33</v>
      </c>
      <c r="AX198" s="166" t="str">
        <f t="shared" si="162"/>
        <v>3333</v>
      </c>
      <c r="AY198" s="189" t="str">
        <f t="shared" si="248"/>
        <v>Polos</v>
      </c>
      <c r="AZ198" s="189" t="str">
        <f t="shared" si="249"/>
        <v xml:space="preserve"> -</v>
      </c>
      <c r="BA198" s="196" t="str">
        <f>IF($R198=0,CONCATENATE(0,")"," ",$H198," ",$J198),CONCATENATE(VLOOKUP(H198,tabprt,2,0),")",$H198,"_",AY198))</f>
        <v>535)Kaca__Polos</v>
      </c>
      <c r="BB198" s="629" t="str">
        <f t="shared" si="250"/>
        <v>535)Kaca_ MG_Purewhite 5mm -  ;  -  (u/_S2) ; (pasang_rakit)</v>
      </c>
      <c r="BC198" s="190"/>
      <c r="BD198" s="510">
        <f t="shared" si="166"/>
        <v>0</v>
      </c>
      <c r="BE198" s="510">
        <f t="shared" si="167"/>
        <v>0</v>
      </c>
      <c r="BF198" s="177">
        <f>IFERROR(INDEX((std_j_sikufr_prt),MATCH($H198,Prt,0)),"")*Q198</f>
        <v>0</v>
      </c>
      <c r="BG198" s="177">
        <f>IFERROR(INDEX((std_j_screwjf_prt),MATCH($H198,Prt,0)),"")*Q198</f>
        <v>0</v>
      </c>
      <c r="BH198" s="166">
        <f>IF($AM198=0,0,1)*Q198</f>
        <v>0</v>
      </c>
      <c r="BI198" s="474">
        <f t="shared" si="207"/>
        <v>0</v>
      </c>
      <c r="BJ198" s="166">
        <f>IF($AN198=0,0,1)*Q198</f>
        <v>0</v>
      </c>
      <c r="BK198" s="474">
        <f t="shared" si="171"/>
        <v>1.2350000000000001</v>
      </c>
      <c r="BL198" s="474">
        <f t="shared" si="172"/>
        <v>0.22900000000000001</v>
      </c>
      <c r="BM198" s="474">
        <f t="shared" si="251"/>
        <v>2.9279999999999999</v>
      </c>
      <c r="BN198" s="166">
        <f>((J198*L198)/1000000)*Q198</f>
        <v>0.225855</v>
      </c>
      <c r="BO198" s="166" t="str">
        <f>CONCATENATE(R198,"_",S198)</f>
        <v>MG_Purewhite_5</v>
      </c>
      <c r="BP198" s="204" t="str">
        <f>CONCATENATE(R198," ",S198," ",AY198)</f>
        <v>MG_Purewhite 5 Polos</v>
      </c>
      <c r="BQ198" s="475">
        <f t="shared" si="252"/>
        <v>0.17842187500000001</v>
      </c>
      <c r="BR198" s="205">
        <f>IFERROR(INDEX((std_jml_anodize_per_uk),MATCH($H198,Prt,0)),"")</f>
        <v>0</v>
      </c>
      <c r="BS198" s="509">
        <f t="shared" si="177"/>
        <v>0</v>
      </c>
      <c r="BT198" s="509">
        <f t="shared" si="178"/>
        <v>0</v>
      </c>
      <c r="BU198" s="459">
        <f>BF198*$Q198</f>
        <v>0</v>
      </c>
      <c r="BV198" s="459">
        <f>BG198*$Q198</f>
        <v>0</v>
      </c>
      <c r="BW198" s="1">
        <f t="shared" si="208"/>
        <v>0.225855</v>
      </c>
      <c r="BX198" s="1">
        <f t="shared" si="209"/>
        <v>1.1292749999999999E-3</v>
      </c>
      <c r="BY198" s="546" t="str">
        <f t="shared" si="181"/>
        <v/>
      </c>
      <c r="BZ198" s="546" t="str">
        <f t="shared" si="182"/>
        <v/>
      </c>
      <c r="CA198" s="546" t="str">
        <f t="shared" si="183"/>
        <v/>
      </c>
      <c r="CB198" s="546" t="str">
        <f t="shared" si="184"/>
        <v/>
      </c>
      <c r="CC198" s="728" t="str">
        <f t="shared" si="185"/>
        <v/>
      </c>
      <c r="CD198" s="728" t="str">
        <f t="shared" si="186"/>
        <v/>
      </c>
      <c r="CE198" s="170" t="str">
        <f t="shared" si="187"/>
        <v xml:space="preserve"> x  x 5</v>
      </c>
      <c r="CF198" t="str">
        <f t="shared" si="188"/>
        <v>1195;189;1;MG_Purewhite 5 Polos;5;Kaca_;-1; ;; ;; ;; ;</v>
      </c>
    </row>
    <row r="199" spans="1:84" customFormat="1">
      <c r="A199" s="701"/>
      <c r="B199" s="447"/>
      <c r="C199" s="161"/>
      <c r="D199" s="162"/>
      <c r="E199" s="1"/>
      <c r="F199" s="811"/>
      <c r="G199" s="440"/>
      <c r="H199" s="1"/>
      <c r="I199" s="55"/>
      <c r="J199" s="170"/>
      <c r="K199" s="1"/>
      <c r="L199" s="170"/>
      <c r="M199" s="1"/>
      <c r="N199" s="458"/>
      <c r="O199" s="170"/>
      <c r="P199" s="441"/>
      <c r="Q199" s="55"/>
      <c r="R199" s="177"/>
      <c r="S199" s="454"/>
      <c r="T199" s="178"/>
      <c r="U199" s="178"/>
      <c r="V199" s="179"/>
      <c r="W199" s="180"/>
      <c r="X199" s="179"/>
      <c r="Y199" s="180"/>
      <c r="Z199" s="178"/>
      <c r="AA199" s="178"/>
      <c r="AB199" s="178"/>
      <c r="AC199" s="178"/>
      <c r="AD199" s="182"/>
      <c r="AE199" s="182"/>
      <c r="AF199" s="182"/>
      <c r="AG199" s="182"/>
      <c r="AH199" s="401"/>
      <c r="AI199" s="401"/>
      <c r="AJ199" s="401"/>
      <c r="AK199" s="401"/>
      <c r="AL199" s="401"/>
      <c r="AM199" s="189"/>
      <c r="AN199" s="829"/>
      <c r="AO199" s="830"/>
      <c r="AP199" s="401"/>
      <c r="AQ199" s="401"/>
      <c r="AR199" s="401"/>
      <c r="AS199" s="401"/>
      <c r="AT199" s="403"/>
      <c r="AU199" s="403"/>
      <c r="AV199" s="170"/>
      <c r="AW199" s="166"/>
      <c r="AX199" s="166"/>
      <c r="AY199" s="189"/>
      <c r="AZ199" s="189"/>
      <c r="BA199" s="196"/>
      <c r="BB199" s="629"/>
      <c r="BC199" s="190"/>
      <c r="BD199" s="510"/>
      <c r="BE199" s="510"/>
      <c r="BF199" s="177"/>
      <c r="BG199" s="177"/>
      <c r="BH199" s="166"/>
      <c r="BI199" s="474"/>
      <c r="BJ199" s="166"/>
      <c r="BK199" s="474"/>
      <c r="BL199" s="474"/>
      <c r="BM199" s="474"/>
      <c r="BN199" s="166"/>
      <c r="BO199" s="166"/>
      <c r="BP199" s="204"/>
      <c r="BQ199" s="475"/>
      <c r="BR199" s="205"/>
      <c r="BS199" s="509"/>
      <c r="BT199" s="509"/>
      <c r="BU199" s="459"/>
      <c r="BV199" s="459"/>
      <c r="BW199" s="1"/>
      <c r="BX199" s="1"/>
      <c r="BY199" s="546"/>
      <c r="BZ199" s="546"/>
      <c r="CA199" s="546"/>
      <c r="CB199" s="546"/>
      <c r="CC199" s="728"/>
      <c r="CD199" s="728"/>
      <c r="CE199" s="170"/>
    </row>
    <row r="200" spans="1:84" customFormat="1">
      <c r="A200" s="701"/>
      <c r="B200" s="447"/>
      <c r="C200" s="161"/>
      <c r="D200" s="162"/>
      <c r="E200" s="1"/>
      <c r="F200" s="811"/>
      <c r="G200" s="440"/>
      <c r="H200" s="1"/>
      <c r="I200" s="55"/>
      <c r="J200" s="170"/>
      <c r="K200" s="1"/>
      <c r="L200" s="170"/>
      <c r="M200" s="1"/>
      <c r="N200" s="458"/>
      <c r="O200" s="170"/>
      <c r="P200" s="441"/>
      <c r="Q200" s="55"/>
      <c r="R200" s="177"/>
      <c r="S200" s="454"/>
      <c r="T200" s="178"/>
      <c r="U200" s="178"/>
      <c r="V200" s="179"/>
      <c r="W200" s="180"/>
      <c r="X200" s="179"/>
      <c r="Y200" s="180"/>
      <c r="Z200" s="178"/>
      <c r="AA200" s="178"/>
      <c r="AB200" s="178"/>
      <c r="AC200" s="178"/>
      <c r="AD200" s="182"/>
      <c r="AE200" s="182"/>
      <c r="AF200" s="182"/>
      <c r="AG200" s="182"/>
      <c r="AH200" s="401"/>
      <c r="AI200" s="401"/>
      <c r="AJ200" s="401"/>
      <c r="AK200" s="401"/>
      <c r="AL200" s="401"/>
      <c r="AM200" s="189"/>
      <c r="AN200" s="829"/>
      <c r="AO200" s="830"/>
      <c r="AP200" s="401"/>
      <c r="AQ200" s="401"/>
      <c r="AR200" s="401"/>
      <c r="AS200" s="401"/>
      <c r="AT200" s="403"/>
      <c r="AU200" s="403"/>
      <c r="AV200" s="170"/>
      <c r="AW200" s="166"/>
      <c r="AX200" s="166"/>
      <c r="AY200" s="189"/>
      <c r="AZ200" s="189"/>
      <c r="BA200" s="196"/>
      <c r="BB200" s="629"/>
      <c r="BC200" s="190"/>
      <c r="BD200" s="510"/>
      <c r="BE200" s="510"/>
      <c r="BF200" s="177"/>
      <c r="BG200" s="177"/>
      <c r="BH200" s="166"/>
      <c r="BI200" s="474"/>
      <c r="BJ200" s="166"/>
      <c r="BK200" s="474"/>
      <c r="BL200" s="474"/>
      <c r="BM200" s="474"/>
      <c r="BN200" s="166"/>
      <c r="BO200" s="166"/>
      <c r="BP200" s="204"/>
      <c r="BQ200" s="475"/>
      <c r="BR200" s="205"/>
      <c r="BS200" s="509"/>
      <c r="BT200" s="509"/>
      <c r="BU200" s="459"/>
      <c r="BV200" s="459"/>
      <c r="BW200" s="1"/>
      <c r="BX200" s="1"/>
      <c r="BY200" s="546"/>
      <c r="BZ200" s="546"/>
      <c r="CA200" s="546"/>
      <c r="CB200" s="546"/>
      <c r="CC200" s="728"/>
      <c r="CD200" s="728"/>
      <c r="CE200" s="170"/>
    </row>
    <row r="201" spans="1:84" customFormat="1">
      <c r="A201" s="701"/>
      <c r="B201" s="447"/>
      <c r="C201" s="161"/>
      <c r="D201" s="162"/>
      <c r="E201" s="1"/>
      <c r="F201" s="811"/>
      <c r="G201" s="440"/>
      <c r="H201" s="1"/>
      <c r="I201" s="55"/>
      <c r="J201" s="170"/>
      <c r="K201" s="1"/>
      <c r="L201" s="170"/>
      <c r="M201" s="1"/>
      <c r="N201" s="458"/>
      <c r="O201" s="170"/>
      <c r="P201" s="441"/>
      <c r="Q201" s="55"/>
      <c r="R201" s="177"/>
      <c r="S201" s="454"/>
      <c r="T201" s="178"/>
      <c r="U201" s="178"/>
      <c r="V201" s="179"/>
      <c r="W201" s="180"/>
      <c r="X201" s="179"/>
      <c r="Y201" s="180"/>
      <c r="Z201" s="178"/>
      <c r="AA201" s="178"/>
      <c r="AB201" s="178"/>
      <c r="AC201" s="178"/>
      <c r="AD201" s="182"/>
      <c r="AE201" s="182"/>
      <c r="AF201" s="182"/>
      <c r="AG201" s="182"/>
      <c r="AH201" s="401"/>
      <c r="AI201" s="401"/>
      <c r="AJ201" s="401"/>
      <c r="AK201" s="401"/>
      <c r="AL201" s="401"/>
      <c r="AM201" s="189"/>
      <c r="AN201" s="829"/>
      <c r="AO201" s="830"/>
      <c r="AP201" s="401"/>
      <c r="AQ201" s="401"/>
      <c r="AR201" s="401"/>
      <c r="AS201" s="401"/>
      <c r="AT201" s="403"/>
      <c r="AU201" s="403"/>
      <c r="AV201" s="170"/>
      <c r="AW201" s="166"/>
      <c r="AX201" s="166"/>
      <c r="AY201" s="189"/>
      <c r="AZ201" s="189"/>
      <c r="BA201" s="196"/>
      <c r="BB201" s="629"/>
      <c r="BC201" s="190"/>
      <c r="BD201" s="510"/>
      <c r="BE201" s="510"/>
      <c r="BF201" s="177"/>
      <c r="BG201" s="177"/>
      <c r="BH201" s="166"/>
      <c r="BI201" s="474"/>
      <c r="BJ201" s="166"/>
      <c r="BK201" s="474"/>
      <c r="BL201" s="474"/>
      <c r="BM201" s="474"/>
      <c r="BN201" s="166"/>
      <c r="BO201" s="166"/>
      <c r="BP201" s="204"/>
      <c r="BQ201" s="475"/>
      <c r="BR201" s="205"/>
      <c r="BS201" s="509"/>
      <c r="BT201" s="509"/>
      <c r="BU201" s="459"/>
      <c r="BV201" s="459"/>
      <c r="BW201" s="1"/>
      <c r="BX201" s="1"/>
      <c r="BY201" s="546"/>
      <c r="BZ201" s="546"/>
      <c r="CA201" s="546"/>
      <c r="CB201" s="546"/>
      <c r="CC201" s="728"/>
      <c r="CD201" s="728"/>
      <c r="CE201" s="170"/>
    </row>
    <row r="202" spans="1:84" customFormat="1">
      <c r="A202" s="701"/>
      <c r="B202" s="447"/>
      <c r="C202" s="161"/>
      <c r="D202" s="162"/>
      <c r="E202" s="1"/>
      <c r="F202" s="811"/>
      <c r="G202" s="440"/>
      <c r="H202" s="1"/>
      <c r="I202" s="55"/>
      <c r="J202" s="170"/>
      <c r="K202" s="1"/>
      <c r="L202" s="170"/>
      <c r="M202" s="1"/>
      <c r="N202" s="458"/>
      <c r="O202" s="170"/>
      <c r="P202" s="441"/>
      <c r="Q202" s="55"/>
      <c r="R202" s="177"/>
      <c r="S202" s="454"/>
      <c r="T202" s="178"/>
      <c r="U202" s="178"/>
      <c r="V202" s="179"/>
      <c r="W202" s="180"/>
      <c r="X202" s="179"/>
      <c r="Y202" s="180"/>
      <c r="Z202" s="178"/>
      <c r="AA202" s="178"/>
      <c r="AB202" s="178"/>
      <c r="AC202" s="178"/>
      <c r="AD202" s="182"/>
      <c r="AE202" s="182"/>
      <c r="AF202" s="182"/>
      <c r="AG202" s="182"/>
      <c r="AH202" s="401"/>
      <c r="AI202" s="401"/>
      <c r="AJ202" s="401"/>
      <c r="AK202" s="401"/>
      <c r="AL202" s="401"/>
      <c r="AM202" s="189"/>
      <c r="AN202" s="829"/>
      <c r="AO202" s="830"/>
      <c r="AP202" s="401"/>
      <c r="AQ202" s="401"/>
      <c r="AR202" s="401"/>
      <c r="AS202" s="401"/>
      <c r="AT202" s="403"/>
      <c r="AU202" s="403"/>
      <c r="AV202" s="170"/>
      <c r="AW202" s="166"/>
      <c r="AX202" s="166"/>
      <c r="AY202" s="189"/>
      <c r="AZ202" s="189"/>
      <c r="BA202" s="196"/>
      <c r="BB202" s="629"/>
      <c r="BC202" s="190"/>
      <c r="BD202" s="510"/>
      <c r="BE202" s="510"/>
      <c r="BF202" s="177"/>
      <c r="BG202" s="177"/>
      <c r="BH202" s="166"/>
      <c r="BI202" s="474"/>
      <c r="BJ202" s="166"/>
      <c r="BK202" s="474"/>
      <c r="BL202" s="474"/>
      <c r="BM202" s="474"/>
      <c r="BN202" s="166"/>
      <c r="BO202" s="166"/>
      <c r="BP202" s="204"/>
      <c r="BQ202" s="475"/>
      <c r="BR202" s="205"/>
      <c r="BS202" s="509"/>
      <c r="BT202" s="509"/>
      <c r="BU202" s="459"/>
      <c r="BV202" s="459"/>
      <c r="BW202" s="1"/>
      <c r="BX202" s="1"/>
      <c r="BY202" s="546"/>
      <c r="BZ202" s="546"/>
      <c r="CA202" s="546"/>
      <c r="CB202" s="546"/>
      <c r="CC202" s="728"/>
      <c r="CD202" s="728"/>
      <c r="CE202" s="170"/>
    </row>
    <row r="203" spans="1:84" customFormat="1">
      <c r="A203" s="701"/>
      <c r="B203" s="447"/>
      <c r="C203" s="161"/>
      <c r="D203" s="162"/>
      <c r="E203" s="1"/>
      <c r="F203" s="811"/>
      <c r="G203" s="440"/>
      <c r="H203" s="1"/>
      <c r="I203" s="55"/>
      <c r="J203" s="170"/>
      <c r="K203" s="1"/>
      <c r="L203" s="170"/>
      <c r="M203" s="1"/>
      <c r="N203" s="458"/>
      <c r="O203" s="170"/>
      <c r="P203" s="441"/>
      <c r="Q203" s="55"/>
      <c r="R203" s="177"/>
      <c r="S203" s="454"/>
      <c r="T203" s="178"/>
      <c r="U203" s="178"/>
      <c r="V203" s="179"/>
      <c r="W203" s="180"/>
      <c r="X203" s="179"/>
      <c r="Y203" s="180"/>
      <c r="Z203" s="178"/>
      <c r="AA203" s="178"/>
      <c r="AB203" s="178"/>
      <c r="AC203" s="178"/>
      <c r="AD203" s="182"/>
      <c r="AE203" s="182"/>
      <c r="AF203" s="182"/>
      <c r="AG203" s="182"/>
      <c r="AH203" s="401"/>
      <c r="AI203" s="401"/>
      <c r="AJ203" s="401"/>
      <c r="AK203" s="401"/>
      <c r="AL203" s="401"/>
      <c r="AM203" s="189"/>
      <c r="AN203" s="829"/>
      <c r="AO203" s="830"/>
      <c r="AP203" s="401"/>
      <c r="AQ203" s="401"/>
      <c r="AR203" s="401"/>
      <c r="AS203" s="401"/>
      <c r="AT203" s="403"/>
      <c r="AU203" s="403"/>
      <c r="AV203" s="170"/>
      <c r="AW203" s="166"/>
      <c r="AX203" s="166"/>
      <c r="AY203" s="189"/>
      <c r="AZ203" s="189"/>
      <c r="BA203" s="196"/>
      <c r="BB203" s="629"/>
      <c r="BC203" s="190"/>
      <c r="BD203" s="510"/>
      <c r="BE203" s="510"/>
      <c r="BF203" s="177"/>
      <c r="BG203" s="177"/>
      <c r="BH203" s="166"/>
      <c r="BI203" s="474"/>
      <c r="BJ203" s="166"/>
      <c r="BK203" s="474"/>
      <c r="BL203" s="474"/>
      <c r="BM203" s="474"/>
      <c r="BN203" s="166"/>
      <c r="BO203" s="166"/>
      <c r="BP203" s="204"/>
      <c r="BQ203" s="475"/>
      <c r="BR203" s="205"/>
      <c r="BS203" s="509"/>
      <c r="BT203" s="509"/>
      <c r="BU203" s="459"/>
      <c r="BV203" s="459"/>
      <c r="BW203" s="1"/>
      <c r="BX203" s="1"/>
      <c r="BY203" s="546"/>
      <c r="BZ203" s="546"/>
      <c r="CA203" s="546"/>
      <c r="CB203" s="546"/>
      <c r="CC203" s="728"/>
      <c r="CD203" s="728"/>
      <c r="CE203" s="170"/>
    </row>
    <row r="204" spans="1:84" customFormat="1">
      <c r="A204" s="701"/>
      <c r="B204" s="447"/>
      <c r="C204" s="161"/>
      <c r="D204" s="162"/>
      <c r="E204" s="1"/>
      <c r="F204" s="811"/>
      <c r="G204" s="440"/>
      <c r="H204" s="1"/>
      <c r="I204" s="55"/>
      <c r="J204" s="170"/>
      <c r="K204" s="1"/>
      <c r="L204" s="170"/>
      <c r="M204" s="1"/>
      <c r="N204" s="458"/>
      <c r="O204" s="170"/>
      <c r="P204" s="441"/>
      <c r="Q204" s="55"/>
      <c r="R204" s="177"/>
      <c r="S204" s="454"/>
      <c r="T204" s="178"/>
      <c r="U204" s="178"/>
      <c r="V204" s="179"/>
      <c r="W204" s="180"/>
      <c r="X204" s="179"/>
      <c r="Y204" s="180"/>
      <c r="Z204" s="178"/>
      <c r="AA204" s="178"/>
      <c r="AB204" s="178"/>
      <c r="AC204" s="178"/>
      <c r="AD204" s="182"/>
      <c r="AE204" s="182"/>
      <c r="AF204" s="182"/>
      <c r="AG204" s="182"/>
      <c r="AH204" s="401"/>
      <c r="AI204" s="401"/>
      <c r="AJ204" s="401"/>
      <c r="AK204" s="401"/>
      <c r="AL204" s="401"/>
      <c r="AM204" s="189"/>
      <c r="AN204" s="829"/>
      <c r="AO204" s="830"/>
      <c r="AP204" s="401"/>
      <c r="AQ204" s="401"/>
      <c r="AR204" s="401"/>
      <c r="AS204" s="401"/>
      <c r="AT204" s="403"/>
      <c r="AU204" s="403"/>
      <c r="AV204" s="170"/>
      <c r="AW204" s="166"/>
      <c r="AX204" s="166"/>
      <c r="AY204" s="189"/>
      <c r="AZ204" s="189"/>
      <c r="BA204" s="196"/>
      <c r="BB204" s="629"/>
      <c r="BC204" s="190"/>
      <c r="BD204" s="510"/>
      <c r="BE204" s="510"/>
      <c r="BF204" s="177"/>
      <c r="BG204" s="177"/>
      <c r="BH204" s="166"/>
      <c r="BI204" s="474"/>
      <c r="BJ204" s="166"/>
      <c r="BK204" s="474"/>
      <c r="BL204" s="474"/>
      <c r="BM204" s="474"/>
      <c r="BN204" s="166"/>
      <c r="BO204" s="166"/>
      <c r="BP204" s="204"/>
      <c r="BQ204" s="475"/>
      <c r="BR204" s="205"/>
      <c r="BS204" s="509"/>
      <c r="BT204" s="509"/>
      <c r="BU204" s="459"/>
      <c r="BV204" s="459"/>
      <c r="BW204" s="1"/>
      <c r="BX204" s="1"/>
      <c r="BY204" s="546"/>
      <c r="BZ204" s="546"/>
      <c r="CA204" s="546"/>
      <c r="CB204" s="546"/>
      <c r="CC204" s="728"/>
      <c r="CD204" s="728"/>
      <c r="CE204" s="170"/>
    </row>
    <row r="205" spans="1:84" customFormat="1">
      <c r="A205" s="701"/>
      <c r="B205" s="447"/>
      <c r="C205" s="1"/>
      <c r="D205" s="538"/>
      <c r="E205" s="1"/>
      <c r="F205" s="811"/>
      <c r="G205" s="440"/>
      <c r="H205" s="1"/>
      <c r="I205" s="55"/>
      <c r="J205" s="171"/>
      <c r="K205" s="55"/>
      <c r="L205" s="171"/>
      <c r="M205" s="55"/>
      <c r="N205" s="172"/>
      <c r="O205" s="170"/>
      <c r="P205" s="139"/>
      <c r="Q205" s="172"/>
      <c r="R205" s="181"/>
      <c r="S205" s="455"/>
      <c r="T205" s="170"/>
      <c r="U205" s="170"/>
      <c r="V205" s="1"/>
      <c r="W205" s="173"/>
      <c r="X205" s="1"/>
      <c r="Y205" s="166"/>
      <c r="Z205" s="170"/>
      <c r="AA205" s="170"/>
      <c r="AB205" s="170"/>
      <c r="AC205" s="170"/>
      <c r="AD205" s="182"/>
      <c r="AE205" s="182"/>
      <c r="AF205" s="182"/>
      <c r="AG205" s="182"/>
      <c r="AH205" s="189"/>
      <c r="AI205" s="401"/>
      <c r="AJ205" s="189"/>
      <c r="AK205" s="401"/>
      <c r="AL205" s="401"/>
      <c r="AM205" s="189"/>
      <c r="AN205" s="782"/>
      <c r="AO205" s="189"/>
      <c r="AP205" s="401"/>
      <c r="AQ205" s="401"/>
      <c r="AR205" s="401"/>
      <c r="AS205" s="188"/>
      <c r="AT205" s="1"/>
      <c r="AU205" s="403"/>
      <c r="AV205" s="1"/>
      <c r="AW205" s="166"/>
      <c r="AX205" s="166"/>
      <c r="AY205" s="189"/>
      <c r="AZ205" s="189"/>
      <c r="BA205" s="196"/>
      <c r="BB205" s="629"/>
      <c r="BC205" s="197"/>
      <c r="BD205" s="510"/>
      <c r="BE205" s="510"/>
      <c r="BF205" s="177"/>
      <c r="BG205" s="177"/>
      <c r="BH205" s="166"/>
      <c r="BI205" s="474"/>
      <c r="BJ205" s="166"/>
      <c r="BK205" s="474"/>
      <c r="BL205" s="474"/>
      <c r="BM205" s="474"/>
      <c r="BN205" s="166"/>
      <c r="BO205" s="166"/>
      <c r="BP205" s="204"/>
      <c r="BQ205" s="475"/>
      <c r="BR205" s="205"/>
      <c r="BS205" s="509"/>
      <c r="BT205" s="509"/>
      <c r="BU205" s="459"/>
      <c r="BV205" s="459"/>
      <c r="BW205" s="1"/>
      <c r="BX205" s="1"/>
      <c r="BY205" s="546"/>
      <c r="BZ205" s="546"/>
      <c r="CA205" s="546"/>
      <c r="CB205" s="546"/>
      <c r="CC205" s="728"/>
      <c r="CD205" s="728"/>
      <c r="CE205" s="170"/>
    </row>
    <row r="206" spans="1:84" customFormat="1">
      <c r="A206" s="701"/>
      <c r="B206" s="447"/>
      <c r="C206" s="161"/>
      <c r="D206" s="162"/>
      <c r="E206" s="1"/>
      <c r="F206" s="811"/>
      <c r="G206" s="440"/>
      <c r="H206" s="1"/>
      <c r="I206" s="55"/>
      <c r="J206" s="170"/>
      <c r="K206" s="1"/>
      <c r="L206" s="170"/>
      <c r="M206" s="1"/>
      <c r="N206" s="458"/>
      <c r="O206" s="170"/>
      <c r="P206" s="441"/>
      <c r="Q206" s="55"/>
      <c r="R206" s="177"/>
      <c r="S206" s="454"/>
      <c r="T206" s="178"/>
      <c r="U206" s="178"/>
      <c r="V206" s="179"/>
      <c r="W206" s="180"/>
      <c r="X206" s="179"/>
      <c r="Y206" s="180"/>
      <c r="Z206" s="178"/>
      <c r="AA206" s="178"/>
      <c r="AB206" s="178"/>
      <c r="AC206" s="178"/>
      <c r="AD206" s="182"/>
      <c r="AE206" s="182"/>
      <c r="AF206" s="182"/>
      <c r="AG206" s="182"/>
      <c r="AH206" s="401"/>
      <c r="AI206" s="401"/>
      <c r="AJ206" s="401"/>
      <c r="AK206" s="401"/>
      <c r="AL206" s="401"/>
      <c r="AM206" s="189"/>
      <c r="AN206" s="829"/>
      <c r="AO206" s="830"/>
      <c r="AP206" s="401"/>
      <c r="AQ206" s="401"/>
      <c r="AR206" s="401"/>
      <c r="AS206" s="401"/>
      <c r="AT206" s="403"/>
      <c r="AU206" s="403"/>
      <c r="AV206" s="170"/>
      <c r="AW206" s="166"/>
      <c r="AX206" s="166"/>
      <c r="AY206" s="189"/>
      <c r="AZ206" s="189"/>
      <c r="BA206" s="196"/>
      <c r="BB206" s="629"/>
      <c r="BC206" s="190"/>
      <c r="BD206" s="510"/>
      <c r="BE206" s="510"/>
      <c r="BF206" s="177"/>
      <c r="BG206" s="177"/>
      <c r="BH206" s="166"/>
      <c r="BI206" s="474"/>
      <c r="BJ206" s="166"/>
      <c r="BK206" s="474"/>
      <c r="BL206" s="474"/>
      <c r="BM206" s="474"/>
      <c r="BN206" s="166"/>
      <c r="BO206" s="166"/>
      <c r="BP206" s="204"/>
      <c r="BQ206" s="475"/>
      <c r="BR206" s="205"/>
      <c r="BS206" s="509"/>
      <c r="BT206" s="509"/>
      <c r="BU206" s="459"/>
      <c r="BV206" s="459"/>
      <c r="BW206" s="1"/>
      <c r="BX206" s="1"/>
      <c r="BY206" s="546"/>
      <c r="BZ206" s="546"/>
      <c r="CA206" s="546"/>
      <c r="CB206" s="546"/>
      <c r="CC206" s="728"/>
      <c r="CD206" s="728"/>
      <c r="CE206" s="170"/>
    </row>
    <row r="207" spans="1:84" customFormat="1">
      <c r="A207" s="701"/>
      <c r="B207" s="447"/>
      <c r="C207" s="161"/>
      <c r="D207" s="162"/>
      <c r="E207" s="1"/>
      <c r="F207" s="811"/>
      <c r="G207" s="440"/>
      <c r="H207" s="1"/>
      <c r="I207" s="55"/>
      <c r="J207" s="170"/>
      <c r="K207" s="1"/>
      <c r="L207" s="170"/>
      <c r="M207" s="1"/>
      <c r="N207" s="458"/>
      <c r="O207" s="170"/>
      <c r="P207" s="441"/>
      <c r="Q207" s="55"/>
      <c r="R207" s="177"/>
      <c r="S207" s="454"/>
      <c r="T207" s="178"/>
      <c r="U207" s="178"/>
      <c r="V207" s="179"/>
      <c r="W207" s="180"/>
      <c r="X207" s="179"/>
      <c r="Y207" s="180"/>
      <c r="Z207" s="178"/>
      <c r="AA207" s="178"/>
      <c r="AB207" s="178"/>
      <c r="AC207" s="178"/>
      <c r="AD207" s="182"/>
      <c r="AE207" s="182"/>
      <c r="AF207" s="182"/>
      <c r="AG207" s="182"/>
      <c r="AH207" s="401"/>
      <c r="AI207" s="401"/>
      <c r="AJ207" s="401"/>
      <c r="AK207" s="401"/>
      <c r="AL207" s="401"/>
      <c r="AM207" s="189"/>
      <c r="AN207" s="829"/>
      <c r="AO207" s="830"/>
      <c r="AP207" s="401"/>
      <c r="AQ207" s="401"/>
      <c r="AR207" s="401"/>
      <c r="AS207" s="401"/>
      <c r="AT207" s="403"/>
      <c r="AU207" s="403"/>
      <c r="AV207" s="170"/>
      <c r="AW207" s="166"/>
      <c r="AX207" s="166"/>
      <c r="AY207" s="189"/>
      <c r="AZ207" s="189"/>
      <c r="BA207" s="196"/>
      <c r="BB207" s="629"/>
      <c r="BC207" s="190"/>
      <c r="BD207" s="510"/>
      <c r="BE207" s="510"/>
      <c r="BF207" s="177"/>
      <c r="BG207" s="177"/>
      <c r="BH207" s="166"/>
      <c r="BI207" s="474"/>
      <c r="BJ207" s="166"/>
      <c r="BK207" s="474"/>
      <c r="BL207" s="474"/>
      <c r="BM207" s="474"/>
      <c r="BN207" s="166"/>
      <c r="BO207" s="166"/>
      <c r="BP207" s="204"/>
      <c r="BQ207" s="475"/>
      <c r="BR207" s="205"/>
      <c r="BS207" s="509"/>
      <c r="BT207" s="509"/>
      <c r="BU207" s="459"/>
      <c r="BV207" s="459"/>
      <c r="BW207" s="1"/>
      <c r="BX207" s="1"/>
      <c r="BY207" s="546"/>
      <c r="BZ207" s="546"/>
      <c r="CA207" s="546"/>
      <c r="CB207" s="546"/>
      <c r="CC207" s="728"/>
      <c r="CD207" s="728"/>
      <c r="CE207" s="170"/>
    </row>
    <row r="208" spans="1:84" customFormat="1">
      <c r="A208" s="701"/>
      <c r="B208" s="447"/>
      <c r="C208" s="161"/>
      <c r="D208" s="162"/>
      <c r="E208" s="1"/>
      <c r="F208" s="811"/>
      <c r="G208" s="440"/>
      <c r="H208" s="1"/>
      <c r="I208" s="55"/>
      <c r="J208" s="457"/>
      <c r="K208" s="1"/>
      <c r="L208" s="170"/>
      <c r="M208" s="1"/>
      <c r="N208" s="458"/>
      <c r="O208" s="170"/>
      <c r="P208" s="441"/>
      <c r="Q208" s="55"/>
      <c r="R208" s="177"/>
      <c r="S208" s="454"/>
      <c r="T208" s="178"/>
      <c r="U208" s="178"/>
      <c r="V208" s="179"/>
      <c r="W208" s="180"/>
      <c r="X208" s="179"/>
      <c r="Y208" s="180"/>
      <c r="Z208" s="178"/>
      <c r="AA208" s="178"/>
      <c r="AB208" s="178"/>
      <c r="AC208" s="178"/>
      <c r="AD208" s="182"/>
      <c r="AE208" s="182"/>
      <c r="AF208" s="182"/>
      <c r="AG208" s="182"/>
      <c r="AH208" s="401"/>
      <c r="AI208" s="401"/>
      <c r="AJ208" s="401"/>
      <c r="AK208" s="401"/>
      <c r="AL208" s="401"/>
      <c r="AM208" s="189"/>
      <c r="AN208" s="829"/>
      <c r="AO208" s="830"/>
      <c r="AP208" s="401"/>
      <c r="AQ208" s="401"/>
      <c r="AR208" s="401"/>
      <c r="AS208" s="401"/>
      <c r="AT208" s="403"/>
      <c r="AU208" s="403"/>
      <c r="AV208" s="170"/>
      <c r="AW208" s="166"/>
      <c r="AX208" s="166"/>
      <c r="AY208" s="189"/>
      <c r="AZ208" s="189"/>
      <c r="BA208" s="196"/>
      <c r="BB208" s="629"/>
      <c r="BC208" s="190"/>
      <c r="BD208" s="510"/>
      <c r="BE208" s="510"/>
      <c r="BF208" s="177"/>
      <c r="BG208" s="177"/>
      <c r="BH208" s="166"/>
      <c r="BI208" s="474"/>
      <c r="BJ208" s="166"/>
      <c r="BK208" s="474"/>
      <c r="BL208" s="474"/>
      <c r="BM208" s="474"/>
      <c r="BN208" s="166"/>
      <c r="BO208" s="166"/>
      <c r="BP208" s="204"/>
      <c r="BQ208" s="475"/>
      <c r="BR208" s="205"/>
      <c r="BS208" s="509"/>
      <c r="BT208" s="509"/>
      <c r="BU208" s="459"/>
      <c r="BV208" s="459"/>
      <c r="BW208" s="1"/>
      <c r="BX208" s="1"/>
      <c r="BY208" s="546"/>
      <c r="BZ208" s="546"/>
      <c r="CA208" s="546"/>
      <c r="CB208" s="546"/>
      <c r="CC208" s="728"/>
      <c r="CD208" s="728"/>
      <c r="CE208" s="170"/>
    </row>
    <row r="209" spans="1:83" customFormat="1">
      <c r="A209" s="701"/>
      <c r="B209" s="447"/>
      <c r="C209" s="161"/>
      <c r="D209" s="162"/>
      <c r="E209" s="1"/>
      <c r="F209" s="811"/>
      <c r="G209" s="440"/>
      <c r="H209" s="1"/>
      <c r="I209" s="55"/>
      <c r="J209" s="170"/>
      <c r="K209" s="1"/>
      <c r="L209" s="170"/>
      <c r="M209" s="1"/>
      <c r="N209" s="458"/>
      <c r="O209" s="170"/>
      <c r="P209" s="441"/>
      <c r="Q209" s="55"/>
      <c r="R209" s="177"/>
      <c r="S209" s="454"/>
      <c r="T209" s="178"/>
      <c r="U209" s="178"/>
      <c r="V209" s="179"/>
      <c r="W209" s="180"/>
      <c r="X209" s="179"/>
      <c r="Y209" s="180"/>
      <c r="Z209" s="178"/>
      <c r="AA209" s="178"/>
      <c r="AB209" s="178"/>
      <c r="AC209" s="178"/>
      <c r="AD209" s="182"/>
      <c r="AE209" s="182"/>
      <c r="AF209" s="182"/>
      <c r="AG209" s="182"/>
      <c r="AH209" s="401"/>
      <c r="AI209" s="401"/>
      <c r="AJ209" s="401"/>
      <c r="AK209" s="401"/>
      <c r="AL209" s="401"/>
      <c r="AM209" s="189"/>
      <c r="AN209" s="829"/>
      <c r="AO209" s="830"/>
      <c r="AP209" s="401"/>
      <c r="AQ209" s="401"/>
      <c r="AR209" s="401"/>
      <c r="AS209" s="401"/>
      <c r="AT209" s="403"/>
      <c r="AU209" s="403"/>
      <c r="AV209" s="170"/>
      <c r="AW209" s="166"/>
      <c r="AX209" s="166"/>
      <c r="AY209" s="189"/>
      <c r="AZ209" s="189"/>
      <c r="BA209" s="196"/>
      <c r="BB209" s="629"/>
      <c r="BC209" s="190"/>
      <c r="BD209" s="510"/>
      <c r="BE209" s="510"/>
      <c r="BF209" s="177"/>
      <c r="BG209" s="177"/>
      <c r="BH209" s="166"/>
      <c r="BI209" s="474"/>
      <c r="BJ209" s="166"/>
      <c r="BK209" s="474"/>
      <c r="BL209" s="474"/>
      <c r="BM209" s="474"/>
      <c r="BN209" s="166"/>
      <c r="BO209" s="166"/>
      <c r="BP209" s="204"/>
      <c r="BQ209" s="475"/>
      <c r="BR209" s="205"/>
      <c r="BS209" s="509"/>
      <c r="BT209" s="509"/>
      <c r="BU209" s="459"/>
      <c r="BV209" s="459"/>
      <c r="BW209" s="1"/>
      <c r="BX209" s="1"/>
      <c r="BY209" s="546"/>
      <c r="BZ209" s="546"/>
      <c r="CA209" s="546"/>
      <c r="CB209" s="546"/>
      <c r="CC209" s="728"/>
      <c r="CD209" s="728"/>
      <c r="CE209" s="170"/>
    </row>
    <row r="210" spans="1:83" customFormat="1">
      <c r="A210" s="701"/>
      <c r="B210" s="447"/>
      <c r="C210" s="161"/>
      <c r="D210" s="162"/>
      <c r="E210" s="1"/>
      <c r="F210" s="811"/>
      <c r="G210" s="440"/>
      <c r="H210" s="1"/>
      <c r="I210" s="55"/>
      <c r="J210" s="170"/>
      <c r="K210" s="1"/>
      <c r="L210" s="170"/>
      <c r="M210" s="1"/>
      <c r="N210" s="458"/>
      <c r="O210" s="170"/>
      <c r="P210" s="441"/>
      <c r="Q210" s="55"/>
      <c r="R210" s="177"/>
      <c r="S210" s="454"/>
      <c r="T210" s="178"/>
      <c r="U210" s="178"/>
      <c r="V210" s="179"/>
      <c r="W210" s="180"/>
      <c r="X210" s="179"/>
      <c r="Y210" s="180"/>
      <c r="Z210" s="178"/>
      <c r="AA210" s="178"/>
      <c r="AB210" s="178"/>
      <c r="AC210" s="178"/>
      <c r="AD210" s="182"/>
      <c r="AE210" s="182"/>
      <c r="AF210" s="182"/>
      <c r="AG210" s="182"/>
      <c r="AH210" s="401"/>
      <c r="AI210" s="401"/>
      <c r="AJ210" s="401"/>
      <c r="AK210" s="401"/>
      <c r="AL210" s="401"/>
      <c r="AM210" s="189"/>
      <c r="AN210" s="829"/>
      <c r="AO210" s="830"/>
      <c r="AP210" s="401"/>
      <c r="AQ210" s="401"/>
      <c r="AR210" s="401"/>
      <c r="AS210" s="401"/>
      <c r="AT210" s="403"/>
      <c r="AU210" s="403"/>
      <c r="AV210" s="170"/>
      <c r="AW210" s="166"/>
      <c r="AX210" s="166"/>
      <c r="AY210" s="189"/>
      <c r="AZ210" s="189"/>
      <c r="BA210" s="196"/>
      <c r="BB210" s="629"/>
      <c r="BC210" s="190"/>
      <c r="BD210" s="510"/>
      <c r="BE210" s="510"/>
      <c r="BF210" s="177"/>
      <c r="BG210" s="177"/>
      <c r="BH210" s="166"/>
      <c r="BI210" s="474"/>
      <c r="BJ210" s="166"/>
      <c r="BK210" s="474"/>
      <c r="BL210" s="474"/>
      <c r="BM210" s="474"/>
      <c r="BN210" s="166"/>
      <c r="BO210" s="166"/>
      <c r="BP210" s="204"/>
      <c r="BQ210" s="475"/>
      <c r="BR210" s="205"/>
      <c r="BS210" s="509"/>
      <c r="BT210" s="509"/>
      <c r="BU210" s="459"/>
      <c r="BV210" s="459"/>
      <c r="BW210" s="1"/>
      <c r="BX210" s="1"/>
      <c r="BY210" s="546"/>
      <c r="BZ210" s="546"/>
      <c r="CA210" s="546"/>
      <c r="CB210" s="546"/>
      <c r="CC210" s="728"/>
      <c r="CD210" s="728"/>
      <c r="CE210" s="170"/>
    </row>
    <row r="211" spans="1:83" customFormat="1">
      <c r="A211" s="701"/>
      <c r="B211" s="447"/>
      <c r="C211" s="161"/>
      <c r="D211" s="162"/>
      <c r="E211" s="1"/>
      <c r="F211" s="811"/>
      <c r="G211" s="440"/>
      <c r="H211" s="1"/>
      <c r="I211" s="55"/>
      <c r="J211" s="170"/>
      <c r="K211" s="1"/>
      <c r="L211" s="170"/>
      <c r="M211" s="1"/>
      <c r="N211" s="458"/>
      <c r="O211" s="170"/>
      <c r="P211" s="441"/>
      <c r="Q211" s="55"/>
      <c r="R211" s="177"/>
      <c r="S211" s="454"/>
      <c r="T211" s="178"/>
      <c r="U211" s="178"/>
      <c r="V211" s="179"/>
      <c r="W211" s="180"/>
      <c r="X211" s="179"/>
      <c r="Y211" s="180"/>
      <c r="Z211" s="178"/>
      <c r="AA211" s="178"/>
      <c r="AB211" s="178"/>
      <c r="AC211" s="178"/>
      <c r="AD211" s="182"/>
      <c r="AE211" s="182"/>
      <c r="AF211" s="182"/>
      <c r="AG211" s="182"/>
      <c r="AH211" s="401"/>
      <c r="AI211" s="401"/>
      <c r="AJ211" s="182"/>
      <c r="AK211" s="401"/>
      <c r="AL211" s="401"/>
      <c r="AM211" s="189"/>
      <c r="AN211" s="829"/>
      <c r="AO211" s="830"/>
      <c r="AP211" s="401"/>
      <c r="AQ211" s="401"/>
      <c r="AR211" s="401"/>
      <c r="AS211" s="401"/>
      <c r="AT211" s="403"/>
      <c r="AU211" s="403"/>
      <c r="AV211" s="170"/>
      <c r="AW211" s="166"/>
      <c r="AX211" s="166"/>
      <c r="AY211" s="189"/>
      <c r="AZ211" s="189"/>
      <c r="BA211" s="196"/>
      <c r="BB211" s="629"/>
      <c r="BC211" s="190"/>
      <c r="BD211" s="510"/>
      <c r="BE211" s="510"/>
      <c r="BF211" s="177"/>
      <c r="BG211" s="177"/>
      <c r="BH211" s="166"/>
      <c r="BI211" s="474"/>
      <c r="BJ211" s="166"/>
      <c r="BK211" s="474"/>
      <c r="BL211" s="474"/>
      <c r="BM211" s="474"/>
      <c r="BN211" s="166"/>
      <c r="BO211" s="166"/>
      <c r="BP211" s="204"/>
      <c r="BQ211" s="475"/>
      <c r="BR211" s="205"/>
      <c r="BS211" s="509"/>
      <c r="BT211" s="509"/>
      <c r="BU211" s="459"/>
      <c r="BV211" s="459"/>
      <c r="BW211" s="1"/>
      <c r="BX211" s="1"/>
      <c r="BY211" s="546"/>
      <c r="BZ211" s="546"/>
      <c r="CA211" s="546"/>
      <c r="CB211" s="546"/>
      <c r="CC211" s="728"/>
      <c r="CD211" s="728"/>
      <c r="CE211" s="170"/>
    </row>
    <row r="212" spans="1:83" customFormat="1">
      <c r="A212" s="701"/>
      <c r="B212" s="447"/>
      <c r="C212" s="161"/>
      <c r="D212" s="162"/>
      <c r="E212" s="1"/>
      <c r="F212" s="811"/>
      <c r="G212" s="440"/>
      <c r="H212" s="1"/>
      <c r="I212" s="55"/>
      <c r="J212" s="170"/>
      <c r="K212" s="1"/>
      <c r="L212" s="170"/>
      <c r="M212" s="1"/>
      <c r="N212" s="166"/>
      <c r="O212" s="170"/>
      <c r="P212" s="441"/>
      <c r="Q212" s="55"/>
      <c r="R212" s="177"/>
      <c r="S212" s="454"/>
      <c r="T212" s="178"/>
      <c r="U212" s="178"/>
      <c r="V212" s="179"/>
      <c r="W212" s="180"/>
      <c r="X212" s="179"/>
      <c r="Y212" s="180"/>
      <c r="Z212" s="178"/>
      <c r="AA212" s="178"/>
      <c r="AB212" s="178"/>
      <c r="AC212" s="178"/>
      <c r="AD212" s="182"/>
      <c r="AE212" s="182"/>
      <c r="AF212" s="182"/>
      <c r="AG212" s="182"/>
      <c r="AH212" s="401"/>
      <c r="AI212" s="401"/>
      <c r="AJ212" s="182"/>
      <c r="AK212" s="401"/>
      <c r="AL212" s="401"/>
      <c r="AM212" s="189"/>
      <c r="AN212" s="829"/>
      <c r="AO212" s="830"/>
      <c r="AP212" s="401"/>
      <c r="AQ212" s="401"/>
      <c r="AR212" s="401"/>
      <c r="AS212" s="401"/>
      <c r="AT212" s="403"/>
      <c r="AU212" s="403"/>
      <c r="AV212" s="170"/>
      <c r="AW212" s="166"/>
      <c r="AX212" s="166"/>
      <c r="AY212" s="189"/>
      <c r="AZ212" s="189"/>
      <c r="BA212" s="196"/>
      <c r="BB212" s="629"/>
      <c r="BC212" s="190"/>
      <c r="BD212" s="510"/>
      <c r="BE212" s="510"/>
      <c r="BF212" s="177"/>
      <c r="BG212" s="177"/>
      <c r="BH212" s="166"/>
      <c r="BI212" s="474"/>
      <c r="BJ212" s="166"/>
      <c r="BK212" s="474"/>
      <c r="BL212" s="474"/>
      <c r="BM212" s="474"/>
      <c r="BN212" s="166"/>
      <c r="BO212" s="166"/>
      <c r="BP212" s="204"/>
      <c r="BQ212" s="475"/>
      <c r="BR212" s="205"/>
      <c r="BS212" s="509"/>
      <c r="BT212" s="509"/>
      <c r="BU212" s="459"/>
      <c r="BV212" s="459"/>
      <c r="BW212" s="1"/>
      <c r="BX212" s="1"/>
      <c r="BY212" s="546"/>
      <c r="BZ212" s="546"/>
      <c r="CA212" s="546"/>
      <c r="CB212" s="546"/>
      <c r="CC212" s="728"/>
      <c r="CD212" s="728"/>
      <c r="CE212" s="170"/>
    </row>
    <row r="213" spans="1:83" customFormat="1">
      <c r="A213" s="701"/>
      <c r="B213" s="447"/>
      <c r="C213" s="161"/>
      <c r="D213" s="162"/>
      <c r="E213" s="1"/>
      <c r="F213" s="811"/>
      <c r="G213" s="440"/>
      <c r="H213" s="1"/>
      <c r="I213" s="55"/>
      <c r="J213" s="409"/>
      <c r="K213" s="1"/>
      <c r="L213" s="170"/>
      <c r="M213" s="1"/>
      <c r="N213" s="458"/>
      <c r="O213" s="170"/>
      <c r="P213" s="441"/>
      <c r="Q213" s="55"/>
      <c r="R213" s="177"/>
      <c r="S213" s="454"/>
      <c r="T213" s="178"/>
      <c r="U213" s="178"/>
      <c r="V213" s="179"/>
      <c r="W213" s="180"/>
      <c r="X213" s="179"/>
      <c r="Y213" s="180"/>
      <c r="Z213" s="178"/>
      <c r="AA213" s="178"/>
      <c r="AB213" s="178"/>
      <c r="AC213" s="178"/>
      <c r="AD213" s="182"/>
      <c r="AE213" s="182"/>
      <c r="AF213" s="182"/>
      <c r="AG213" s="182"/>
      <c r="AH213" s="401"/>
      <c r="AI213" s="401"/>
      <c r="AJ213" s="401"/>
      <c r="AK213" s="401"/>
      <c r="AL213" s="401"/>
      <c r="AM213" s="189"/>
      <c r="AN213" s="829"/>
      <c r="AO213" s="830"/>
      <c r="AP213" s="401"/>
      <c r="AQ213" s="401"/>
      <c r="AR213" s="401"/>
      <c r="AS213" s="401"/>
      <c r="AT213" s="403"/>
      <c r="AU213" s="403"/>
      <c r="AV213" s="170"/>
      <c r="AW213" s="166"/>
      <c r="AX213" s="166"/>
      <c r="AY213" s="189"/>
      <c r="AZ213" s="189"/>
      <c r="BA213" s="196"/>
      <c r="BB213" s="629"/>
      <c r="BC213" s="190"/>
      <c r="BD213" s="510"/>
      <c r="BE213" s="510"/>
      <c r="BF213" s="177"/>
      <c r="BG213" s="177"/>
      <c r="BH213" s="166"/>
      <c r="BI213" s="474"/>
      <c r="BJ213" s="166"/>
      <c r="BK213" s="474"/>
      <c r="BL213" s="474"/>
      <c r="BM213" s="474"/>
      <c r="BN213" s="166"/>
      <c r="BO213" s="166"/>
      <c r="BP213" s="204"/>
      <c r="BQ213" s="475"/>
      <c r="BR213" s="205"/>
      <c r="BS213" s="509"/>
      <c r="BT213" s="509"/>
      <c r="BU213" s="459"/>
      <c r="BV213" s="459"/>
      <c r="BW213" s="1"/>
      <c r="BX213" s="1"/>
      <c r="BY213" s="546"/>
      <c r="BZ213" s="546"/>
      <c r="CA213" s="546"/>
      <c r="CB213" s="546"/>
      <c r="CC213" s="728"/>
      <c r="CD213" s="728"/>
      <c r="CE213" s="170"/>
    </row>
    <row r="214" spans="1:83" customFormat="1">
      <c r="A214" s="701"/>
      <c r="B214" s="447"/>
      <c r="C214" s="161"/>
      <c r="D214" s="162"/>
      <c r="E214" s="1"/>
      <c r="F214" s="811"/>
      <c r="G214" s="440"/>
      <c r="H214" s="1"/>
      <c r="I214" s="55"/>
      <c r="J214" s="170"/>
      <c r="K214" s="1"/>
      <c r="L214" s="170"/>
      <c r="M214" s="1"/>
      <c r="N214" s="458"/>
      <c r="O214" s="170"/>
      <c r="P214" s="441"/>
      <c r="Q214" s="55"/>
      <c r="R214" s="177"/>
      <c r="S214" s="454"/>
      <c r="T214" s="178"/>
      <c r="U214" s="178"/>
      <c r="V214" s="179"/>
      <c r="W214" s="180"/>
      <c r="X214" s="179"/>
      <c r="Y214" s="180"/>
      <c r="Z214" s="178"/>
      <c r="AA214" s="178"/>
      <c r="AB214" s="178"/>
      <c r="AC214" s="178"/>
      <c r="AD214" s="182"/>
      <c r="AE214" s="182"/>
      <c r="AF214" s="182"/>
      <c r="AG214" s="182"/>
      <c r="AH214" s="401"/>
      <c r="AI214" s="401"/>
      <c r="AJ214" s="401"/>
      <c r="AK214" s="401"/>
      <c r="AL214" s="401"/>
      <c r="AM214" s="189"/>
      <c r="AN214" s="829"/>
      <c r="AO214" s="830"/>
      <c r="AP214" s="401"/>
      <c r="AQ214" s="401"/>
      <c r="AR214" s="401"/>
      <c r="AS214" s="401"/>
      <c r="AT214" s="403"/>
      <c r="AU214" s="403"/>
      <c r="AV214" s="170"/>
      <c r="AW214" s="166"/>
      <c r="AX214" s="166"/>
      <c r="AY214" s="189"/>
      <c r="AZ214" s="189"/>
      <c r="BA214" s="196"/>
      <c r="BB214" s="629"/>
      <c r="BC214" s="190"/>
      <c r="BD214" s="510"/>
      <c r="BE214" s="510"/>
      <c r="BF214" s="177"/>
      <c r="BG214" s="177"/>
      <c r="BH214" s="166"/>
      <c r="BI214" s="474"/>
      <c r="BJ214" s="166"/>
      <c r="BK214" s="474"/>
      <c r="BL214" s="474"/>
      <c r="BM214" s="474"/>
      <c r="BN214" s="166"/>
      <c r="BO214" s="166"/>
      <c r="BP214" s="204"/>
      <c r="BQ214" s="475"/>
      <c r="BR214" s="205"/>
      <c r="BS214" s="509"/>
      <c r="BT214" s="509"/>
      <c r="BU214" s="459"/>
      <c r="BV214" s="459"/>
      <c r="BW214" s="1"/>
      <c r="BX214" s="1"/>
      <c r="BY214" s="546"/>
      <c r="BZ214" s="546"/>
      <c r="CA214" s="546"/>
      <c r="CB214" s="546"/>
      <c r="CC214" s="728"/>
      <c r="CD214" s="728"/>
      <c r="CE214" s="170"/>
    </row>
    <row r="215" spans="1:83" customFormat="1">
      <c r="A215" s="701"/>
      <c r="B215" s="447"/>
      <c r="C215" s="161"/>
      <c r="D215" s="162"/>
      <c r="E215" s="1"/>
      <c r="F215" s="811"/>
      <c r="G215" s="440"/>
      <c r="H215" s="1"/>
      <c r="I215" s="55"/>
      <c r="J215" s="170"/>
      <c r="K215" s="1"/>
      <c r="L215" s="170"/>
      <c r="M215" s="1"/>
      <c r="N215" s="458"/>
      <c r="O215" s="170"/>
      <c r="P215" s="441"/>
      <c r="Q215" s="55"/>
      <c r="R215" s="177"/>
      <c r="S215" s="454"/>
      <c r="T215" s="178"/>
      <c r="U215" s="178"/>
      <c r="V215" s="179"/>
      <c r="W215" s="180"/>
      <c r="X215" s="179"/>
      <c r="Y215" s="180"/>
      <c r="Z215" s="178"/>
      <c r="AA215" s="178"/>
      <c r="AB215" s="178"/>
      <c r="AC215" s="178"/>
      <c r="AD215" s="182"/>
      <c r="AE215" s="182"/>
      <c r="AF215" s="182"/>
      <c r="AG215" s="182"/>
      <c r="AH215" s="401"/>
      <c r="AI215" s="401"/>
      <c r="AJ215" s="401"/>
      <c r="AK215" s="401"/>
      <c r="AL215" s="401"/>
      <c r="AM215" s="189"/>
      <c r="AN215" s="829"/>
      <c r="AO215" s="830"/>
      <c r="AP215" s="401"/>
      <c r="AQ215" s="401"/>
      <c r="AR215" s="401"/>
      <c r="AS215" s="401"/>
      <c r="AT215" s="403"/>
      <c r="AU215" s="403"/>
      <c r="AV215" s="170"/>
      <c r="AW215" s="166"/>
      <c r="AX215" s="166"/>
      <c r="AY215" s="189"/>
      <c r="AZ215" s="189"/>
      <c r="BA215" s="196"/>
      <c r="BB215" s="629"/>
      <c r="BC215" s="190"/>
      <c r="BD215" s="510"/>
      <c r="BE215" s="510"/>
      <c r="BF215" s="177"/>
      <c r="BG215" s="177"/>
      <c r="BH215" s="166"/>
      <c r="BI215" s="474"/>
      <c r="BJ215" s="166"/>
      <c r="BK215" s="474"/>
      <c r="BL215" s="474"/>
      <c r="BM215" s="474"/>
      <c r="BN215" s="166"/>
      <c r="BO215" s="166"/>
      <c r="BP215" s="204"/>
      <c r="BQ215" s="475"/>
      <c r="BR215" s="205"/>
      <c r="BS215" s="509"/>
      <c r="BT215" s="509"/>
      <c r="BU215" s="459"/>
      <c r="BV215" s="459"/>
      <c r="BW215" s="1"/>
      <c r="BX215" s="1"/>
      <c r="BY215" s="546"/>
      <c r="BZ215" s="546"/>
      <c r="CA215" s="546"/>
      <c r="CB215" s="546"/>
      <c r="CC215" s="728"/>
      <c r="CD215" s="728"/>
      <c r="CE215" s="170"/>
    </row>
    <row r="216" spans="1:83" customFormat="1">
      <c r="A216" s="701"/>
      <c r="B216" s="447"/>
      <c r="C216" s="161"/>
      <c r="D216" s="162"/>
      <c r="E216" s="1"/>
      <c r="F216" s="811"/>
      <c r="G216" s="440"/>
      <c r="H216" s="1"/>
      <c r="I216" s="55"/>
      <c r="J216" s="170"/>
      <c r="K216" s="1"/>
      <c r="L216" s="170"/>
      <c r="M216" s="1"/>
      <c r="N216" s="458"/>
      <c r="O216" s="170"/>
      <c r="P216" s="441"/>
      <c r="Q216" s="55"/>
      <c r="R216" s="177"/>
      <c r="S216" s="454"/>
      <c r="T216" s="178"/>
      <c r="U216" s="178"/>
      <c r="V216" s="179"/>
      <c r="W216" s="180"/>
      <c r="X216" s="179"/>
      <c r="Y216" s="180"/>
      <c r="Z216" s="178"/>
      <c r="AA216" s="178"/>
      <c r="AB216" s="178"/>
      <c r="AC216" s="178"/>
      <c r="AD216" s="182"/>
      <c r="AE216" s="182"/>
      <c r="AF216" s="182"/>
      <c r="AG216" s="182"/>
      <c r="AH216" s="401"/>
      <c r="AI216" s="401"/>
      <c r="AJ216" s="401"/>
      <c r="AK216" s="401"/>
      <c r="AL216" s="401"/>
      <c r="AM216" s="189"/>
      <c r="AN216" s="829"/>
      <c r="AO216" s="830"/>
      <c r="AP216" s="401"/>
      <c r="AQ216" s="401"/>
      <c r="AR216" s="401"/>
      <c r="AS216" s="401"/>
      <c r="AT216" s="403"/>
      <c r="AU216" s="403"/>
      <c r="AV216" s="170"/>
      <c r="AW216" s="166"/>
      <c r="AX216" s="166"/>
      <c r="AY216" s="189"/>
      <c r="AZ216" s="189"/>
      <c r="BA216" s="196"/>
      <c r="BB216" s="629"/>
      <c r="BC216" s="190"/>
      <c r="BD216" s="510"/>
      <c r="BE216" s="510"/>
      <c r="BF216" s="177"/>
      <c r="BG216" s="177"/>
      <c r="BH216" s="166"/>
      <c r="BI216" s="474"/>
      <c r="BJ216" s="166"/>
      <c r="BK216" s="474"/>
      <c r="BL216" s="474"/>
      <c r="BM216" s="474"/>
      <c r="BN216" s="166"/>
      <c r="BO216" s="166"/>
      <c r="BP216" s="204"/>
      <c r="BQ216" s="475"/>
      <c r="BR216" s="205"/>
      <c r="BS216" s="509"/>
      <c r="BT216" s="509"/>
      <c r="BU216" s="459"/>
      <c r="BV216" s="459"/>
      <c r="BW216" s="1"/>
      <c r="BX216" s="1"/>
      <c r="BY216" s="546"/>
      <c r="BZ216" s="546"/>
      <c r="CA216" s="546"/>
      <c r="CB216" s="546"/>
      <c r="CC216" s="728"/>
      <c r="CD216" s="728"/>
      <c r="CE216" s="170"/>
    </row>
    <row r="217" spans="1:83" customFormat="1">
      <c r="A217" s="701"/>
      <c r="B217" s="447"/>
      <c r="C217" s="161"/>
      <c r="D217" s="162"/>
      <c r="E217" s="1"/>
      <c r="F217" s="811"/>
      <c r="G217" s="440"/>
      <c r="H217" s="1"/>
      <c r="I217" s="55"/>
      <c r="J217" s="170"/>
      <c r="K217" s="1"/>
      <c r="L217" s="170"/>
      <c r="M217" s="1"/>
      <c r="N217" s="166"/>
      <c r="O217" s="170"/>
      <c r="P217" s="441"/>
      <c r="Q217" s="55"/>
      <c r="R217" s="177"/>
      <c r="S217" s="454"/>
      <c r="T217" s="178"/>
      <c r="U217" s="178"/>
      <c r="V217" s="179"/>
      <c r="W217" s="180"/>
      <c r="X217" s="179"/>
      <c r="Y217" s="180"/>
      <c r="Z217" s="178"/>
      <c r="AA217" s="178"/>
      <c r="AB217" s="178"/>
      <c r="AC217" s="178"/>
      <c r="AD217" s="182"/>
      <c r="AE217" s="182"/>
      <c r="AF217" s="182"/>
      <c r="AG217" s="182"/>
      <c r="AH217" s="401"/>
      <c r="AI217" s="401"/>
      <c r="AJ217" s="182"/>
      <c r="AK217" s="401"/>
      <c r="AL217" s="401"/>
      <c r="AM217" s="189"/>
      <c r="AN217" s="829"/>
      <c r="AO217" s="830"/>
      <c r="AP217" s="401"/>
      <c r="AQ217" s="401"/>
      <c r="AR217" s="401"/>
      <c r="AS217" s="401"/>
      <c r="AT217" s="403"/>
      <c r="AU217" s="403"/>
      <c r="AV217" s="170"/>
      <c r="AW217" s="166"/>
      <c r="AX217" s="166"/>
      <c r="AY217" s="189"/>
      <c r="AZ217" s="189"/>
      <c r="BA217" s="196"/>
      <c r="BB217" s="629"/>
      <c r="BC217" s="190"/>
      <c r="BD217" s="510"/>
      <c r="BE217" s="510"/>
      <c r="BF217" s="177"/>
      <c r="BG217" s="177"/>
      <c r="BH217" s="166"/>
      <c r="BI217" s="474"/>
      <c r="BJ217" s="166"/>
      <c r="BK217" s="474"/>
      <c r="BL217" s="474"/>
      <c r="BM217" s="474"/>
      <c r="BN217" s="166"/>
      <c r="BO217" s="166"/>
      <c r="BP217" s="204"/>
      <c r="BQ217" s="475"/>
      <c r="BR217" s="205"/>
      <c r="BS217" s="509"/>
      <c r="BT217" s="509"/>
      <c r="BU217" s="459"/>
      <c r="BV217" s="459"/>
      <c r="BW217" s="1"/>
      <c r="BX217" s="1"/>
      <c r="BY217" s="546"/>
      <c r="BZ217" s="546"/>
      <c r="CA217" s="546"/>
      <c r="CB217" s="546"/>
      <c r="CC217" s="728"/>
      <c r="CD217" s="728"/>
      <c r="CE217" s="170"/>
    </row>
    <row r="218" spans="1:83" customFormat="1">
      <c r="A218" s="701"/>
      <c r="B218" s="447"/>
      <c r="C218" s="161"/>
      <c r="D218" s="162"/>
      <c r="E218" s="1"/>
      <c r="F218" s="811"/>
      <c r="G218" s="440"/>
      <c r="H218" s="1"/>
      <c r="I218" s="55"/>
      <c r="J218" s="170"/>
      <c r="K218" s="1"/>
      <c r="L218" s="170"/>
      <c r="M218" s="1"/>
      <c r="N218" s="166"/>
      <c r="O218" s="170"/>
      <c r="P218" s="441"/>
      <c r="Q218" s="55"/>
      <c r="R218" s="177"/>
      <c r="S218" s="454"/>
      <c r="T218" s="178"/>
      <c r="U218" s="178"/>
      <c r="V218" s="179"/>
      <c r="W218" s="180"/>
      <c r="X218" s="179"/>
      <c r="Y218" s="180"/>
      <c r="Z218" s="178"/>
      <c r="AA218" s="178"/>
      <c r="AB218" s="178"/>
      <c r="AC218" s="178"/>
      <c r="AD218" s="182"/>
      <c r="AE218" s="182"/>
      <c r="AF218" s="182"/>
      <c r="AG218" s="182"/>
      <c r="AH218" s="401"/>
      <c r="AI218" s="401"/>
      <c r="AJ218" s="182"/>
      <c r="AK218" s="401"/>
      <c r="AL218" s="401"/>
      <c r="AM218" s="189"/>
      <c r="AN218" s="829"/>
      <c r="AO218" s="830"/>
      <c r="AP218" s="401"/>
      <c r="AQ218" s="401"/>
      <c r="AR218" s="401"/>
      <c r="AS218" s="401"/>
      <c r="AT218" s="403"/>
      <c r="AU218" s="403"/>
      <c r="AV218" s="170"/>
      <c r="AW218" s="166"/>
      <c r="AX218" s="166"/>
      <c r="AY218" s="189"/>
      <c r="AZ218" s="189"/>
      <c r="BA218" s="196"/>
      <c r="BB218" s="629"/>
      <c r="BC218" s="190"/>
      <c r="BD218" s="510"/>
      <c r="BE218" s="510"/>
      <c r="BF218" s="177"/>
      <c r="BG218" s="177"/>
      <c r="BH218" s="166"/>
      <c r="BI218" s="474"/>
      <c r="BJ218" s="166"/>
      <c r="BK218" s="474"/>
      <c r="BL218" s="474"/>
      <c r="BM218" s="474"/>
      <c r="BN218" s="166"/>
      <c r="BO218" s="166"/>
      <c r="BP218" s="204"/>
      <c r="BQ218" s="475"/>
      <c r="BR218" s="205"/>
      <c r="BS218" s="509"/>
      <c r="BT218" s="509"/>
      <c r="BU218" s="459"/>
      <c r="BV218" s="459"/>
      <c r="BW218" s="1"/>
      <c r="BX218" s="1"/>
      <c r="BY218" s="546"/>
      <c r="BZ218" s="546"/>
      <c r="CA218" s="546"/>
      <c r="CB218" s="546"/>
      <c r="CC218" s="728"/>
      <c r="CD218" s="728"/>
      <c r="CE218" s="170"/>
    </row>
    <row r="219" spans="1:83" customFormat="1">
      <c r="A219" s="701"/>
      <c r="B219" s="447"/>
      <c r="C219" s="161"/>
      <c r="D219" s="162"/>
      <c r="E219" s="1"/>
      <c r="F219" s="811"/>
      <c r="G219" s="440"/>
      <c r="H219" s="1"/>
      <c r="I219" s="55"/>
      <c r="J219" s="457"/>
      <c r="K219" s="1"/>
      <c r="L219" s="170"/>
      <c r="M219" s="1"/>
      <c r="N219" s="458"/>
      <c r="O219" s="170"/>
      <c r="P219" s="441"/>
      <c r="Q219" s="55"/>
      <c r="R219" s="177"/>
      <c r="S219" s="454"/>
      <c r="T219" s="178"/>
      <c r="U219" s="178"/>
      <c r="V219" s="179"/>
      <c r="W219" s="180"/>
      <c r="X219" s="179"/>
      <c r="Y219" s="180"/>
      <c r="Z219" s="178"/>
      <c r="AA219" s="178"/>
      <c r="AB219" s="178"/>
      <c r="AC219" s="178"/>
      <c r="AD219" s="182"/>
      <c r="AE219" s="182"/>
      <c r="AF219" s="182"/>
      <c r="AG219" s="182"/>
      <c r="AH219" s="401"/>
      <c r="AI219" s="401"/>
      <c r="AJ219" s="401"/>
      <c r="AK219" s="401"/>
      <c r="AL219" s="401"/>
      <c r="AM219" s="189"/>
      <c r="AN219" s="829"/>
      <c r="AO219" s="830"/>
      <c r="AP219" s="401"/>
      <c r="AQ219" s="401"/>
      <c r="AR219" s="401"/>
      <c r="AS219" s="401"/>
      <c r="AT219" s="403"/>
      <c r="AU219" s="403"/>
      <c r="AV219" s="170"/>
      <c r="AW219" s="166"/>
      <c r="AX219" s="166"/>
      <c r="AY219" s="189"/>
      <c r="AZ219" s="189"/>
      <c r="BA219" s="196"/>
      <c r="BB219" s="629"/>
      <c r="BC219" s="190"/>
      <c r="BD219" s="510"/>
      <c r="BE219" s="510"/>
      <c r="BF219" s="177"/>
      <c r="BG219" s="177"/>
      <c r="BH219" s="166"/>
      <c r="BI219" s="474"/>
      <c r="BJ219" s="166"/>
      <c r="BK219" s="474"/>
      <c r="BL219" s="474"/>
      <c r="BM219" s="474"/>
      <c r="BN219" s="166"/>
      <c r="BO219" s="166"/>
      <c r="BP219" s="204"/>
      <c r="BQ219" s="475"/>
      <c r="BR219" s="205"/>
      <c r="BS219" s="509"/>
      <c r="BT219" s="509"/>
      <c r="BU219" s="459"/>
      <c r="BV219" s="459"/>
      <c r="BW219" s="1"/>
      <c r="BX219" s="1"/>
      <c r="BY219" s="546"/>
      <c r="BZ219" s="546"/>
      <c r="CA219" s="546"/>
      <c r="CB219" s="546"/>
      <c r="CC219" s="728"/>
      <c r="CD219" s="728"/>
      <c r="CE219" s="170"/>
    </row>
    <row r="220" spans="1:83" customFormat="1">
      <c r="A220" s="701"/>
      <c r="B220" s="447"/>
      <c r="C220" s="161"/>
      <c r="D220" s="162"/>
      <c r="E220" s="1"/>
      <c r="F220" s="811"/>
      <c r="G220" s="440"/>
      <c r="H220" s="1"/>
      <c r="I220" s="55"/>
      <c r="J220" s="170"/>
      <c r="K220" s="1"/>
      <c r="L220" s="170"/>
      <c r="M220" s="1"/>
      <c r="N220" s="458"/>
      <c r="O220" s="170"/>
      <c r="P220" s="441"/>
      <c r="Q220" s="55"/>
      <c r="R220" s="177"/>
      <c r="S220" s="454"/>
      <c r="T220" s="178"/>
      <c r="U220" s="178"/>
      <c r="V220" s="179"/>
      <c r="W220" s="180"/>
      <c r="X220" s="179"/>
      <c r="Y220" s="180"/>
      <c r="Z220" s="178"/>
      <c r="AA220" s="178"/>
      <c r="AB220" s="178"/>
      <c r="AC220" s="178"/>
      <c r="AD220" s="182"/>
      <c r="AE220" s="182"/>
      <c r="AF220" s="182"/>
      <c r="AG220" s="182"/>
      <c r="AH220" s="401"/>
      <c r="AI220" s="401"/>
      <c r="AJ220" s="401"/>
      <c r="AK220" s="401"/>
      <c r="AL220" s="401"/>
      <c r="AM220" s="189"/>
      <c r="AN220" s="829"/>
      <c r="AO220" s="830"/>
      <c r="AP220" s="401"/>
      <c r="AQ220" s="401"/>
      <c r="AR220" s="401"/>
      <c r="AS220" s="401"/>
      <c r="AT220" s="403"/>
      <c r="AU220" s="403"/>
      <c r="AV220" s="170"/>
      <c r="AW220" s="166"/>
      <c r="AX220" s="166"/>
      <c r="AY220" s="189"/>
      <c r="AZ220" s="189"/>
      <c r="BA220" s="196"/>
      <c r="BB220" s="629"/>
      <c r="BC220" s="190"/>
      <c r="BD220" s="510"/>
      <c r="BE220" s="510"/>
      <c r="BF220" s="177"/>
      <c r="BG220" s="177"/>
      <c r="BH220" s="166"/>
      <c r="BI220" s="474"/>
      <c r="BJ220" s="166"/>
      <c r="BK220" s="474"/>
      <c r="BL220" s="474"/>
      <c r="BM220" s="474"/>
      <c r="BN220" s="166"/>
      <c r="BO220" s="166"/>
      <c r="BP220" s="204"/>
      <c r="BQ220" s="475"/>
      <c r="BR220" s="205"/>
      <c r="BS220" s="509"/>
      <c r="BT220" s="509"/>
      <c r="BU220" s="459"/>
      <c r="BV220" s="459"/>
      <c r="BW220" s="1"/>
      <c r="BX220" s="1"/>
      <c r="BY220" s="546"/>
      <c r="BZ220" s="546"/>
      <c r="CA220" s="546"/>
      <c r="CB220" s="546"/>
      <c r="CC220" s="728"/>
      <c r="CD220" s="728"/>
      <c r="CE220" s="170"/>
    </row>
    <row r="221" spans="1:83" customFormat="1">
      <c r="A221" s="701"/>
      <c r="B221" s="447"/>
      <c r="C221" s="161"/>
      <c r="D221" s="162"/>
      <c r="E221" s="1"/>
      <c r="F221" s="811"/>
      <c r="G221" s="440"/>
      <c r="H221" s="1"/>
      <c r="I221" s="55"/>
      <c r="J221" s="170"/>
      <c r="K221" s="1"/>
      <c r="L221" s="170"/>
      <c r="M221" s="1"/>
      <c r="N221" s="458"/>
      <c r="O221" s="170"/>
      <c r="P221" s="441"/>
      <c r="Q221" s="55"/>
      <c r="R221" s="177"/>
      <c r="S221" s="454"/>
      <c r="T221" s="178"/>
      <c r="U221" s="178"/>
      <c r="V221" s="179"/>
      <c r="W221" s="180"/>
      <c r="X221" s="179"/>
      <c r="Y221" s="180"/>
      <c r="Z221" s="178"/>
      <c r="AA221" s="178"/>
      <c r="AB221" s="178"/>
      <c r="AC221" s="178"/>
      <c r="AD221" s="182"/>
      <c r="AE221" s="182"/>
      <c r="AF221" s="182"/>
      <c r="AG221" s="182"/>
      <c r="AH221" s="401"/>
      <c r="AI221" s="401"/>
      <c r="AJ221" s="401"/>
      <c r="AK221" s="401"/>
      <c r="AL221" s="401"/>
      <c r="AM221" s="189"/>
      <c r="AN221" s="829"/>
      <c r="AO221" s="830"/>
      <c r="AP221" s="401"/>
      <c r="AQ221" s="401"/>
      <c r="AR221" s="401"/>
      <c r="AS221" s="401"/>
      <c r="AT221" s="403"/>
      <c r="AU221" s="403"/>
      <c r="AV221" s="170"/>
      <c r="AW221" s="166"/>
      <c r="AX221" s="166"/>
      <c r="AY221" s="189"/>
      <c r="AZ221" s="189"/>
      <c r="BA221" s="196"/>
      <c r="BB221" s="629"/>
      <c r="BC221" s="190"/>
      <c r="BD221" s="510"/>
      <c r="BE221" s="510"/>
      <c r="BF221" s="177"/>
      <c r="BG221" s="177"/>
      <c r="BH221" s="166"/>
      <c r="BI221" s="474"/>
      <c r="BJ221" s="166"/>
      <c r="BK221" s="474"/>
      <c r="BL221" s="474"/>
      <c r="BM221" s="474"/>
      <c r="BN221" s="166"/>
      <c r="BO221" s="166"/>
      <c r="BP221" s="204"/>
      <c r="BQ221" s="475"/>
      <c r="BR221" s="205"/>
      <c r="BS221" s="509"/>
      <c r="BT221" s="509"/>
      <c r="BU221" s="459"/>
      <c r="BV221" s="459"/>
      <c r="BW221" s="1"/>
      <c r="BX221" s="1"/>
      <c r="BY221" s="546"/>
      <c r="BZ221" s="546"/>
      <c r="CA221" s="546"/>
      <c r="CB221" s="546"/>
      <c r="CC221" s="728"/>
      <c r="CD221" s="728"/>
      <c r="CE221" s="170"/>
    </row>
    <row r="222" spans="1:83" customFormat="1">
      <c r="A222" s="701"/>
      <c r="B222" s="447"/>
      <c r="C222" s="161"/>
      <c r="D222" s="162"/>
      <c r="E222" s="1"/>
      <c r="F222" s="811"/>
      <c r="G222" s="440"/>
      <c r="H222" s="1"/>
      <c r="I222" s="55"/>
      <c r="J222" s="170"/>
      <c r="K222" s="1"/>
      <c r="L222" s="170"/>
      <c r="M222" s="1"/>
      <c r="N222" s="458"/>
      <c r="O222" s="170"/>
      <c r="P222" s="441"/>
      <c r="Q222" s="55"/>
      <c r="R222" s="177"/>
      <c r="S222" s="454"/>
      <c r="T222" s="178"/>
      <c r="U222" s="178"/>
      <c r="V222" s="179"/>
      <c r="W222" s="180"/>
      <c r="X222" s="179"/>
      <c r="Y222" s="180"/>
      <c r="Z222" s="178"/>
      <c r="AA222" s="178"/>
      <c r="AB222" s="178"/>
      <c r="AC222" s="178"/>
      <c r="AD222" s="182"/>
      <c r="AE222" s="182"/>
      <c r="AF222" s="182"/>
      <c r="AG222" s="182"/>
      <c r="AH222" s="401"/>
      <c r="AI222" s="401"/>
      <c r="AJ222" s="182"/>
      <c r="AK222" s="401"/>
      <c r="AL222" s="401"/>
      <c r="AM222" s="189"/>
      <c r="AN222" s="829"/>
      <c r="AO222" s="830"/>
      <c r="AP222" s="401"/>
      <c r="AQ222" s="401"/>
      <c r="AR222" s="401"/>
      <c r="AS222" s="401"/>
      <c r="AT222" s="403"/>
      <c r="AU222" s="403"/>
      <c r="AV222" s="170"/>
      <c r="AW222" s="166"/>
      <c r="AX222" s="166"/>
      <c r="AY222" s="189"/>
      <c r="AZ222" s="189"/>
      <c r="BA222" s="196"/>
      <c r="BB222" s="629"/>
      <c r="BC222" s="190"/>
      <c r="BD222" s="510"/>
      <c r="BE222" s="510"/>
      <c r="BF222" s="177"/>
      <c r="BG222" s="177"/>
      <c r="BH222" s="166"/>
      <c r="BI222" s="474"/>
      <c r="BJ222" s="166"/>
      <c r="BK222" s="474"/>
      <c r="BL222" s="474"/>
      <c r="BM222" s="474"/>
      <c r="BN222" s="166"/>
      <c r="BO222" s="166"/>
      <c r="BP222" s="204"/>
      <c r="BQ222" s="475"/>
      <c r="BR222" s="205"/>
      <c r="BS222" s="509"/>
      <c r="BT222" s="509"/>
      <c r="BU222" s="459"/>
      <c r="BV222" s="459"/>
      <c r="BW222" s="1"/>
      <c r="BX222" s="1"/>
      <c r="BY222" s="546"/>
      <c r="BZ222" s="546"/>
      <c r="CA222" s="546"/>
      <c r="CB222" s="546"/>
      <c r="CC222" s="728"/>
      <c r="CD222" s="728"/>
      <c r="CE222" s="170"/>
    </row>
    <row r="223" spans="1:83" customFormat="1">
      <c r="A223" s="701"/>
      <c r="B223" s="447"/>
      <c r="C223" s="161"/>
      <c r="D223" s="162"/>
      <c r="E223" s="1"/>
      <c r="F223" s="811"/>
      <c r="G223" s="440"/>
      <c r="H223" s="1"/>
      <c r="I223" s="55"/>
      <c r="J223" s="170"/>
      <c r="K223" s="1"/>
      <c r="L223" s="170"/>
      <c r="M223" s="1"/>
      <c r="N223" s="458"/>
      <c r="O223" s="170"/>
      <c r="P223" s="441"/>
      <c r="Q223" s="55"/>
      <c r="R223" s="177"/>
      <c r="S223" s="454"/>
      <c r="T223" s="178"/>
      <c r="U223" s="178"/>
      <c r="V223" s="179"/>
      <c r="W223" s="180"/>
      <c r="X223" s="179"/>
      <c r="Y223" s="180"/>
      <c r="Z223" s="178"/>
      <c r="AA223" s="178"/>
      <c r="AB223" s="178"/>
      <c r="AC223" s="178"/>
      <c r="AD223" s="182"/>
      <c r="AE223" s="182"/>
      <c r="AF223" s="182"/>
      <c r="AG223" s="182"/>
      <c r="AH223" s="401"/>
      <c r="AI223" s="401"/>
      <c r="AJ223" s="401"/>
      <c r="AK223" s="401"/>
      <c r="AL223" s="401"/>
      <c r="AM223" s="189"/>
      <c r="AN223" s="829"/>
      <c r="AO223" s="830"/>
      <c r="AP223" s="401"/>
      <c r="AQ223" s="401"/>
      <c r="AR223" s="401"/>
      <c r="AS223" s="401"/>
      <c r="AT223" s="403"/>
      <c r="AU223" s="403"/>
      <c r="AV223" s="170"/>
      <c r="AW223" s="166"/>
      <c r="AX223" s="166"/>
      <c r="AY223" s="189"/>
      <c r="AZ223" s="189"/>
      <c r="BA223" s="196"/>
      <c r="BB223" s="629"/>
      <c r="BC223" s="190"/>
      <c r="BD223" s="510"/>
      <c r="BE223" s="510"/>
      <c r="BF223" s="177"/>
      <c r="BG223" s="177"/>
      <c r="BH223" s="166"/>
      <c r="BI223" s="474"/>
      <c r="BJ223" s="166"/>
      <c r="BK223" s="474"/>
      <c r="BL223" s="474"/>
      <c r="BM223" s="474"/>
      <c r="BN223" s="166"/>
      <c r="BO223" s="166"/>
      <c r="BP223" s="204"/>
      <c r="BQ223" s="475"/>
      <c r="BR223" s="205"/>
      <c r="BS223" s="509"/>
      <c r="BT223" s="509"/>
      <c r="BU223" s="459"/>
      <c r="BV223" s="459"/>
      <c r="BW223" s="1"/>
      <c r="BX223" s="1"/>
      <c r="BY223" s="546"/>
      <c r="BZ223" s="546"/>
      <c r="CA223" s="546"/>
      <c r="CB223" s="546"/>
      <c r="CC223" s="728"/>
      <c r="CD223" s="728"/>
      <c r="CE223" s="170"/>
    </row>
    <row r="224" spans="1:83" customFormat="1">
      <c r="A224" s="701"/>
      <c r="B224" s="447"/>
      <c r="C224" s="161"/>
      <c r="D224" s="162"/>
      <c r="E224" s="1"/>
      <c r="F224" s="811"/>
      <c r="G224" s="440"/>
      <c r="H224" s="1"/>
      <c r="I224" s="55"/>
      <c r="J224" s="457"/>
      <c r="K224" s="1"/>
      <c r="L224" s="170"/>
      <c r="M224" s="1"/>
      <c r="N224" s="458"/>
      <c r="O224" s="170"/>
      <c r="P224" s="441"/>
      <c r="Q224" s="55"/>
      <c r="R224" s="177"/>
      <c r="S224" s="454"/>
      <c r="T224" s="178"/>
      <c r="U224" s="178"/>
      <c r="V224" s="179"/>
      <c r="W224" s="180"/>
      <c r="X224" s="179"/>
      <c r="Y224" s="180"/>
      <c r="Z224" s="178"/>
      <c r="AA224" s="178"/>
      <c r="AB224" s="178"/>
      <c r="AC224" s="178"/>
      <c r="AD224" s="182"/>
      <c r="AE224" s="182"/>
      <c r="AF224" s="182"/>
      <c r="AG224" s="182"/>
      <c r="AH224" s="401"/>
      <c r="AI224" s="401"/>
      <c r="AJ224" s="401"/>
      <c r="AK224" s="401"/>
      <c r="AL224" s="401"/>
      <c r="AM224" s="189"/>
      <c r="AN224" s="829"/>
      <c r="AO224" s="830"/>
      <c r="AP224" s="401"/>
      <c r="AQ224" s="401"/>
      <c r="AR224" s="401"/>
      <c r="AS224" s="401"/>
      <c r="AT224" s="403"/>
      <c r="AU224" s="403"/>
      <c r="AV224" s="170"/>
      <c r="AW224" s="166"/>
      <c r="AX224" s="166"/>
      <c r="AY224" s="189"/>
      <c r="AZ224" s="189"/>
      <c r="BA224" s="196"/>
      <c r="BB224" s="629"/>
      <c r="BC224" s="190"/>
      <c r="BD224" s="510"/>
      <c r="BE224" s="510"/>
      <c r="BF224" s="177"/>
      <c r="BG224" s="177"/>
      <c r="BH224" s="166"/>
      <c r="BI224" s="474"/>
      <c r="BJ224" s="166"/>
      <c r="BK224" s="474"/>
      <c r="BL224" s="474"/>
      <c r="BM224" s="474"/>
      <c r="BN224" s="166"/>
      <c r="BO224" s="166"/>
      <c r="BP224" s="204"/>
      <c r="BQ224" s="475"/>
      <c r="BR224" s="205"/>
      <c r="BS224" s="509"/>
      <c r="BT224" s="509"/>
      <c r="BU224" s="459"/>
      <c r="BV224" s="459"/>
      <c r="BW224" s="1"/>
      <c r="BX224" s="1"/>
      <c r="BY224" s="546"/>
      <c r="BZ224" s="546"/>
      <c r="CA224" s="546"/>
      <c r="CB224" s="546"/>
      <c r="CC224" s="728"/>
      <c r="CD224" s="728"/>
      <c r="CE224" s="170"/>
    </row>
    <row r="225" spans="1:83" customFormat="1">
      <c r="A225" s="701"/>
      <c r="B225" s="447"/>
      <c r="C225" s="161"/>
      <c r="D225" s="162"/>
      <c r="E225" s="1"/>
      <c r="F225" s="811"/>
      <c r="G225" s="440"/>
      <c r="H225" s="1"/>
      <c r="I225" s="55"/>
      <c r="J225" s="170"/>
      <c r="K225" s="1"/>
      <c r="L225" s="170"/>
      <c r="M225" s="1"/>
      <c r="N225" s="458"/>
      <c r="O225" s="170"/>
      <c r="P225" s="441"/>
      <c r="Q225" s="55"/>
      <c r="R225" s="177"/>
      <c r="S225" s="454"/>
      <c r="T225" s="178"/>
      <c r="U225" s="178"/>
      <c r="V225" s="179"/>
      <c r="W225" s="180"/>
      <c r="X225" s="179"/>
      <c r="Y225" s="180"/>
      <c r="Z225" s="178"/>
      <c r="AA225" s="178"/>
      <c r="AB225" s="178"/>
      <c r="AC225" s="178"/>
      <c r="AD225" s="182"/>
      <c r="AE225" s="182"/>
      <c r="AF225" s="182"/>
      <c r="AG225" s="182"/>
      <c r="AH225" s="401"/>
      <c r="AI225" s="401"/>
      <c r="AJ225" s="401"/>
      <c r="AK225" s="401"/>
      <c r="AL225" s="401"/>
      <c r="AM225" s="189"/>
      <c r="AN225" s="829"/>
      <c r="AO225" s="830"/>
      <c r="AP225" s="401"/>
      <c r="AQ225" s="401"/>
      <c r="AR225" s="401"/>
      <c r="AS225" s="401"/>
      <c r="AT225" s="403"/>
      <c r="AU225" s="403"/>
      <c r="AV225" s="170"/>
      <c r="AW225" s="166"/>
      <c r="AX225" s="166"/>
      <c r="AY225" s="189"/>
      <c r="AZ225" s="189"/>
      <c r="BA225" s="196"/>
      <c r="BB225" s="629"/>
      <c r="BC225" s="190"/>
      <c r="BD225" s="510"/>
      <c r="BE225" s="510"/>
      <c r="BF225" s="177"/>
      <c r="BG225" s="177"/>
      <c r="BH225" s="166"/>
      <c r="BI225" s="474"/>
      <c r="BJ225" s="166"/>
      <c r="BK225" s="474"/>
      <c r="BL225" s="474"/>
      <c r="BM225" s="474"/>
      <c r="BN225" s="166"/>
      <c r="BO225" s="166"/>
      <c r="BP225" s="204"/>
      <c r="BQ225" s="475"/>
      <c r="BR225" s="205"/>
      <c r="BS225" s="509"/>
      <c r="BT225" s="509"/>
      <c r="BU225" s="459"/>
      <c r="BV225" s="459"/>
      <c r="BW225" s="1"/>
      <c r="BX225" s="1"/>
      <c r="BY225" s="546"/>
      <c r="BZ225" s="546"/>
      <c r="CA225" s="546"/>
      <c r="CB225" s="546"/>
      <c r="CC225" s="728"/>
      <c r="CD225" s="728"/>
      <c r="CE225" s="170"/>
    </row>
    <row r="226" spans="1:83" customFormat="1">
      <c r="A226" s="701"/>
      <c r="B226" s="447"/>
      <c r="C226" s="161"/>
      <c r="D226" s="162"/>
      <c r="E226" s="1"/>
      <c r="F226" s="811"/>
      <c r="G226" s="440"/>
      <c r="H226" s="1"/>
      <c r="I226" s="55"/>
      <c r="J226" s="170"/>
      <c r="K226" s="1"/>
      <c r="L226" s="170"/>
      <c r="M226" s="1"/>
      <c r="N226" s="458"/>
      <c r="O226" s="170"/>
      <c r="P226" s="441"/>
      <c r="Q226" s="55"/>
      <c r="R226" s="177"/>
      <c r="S226" s="454"/>
      <c r="T226" s="178"/>
      <c r="U226" s="178"/>
      <c r="V226" s="179"/>
      <c r="W226" s="180"/>
      <c r="X226" s="179"/>
      <c r="Y226" s="180"/>
      <c r="Z226" s="178"/>
      <c r="AA226" s="178"/>
      <c r="AB226" s="178"/>
      <c r="AC226" s="178"/>
      <c r="AD226" s="182"/>
      <c r="AE226" s="182"/>
      <c r="AF226" s="182"/>
      <c r="AG226" s="182"/>
      <c r="AH226" s="401"/>
      <c r="AI226" s="401"/>
      <c r="AJ226" s="401"/>
      <c r="AK226" s="401"/>
      <c r="AL226" s="401"/>
      <c r="AM226" s="189"/>
      <c r="AN226" s="829"/>
      <c r="AO226" s="830"/>
      <c r="AP226" s="401"/>
      <c r="AQ226" s="401"/>
      <c r="AR226" s="401"/>
      <c r="AS226" s="401"/>
      <c r="AT226" s="403"/>
      <c r="AU226" s="403"/>
      <c r="AV226" s="170"/>
      <c r="AW226" s="166"/>
      <c r="AX226" s="166"/>
      <c r="AY226" s="189"/>
      <c r="AZ226" s="189"/>
      <c r="BA226" s="196"/>
      <c r="BB226" s="629"/>
      <c r="BC226" s="190"/>
      <c r="BD226" s="510"/>
      <c r="BE226" s="510"/>
      <c r="BF226" s="177"/>
      <c r="BG226" s="177"/>
      <c r="BH226" s="166"/>
      <c r="BI226" s="474"/>
      <c r="BJ226" s="166"/>
      <c r="BK226" s="474"/>
      <c r="BL226" s="474"/>
      <c r="BM226" s="474"/>
      <c r="BN226" s="166"/>
      <c r="BO226" s="166"/>
      <c r="BP226" s="204"/>
      <c r="BQ226" s="475"/>
      <c r="BR226" s="205"/>
      <c r="BS226" s="509"/>
      <c r="BT226" s="509"/>
      <c r="BU226" s="459"/>
      <c r="BV226" s="459"/>
      <c r="BW226" s="1"/>
      <c r="BX226" s="1"/>
      <c r="BY226" s="546"/>
      <c r="BZ226" s="546"/>
      <c r="CA226" s="546"/>
      <c r="CB226" s="546"/>
      <c r="CC226" s="728"/>
      <c r="CD226" s="728"/>
      <c r="CE226" s="170"/>
    </row>
    <row r="227" spans="1:83" customFormat="1">
      <c r="A227" s="701"/>
      <c r="B227" s="447"/>
      <c r="C227" s="161"/>
      <c r="D227" s="162"/>
      <c r="E227" s="1"/>
      <c r="F227" s="811"/>
      <c r="G227" s="440"/>
      <c r="H227" s="1"/>
      <c r="I227" s="55"/>
      <c r="J227" s="170"/>
      <c r="K227" s="1"/>
      <c r="L227" s="170"/>
      <c r="M227" s="1"/>
      <c r="N227" s="458"/>
      <c r="O227" s="170"/>
      <c r="P227" s="441"/>
      <c r="Q227" s="55"/>
      <c r="R227" s="177"/>
      <c r="S227" s="454"/>
      <c r="T227" s="178"/>
      <c r="U227" s="178"/>
      <c r="V227" s="179"/>
      <c r="W227" s="180"/>
      <c r="X227" s="179"/>
      <c r="Y227" s="180"/>
      <c r="Z227" s="178"/>
      <c r="AA227" s="178"/>
      <c r="AB227" s="178"/>
      <c r="AC227" s="178"/>
      <c r="AD227" s="182"/>
      <c r="AE227" s="182"/>
      <c r="AF227" s="182"/>
      <c r="AG227" s="182"/>
      <c r="AH227" s="401"/>
      <c r="AI227" s="401"/>
      <c r="AJ227" s="182"/>
      <c r="AK227" s="401"/>
      <c r="AL227" s="401"/>
      <c r="AM227" s="189"/>
      <c r="AN227" s="829"/>
      <c r="AO227" s="830"/>
      <c r="AP227" s="401"/>
      <c r="AQ227" s="401"/>
      <c r="AR227" s="401"/>
      <c r="AS227" s="401"/>
      <c r="AT227" s="403"/>
      <c r="AU227" s="403"/>
      <c r="AV227" s="170"/>
      <c r="AW227" s="166"/>
      <c r="AX227" s="166"/>
      <c r="AY227" s="189"/>
      <c r="AZ227" s="189"/>
      <c r="BA227" s="196"/>
      <c r="BB227" s="629"/>
      <c r="BC227" s="190"/>
      <c r="BD227" s="510"/>
      <c r="BE227" s="510"/>
      <c r="BF227" s="177"/>
      <c r="BG227" s="177"/>
      <c r="BH227" s="166"/>
      <c r="BI227" s="474"/>
      <c r="BJ227" s="166"/>
      <c r="BK227" s="474"/>
      <c r="BL227" s="474"/>
      <c r="BM227" s="474"/>
      <c r="BN227" s="166"/>
      <c r="BO227" s="166"/>
      <c r="BP227" s="204"/>
      <c r="BQ227" s="475"/>
      <c r="BR227" s="205"/>
      <c r="BS227" s="509"/>
      <c r="BT227" s="509"/>
      <c r="BU227" s="459"/>
      <c r="BV227" s="459"/>
      <c r="BW227" s="1"/>
      <c r="BX227" s="1"/>
      <c r="BY227" s="546"/>
      <c r="BZ227" s="546"/>
      <c r="CA227" s="546"/>
      <c r="CB227" s="546"/>
      <c r="CC227" s="728"/>
      <c r="CD227" s="728"/>
      <c r="CE227" s="170"/>
    </row>
    <row r="228" spans="1:83" customFormat="1">
      <c r="A228" s="701"/>
      <c r="B228" s="447"/>
      <c r="C228" s="161"/>
      <c r="D228" s="162"/>
      <c r="E228" s="1"/>
      <c r="F228" s="811"/>
      <c r="G228" s="440"/>
      <c r="H228" s="1"/>
      <c r="I228" s="55"/>
      <c r="J228" s="170"/>
      <c r="K228" s="1"/>
      <c r="L228" s="170"/>
      <c r="M228" s="1"/>
      <c r="N228" s="458"/>
      <c r="O228" s="170"/>
      <c r="P228" s="441"/>
      <c r="Q228" s="55"/>
      <c r="R228" s="177"/>
      <c r="S228" s="454"/>
      <c r="T228" s="178"/>
      <c r="U228" s="178"/>
      <c r="V228" s="179"/>
      <c r="W228" s="180"/>
      <c r="X228" s="179"/>
      <c r="Y228" s="180"/>
      <c r="Z228" s="178"/>
      <c r="AA228" s="178"/>
      <c r="AB228" s="178"/>
      <c r="AC228" s="178"/>
      <c r="AD228" s="182"/>
      <c r="AE228" s="182"/>
      <c r="AF228" s="182"/>
      <c r="AG228" s="182"/>
      <c r="AH228" s="401"/>
      <c r="AI228" s="401"/>
      <c r="AJ228" s="401"/>
      <c r="AK228" s="401"/>
      <c r="AL228" s="401"/>
      <c r="AM228" s="189"/>
      <c r="AN228" s="829"/>
      <c r="AO228" s="830"/>
      <c r="AP228" s="401"/>
      <c r="AQ228" s="401"/>
      <c r="AR228" s="401"/>
      <c r="AS228" s="401"/>
      <c r="AT228" s="403"/>
      <c r="AU228" s="403"/>
      <c r="AV228" s="170"/>
      <c r="AW228" s="166"/>
      <c r="AX228" s="166"/>
      <c r="AY228" s="189"/>
      <c r="AZ228" s="189"/>
      <c r="BA228" s="196"/>
      <c r="BB228" s="629"/>
      <c r="BC228" s="190"/>
      <c r="BD228" s="510"/>
      <c r="BE228" s="510"/>
      <c r="BF228" s="177"/>
      <c r="BG228" s="177"/>
      <c r="BH228" s="166"/>
      <c r="BI228" s="474"/>
      <c r="BJ228" s="166"/>
      <c r="BK228" s="474"/>
      <c r="BL228" s="474"/>
      <c r="BM228" s="474"/>
      <c r="BN228" s="166"/>
      <c r="BO228" s="166"/>
      <c r="BP228" s="204"/>
      <c r="BQ228" s="475"/>
      <c r="BR228" s="205"/>
      <c r="BS228" s="509"/>
      <c r="BT228" s="509"/>
      <c r="BU228" s="459"/>
      <c r="BV228" s="459"/>
      <c r="BW228" s="1"/>
      <c r="BX228" s="1"/>
      <c r="BY228" s="546"/>
      <c r="BZ228" s="546"/>
      <c r="CA228" s="546"/>
      <c r="CB228" s="546"/>
      <c r="CC228" s="728"/>
      <c r="CD228" s="728"/>
      <c r="CE228" s="170"/>
    </row>
    <row r="229" spans="1:83" customFormat="1">
      <c r="A229" s="701"/>
      <c r="B229" s="447"/>
      <c r="C229" s="161"/>
      <c r="D229" s="162"/>
      <c r="E229" s="1"/>
      <c r="F229" s="811"/>
      <c r="G229" s="440"/>
      <c r="H229" s="1"/>
      <c r="I229" s="55"/>
      <c r="J229" s="170"/>
      <c r="K229" s="1"/>
      <c r="L229" s="170"/>
      <c r="M229" s="1"/>
      <c r="N229" s="458"/>
      <c r="O229" s="170"/>
      <c r="P229" s="441"/>
      <c r="Q229" s="55"/>
      <c r="R229" s="177"/>
      <c r="S229" s="454"/>
      <c r="T229" s="178"/>
      <c r="U229" s="178"/>
      <c r="V229" s="179"/>
      <c r="W229" s="180"/>
      <c r="X229" s="179"/>
      <c r="Y229" s="180"/>
      <c r="Z229" s="178"/>
      <c r="AA229" s="178"/>
      <c r="AB229" s="178"/>
      <c r="AC229" s="178"/>
      <c r="AD229" s="182"/>
      <c r="AE229" s="182"/>
      <c r="AF229" s="182"/>
      <c r="AG229" s="182"/>
      <c r="AH229" s="401"/>
      <c r="AI229" s="401"/>
      <c r="AJ229" s="401"/>
      <c r="AK229" s="401"/>
      <c r="AL229" s="401"/>
      <c r="AM229" s="189"/>
      <c r="AN229" s="829"/>
      <c r="AO229" s="830"/>
      <c r="AP229" s="401"/>
      <c r="AQ229" s="401"/>
      <c r="AR229" s="401"/>
      <c r="AS229" s="401"/>
      <c r="AT229" s="403"/>
      <c r="AU229" s="403"/>
      <c r="AV229" s="170"/>
      <c r="AW229" s="166"/>
      <c r="AX229" s="166"/>
      <c r="AY229" s="189"/>
      <c r="AZ229" s="189"/>
      <c r="BA229" s="196"/>
      <c r="BB229" s="629"/>
      <c r="BC229" s="190"/>
      <c r="BD229" s="510"/>
      <c r="BE229" s="510"/>
      <c r="BF229" s="177"/>
      <c r="BG229" s="177"/>
      <c r="BH229" s="166"/>
      <c r="BI229" s="474"/>
      <c r="BJ229" s="166"/>
      <c r="BK229" s="474"/>
      <c r="BL229" s="474"/>
      <c r="BM229" s="474"/>
      <c r="BN229" s="166"/>
      <c r="BO229" s="166"/>
      <c r="BP229" s="204"/>
      <c r="BQ229" s="475"/>
      <c r="BR229" s="205"/>
      <c r="BS229" s="509"/>
      <c r="BT229" s="509"/>
      <c r="BU229" s="459"/>
      <c r="BV229" s="459"/>
      <c r="BW229" s="1"/>
      <c r="BX229" s="1"/>
      <c r="BY229" s="546"/>
      <c r="BZ229" s="546"/>
      <c r="CA229" s="546"/>
      <c r="CB229" s="546"/>
      <c r="CC229" s="728"/>
      <c r="CD229" s="728"/>
      <c r="CE229" s="170"/>
    </row>
    <row r="230" spans="1:83" customFormat="1">
      <c r="A230" s="701"/>
      <c r="B230" s="447"/>
      <c r="C230" s="1"/>
      <c r="D230" s="538"/>
      <c r="E230" s="1"/>
      <c r="F230" s="811"/>
      <c r="G230" s="440"/>
      <c r="H230" s="1"/>
      <c r="I230" s="55"/>
      <c r="J230" s="171"/>
      <c r="K230" s="55"/>
      <c r="L230" s="171"/>
      <c r="M230" s="55"/>
      <c r="N230" s="172"/>
      <c r="O230" s="170"/>
      <c r="P230" s="139"/>
      <c r="Q230" s="172"/>
      <c r="R230" s="181"/>
      <c r="S230" s="455"/>
      <c r="T230" s="170"/>
      <c r="U230" s="170"/>
      <c r="V230" s="1"/>
      <c r="W230" s="173"/>
      <c r="X230" s="1"/>
      <c r="Y230" s="166"/>
      <c r="Z230" s="170"/>
      <c r="AA230" s="170"/>
      <c r="AB230" s="170"/>
      <c r="AC230" s="170"/>
      <c r="AD230" s="182"/>
      <c r="AE230" s="182"/>
      <c r="AF230" s="182"/>
      <c r="AG230" s="182"/>
      <c r="AH230" s="189"/>
      <c r="AI230" s="401"/>
      <c r="AJ230" s="189"/>
      <c r="AK230" s="401"/>
      <c r="AL230" s="401"/>
      <c r="AM230" s="189"/>
      <c r="AN230" s="782"/>
      <c r="AO230" s="189"/>
      <c r="AP230" s="401"/>
      <c r="AQ230" s="401"/>
      <c r="AR230" s="401"/>
      <c r="AS230" s="188"/>
      <c r="AT230" s="1"/>
      <c r="AU230" s="403"/>
      <c r="AV230" s="1"/>
      <c r="AW230" s="166"/>
      <c r="AX230" s="166"/>
      <c r="AY230" s="189"/>
      <c r="AZ230" s="189"/>
      <c r="BA230" s="196"/>
      <c r="BB230" s="629"/>
      <c r="BC230" s="197"/>
      <c r="BD230" s="510"/>
      <c r="BE230" s="510"/>
      <c r="BF230" s="177"/>
      <c r="BG230" s="177"/>
      <c r="BH230" s="166"/>
      <c r="BI230" s="474"/>
      <c r="BJ230" s="166"/>
      <c r="BK230" s="474"/>
      <c r="BL230" s="474"/>
      <c r="BM230" s="474"/>
      <c r="BN230" s="166"/>
      <c r="BO230" s="166"/>
      <c r="BP230" s="204"/>
      <c r="BQ230" s="475"/>
      <c r="BR230" s="205"/>
      <c r="BS230" s="509"/>
      <c r="BT230" s="509"/>
      <c r="BU230" s="459"/>
      <c r="BV230" s="459"/>
      <c r="BW230" s="1"/>
      <c r="BX230" s="1"/>
      <c r="BY230" s="546"/>
      <c r="BZ230" s="546"/>
      <c r="CA230" s="546"/>
      <c r="CB230" s="546"/>
      <c r="CC230" s="728"/>
      <c r="CD230" s="728"/>
      <c r="CE230" s="170"/>
    </row>
    <row r="231" spans="1:83" customFormat="1">
      <c r="A231" s="701"/>
      <c r="B231" s="447"/>
      <c r="C231" s="161"/>
      <c r="D231" s="162"/>
      <c r="E231" s="1"/>
      <c r="F231" s="811"/>
      <c r="G231" s="440"/>
      <c r="H231" s="1"/>
      <c r="I231" s="55"/>
      <c r="J231" s="170"/>
      <c r="K231" s="1"/>
      <c r="L231" s="170"/>
      <c r="M231" s="1"/>
      <c r="N231" s="458"/>
      <c r="O231" s="170"/>
      <c r="P231" s="441"/>
      <c r="Q231" s="55"/>
      <c r="R231" s="177"/>
      <c r="S231" s="454"/>
      <c r="T231" s="178"/>
      <c r="U231" s="178"/>
      <c r="V231" s="179"/>
      <c r="W231" s="180"/>
      <c r="X231" s="179"/>
      <c r="Y231" s="180"/>
      <c r="Z231" s="178"/>
      <c r="AA231" s="178"/>
      <c r="AB231" s="178"/>
      <c r="AC231" s="178"/>
      <c r="AD231" s="182"/>
      <c r="AE231" s="182"/>
      <c r="AF231" s="182"/>
      <c r="AG231" s="182"/>
      <c r="AH231" s="401"/>
      <c r="AI231" s="401"/>
      <c r="AJ231" s="401"/>
      <c r="AK231" s="401"/>
      <c r="AL231" s="401"/>
      <c r="AM231" s="189"/>
      <c r="AN231" s="829"/>
      <c r="AO231" s="830"/>
      <c r="AP231" s="401"/>
      <c r="AQ231" s="401"/>
      <c r="AR231" s="401"/>
      <c r="AS231" s="401"/>
      <c r="AT231" s="403"/>
      <c r="AU231" s="403"/>
      <c r="AV231" s="170"/>
      <c r="AW231" s="166"/>
      <c r="AX231" s="166"/>
      <c r="AY231" s="189"/>
      <c r="AZ231" s="189"/>
      <c r="BA231" s="196"/>
      <c r="BB231" s="629"/>
      <c r="BC231" s="190"/>
      <c r="BD231" s="510"/>
      <c r="BE231" s="510"/>
      <c r="BF231" s="177"/>
      <c r="BG231" s="177"/>
      <c r="BH231" s="166"/>
      <c r="BI231" s="474"/>
      <c r="BJ231" s="166"/>
      <c r="BK231" s="474"/>
      <c r="BL231" s="474"/>
      <c r="BM231" s="474"/>
      <c r="BN231" s="166"/>
      <c r="BO231" s="166"/>
      <c r="BP231" s="204"/>
      <c r="BQ231" s="475"/>
      <c r="BR231" s="205"/>
      <c r="BS231" s="509"/>
      <c r="BT231" s="509"/>
      <c r="BU231" s="459"/>
      <c r="BV231" s="459"/>
      <c r="BW231" s="1"/>
      <c r="BX231" s="1"/>
      <c r="BY231" s="546"/>
      <c r="BZ231" s="546"/>
      <c r="CA231" s="546"/>
      <c r="CB231" s="546"/>
      <c r="CC231" s="728"/>
      <c r="CD231" s="728"/>
      <c r="CE231" s="170"/>
    </row>
    <row r="232" spans="1:83" customFormat="1">
      <c r="A232" s="701"/>
      <c r="B232" s="447"/>
      <c r="C232" s="161"/>
      <c r="D232" s="162"/>
      <c r="E232" s="1"/>
      <c r="F232" s="811"/>
      <c r="G232" s="440"/>
      <c r="H232" s="1"/>
      <c r="I232" s="55"/>
      <c r="J232" s="170"/>
      <c r="K232" s="1"/>
      <c r="L232" s="170"/>
      <c r="M232" s="1"/>
      <c r="N232" s="458"/>
      <c r="O232" s="170"/>
      <c r="P232" s="441"/>
      <c r="Q232" s="55"/>
      <c r="R232" s="177"/>
      <c r="S232" s="454"/>
      <c r="T232" s="178"/>
      <c r="U232" s="178"/>
      <c r="V232" s="179"/>
      <c r="W232" s="180"/>
      <c r="X232" s="179"/>
      <c r="Y232" s="180"/>
      <c r="Z232" s="178"/>
      <c r="AA232" s="178"/>
      <c r="AB232" s="178"/>
      <c r="AC232" s="178"/>
      <c r="AD232" s="182"/>
      <c r="AE232" s="182"/>
      <c r="AF232" s="182"/>
      <c r="AG232" s="182"/>
      <c r="AH232" s="401"/>
      <c r="AI232" s="401"/>
      <c r="AJ232" s="401"/>
      <c r="AK232" s="401"/>
      <c r="AL232" s="401"/>
      <c r="AM232" s="189"/>
      <c r="AN232" s="829"/>
      <c r="AO232" s="830"/>
      <c r="AP232" s="401"/>
      <c r="AQ232" s="401"/>
      <c r="AR232" s="401"/>
      <c r="AS232" s="401"/>
      <c r="AT232" s="403"/>
      <c r="AU232" s="403"/>
      <c r="AV232" s="170"/>
      <c r="AW232" s="166"/>
      <c r="AX232" s="166"/>
      <c r="AY232" s="189"/>
      <c r="AZ232" s="189"/>
      <c r="BA232" s="196"/>
      <c r="BB232" s="629"/>
      <c r="BC232" s="190"/>
      <c r="BD232" s="510"/>
      <c r="BE232" s="510"/>
      <c r="BF232" s="177"/>
      <c r="BG232" s="177"/>
      <c r="BH232" s="166"/>
      <c r="BI232" s="474"/>
      <c r="BJ232" s="166"/>
      <c r="BK232" s="474"/>
      <c r="BL232" s="474"/>
      <c r="BM232" s="474"/>
      <c r="BN232" s="166"/>
      <c r="BO232" s="166"/>
      <c r="BP232" s="204"/>
      <c r="BQ232" s="475"/>
      <c r="BR232" s="205"/>
      <c r="BS232" s="509"/>
      <c r="BT232" s="509"/>
      <c r="BU232" s="459"/>
      <c r="BV232" s="459"/>
      <c r="BW232" s="1"/>
      <c r="BX232" s="1"/>
      <c r="BY232" s="546"/>
      <c r="BZ232" s="546"/>
      <c r="CA232" s="546"/>
      <c r="CB232" s="546"/>
      <c r="CC232" s="728"/>
      <c r="CD232" s="728"/>
      <c r="CE232" s="170"/>
    </row>
    <row r="233" spans="1:83" customFormat="1">
      <c r="A233" s="701"/>
      <c r="B233" s="447"/>
      <c r="C233" s="161"/>
      <c r="D233" s="162"/>
      <c r="E233" s="1"/>
      <c r="F233" s="811"/>
      <c r="G233" s="440"/>
      <c r="H233" s="1"/>
      <c r="I233" s="55"/>
      <c r="J233" s="457"/>
      <c r="K233" s="1"/>
      <c r="L233" s="170"/>
      <c r="M233" s="1"/>
      <c r="N233" s="458"/>
      <c r="O233" s="170"/>
      <c r="P233" s="441"/>
      <c r="Q233" s="55"/>
      <c r="R233" s="177"/>
      <c r="S233" s="454"/>
      <c r="T233" s="178"/>
      <c r="U233" s="178"/>
      <c r="V233" s="179"/>
      <c r="W233" s="180"/>
      <c r="X233" s="179"/>
      <c r="Y233" s="180"/>
      <c r="Z233" s="178"/>
      <c r="AA233" s="178"/>
      <c r="AB233" s="178"/>
      <c r="AC233" s="178"/>
      <c r="AD233" s="182"/>
      <c r="AE233" s="182"/>
      <c r="AF233" s="182"/>
      <c r="AG233" s="182"/>
      <c r="AH233" s="401"/>
      <c r="AI233" s="401"/>
      <c r="AJ233" s="401"/>
      <c r="AK233" s="401"/>
      <c r="AL233" s="401"/>
      <c r="AM233" s="189"/>
      <c r="AN233" s="829"/>
      <c r="AO233" s="830"/>
      <c r="AP233" s="401"/>
      <c r="AQ233" s="401"/>
      <c r="AR233" s="401"/>
      <c r="AS233" s="401"/>
      <c r="AT233" s="403"/>
      <c r="AU233" s="403"/>
      <c r="AV233" s="170"/>
      <c r="AW233" s="166"/>
      <c r="AX233" s="166"/>
      <c r="AY233" s="189"/>
      <c r="AZ233" s="189"/>
      <c r="BA233" s="196"/>
      <c r="BB233" s="629"/>
      <c r="BC233" s="190"/>
      <c r="BD233" s="510"/>
      <c r="BE233" s="510"/>
      <c r="BF233" s="177"/>
      <c r="BG233" s="177"/>
      <c r="BH233" s="166"/>
      <c r="BI233" s="474"/>
      <c r="BJ233" s="166"/>
      <c r="BK233" s="474"/>
      <c r="BL233" s="474"/>
      <c r="BM233" s="474"/>
      <c r="BN233" s="166"/>
      <c r="BO233" s="166"/>
      <c r="BP233" s="204"/>
      <c r="BQ233" s="475"/>
      <c r="BR233" s="205"/>
      <c r="BS233" s="509"/>
      <c r="BT233" s="509"/>
      <c r="BU233" s="459"/>
      <c r="BV233" s="459"/>
      <c r="BW233" s="1"/>
      <c r="BX233" s="1"/>
      <c r="BY233" s="546"/>
      <c r="BZ233" s="546"/>
      <c r="CA233" s="546"/>
      <c r="CB233" s="546"/>
      <c r="CC233" s="728"/>
      <c r="CD233" s="728"/>
      <c r="CE233" s="170"/>
    </row>
    <row r="234" spans="1:83" customFormat="1">
      <c r="A234" s="701"/>
      <c r="B234" s="447"/>
      <c r="C234" s="161"/>
      <c r="D234" s="162"/>
      <c r="E234" s="1"/>
      <c r="F234" s="811"/>
      <c r="G234" s="440"/>
      <c r="H234" s="1"/>
      <c r="I234" s="55"/>
      <c r="J234" s="170"/>
      <c r="K234" s="1"/>
      <c r="L234" s="170"/>
      <c r="M234" s="1"/>
      <c r="N234" s="458"/>
      <c r="O234" s="170"/>
      <c r="P234" s="441"/>
      <c r="Q234" s="55"/>
      <c r="R234" s="177"/>
      <c r="S234" s="454"/>
      <c r="T234" s="178"/>
      <c r="U234" s="178"/>
      <c r="V234" s="179"/>
      <c r="W234" s="180"/>
      <c r="X234" s="179"/>
      <c r="Y234" s="180"/>
      <c r="Z234" s="178"/>
      <c r="AA234" s="178"/>
      <c r="AB234" s="178"/>
      <c r="AC234" s="178"/>
      <c r="AD234" s="182"/>
      <c r="AE234" s="182"/>
      <c r="AF234" s="182"/>
      <c r="AG234" s="182"/>
      <c r="AH234" s="401"/>
      <c r="AI234" s="401"/>
      <c r="AJ234" s="401"/>
      <c r="AK234" s="401"/>
      <c r="AL234" s="401"/>
      <c r="AM234" s="189"/>
      <c r="AN234" s="829"/>
      <c r="AO234" s="830"/>
      <c r="AP234" s="401"/>
      <c r="AQ234" s="401"/>
      <c r="AR234" s="401"/>
      <c r="AS234" s="401"/>
      <c r="AT234" s="403"/>
      <c r="AU234" s="403"/>
      <c r="AV234" s="170"/>
      <c r="AW234" s="166"/>
      <c r="AX234" s="166"/>
      <c r="AY234" s="189"/>
      <c r="AZ234" s="189"/>
      <c r="BA234" s="196"/>
      <c r="BB234" s="629"/>
      <c r="BC234" s="190"/>
      <c r="BD234" s="510"/>
      <c r="BE234" s="510"/>
      <c r="BF234" s="177"/>
      <c r="BG234" s="177"/>
      <c r="BH234" s="166"/>
      <c r="BI234" s="474"/>
      <c r="BJ234" s="166"/>
      <c r="BK234" s="474"/>
      <c r="BL234" s="474"/>
      <c r="BM234" s="474"/>
      <c r="BN234" s="166"/>
      <c r="BO234" s="166"/>
      <c r="BP234" s="204"/>
      <c r="BQ234" s="475"/>
      <c r="BR234" s="205"/>
      <c r="BS234" s="509"/>
      <c r="BT234" s="509"/>
      <c r="BU234" s="459"/>
      <c r="BV234" s="459"/>
      <c r="BW234" s="1"/>
      <c r="BX234" s="1"/>
      <c r="BY234" s="546"/>
      <c r="BZ234" s="546"/>
      <c r="CA234" s="546"/>
      <c r="CB234" s="546"/>
      <c r="CC234" s="728"/>
      <c r="CD234" s="728"/>
      <c r="CE234" s="170"/>
    </row>
    <row r="235" spans="1:83" customFormat="1">
      <c r="A235" s="701"/>
      <c r="B235" s="447"/>
      <c r="C235" s="161"/>
      <c r="D235" s="162"/>
      <c r="E235" s="1"/>
      <c r="F235" s="811"/>
      <c r="G235" s="440"/>
      <c r="H235" s="1"/>
      <c r="I235" s="55"/>
      <c r="J235" s="170"/>
      <c r="K235" s="1"/>
      <c r="L235" s="170"/>
      <c r="M235" s="1"/>
      <c r="N235" s="458"/>
      <c r="O235" s="170"/>
      <c r="P235" s="441"/>
      <c r="Q235" s="55"/>
      <c r="R235" s="177"/>
      <c r="S235" s="454"/>
      <c r="T235" s="178"/>
      <c r="U235" s="178"/>
      <c r="V235" s="179"/>
      <c r="W235" s="180"/>
      <c r="X235" s="179"/>
      <c r="Y235" s="180"/>
      <c r="Z235" s="178"/>
      <c r="AA235" s="178"/>
      <c r="AB235" s="178"/>
      <c r="AC235" s="178"/>
      <c r="AD235" s="182"/>
      <c r="AE235" s="182"/>
      <c r="AF235" s="182"/>
      <c r="AG235" s="182"/>
      <c r="AH235" s="401"/>
      <c r="AI235" s="401"/>
      <c r="AJ235" s="401"/>
      <c r="AK235" s="401"/>
      <c r="AL235" s="401"/>
      <c r="AM235" s="189"/>
      <c r="AN235" s="829"/>
      <c r="AO235" s="830"/>
      <c r="AP235" s="401"/>
      <c r="AQ235" s="401"/>
      <c r="AR235" s="401"/>
      <c r="AS235" s="401"/>
      <c r="AT235" s="403"/>
      <c r="AU235" s="403"/>
      <c r="AV235" s="170"/>
      <c r="AW235" s="166"/>
      <c r="AX235" s="166"/>
      <c r="AY235" s="189"/>
      <c r="AZ235" s="189"/>
      <c r="BA235" s="196"/>
      <c r="BB235" s="629"/>
      <c r="BC235" s="190"/>
      <c r="BD235" s="510"/>
      <c r="BE235" s="510"/>
      <c r="BF235" s="177"/>
      <c r="BG235" s="177"/>
      <c r="BH235" s="166"/>
      <c r="BI235" s="474"/>
      <c r="BJ235" s="166"/>
      <c r="BK235" s="474"/>
      <c r="BL235" s="474"/>
      <c r="BM235" s="474"/>
      <c r="BN235" s="166"/>
      <c r="BO235" s="166"/>
      <c r="BP235" s="204"/>
      <c r="BQ235" s="475"/>
      <c r="BR235" s="205"/>
      <c r="BS235" s="509"/>
      <c r="BT235" s="509"/>
      <c r="BU235" s="459"/>
      <c r="BV235" s="459"/>
      <c r="BW235" s="1"/>
      <c r="BX235" s="1"/>
      <c r="BY235" s="546"/>
      <c r="BZ235" s="546"/>
      <c r="CA235" s="546"/>
      <c r="CB235" s="546"/>
      <c r="CC235" s="728"/>
      <c r="CD235" s="728"/>
      <c r="CE235" s="170"/>
    </row>
    <row r="236" spans="1:83" customFormat="1">
      <c r="A236" s="701"/>
      <c r="B236" s="447"/>
      <c r="C236" s="161"/>
      <c r="D236" s="162"/>
      <c r="E236" s="1"/>
      <c r="F236" s="811"/>
      <c r="G236" s="440"/>
      <c r="H236" s="1"/>
      <c r="I236" s="55"/>
      <c r="J236" s="170"/>
      <c r="K236" s="1"/>
      <c r="L236" s="170"/>
      <c r="M236" s="1"/>
      <c r="N236" s="458"/>
      <c r="O236" s="170"/>
      <c r="P236" s="441"/>
      <c r="Q236" s="55"/>
      <c r="R236" s="177"/>
      <c r="S236" s="454"/>
      <c r="T236" s="178"/>
      <c r="U236" s="178"/>
      <c r="V236" s="179"/>
      <c r="W236" s="180"/>
      <c r="X236" s="179"/>
      <c r="Y236" s="180"/>
      <c r="Z236" s="178"/>
      <c r="AA236" s="178"/>
      <c r="AB236" s="178"/>
      <c r="AC236" s="178"/>
      <c r="AD236" s="182"/>
      <c r="AE236" s="182"/>
      <c r="AF236" s="182"/>
      <c r="AG236" s="182"/>
      <c r="AH236" s="401"/>
      <c r="AI236" s="401"/>
      <c r="AJ236" s="401"/>
      <c r="AK236" s="401"/>
      <c r="AL236" s="401"/>
      <c r="AM236" s="189"/>
      <c r="AN236" s="829"/>
      <c r="AO236" s="830"/>
      <c r="AP236" s="401"/>
      <c r="AQ236" s="401"/>
      <c r="AR236" s="401"/>
      <c r="AS236" s="401"/>
      <c r="AT236" s="403"/>
      <c r="AU236" s="403"/>
      <c r="AV236" s="170"/>
      <c r="AW236" s="166"/>
      <c r="AX236" s="166"/>
      <c r="AY236" s="189"/>
      <c r="AZ236" s="189"/>
      <c r="BA236" s="196"/>
      <c r="BB236" s="629"/>
      <c r="BC236" s="190"/>
      <c r="BD236" s="510"/>
      <c r="BE236" s="510"/>
      <c r="BF236" s="177"/>
      <c r="BG236" s="177"/>
      <c r="BH236" s="166"/>
      <c r="BI236" s="474"/>
      <c r="BJ236" s="166"/>
      <c r="BK236" s="474"/>
      <c r="BL236" s="474"/>
      <c r="BM236" s="474"/>
      <c r="BN236" s="166"/>
      <c r="BO236" s="166"/>
      <c r="BP236" s="204"/>
      <c r="BQ236" s="475"/>
      <c r="BR236" s="205"/>
      <c r="BS236" s="509"/>
      <c r="BT236" s="509"/>
      <c r="BU236" s="459"/>
      <c r="BV236" s="459"/>
      <c r="BW236" s="1"/>
      <c r="BX236" s="1"/>
      <c r="BY236" s="546"/>
      <c r="BZ236" s="546"/>
      <c r="CA236" s="546"/>
      <c r="CB236" s="546"/>
      <c r="CC236" s="728"/>
      <c r="CD236" s="728"/>
      <c r="CE236" s="170"/>
    </row>
    <row r="237" spans="1:83" customFormat="1">
      <c r="A237" s="701"/>
      <c r="B237" s="447"/>
      <c r="C237" s="161"/>
      <c r="D237" s="162"/>
      <c r="E237" s="1"/>
      <c r="F237" s="811"/>
      <c r="G237" s="440"/>
      <c r="H237" s="1"/>
      <c r="I237" s="55"/>
      <c r="J237" s="170"/>
      <c r="K237" s="1"/>
      <c r="L237" s="170"/>
      <c r="M237" s="1"/>
      <c r="N237" s="458"/>
      <c r="O237" s="170"/>
      <c r="P237" s="441"/>
      <c r="Q237" s="55"/>
      <c r="R237" s="177"/>
      <c r="S237" s="454"/>
      <c r="T237" s="178"/>
      <c r="U237" s="178"/>
      <c r="V237" s="179"/>
      <c r="W237" s="180"/>
      <c r="X237" s="179"/>
      <c r="Y237" s="180"/>
      <c r="Z237" s="178"/>
      <c r="AA237" s="178"/>
      <c r="AB237" s="178"/>
      <c r="AC237" s="178"/>
      <c r="AD237" s="182"/>
      <c r="AE237" s="182"/>
      <c r="AF237" s="182"/>
      <c r="AG237" s="182"/>
      <c r="AH237" s="401"/>
      <c r="AI237" s="401"/>
      <c r="AJ237" s="401"/>
      <c r="AK237" s="401"/>
      <c r="AL237" s="401"/>
      <c r="AM237" s="189"/>
      <c r="AN237" s="829"/>
      <c r="AO237" s="830"/>
      <c r="AP237" s="401"/>
      <c r="AQ237" s="401"/>
      <c r="AR237" s="401"/>
      <c r="AS237" s="401"/>
      <c r="AT237" s="403"/>
      <c r="AU237" s="403"/>
      <c r="AV237" s="170"/>
      <c r="AW237" s="166"/>
      <c r="AX237" s="166"/>
      <c r="AY237" s="189"/>
      <c r="AZ237" s="189"/>
      <c r="BA237" s="196"/>
      <c r="BB237" s="629"/>
      <c r="BC237" s="190"/>
      <c r="BD237" s="510"/>
      <c r="BE237" s="510"/>
      <c r="BF237" s="177"/>
      <c r="BG237" s="177"/>
      <c r="BH237" s="166"/>
      <c r="BI237" s="474"/>
      <c r="BJ237" s="166"/>
      <c r="BK237" s="474"/>
      <c r="BL237" s="474"/>
      <c r="BM237" s="474"/>
      <c r="BN237" s="166"/>
      <c r="BO237" s="166"/>
      <c r="BP237" s="204"/>
      <c r="BQ237" s="475"/>
      <c r="BR237" s="205"/>
      <c r="BS237" s="509"/>
      <c r="BT237" s="509"/>
      <c r="BU237" s="459"/>
      <c r="BV237" s="459"/>
      <c r="BW237" s="1"/>
      <c r="BX237" s="1"/>
      <c r="BY237" s="546"/>
      <c r="BZ237" s="546"/>
      <c r="CA237" s="546"/>
      <c r="CB237" s="546"/>
      <c r="CC237" s="728"/>
      <c r="CD237" s="728"/>
      <c r="CE237" s="170"/>
    </row>
    <row r="238" spans="1:83" customFormat="1">
      <c r="A238" s="701"/>
      <c r="B238" s="447"/>
      <c r="C238" s="161"/>
      <c r="D238" s="162"/>
      <c r="E238" s="1"/>
      <c r="F238" s="811"/>
      <c r="G238" s="440"/>
      <c r="H238" s="1"/>
      <c r="I238" s="55"/>
      <c r="J238" s="170"/>
      <c r="K238" s="1"/>
      <c r="L238" s="170"/>
      <c r="M238" s="1"/>
      <c r="N238" s="458"/>
      <c r="O238" s="170"/>
      <c r="P238" s="441"/>
      <c r="Q238" s="55"/>
      <c r="R238" s="177"/>
      <c r="S238" s="454"/>
      <c r="T238" s="178"/>
      <c r="U238" s="178"/>
      <c r="V238" s="179"/>
      <c r="W238" s="180"/>
      <c r="X238" s="179"/>
      <c r="Y238" s="180"/>
      <c r="Z238" s="178"/>
      <c r="AA238" s="178"/>
      <c r="AB238" s="178"/>
      <c r="AC238" s="178"/>
      <c r="AD238" s="182"/>
      <c r="AE238" s="182"/>
      <c r="AF238" s="182"/>
      <c r="AG238" s="182"/>
      <c r="AH238" s="401"/>
      <c r="AI238" s="401"/>
      <c r="AJ238" s="401"/>
      <c r="AK238" s="401"/>
      <c r="AL238" s="401"/>
      <c r="AM238" s="189"/>
      <c r="AN238" s="829"/>
      <c r="AO238" s="830"/>
      <c r="AP238" s="401"/>
      <c r="AQ238" s="401"/>
      <c r="AR238" s="401"/>
      <c r="AS238" s="401"/>
      <c r="AT238" s="403"/>
      <c r="AU238" s="403"/>
      <c r="AV238" s="170"/>
      <c r="AW238" s="166"/>
      <c r="AX238" s="166"/>
      <c r="AY238" s="189"/>
      <c r="AZ238" s="189"/>
      <c r="BA238" s="196"/>
      <c r="BB238" s="629"/>
      <c r="BC238" s="190"/>
      <c r="BD238" s="510"/>
      <c r="BE238" s="510"/>
      <c r="BF238" s="177"/>
      <c r="BG238" s="177"/>
      <c r="BH238" s="166"/>
      <c r="BI238" s="474"/>
      <c r="BJ238" s="166"/>
      <c r="BK238" s="474"/>
      <c r="BL238" s="474"/>
      <c r="BM238" s="474"/>
      <c r="BN238" s="166"/>
      <c r="BO238" s="166"/>
      <c r="BP238" s="204"/>
      <c r="BQ238" s="475"/>
      <c r="BR238" s="205"/>
      <c r="BS238" s="509"/>
      <c r="BT238" s="509"/>
      <c r="BU238" s="459"/>
      <c r="BV238" s="459"/>
      <c r="BW238" s="1"/>
      <c r="BX238" s="1"/>
      <c r="BY238" s="546"/>
      <c r="BZ238" s="546"/>
      <c r="CA238" s="546"/>
      <c r="CB238" s="546"/>
      <c r="CC238" s="728"/>
      <c r="CD238" s="728"/>
      <c r="CE238" s="170"/>
    </row>
    <row r="239" spans="1:83" customFormat="1">
      <c r="A239" s="701"/>
      <c r="B239" s="447"/>
      <c r="C239" s="161"/>
      <c r="D239" s="162"/>
      <c r="E239" s="1"/>
      <c r="F239" s="811"/>
      <c r="G239" s="440"/>
      <c r="H239" s="1"/>
      <c r="I239" s="55"/>
      <c r="J239" s="170"/>
      <c r="K239" s="1"/>
      <c r="L239" s="170"/>
      <c r="M239" s="1"/>
      <c r="N239" s="458"/>
      <c r="O239" s="170"/>
      <c r="P239" s="441"/>
      <c r="Q239" s="55"/>
      <c r="R239" s="177"/>
      <c r="S239" s="454"/>
      <c r="T239" s="178"/>
      <c r="U239" s="178"/>
      <c r="V239" s="179"/>
      <c r="W239" s="180"/>
      <c r="X239" s="179"/>
      <c r="Y239" s="180"/>
      <c r="Z239" s="178"/>
      <c r="AA239" s="178"/>
      <c r="AB239" s="178"/>
      <c r="AC239" s="178"/>
      <c r="AD239" s="182"/>
      <c r="AE239" s="182"/>
      <c r="AF239" s="182"/>
      <c r="AG239" s="182"/>
      <c r="AH239" s="401"/>
      <c r="AI239" s="401"/>
      <c r="AJ239" s="401"/>
      <c r="AK239" s="401"/>
      <c r="AL239" s="401"/>
      <c r="AM239" s="189"/>
      <c r="AN239" s="829"/>
      <c r="AO239" s="830"/>
      <c r="AP239" s="401"/>
      <c r="AQ239" s="401"/>
      <c r="AR239" s="401"/>
      <c r="AS239" s="401"/>
      <c r="AT239" s="403"/>
      <c r="AU239" s="403"/>
      <c r="AV239" s="170"/>
      <c r="AW239" s="166"/>
      <c r="AX239" s="166"/>
      <c r="AY239" s="189"/>
      <c r="AZ239" s="189"/>
      <c r="BA239" s="196"/>
      <c r="BB239" s="629"/>
      <c r="BC239" s="190"/>
      <c r="BD239" s="510"/>
      <c r="BE239" s="510"/>
      <c r="BF239" s="177"/>
      <c r="BG239" s="177"/>
      <c r="BH239" s="166"/>
      <c r="BI239" s="474"/>
      <c r="BJ239" s="166"/>
      <c r="BK239" s="474"/>
      <c r="BL239" s="474"/>
      <c r="BM239" s="474"/>
      <c r="BN239" s="166"/>
      <c r="BO239" s="166"/>
      <c r="BP239" s="204"/>
      <c r="BQ239" s="475"/>
      <c r="BR239" s="205"/>
      <c r="BS239" s="509"/>
      <c r="BT239" s="509"/>
      <c r="BU239" s="459"/>
      <c r="BV239" s="459"/>
      <c r="BW239" s="1"/>
      <c r="BX239" s="1"/>
      <c r="BY239" s="546"/>
      <c r="BZ239" s="546"/>
      <c r="CA239" s="546"/>
      <c r="CB239" s="546"/>
      <c r="CC239" s="728"/>
      <c r="CD239" s="728"/>
      <c r="CE239" s="170"/>
    </row>
    <row r="240" spans="1:83" customFormat="1">
      <c r="A240" s="701"/>
      <c r="B240" s="447"/>
      <c r="C240" s="161"/>
      <c r="D240" s="162"/>
      <c r="E240" s="1"/>
      <c r="F240" s="811"/>
      <c r="G240" s="440"/>
      <c r="H240" s="1"/>
      <c r="I240" s="55"/>
      <c r="J240" s="170"/>
      <c r="K240" s="1"/>
      <c r="L240" s="170"/>
      <c r="M240" s="1"/>
      <c r="N240" s="458"/>
      <c r="O240" s="170"/>
      <c r="P240" s="441"/>
      <c r="Q240" s="55"/>
      <c r="R240" s="177"/>
      <c r="S240" s="454"/>
      <c r="T240" s="178"/>
      <c r="U240" s="178"/>
      <c r="V240" s="179"/>
      <c r="W240" s="180"/>
      <c r="X240" s="179"/>
      <c r="Y240" s="180"/>
      <c r="Z240" s="178"/>
      <c r="AA240" s="178"/>
      <c r="AB240" s="178"/>
      <c r="AC240" s="178"/>
      <c r="AD240" s="182"/>
      <c r="AE240" s="182"/>
      <c r="AF240" s="182"/>
      <c r="AG240" s="182"/>
      <c r="AH240" s="401"/>
      <c r="AI240" s="401"/>
      <c r="AJ240" s="401"/>
      <c r="AK240" s="401"/>
      <c r="AL240" s="401"/>
      <c r="AM240" s="189"/>
      <c r="AN240" s="829"/>
      <c r="AO240" s="830"/>
      <c r="AP240" s="401"/>
      <c r="AQ240" s="401"/>
      <c r="AR240" s="401"/>
      <c r="AS240" s="401"/>
      <c r="AT240" s="403"/>
      <c r="AU240" s="403"/>
      <c r="AV240" s="170"/>
      <c r="AW240" s="166"/>
      <c r="AX240" s="166"/>
      <c r="AY240" s="189"/>
      <c r="AZ240" s="189"/>
      <c r="BA240" s="196"/>
      <c r="BB240" s="629"/>
      <c r="BC240" s="190"/>
      <c r="BD240" s="510"/>
      <c r="BE240" s="510"/>
      <c r="BF240" s="177"/>
      <c r="BG240" s="177"/>
      <c r="BH240" s="166"/>
      <c r="BI240" s="474"/>
      <c r="BJ240" s="166"/>
      <c r="BK240" s="474"/>
      <c r="BL240" s="474"/>
      <c r="BM240" s="474"/>
      <c r="BN240" s="166"/>
      <c r="BO240" s="166"/>
      <c r="BP240" s="204"/>
      <c r="BQ240" s="475"/>
      <c r="BR240" s="205"/>
      <c r="BS240" s="509"/>
      <c r="BT240" s="509"/>
      <c r="BU240" s="459"/>
      <c r="BV240" s="459"/>
      <c r="BW240" s="1"/>
      <c r="BX240" s="1"/>
      <c r="BY240" s="546"/>
      <c r="BZ240" s="546"/>
      <c r="CA240" s="546"/>
      <c r="CB240" s="546"/>
      <c r="CC240" s="728"/>
      <c r="CD240" s="728"/>
      <c r="CE240" s="170"/>
    </row>
    <row r="241" spans="1:84" customFormat="1">
      <c r="A241" s="701"/>
      <c r="B241" s="447"/>
      <c r="C241" s="161"/>
      <c r="D241" s="162"/>
      <c r="E241" s="1"/>
      <c r="F241" s="811"/>
      <c r="G241" s="440"/>
      <c r="H241" s="1"/>
      <c r="I241" s="55"/>
      <c r="J241" s="170"/>
      <c r="K241" s="1"/>
      <c r="L241" s="170"/>
      <c r="M241" s="1"/>
      <c r="N241" s="458"/>
      <c r="O241" s="170"/>
      <c r="P241" s="441"/>
      <c r="Q241" s="55"/>
      <c r="R241" s="177"/>
      <c r="S241" s="454"/>
      <c r="T241" s="178"/>
      <c r="U241" s="178"/>
      <c r="V241" s="179"/>
      <c r="W241" s="180"/>
      <c r="X241" s="179"/>
      <c r="Y241" s="180"/>
      <c r="Z241" s="178"/>
      <c r="AA241" s="178"/>
      <c r="AB241" s="178"/>
      <c r="AC241" s="178"/>
      <c r="AD241" s="182"/>
      <c r="AE241" s="182"/>
      <c r="AF241" s="182"/>
      <c r="AG241" s="182"/>
      <c r="AH241" s="401"/>
      <c r="AI241" s="401"/>
      <c r="AJ241" s="401"/>
      <c r="AK241" s="401"/>
      <c r="AL241" s="401"/>
      <c r="AM241" s="189"/>
      <c r="AN241" s="829"/>
      <c r="AO241" s="830"/>
      <c r="AP241" s="401"/>
      <c r="AQ241" s="401"/>
      <c r="AR241" s="401"/>
      <c r="AS241" s="401"/>
      <c r="AT241" s="403"/>
      <c r="AU241" s="403"/>
      <c r="AV241" s="170"/>
      <c r="AW241" s="166"/>
      <c r="AX241" s="166"/>
      <c r="AY241" s="189"/>
      <c r="AZ241" s="189"/>
      <c r="BA241" s="196"/>
      <c r="BB241" s="629"/>
      <c r="BC241" s="190"/>
      <c r="BD241" s="510"/>
      <c r="BE241" s="510"/>
      <c r="BF241" s="177"/>
      <c r="BG241" s="177"/>
      <c r="BH241" s="166"/>
      <c r="BI241" s="474"/>
      <c r="BJ241" s="166"/>
      <c r="BK241" s="474"/>
      <c r="BL241" s="474"/>
      <c r="BM241" s="474"/>
      <c r="BN241" s="166"/>
      <c r="BO241" s="166"/>
      <c r="BP241" s="204"/>
      <c r="BQ241" s="475"/>
      <c r="BR241" s="205"/>
      <c r="BS241" s="509"/>
      <c r="BT241" s="509"/>
      <c r="BU241" s="459"/>
      <c r="BV241" s="459"/>
      <c r="BW241" s="1"/>
      <c r="BX241" s="1"/>
      <c r="BY241" s="546"/>
      <c r="BZ241" s="546"/>
      <c r="CA241" s="546"/>
      <c r="CB241" s="546"/>
      <c r="CC241" s="728"/>
      <c r="CD241" s="728"/>
      <c r="CE241" s="170"/>
    </row>
    <row r="242" spans="1:84" customFormat="1">
      <c r="A242" s="701"/>
      <c r="B242" s="447"/>
      <c r="C242" s="161"/>
      <c r="D242" s="162"/>
      <c r="E242" s="1"/>
      <c r="F242" s="811"/>
      <c r="G242" s="440"/>
      <c r="H242" s="1"/>
      <c r="I242" s="55"/>
      <c r="J242" s="170"/>
      <c r="K242" s="1"/>
      <c r="L242" s="170"/>
      <c r="M242" s="1"/>
      <c r="N242" s="458"/>
      <c r="O242" s="170"/>
      <c r="P242" s="441"/>
      <c r="Q242" s="55"/>
      <c r="R242" s="177"/>
      <c r="S242" s="454"/>
      <c r="T242" s="178"/>
      <c r="U242" s="178"/>
      <c r="V242" s="179"/>
      <c r="W242" s="180"/>
      <c r="X242" s="179"/>
      <c r="Y242" s="180"/>
      <c r="Z242" s="178"/>
      <c r="AA242" s="178"/>
      <c r="AB242" s="178"/>
      <c r="AC242" s="178"/>
      <c r="AD242" s="182"/>
      <c r="AE242" s="182"/>
      <c r="AF242" s="182"/>
      <c r="AG242" s="182"/>
      <c r="AH242" s="401"/>
      <c r="AI242" s="401"/>
      <c r="AJ242" s="401"/>
      <c r="AK242" s="401"/>
      <c r="AL242" s="401"/>
      <c r="AM242" s="189"/>
      <c r="AN242" s="829"/>
      <c r="AO242" s="830"/>
      <c r="AP242" s="401"/>
      <c r="AQ242" s="401"/>
      <c r="AR242" s="401"/>
      <c r="AS242" s="401"/>
      <c r="AT242" s="403"/>
      <c r="AU242" s="403"/>
      <c r="AV242" s="170"/>
      <c r="AW242" s="166"/>
      <c r="AX242" s="166"/>
      <c r="AY242" s="189"/>
      <c r="AZ242" s="189"/>
      <c r="BA242" s="196"/>
      <c r="BB242" s="629"/>
      <c r="BC242" s="190"/>
      <c r="BD242" s="510"/>
      <c r="BE242" s="510"/>
      <c r="BF242" s="177"/>
      <c r="BG242" s="177"/>
      <c r="BH242" s="166"/>
      <c r="BI242" s="474"/>
      <c r="BJ242" s="166"/>
      <c r="BK242" s="474"/>
      <c r="BL242" s="474"/>
      <c r="BM242" s="474"/>
      <c r="BN242" s="166"/>
      <c r="BO242" s="166"/>
      <c r="BP242" s="204"/>
      <c r="BQ242" s="475"/>
      <c r="BR242" s="205"/>
      <c r="BS242" s="509"/>
      <c r="BT242" s="509"/>
      <c r="BU242" s="459"/>
      <c r="BV242" s="459"/>
      <c r="BW242" s="1"/>
      <c r="BX242" s="1"/>
      <c r="BY242" s="546"/>
      <c r="BZ242" s="546"/>
      <c r="CA242" s="546"/>
      <c r="CB242" s="546"/>
      <c r="CC242" s="728"/>
      <c r="CD242" s="728"/>
      <c r="CE242" s="170"/>
    </row>
    <row r="243" spans="1:84" customFormat="1">
      <c r="A243" s="701"/>
      <c r="B243" s="447"/>
      <c r="C243" s="161"/>
      <c r="D243" s="162"/>
      <c r="E243" s="1"/>
      <c r="F243" s="811"/>
      <c r="G243" s="440"/>
      <c r="H243" s="1"/>
      <c r="I243" s="55"/>
      <c r="J243" s="170"/>
      <c r="K243" s="1"/>
      <c r="L243" s="170"/>
      <c r="M243" s="1"/>
      <c r="N243" s="458"/>
      <c r="O243" s="170"/>
      <c r="P243" s="441"/>
      <c r="Q243" s="55"/>
      <c r="R243" s="177"/>
      <c r="S243" s="454"/>
      <c r="T243" s="178"/>
      <c r="U243" s="178"/>
      <c r="V243" s="179"/>
      <c r="W243" s="180"/>
      <c r="X243" s="179"/>
      <c r="Y243" s="180"/>
      <c r="Z243" s="178"/>
      <c r="AA243" s="178"/>
      <c r="AB243" s="178"/>
      <c r="AC243" s="178"/>
      <c r="AD243" s="182"/>
      <c r="AE243" s="182"/>
      <c r="AF243" s="182"/>
      <c r="AG243" s="182"/>
      <c r="AH243" s="401"/>
      <c r="AI243" s="401"/>
      <c r="AJ243" s="401"/>
      <c r="AK243" s="401"/>
      <c r="AL243" s="401"/>
      <c r="AM243" s="189"/>
      <c r="AN243" s="829"/>
      <c r="AO243" s="830"/>
      <c r="AP243" s="401"/>
      <c r="AQ243" s="401"/>
      <c r="AR243" s="401"/>
      <c r="AS243" s="401"/>
      <c r="AT243" s="403"/>
      <c r="AU243" s="403"/>
      <c r="AV243" s="170"/>
      <c r="AW243" s="166"/>
      <c r="AX243" s="166"/>
      <c r="AY243" s="189"/>
      <c r="AZ243" s="189"/>
      <c r="BA243" s="196"/>
      <c r="BB243" s="629"/>
      <c r="BC243" s="190"/>
      <c r="BD243" s="510"/>
      <c r="BE243" s="510"/>
      <c r="BF243" s="177"/>
      <c r="BG243" s="177"/>
      <c r="BH243" s="166"/>
      <c r="BI243" s="474"/>
      <c r="BJ243" s="166"/>
      <c r="BK243" s="474"/>
      <c r="BL243" s="474"/>
      <c r="BM243" s="474"/>
      <c r="BN243" s="166"/>
      <c r="BO243" s="166"/>
      <c r="BP243" s="204"/>
      <c r="BQ243" s="475"/>
      <c r="BR243" s="205"/>
      <c r="BS243" s="509"/>
      <c r="BT243" s="509"/>
      <c r="BU243" s="459"/>
      <c r="BV243" s="459"/>
      <c r="BW243" s="1"/>
      <c r="BX243" s="1"/>
      <c r="BY243" s="546"/>
      <c r="BZ243" s="546"/>
      <c r="CA243" s="546"/>
      <c r="CB243" s="546"/>
      <c r="CC243" s="728"/>
      <c r="CD243" s="728"/>
      <c r="CE243" s="170"/>
    </row>
    <row r="244" spans="1:84" customFormat="1">
      <c r="A244" s="701"/>
      <c r="B244" s="447"/>
      <c r="C244" s="1"/>
      <c r="D244" s="538"/>
      <c r="E244" s="1"/>
      <c r="F244" s="811"/>
      <c r="G244" s="440"/>
      <c r="H244" s="1"/>
      <c r="I244" s="55"/>
      <c r="J244" s="171"/>
      <c r="K244" s="55"/>
      <c r="L244" s="171"/>
      <c r="M244" s="55"/>
      <c r="N244" s="172"/>
      <c r="O244" s="170"/>
      <c r="P244" s="139"/>
      <c r="Q244" s="172"/>
      <c r="R244" s="181"/>
      <c r="S244" s="455"/>
      <c r="T244" s="170"/>
      <c r="U244" s="170"/>
      <c r="V244" s="1"/>
      <c r="W244" s="173"/>
      <c r="X244" s="1"/>
      <c r="Y244" s="166"/>
      <c r="Z244" s="170"/>
      <c r="AA244" s="170"/>
      <c r="AB244" s="170"/>
      <c r="AC244" s="170"/>
      <c r="AD244" s="182"/>
      <c r="AE244" s="182"/>
      <c r="AF244" s="182"/>
      <c r="AG244" s="182"/>
      <c r="AH244" s="189"/>
      <c r="AI244" s="401"/>
      <c r="AJ244" s="189"/>
      <c r="AK244" s="401"/>
      <c r="AL244" s="401"/>
      <c r="AM244" s="189"/>
      <c r="AN244" s="782"/>
      <c r="AO244" s="189"/>
      <c r="AP244" s="401"/>
      <c r="AQ244" s="401"/>
      <c r="AR244" s="401"/>
      <c r="AS244" s="188"/>
      <c r="AT244" s="1"/>
      <c r="AU244" s="403"/>
      <c r="AV244" s="1"/>
      <c r="AW244" s="166"/>
      <c r="AX244" s="166"/>
      <c r="AY244" s="189"/>
      <c r="AZ244" s="189"/>
      <c r="BA244" s="196"/>
      <c r="BB244" s="629"/>
      <c r="BC244" s="197"/>
      <c r="BD244" s="510"/>
      <c r="BE244" s="510"/>
      <c r="BF244" s="177"/>
      <c r="BG244" s="177"/>
      <c r="BH244" s="166"/>
      <c r="BI244" s="474"/>
      <c r="BJ244" s="166"/>
      <c r="BK244" s="474"/>
      <c r="BL244" s="474"/>
      <c r="BM244" s="474"/>
      <c r="BN244" s="166"/>
      <c r="BO244" s="166"/>
      <c r="BP244" s="204"/>
      <c r="BQ244" s="475"/>
      <c r="BR244" s="205"/>
      <c r="BS244" s="509"/>
      <c r="BT244" s="509"/>
      <c r="BU244" s="459"/>
      <c r="BV244" s="459"/>
      <c r="BW244" s="1"/>
      <c r="BX244" s="1"/>
      <c r="BY244" s="546"/>
      <c r="BZ244" s="546"/>
      <c r="CA244" s="546"/>
      <c r="CB244" s="546"/>
      <c r="CC244" s="728"/>
      <c r="CD244" s="728"/>
      <c r="CE244" s="170"/>
    </row>
    <row r="245" spans="1:84" customFormat="1">
      <c r="A245" s="701"/>
      <c r="B245" s="447"/>
      <c r="C245" s="161"/>
      <c r="D245" s="162"/>
      <c r="E245" s="1"/>
      <c r="F245" s="811"/>
      <c r="G245" s="440"/>
      <c r="H245" s="1"/>
      <c r="I245" s="55"/>
      <c r="J245" s="170"/>
      <c r="K245" s="1"/>
      <c r="L245" s="170"/>
      <c r="M245" s="1"/>
      <c r="N245" s="458"/>
      <c r="O245" s="170"/>
      <c r="P245" s="441"/>
      <c r="Q245" s="55"/>
      <c r="R245" s="177"/>
      <c r="S245" s="454"/>
      <c r="T245" s="178"/>
      <c r="U245" s="178"/>
      <c r="V245" s="179"/>
      <c r="W245" s="180"/>
      <c r="X245" s="179"/>
      <c r="Y245" s="180"/>
      <c r="Z245" s="178"/>
      <c r="AA245" s="178"/>
      <c r="AB245" s="178"/>
      <c r="AC245" s="178"/>
      <c r="AD245" s="182"/>
      <c r="AE245" s="182"/>
      <c r="AF245" s="182"/>
      <c r="AG245" s="182"/>
      <c r="AH245" s="401"/>
      <c r="AI245" s="401"/>
      <c r="AJ245" s="401"/>
      <c r="AK245" s="401"/>
      <c r="AL245" s="401"/>
      <c r="AM245" s="189"/>
      <c r="AN245" s="829"/>
      <c r="AO245" s="830"/>
      <c r="AP245" s="401"/>
      <c r="AQ245" s="401"/>
      <c r="AR245" s="401"/>
      <c r="AS245" s="401"/>
      <c r="AT245" s="403"/>
      <c r="AU245" s="403"/>
      <c r="AV245" s="170"/>
      <c r="AW245" s="166"/>
      <c r="AX245" s="166"/>
      <c r="AY245" s="189"/>
      <c r="AZ245" s="189"/>
      <c r="BA245" s="196"/>
      <c r="BB245" s="629"/>
      <c r="BC245" s="190"/>
      <c r="BD245" s="510"/>
      <c r="BE245" s="510"/>
      <c r="BF245" s="177"/>
      <c r="BG245" s="177"/>
      <c r="BH245" s="166"/>
      <c r="BI245" s="474"/>
      <c r="BJ245" s="166"/>
      <c r="BK245" s="474"/>
      <c r="BL245" s="474"/>
      <c r="BM245" s="474"/>
      <c r="BN245" s="166"/>
      <c r="BO245" s="166"/>
      <c r="BP245" s="204"/>
      <c r="BQ245" s="475"/>
      <c r="BR245" s="205"/>
      <c r="BS245" s="509"/>
      <c r="BT245" s="509"/>
      <c r="BU245" s="459"/>
      <c r="BV245" s="459"/>
      <c r="BW245" s="1"/>
      <c r="BX245" s="1"/>
      <c r="BY245" s="546"/>
      <c r="BZ245" s="546"/>
      <c r="CA245" s="546"/>
      <c r="CB245" s="546"/>
      <c r="CC245" s="728"/>
      <c r="CD245" s="728"/>
      <c r="CE245" s="170"/>
    </row>
    <row r="246" spans="1:84" customFormat="1">
      <c r="A246" s="701"/>
      <c r="B246" s="447"/>
      <c r="C246" s="161"/>
      <c r="D246" s="162"/>
      <c r="E246" s="1"/>
      <c r="F246" s="811"/>
      <c r="G246" s="440"/>
      <c r="H246" s="1"/>
      <c r="I246" s="55"/>
      <c r="J246" s="170"/>
      <c r="K246" s="1"/>
      <c r="L246" s="170"/>
      <c r="M246" s="1"/>
      <c r="N246" s="458"/>
      <c r="O246" s="170"/>
      <c r="P246" s="441"/>
      <c r="Q246" s="55"/>
      <c r="R246" s="177"/>
      <c r="S246" s="454"/>
      <c r="T246" s="178"/>
      <c r="U246" s="178"/>
      <c r="V246" s="179"/>
      <c r="W246" s="180"/>
      <c r="X246" s="179"/>
      <c r="Y246" s="180"/>
      <c r="Z246" s="178"/>
      <c r="AA246" s="178"/>
      <c r="AB246" s="178"/>
      <c r="AC246" s="178"/>
      <c r="AD246" s="182"/>
      <c r="AE246" s="182"/>
      <c r="AF246" s="182"/>
      <c r="AG246" s="182"/>
      <c r="AH246" s="401"/>
      <c r="AI246" s="401"/>
      <c r="AJ246" s="401"/>
      <c r="AK246" s="401"/>
      <c r="AL246" s="401"/>
      <c r="AM246" s="189"/>
      <c r="AN246" s="829"/>
      <c r="AO246" s="830"/>
      <c r="AP246" s="401"/>
      <c r="AQ246" s="401"/>
      <c r="AR246" s="401"/>
      <c r="AS246" s="401"/>
      <c r="AT246" s="403"/>
      <c r="AU246" s="403"/>
      <c r="AV246" s="170"/>
      <c r="AW246" s="166"/>
      <c r="AX246" s="166"/>
      <c r="AY246" s="189"/>
      <c r="AZ246" s="189"/>
      <c r="BA246" s="196"/>
      <c r="BB246" s="629"/>
      <c r="BC246" s="190"/>
      <c r="BD246" s="510"/>
      <c r="BE246" s="510"/>
      <c r="BF246" s="177"/>
      <c r="BG246" s="177"/>
      <c r="BH246" s="166"/>
      <c r="BI246" s="474"/>
      <c r="BJ246" s="166"/>
      <c r="BK246" s="474"/>
      <c r="BL246" s="474"/>
      <c r="BM246" s="474"/>
      <c r="BN246" s="166"/>
      <c r="BO246" s="166"/>
      <c r="BP246" s="204"/>
      <c r="BQ246" s="475"/>
      <c r="BR246" s="205"/>
      <c r="BS246" s="509"/>
      <c r="BT246" s="509"/>
      <c r="BU246" s="459"/>
      <c r="BV246" s="459"/>
      <c r="BW246" s="1"/>
      <c r="BX246" s="1"/>
      <c r="BY246" s="546"/>
      <c r="BZ246" s="546"/>
      <c r="CA246" s="546"/>
      <c r="CB246" s="546"/>
      <c r="CC246" s="728"/>
      <c r="CD246" s="728"/>
      <c r="CE246" s="170"/>
    </row>
    <row r="247" spans="1:84" customFormat="1">
      <c r="A247" s="701"/>
      <c r="B247" s="447"/>
      <c r="C247" s="161"/>
      <c r="D247" s="162"/>
      <c r="E247" s="1"/>
      <c r="F247" s="811"/>
      <c r="G247" s="440"/>
      <c r="H247" s="1"/>
      <c r="I247" s="55"/>
      <c r="J247" s="457"/>
      <c r="K247" s="1"/>
      <c r="L247" s="170"/>
      <c r="M247" s="1"/>
      <c r="N247" s="458"/>
      <c r="O247" s="170"/>
      <c r="P247" s="441"/>
      <c r="Q247" s="55"/>
      <c r="R247" s="177"/>
      <c r="S247" s="454"/>
      <c r="T247" s="178"/>
      <c r="U247" s="178"/>
      <c r="V247" s="179"/>
      <c r="W247" s="180"/>
      <c r="X247" s="179"/>
      <c r="Y247" s="180"/>
      <c r="Z247" s="178"/>
      <c r="AA247" s="178"/>
      <c r="AB247" s="178"/>
      <c r="AC247" s="178"/>
      <c r="AD247" s="182"/>
      <c r="AE247" s="182"/>
      <c r="AF247" s="182"/>
      <c r="AG247" s="182"/>
      <c r="AH247" s="401"/>
      <c r="AI247" s="401"/>
      <c r="AJ247" s="401"/>
      <c r="AK247" s="401"/>
      <c r="AL247" s="401"/>
      <c r="AM247" s="189"/>
      <c r="AN247" s="829"/>
      <c r="AO247" s="830"/>
      <c r="AP247" s="401"/>
      <c r="AQ247" s="401"/>
      <c r="AR247" s="401"/>
      <c r="AS247" s="401"/>
      <c r="AT247" s="403"/>
      <c r="AU247" s="403"/>
      <c r="AV247" s="170"/>
      <c r="AW247" s="166"/>
      <c r="AX247" s="166"/>
      <c r="AY247" s="189"/>
      <c r="AZ247" s="189"/>
      <c r="BA247" s="196"/>
      <c r="BB247" s="629"/>
      <c r="BC247" s="190"/>
      <c r="BD247" s="510"/>
      <c r="BE247" s="510"/>
      <c r="BF247" s="177"/>
      <c r="BG247" s="177"/>
      <c r="BH247" s="166"/>
      <c r="BI247" s="474"/>
      <c r="BJ247" s="166"/>
      <c r="BK247" s="474"/>
      <c r="BL247" s="474"/>
      <c r="BM247" s="474"/>
      <c r="BN247" s="166"/>
      <c r="BO247" s="166"/>
      <c r="BP247" s="204"/>
      <c r="BQ247" s="475"/>
      <c r="BR247" s="205"/>
      <c r="BS247" s="509"/>
      <c r="BT247" s="509"/>
      <c r="BU247" s="459"/>
      <c r="BV247" s="459"/>
      <c r="BW247" s="1"/>
      <c r="BX247" s="1"/>
      <c r="BY247" s="546"/>
      <c r="BZ247" s="546"/>
      <c r="CA247" s="546"/>
      <c r="CB247" s="546"/>
      <c r="CC247" s="728"/>
      <c r="CD247" s="728"/>
      <c r="CE247" s="170"/>
    </row>
    <row r="248" spans="1:84" customFormat="1">
      <c r="A248" s="701"/>
      <c r="B248" s="447"/>
      <c r="C248" s="161"/>
      <c r="D248" s="162"/>
      <c r="E248" s="1"/>
      <c r="F248" s="811"/>
      <c r="G248" s="440"/>
      <c r="H248" s="1"/>
      <c r="I248" s="55"/>
      <c r="J248" s="170"/>
      <c r="K248" s="1"/>
      <c r="L248" s="170"/>
      <c r="M248" s="1"/>
      <c r="N248" s="458"/>
      <c r="O248" s="170"/>
      <c r="P248" s="441"/>
      <c r="Q248" s="55"/>
      <c r="R248" s="177"/>
      <c r="S248" s="454"/>
      <c r="T248" s="178"/>
      <c r="U248" s="178"/>
      <c r="V248" s="179"/>
      <c r="W248" s="180"/>
      <c r="X248" s="179"/>
      <c r="Y248" s="180"/>
      <c r="Z248" s="178"/>
      <c r="AA248" s="178"/>
      <c r="AB248" s="178"/>
      <c r="AC248" s="178"/>
      <c r="AD248" s="182"/>
      <c r="AE248" s="182"/>
      <c r="AF248" s="182"/>
      <c r="AG248" s="182"/>
      <c r="AH248" s="401"/>
      <c r="AI248" s="401"/>
      <c r="AJ248" s="401"/>
      <c r="AK248" s="401"/>
      <c r="AL248" s="401"/>
      <c r="AM248" s="189"/>
      <c r="AN248" s="829"/>
      <c r="AO248" s="830"/>
      <c r="AP248" s="401"/>
      <c r="AQ248" s="401"/>
      <c r="AR248" s="401"/>
      <c r="AS248" s="401"/>
      <c r="AT248" s="403"/>
      <c r="AU248" s="403"/>
      <c r="AV248" s="170"/>
      <c r="AW248" s="166"/>
      <c r="AX248" s="166"/>
      <c r="AY248" s="189"/>
      <c r="AZ248" s="189"/>
      <c r="BA248" s="196"/>
      <c r="BB248" s="629"/>
      <c r="BC248" s="190"/>
      <c r="BD248" s="510"/>
      <c r="BE248" s="510"/>
      <c r="BF248" s="177"/>
      <c r="BG248" s="177"/>
      <c r="BH248" s="166"/>
      <c r="BI248" s="474"/>
      <c r="BJ248" s="166"/>
      <c r="BK248" s="474"/>
      <c r="BL248" s="474"/>
      <c r="BM248" s="474"/>
      <c r="BN248" s="166"/>
      <c r="BO248" s="166"/>
      <c r="BP248" s="204"/>
      <c r="BQ248" s="475"/>
      <c r="BR248" s="205"/>
      <c r="BS248" s="509"/>
      <c r="BT248" s="509"/>
      <c r="BU248" s="459"/>
      <c r="BV248" s="459"/>
      <c r="BW248" s="1"/>
      <c r="BX248" s="1"/>
      <c r="BY248" s="546"/>
      <c r="BZ248" s="546"/>
      <c r="CA248" s="546"/>
      <c r="CB248" s="546"/>
      <c r="CC248" s="728"/>
      <c r="CD248" s="728"/>
      <c r="CE248" s="170"/>
    </row>
    <row r="249" spans="1:84" customFormat="1">
      <c r="A249" s="701"/>
      <c r="B249" s="447"/>
      <c r="C249" s="161"/>
      <c r="D249" s="162"/>
      <c r="E249" s="1"/>
      <c r="F249" s="811"/>
      <c r="G249" s="440"/>
      <c r="H249" s="1"/>
      <c r="I249" s="55"/>
      <c r="J249" s="170"/>
      <c r="K249" s="1"/>
      <c r="L249" s="170"/>
      <c r="M249" s="1"/>
      <c r="N249" s="458"/>
      <c r="O249" s="170"/>
      <c r="P249" s="441"/>
      <c r="Q249" s="55"/>
      <c r="R249" s="177"/>
      <c r="S249" s="454"/>
      <c r="T249" s="178"/>
      <c r="U249" s="178"/>
      <c r="V249" s="179"/>
      <c r="W249" s="180"/>
      <c r="X249" s="179"/>
      <c r="Y249" s="180"/>
      <c r="Z249" s="178"/>
      <c r="AA249" s="178"/>
      <c r="AB249" s="178"/>
      <c r="AC249" s="178"/>
      <c r="AD249" s="182"/>
      <c r="AE249" s="182"/>
      <c r="AF249" s="182"/>
      <c r="AG249" s="182"/>
      <c r="AH249" s="401"/>
      <c r="AI249" s="401"/>
      <c r="AJ249" s="401"/>
      <c r="AK249" s="401"/>
      <c r="AL249" s="401"/>
      <c r="AM249" s="189"/>
      <c r="AN249" s="829"/>
      <c r="AO249" s="830"/>
      <c r="AP249" s="401"/>
      <c r="AQ249" s="401"/>
      <c r="AR249" s="401"/>
      <c r="AS249" s="401"/>
      <c r="AT249" s="403"/>
      <c r="AU249" s="403"/>
      <c r="AV249" s="170"/>
      <c r="AW249" s="166"/>
      <c r="AX249" s="166"/>
      <c r="AY249" s="189"/>
      <c r="AZ249" s="189"/>
      <c r="BA249" s="196"/>
      <c r="BB249" s="629"/>
      <c r="BC249" s="190"/>
      <c r="BD249" s="510"/>
      <c r="BE249" s="510"/>
      <c r="BF249" s="177"/>
      <c r="BG249" s="177"/>
      <c r="BH249" s="166"/>
      <c r="BI249" s="474"/>
      <c r="BJ249" s="166"/>
      <c r="BK249" s="474"/>
      <c r="BL249" s="474"/>
      <c r="BM249" s="474"/>
      <c r="BN249" s="166"/>
      <c r="BO249" s="166"/>
      <c r="BP249" s="204"/>
      <c r="BQ249" s="475"/>
      <c r="BR249" s="205"/>
      <c r="BS249" s="509"/>
      <c r="BT249" s="509"/>
      <c r="BU249" s="459"/>
      <c r="BV249" s="459"/>
      <c r="BW249" s="1"/>
      <c r="BX249" s="1"/>
      <c r="BY249" s="546"/>
      <c r="BZ249" s="546"/>
      <c r="CA249" s="546"/>
      <c r="CB249" s="546"/>
      <c r="CC249" s="728"/>
      <c r="CD249" s="728"/>
      <c r="CE249" s="170"/>
    </row>
    <row r="250" spans="1:84" customFormat="1">
      <c r="A250" s="701"/>
      <c r="B250" s="447"/>
      <c r="C250" s="161"/>
      <c r="D250" s="162"/>
      <c r="E250" s="1"/>
      <c r="F250" s="811"/>
      <c r="G250" s="440"/>
      <c r="H250" s="1"/>
      <c r="I250" s="55"/>
      <c r="J250" s="170"/>
      <c r="K250" s="1"/>
      <c r="L250" s="170"/>
      <c r="M250" s="1"/>
      <c r="N250" s="458"/>
      <c r="O250" s="170"/>
      <c r="P250" s="441"/>
      <c r="Q250" s="55"/>
      <c r="R250" s="177"/>
      <c r="S250" s="454"/>
      <c r="T250" s="178"/>
      <c r="U250" s="178"/>
      <c r="V250" s="179"/>
      <c r="W250" s="180"/>
      <c r="X250" s="179"/>
      <c r="Y250" s="180"/>
      <c r="Z250" s="178"/>
      <c r="AA250" s="178"/>
      <c r="AB250" s="178"/>
      <c r="AC250" s="178"/>
      <c r="AD250" s="182"/>
      <c r="AE250" s="182"/>
      <c r="AF250" s="182"/>
      <c r="AG250" s="182"/>
      <c r="AH250" s="401"/>
      <c r="AI250" s="401"/>
      <c r="AJ250" s="401"/>
      <c r="AK250" s="401"/>
      <c r="AL250" s="401"/>
      <c r="AM250" s="189"/>
      <c r="AN250" s="829"/>
      <c r="AO250" s="830"/>
      <c r="AP250" s="401"/>
      <c r="AQ250" s="401"/>
      <c r="AR250" s="401"/>
      <c r="AS250" s="401"/>
      <c r="AT250" s="403"/>
      <c r="AU250" s="403"/>
      <c r="AV250" s="170"/>
      <c r="AW250" s="166"/>
      <c r="AX250" s="166"/>
      <c r="AY250" s="189"/>
      <c r="AZ250" s="189"/>
      <c r="BA250" s="196"/>
      <c r="BB250" s="629"/>
      <c r="BC250" s="190"/>
      <c r="BD250" s="510"/>
      <c r="BE250" s="510"/>
      <c r="BF250" s="177"/>
      <c r="BG250" s="177"/>
      <c r="BH250" s="166"/>
      <c r="BI250" s="474"/>
      <c r="BJ250" s="166"/>
      <c r="BK250" s="474"/>
      <c r="BL250" s="474"/>
      <c r="BM250" s="474"/>
      <c r="BN250" s="166"/>
      <c r="BO250" s="166"/>
      <c r="BP250" s="204"/>
      <c r="BQ250" s="475"/>
      <c r="BR250" s="205"/>
      <c r="BS250" s="509"/>
      <c r="BT250" s="509"/>
      <c r="BU250" s="459"/>
      <c r="BV250" s="459"/>
      <c r="BW250" s="1"/>
      <c r="BX250" s="1"/>
      <c r="BY250" s="546"/>
      <c r="BZ250" s="546"/>
      <c r="CA250" s="546"/>
      <c r="CB250" s="546"/>
      <c r="CC250" s="728"/>
      <c r="CD250" s="728"/>
      <c r="CE250" s="170"/>
    </row>
    <row r="251" spans="1:84" customFormat="1">
      <c r="A251" s="701"/>
      <c r="B251" s="447"/>
      <c r="C251" s="161"/>
      <c r="D251" s="162"/>
      <c r="E251" s="1"/>
      <c r="F251" s="811"/>
      <c r="G251" s="440"/>
      <c r="H251" s="1"/>
      <c r="I251" s="55"/>
      <c r="J251" s="170"/>
      <c r="K251" s="1"/>
      <c r="L251" s="170"/>
      <c r="M251" s="1"/>
      <c r="N251" s="458"/>
      <c r="O251" s="170"/>
      <c r="P251" s="441"/>
      <c r="Q251" s="55"/>
      <c r="R251" s="177"/>
      <c r="S251" s="454"/>
      <c r="T251" s="178"/>
      <c r="U251" s="178"/>
      <c r="V251" s="179"/>
      <c r="W251" s="180"/>
      <c r="X251" s="179"/>
      <c r="Y251" s="180"/>
      <c r="Z251" s="178"/>
      <c r="AA251" s="178"/>
      <c r="AB251" s="178"/>
      <c r="AC251" s="178"/>
      <c r="AD251" s="182"/>
      <c r="AE251" s="182"/>
      <c r="AF251" s="182"/>
      <c r="AG251" s="182"/>
      <c r="AH251" s="401"/>
      <c r="AI251" s="401"/>
      <c r="AJ251" s="401"/>
      <c r="AK251" s="401"/>
      <c r="AL251" s="401"/>
      <c r="AM251" s="189"/>
      <c r="AN251" s="829"/>
      <c r="AO251" s="830"/>
      <c r="AP251" s="401"/>
      <c r="AQ251" s="401"/>
      <c r="AR251" s="401"/>
      <c r="AS251" s="401"/>
      <c r="AT251" s="403"/>
      <c r="AU251" s="403"/>
      <c r="AV251" s="170"/>
      <c r="AW251" s="166"/>
      <c r="AX251" s="166"/>
      <c r="AY251" s="189"/>
      <c r="AZ251" s="189"/>
      <c r="BA251" s="196"/>
      <c r="BB251" s="629"/>
      <c r="BC251" s="190"/>
      <c r="BD251" s="510"/>
      <c r="BE251" s="510"/>
      <c r="BF251" s="177"/>
      <c r="BG251" s="177"/>
      <c r="BH251" s="166"/>
      <c r="BI251" s="474"/>
      <c r="BJ251" s="166"/>
      <c r="BK251" s="474"/>
      <c r="BL251" s="474"/>
      <c r="BM251" s="474"/>
      <c r="BN251" s="166"/>
      <c r="BO251" s="166"/>
      <c r="BP251" s="204"/>
      <c r="BQ251" s="475"/>
      <c r="BR251" s="205"/>
      <c r="BS251" s="509"/>
      <c r="BT251" s="509"/>
      <c r="BU251" s="459"/>
      <c r="BV251" s="459"/>
      <c r="BW251" s="1"/>
      <c r="BX251" s="1"/>
      <c r="BY251" s="546"/>
      <c r="BZ251" s="546"/>
      <c r="CA251" s="546"/>
      <c r="CB251" s="546"/>
      <c r="CC251" s="728"/>
      <c r="CD251" s="728"/>
      <c r="CE251" s="170"/>
    </row>
    <row r="252" spans="1:84" customFormat="1">
      <c r="A252" s="701"/>
      <c r="B252" s="447"/>
      <c r="C252" s="161"/>
      <c r="D252" s="162"/>
      <c r="E252" s="1"/>
      <c r="F252" s="811"/>
      <c r="G252" s="440"/>
      <c r="H252" s="1"/>
      <c r="I252" s="55"/>
      <c r="J252" s="170"/>
      <c r="K252" s="1"/>
      <c r="L252" s="170"/>
      <c r="M252" s="1"/>
      <c r="N252" s="458"/>
      <c r="O252" s="170"/>
      <c r="P252" s="441"/>
      <c r="Q252" s="55"/>
      <c r="R252" s="177"/>
      <c r="S252" s="454"/>
      <c r="T252" s="178"/>
      <c r="U252" s="178"/>
      <c r="V252" s="179"/>
      <c r="W252" s="180"/>
      <c r="X252" s="179"/>
      <c r="Y252" s="180"/>
      <c r="Z252" s="178"/>
      <c r="AA252" s="178"/>
      <c r="AB252" s="178"/>
      <c r="AC252" s="178"/>
      <c r="AD252" s="182"/>
      <c r="AE252" s="182"/>
      <c r="AF252" s="182"/>
      <c r="AG252" s="182"/>
      <c r="AH252" s="401"/>
      <c r="AI252" s="401"/>
      <c r="AJ252" s="401"/>
      <c r="AK252" s="401"/>
      <c r="AL252" s="401"/>
      <c r="AM252" s="189"/>
      <c r="AN252" s="829"/>
      <c r="AO252" s="830"/>
      <c r="AP252" s="401"/>
      <c r="AQ252" s="401"/>
      <c r="AR252" s="401"/>
      <c r="AS252" s="401"/>
      <c r="AT252" s="403"/>
      <c r="AU252" s="403"/>
      <c r="AV252" s="170"/>
      <c r="AW252" s="166"/>
      <c r="AX252" s="166"/>
      <c r="AY252" s="189"/>
      <c r="AZ252" s="189"/>
      <c r="BA252" s="196"/>
      <c r="BB252" s="629"/>
      <c r="BC252" s="190"/>
      <c r="BD252" s="510"/>
      <c r="BE252" s="510"/>
      <c r="BF252" s="177"/>
      <c r="BG252" s="177"/>
      <c r="BH252" s="166"/>
      <c r="BI252" s="474"/>
      <c r="BJ252" s="166"/>
      <c r="BK252" s="474"/>
      <c r="BL252" s="474"/>
      <c r="BM252" s="474"/>
      <c r="BN252" s="166"/>
      <c r="BO252" s="166"/>
      <c r="BP252" s="204"/>
      <c r="BQ252" s="475"/>
      <c r="BR252" s="205"/>
      <c r="BS252" s="509"/>
      <c r="BT252" s="509"/>
      <c r="BU252" s="459"/>
      <c r="BV252" s="459"/>
      <c r="BW252" s="1"/>
      <c r="BX252" s="1"/>
      <c r="BY252" s="546"/>
      <c r="BZ252" s="546"/>
      <c r="CA252" s="546"/>
      <c r="CB252" s="546"/>
      <c r="CC252" s="728"/>
      <c r="CD252" s="728"/>
      <c r="CE252" s="170"/>
    </row>
    <row r="253" spans="1:84" customFormat="1">
      <c r="A253" s="701"/>
      <c r="B253" s="447"/>
      <c r="C253" s="161"/>
      <c r="D253" s="162"/>
      <c r="E253" s="1"/>
      <c r="F253" s="811"/>
      <c r="G253" s="440"/>
      <c r="H253" s="1"/>
      <c r="I253" s="55"/>
      <c r="J253" s="170"/>
      <c r="K253" s="1"/>
      <c r="L253" s="170"/>
      <c r="M253" s="1"/>
      <c r="N253" s="458"/>
      <c r="O253" s="170"/>
      <c r="P253" s="441"/>
      <c r="Q253" s="55"/>
      <c r="R253" s="177"/>
      <c r="S253" s="454"/>
      <c r="T253" s="178"/>
      <c r="U253" s="178"/>
      <c r="V253" s="179"/>
      <c r="W253" s="180"/>
      <c r="X253" s="179"/>
      <c r="Y253" s="180"/>
      <c r="Z253" s="178"/>
      <c r="AA253" s="178"/>
      <c r="AB253" s="178"/>
      <c r="AC253" s="178"/>
      <c r="AD253" s="182"/>
      <c r="AE253" s="182"/>
      <c r="AF253" s="182"/>
      <c r="AG253" s="182"/>
      <c r="AH253" s="401"/>
      <c r="AI253" s="401"/>
      <c r="AJ253" s="401"/>
      <c r="AK253" s="401"/>
      <c r="AL253" s="401"/>
      <c r="AM253" s="189"/>
      <c r="AN253" s="829"/>
      <c r="AO253" s="830"/>
      <c r="AP253" s="401"/>
      <c r="AQ253" s="401"/>
      <c r="AR253" s="401"/>
      <c r="AS253" s="401"/>
      <c r="AT253" s="403"/>
      <c r="AU253" s="403"/>
      <c r="AV253" s="170"/>
      <c r="AW253" s="166"/>
      <c r="AX253" s="166"/>
      <c r="AY253" s="189"/>
      <c r="AZ253" s="189"/>
      <c r="BA253" s="196"/>
      <c r="BB253" s="629"/>
      <c r="BC253" s="190"/>
      <c r="BD253" s="510"/>
      <c r="BE253" s="510"/>
      <c r="BF253" s="177"/>
      <c r="BG253" s="177"/>
      <c r="BH253" s="166"/>
      <c r="BI253" s="474"/>
      <c r="BJ253" s="166"/>
      <c r="BK253" s="474"/>
      <c r="BL253" s="474"/>
      <c r="BM253" s="474"/>
      <c r="BN253" s="166"/>
      <c r="BO253" s="166"/>
      <c r="BP253" s="204"/>
      <c r="BQ253" s="475"/>
      <c r="BR253" s="205"/>
      <c r="BS253" s="509"/>
      <c r="BT253" s="509"/>
      <c r="BU253" s="459"/>
      <c r="BV253" s="459"/>
      <c r="BW253" s="1"/>
      <c r="BX253" s="1"/>
      <c r="BY253" s="546"/>
      <c r="BZ253" s="546"/>
      <c r="CA253" s="546"/>
      <c r="CB253" s="546"/>
      <c r="CC253" s="728"/>
      <c r="CD253" s="728"/>
      <c r="CE253" s="170"/>
    </row>
    <row r="254" spans="1:84" customFormat="1">
      <c r="A254" s="701"/>
      <c r="B254" s="447"/>
      <c r="C254" s="161"/>
      <c r="D254" s="162"/>
      <c r="E254" s="1"/>
      <c r="F254" s="811"/>
      <c r="G254" s="440"/>
      <c r="H254" s="1"/>
      <c r="I254" s="55"/>
      <c r="J254" s="170"/>
      <c r="K254" s="1"/>
      <c r="L254" s="170"/>
      <c r="M254" s="1"/>
      <c r="N254" s="458"/>
      <c r="O254" s="170"/>
      <c r="P254" s="441"/>
      <c r="Q254" s="55"/>
      <c r="R254" s="177"/>
      <c r="S254" s="454"/>
      <c r="T254" s="178"/>
      <c r="U254" s="178"/>
      <c r="V254" s="179"/>
      <c r="W254" s="180"/>
      <c r="X254" s="179"/>
      <c r="Y254" s="180"/>
      <c r="Z254" s="178"/>
      <c r="AA254" s="178"/>
      <c r="AB254" s="178"/>
      <c r="AC254" s="178"/>
      <c r="AD254" s="182"/>
      <c r="AE254" s="182"/>
      <c r="AF254" s="182"/>
      <c r="AG254" s="182"/>
      <c r="AH254" s="401"/>
      <c r="AI254" s="401"/>
      <c r="AJ254" s="401"/>
      <c r="AK254" s="401"/>
      <c r="AL254" s="401"/>
      <c r="AM254" s="189"/>
      <c r="AN254" s="829"/>
      <c r="AO254" s="830"/>
      <c r="AP254" s="401"/>
      <c r="AQ254" s="401"/>
      <c r="AR254" s="401"/>
      <c r="AS254" s="401"/>
      <c r="AT254" s="403"/>
      <c r="AU254" s="403"/>
      <c r="AV254" s="170"/>
      <c r="AW254" s="166"/>
      <c r="AX254" s="166"/>
      <c r="AY254" s="189"/>
      <c r="AZ254" s="189"/>
      <c r="BA254" s="196"/>
      <c r="BB254" s="629"/>
      <c r="BC254" s="190"/>
      <c r="BD254" s="510"/>
      <c r="BE254" s="510"/>
      <c r="BF254" s="177"/>
      <c r="BG254" s="177"/>
      <c r="BH254" s="166"/>
      <c r="BI254" s="474"/>
      <c r="BJ254" s="166"/>
      <c r="BK254" s="474"/>
      <c r="BL254" s="474"/>
      <c r="BM254" s="474"/>
      <c r="BN254" s="166"/>
      <c r="BO254" s="166"/>
      <c r="BP254" s="204"/>
      <c r="BQ254" s="475"/>
      <c r="BR254" s="205"/>
      <c r="BS254" s="509"/>
      <c r="BT254" s="509"/>
      <c r="BU254" s="459"/>
      <c r="BV254" s="459"/>
      <c r="BW254" s="1"/>
      <c r="BX254" s="1"/>
      <c r="BY254" s="546"/>
      <c r="BZ254" s="546"/>
      <c r="CA254" s="546"/>
      <c r="CB254" s="546"/>
      <c r="CC254" s="728"/>
      <c r="CD254" s="728"/>
      <c r="CE254" s="170"/>
    </row>
    <row r="255" spans="1:84" customFormat="1">
      <c r="A255" s="701"/>
      <c r="B255" s="447"/>
      <c r="C255" s="161"/>
      <c r="D255" s="162"/>
      <c r="E255" s="1"/>
      <c r="F255" s="811"/>
      <c r="G255" s="440"/>
      <c r="H255" s="1"/>
      <c r="I255" s="55"/>
      <c r="J255" s="170"/>
      <c r="K255" s="1"/>
      <c r="L255" s="170"/>
      <c r="M255" s="1"/>
      <c r="N255" s="458"/>
      <c r="O255" s="170"/>
      <c r="P255" s="441"/>
      <c r="Q255" s="55"/>
      <c r="R255" s="177"/>
      <c r="S255" s="454"/>
      <c r="T255" s="178"/>
      <c r="U255" s="178"/>
      <c r="V255" s="179"/>
      <c r="W255" s="180"/>
      <c r="X255" s="179"/>
      <c r="Y255" s="180"/>
      <c r="Z255" s="178"/>
      <c r="AA255" s="178"/>
      <c r="AB255" s="178"/>
      <c r="AC255" s="178"/>
      <c r="AD255" s="182"/>
      <c r="AE255" s="182"/>
      <c r="AF255" s="182"/>
      <c r="AG255" s="182"/>
      <c r="AH255" s="401"/>
      <c r="AI255" s="401"/>
      <c r="AJ255" s="401"/>
      <c r="AK255" s="401"/>
      <c r="AL255" s="401"/>
      <c r="AM255" s="189"/>
      <c r="AN255" s="829"/>
      <c r="AO255" s="830"/>
      <c r="AP255" s="401"/>
      <c r="AQ255" s="401"/>
      <c r="AR255" s="401"/>
      <c r="AS255" s="401"/>
      <c r="AT255" s="403"/>
      <c r="AU255" s="403"/>
      <c r="AV255" s="170"/>
      <c r="AW255" s="166"/>
      <c r="AX255" s="166"/>
      <c r="AY255" s="189"/>
      <c r="AZ255" s="189"/>
      <c r="BA255" s="196"/>
      <c r="BB255" s="629"/>
      <c r="BC255" s="190"/>
      <c r="BD255" s="510"/>
      <c r="BE255" s="510"/>
      <c r="BF255" s="177"/>
      <c r="BG255" s="177"/>
      <c r="BH255" s="166"/>
      <c r="BI255" s="474"/>
      <c r="BJ255" s="166"/>
      <c r="BK255" s="474"/>
      <c r="BL255" s="474"/>
      <c r="BM255" s="474"/>
      <c r="BN255" s="166"/>
      <c r="BO255" s="166"/>
      <c r="BP255" s="204"/>
      <c r="BQ255" s="475"/>
      <c r="BR255" s="205"/>
      <c r="BS255" s="509"/>
      <c r="BT255" s="509"/>
      <c r="BU255" s="459"/>
      <c r="BV255" s="459"/>
      <c r="BW255" s="1"/>
      <c r="BX255" s="1"/>
      <c r="BY255" s="546"/>
      <c r="BZ255" s="546"/>
      <c r="CA255" s="546"/>
      <c r="CB255" s="546"/>
      <c r="CC255" s="728"/>
      <c r="CD255" s="728"/>
      <c r="CE255" s="170"/>
    </row>
    <row r="256" spans="1:84">
      <c r="A256" s="701"/>
      <c r="B256" s="447"/>
      <c r="C256" s="161"/>
      <c r="D256" s="162"/>
      <c r="E256" s="1"/>
      <c r="F256" s="811"/>
      <c r="G256" s="440"/>
      <c r="H256" s="1"/>
      <c r="I256" s="55"/>
      <c r="J256" s="170"/>
      <c r="K256" s="1"/>
      <c r="L256" s="170"/>
      <c r="M256" s="1"/>
      <c r="N256" s="458"/>
      <c r="O256" s="170"/>
      <c r="P256" s="441"/>
      <c r="Q256" s="55"/>
      <c r="R256" s="177"/>
      <c r="S256" s="454"/>
      <c r="T256" s="178"/>
      <c r="U256" s="178"/>
      <c r="V256" s="179"/>
      <c r="W256" s="180"/>
      <c r="X256" s="179"/>
      <c r="Y256" s="180"/>
      <c r="Z256" s="178"/>
      <c r="AA256" s="178"/>
      <c r="AB256" s="178"/>
      <c r="AC256" s="178"/>
      <c r="AD256" s="182"/>
      <c r="AE256" s="182"/>
      <c r="AF256" s="182"/>
      <c r="AG256" s="182"/>
      <c r="AH256" s="401"/>
      <c r="AI256" s="401"/>
      <c r="AJ256" s="401"/>
      <c r="AK256" s="401"/>
      <c r="AL256" s="401"/>
      <c r="AM256" s="189"/>
      <c r="AN256" s="829"/>
      <c r="AO256" s="830"/>
      <c r="AP256" s="401"/>
      <c r="AQ256" s="401"/>
      <c r="AR256" s="401"/>
      <c r="AS256" s="401"/>
      <c r="AT256" s="403"/>
      <c r="AU256" s="403"/>
      <c r="AV256" s="170"/>
      <c r="AW256" s="166"/>
      <c r="AX256" s="166"/>
      <c r="AY256" s="189"/>
      <c r="AZ256" s="189"/>
      <c r="BA256" s="196"/>
      <c r="BB256" s="629"/>
      <c r="BC256" s="190"/>
      <c r="BD256" s="510"/>
      <c r="BE256" s="510"/>
      <c r="BF256" s="177"/>
      <c r="BG256" s="177"/>
      <c r="BH256" s="166"/>
      <c r="BI256" s="474"/>
      <c r="BJ256" s="166"/>
      <c r="BK256" s="474"/>
      <c r="BL256" s="474"/>
      <c r="BM256" s="474"/>
      <c r="BN256" s="166"/>
      <c r="BO256" s="166"/>
      <c r="BP256" s="204"/>
      <c r="BQ256" s="475"/>
      <c r="BR256" s="205"/>
      <c r="BS256" s="509"/>
      <c r="BT256" s="509"/>
      <c r="BU256" s="459"/>
      <c r="BV256" s="459"/>
      <c r="BW256" s="1"/>
      <c r="BX256" s="1"/>
      <c r="BY256" s="1"/>
      <c r="BZ256" s="1"/>
      <c r="CE256" s="170"/>
      <c r="CF256"/>
    </row>
    <row r="257" spans="1:84" customFormat="1">
      <c r="A257" s="701"/>
      <c r="B257" s="447"/>
      <c r="C257" s="1"/>
      <c r="D257" s="538"/>
      <c r="E257" s="1"/>
      <c r="F257" s="811"/>
      <c r="G257" s="440"/>
      <c r="H257" s="1"/>
      <c r="I257" s="55"/>
      <c r="J257" s="171"/>
      <c r="K257" s="55"/>
      <c r="L257" s="171"/>
      <c r="M257" s="55"/>
      <c r="N257" s="172"/>
      <c r="O257" s="170"/>
      <c r="P257" s="139"/>
      <c r="Q257" s="172"/>
      <c r="R257" s="181"/>
      <c r="S257" s="455"/>
      <c r="T257" s="170"/>
      <c r="U257" s="170"/>
      <c r="V257" s="1"/>
      <c r="W257" s="173"/>
      <c r="X257" s="1"/>
      <c r="Y257" s="166"/>
      <c r="Z257" s="170"/>
      <c r="AA257" s="170"/>
      <c r="AB257" s="170"/>
      <c r="AC257" s="170"/>
      <c r="AD257" s="182"/>
      <c r="AE257" s="182"/>
      <c r="AF257" s="182"/>
      <c r="AG257" s="182"/>
      <c r="AH257" s="189"/>
      <c r="AI257" s="401"/>
      <c r="AJ257" s="189"/>
      <c r="AK257" s="401"/>
      <c r="AL257" s="401"/>
      <c r="AM257" s="189"/>
      <c r="AN257" s="782"/>
      <c r="AO257" s="189"/>
      <c r="AP257" s="401"/>
      <c r="AQ257" s="401"/>
      <c r="AR257" s="401"/>
      <c r="AS257" s="188"/>
      <c r="AT257" s="1"/>
      <c r="AU257" s="403"/>
      <c r="AV257" s="1"/>
      <c r="AW257" s="166"/>
      <c r="AX257" s="166"/>
      <c r="AY257" s="189"/>
      <c r="AZ257" s="189"/>
      <c r="BA257" s="196"/>
      <c r="BB257" s="629"/>
      <c r="BC257" s="197"/>
      <c r="BD257" s="510"/>
      <c r="BE257" s="510"/>
      <c r="BF257" s="177"/>
      <c r="BG257" s="177"/>
      <c r="BH257" s="166"/>
      <c r="BI257" s="474"/>
      <c r="BJ257" s="166"/>
      <c r="BK257" s="474"/>
      <c r="BL257" s="474"/>
      <c r="BM257" s="474"/>
      <c r="BN257" s="166"/>
      <c r="BO257" s="166"/>
      <c r="BP257" s="204"/>
      <c r="BQ257" s="475"/>
      <c r="BR257" s="205"/>
      <c r="BS257" s="509"/>
      <c r="BT257" s="509"/>
      <c r="BU257" s="459"/>
      <c r="BV257" s="459"/>
      <c r="BW257" s="1"/>
      <c r="BX257" s="1"/>
      <c r="BY257" s="546"/>
      <c r="BZ257" s="546"/>
      <c r="CA257" s="546"/>
      <c r="CB257" s="546"/>
      <c r="CC257" s="728"/>
      <c r="CD257" s="728"/>
      <c r="CE257" s="170"/>
    </row>
    <row r="258" spans="1:84" customFormat="1">
      <c r="A258" s="701"/>
      <c r="B258" s="447"/>
      <c r="C258" s="161"/>
      <c r="D258" s="162"/>
      <c r="E258" s="1"/>
      <c r="F258" s="811"/>
      <c r="G258" s="440"/>
      <c r="H258" s="1"/>
      <c r="I258" s="55"/>
      <c r="J258" s="170"/>
      <c r="K258" s="1"/>
      <c r="L258" s="170"/>
      <c r="M258" s="1"/>
      <c r="N258" s="458"/>
      <c r="O258" s="170"/>
      <c r="P258" s="441"/>
      <c r="Q258" s="55"/>
      <c r="R258" s="177"/>
      <c r="S258" s="454"/>
      <c r="T258" s="178"/>
      <c r="U258" s="178"/>
      <c r="V258" s="179"/>
      <c r="W258" s="180"/>
      <c r="X258" s="179"/>
      <c r="Y258" s="180"/>
      <c r="Z258" s="178"/>
      <c r="AA258" s="178"/>
      <c r="AB258" s="178"/>
      <c r="AC258" s="178"/>
      <c r="AD258" s="182"/>
      <c r="AE258" s="182"/>
      <c r="AF258" s="182"/>
      <c r="AG258" s="182"/>
      <c r="AH258" s="401"/>
      <c r="AI258" s="401"/>
      <c r="AJ258" s="401"/>
      <c r="AK258" s="401"/>
      <c r="AL258" s="401"/>
      <c r="AM258" s="189"/>
      <c r="AN258" s="829"/>
      <c r="AO258" s="830"/>
      <c r="AP258" s="401"/>
      <c r="AQ258" s="401"/>
      <c r="AR258" s="401"/>
      <c r="AS258" s="401"/>
      <c r="AT258" s="403"/>
      <c r="AU258" s="403"/>
      <c r="AV258" s="170"/>
      <c r="AW258" s="166"/>
      <c r="AX258" s="166"/>
      <c r="AY258" s="189"/>
      <c r="AZ258" s="189"/>
      <c r="BA258" s="196"/>
      <c r="BB258" s="629"/>
      <c r="BC258" s="190"/>
      <c r="BD258" s="510"/>
      <c r="BE258" s="510"/>
      <c r="BF258" s="177"/>
      <c r="BG258" s="177"/>
      <c r="BH258" s="166"/>
      <c r="BI258" s="474"/>
      <c r="BJ258" s="166"/>
      <c r="BK258" s="474"/>
      <c r="BL258" s="474"/>
      <c r="BM258" s="474"/>
      <c r="BN258" s="166"/>
      <c r="BO258" s="166"/>
      <c r="BP258" s="204"/>
      <c r="BQ258" s="475"/>
      <c r="BR258" s="205"/>
      <c r="BS258" s="509"/>
      <c r="BT258" s="509"/>
      <c r="BU258" s="459"/>
      <c r="BV258" s="459"/>
      <c r="BW258" s="1"/>
      <c r="BX258" s="1"/>
      <c r="BY258" s="546"/>
      <c r="BZ258" s="546"/>
      <c r="CA258" s="546"/>
      <c r="CB258" s="546"/>
      <c r="CC258" s="728"/>
      <c r="CD258" s="728"/>
      <c r="CE258" s="170"/>
    </row>
    <row r="259" spans="1:84" customFormat="1">
      <c r="A259" s="701"/>
      <c r="B259" s="447"/>
      <c r="C259" s="161"/>
      <c r="D259" s="162"/>
      <c r="E259" s="1"/>
      <c r="F259" s="811"/>
      <c r="G259" s="440"/>
      <c r="H259" s="1"/>
      <c r="I259" s="55"/>
      <c r="J259" s="170"/>
      <c r="K259" s="1"/>
      <c r="L259" s="170"/>
      <c r="M259" s="1"/>
      <c r="N259" s="458"/>
      <c r="O259" s="170"/>
      <c r="P259" s="441"/>
      <c r="Q259" s="55"/>
      <c r="R259" s="177"/>
      <c r="S259" s="454"/>
      <c r="T259" s="178"/>
      <c r="U259" s="178"/>
      <c r="V259" s="179"/>
      <c r="W259" s="180"/>
      <c r="X259" s="179"/>
      <c r="Y259" s="180"/>
      <c r="Z259" s="178"/>
      <c r="AA259" s="178"/>
      <c r="AB259" s="178"/>
      <c r="AC259" s="178"/>
      <c r="AD259" s="182"/>
      <c r="AE259" s="182"/>
      <c r="AF259" s="182"/>
      <c r="AG259" s="182"/>
      <c r="AH259" s="401"/>
      <c r="AI259" s="401"/>
      <c r="AJ259" s="401"/>
      <c r="AK259" s="401"/>
      <c r="AL259" s="401"/>
      <c r="AM259" s="189"/>
      <c r="AN259" s="829"/>
      <c r="AO259" s="830"/>
      <c r="AP259" s="401"/>
      <c r="AQ259" s="401"/>
      <c r="AR259" s="401"/>
      <c r="AS259" s="401"/>
      <c r="AT259" s="403"/>
      <c r="AU259" s="403"/>
      <c r="AV259" s="170"/>
      <c r="AW259" s="166"/>
      <c r="AX259" s="166"/>
      <c r="AY259" s="189"/>
      <c r="AZ259" s="189"/>
      <c r="BA259" s="196"/>
      <c r="BB259" s="629"/>
      <c r="BC259" s="190"/>
      <c r="BD259" s="510"/>
      <c r="BE259" s="510"/>
      <c r="BF259" s="177"/>
      <c r="BG259" s="177"/>
      <c r="BH259" s="166"/>
      <c r="BI259" s="474"/>
      <c r="BJ259" s="166"/>
      <c r="BK259" s="474"/>
      <c r="BL259" s="474"/>
      <c r="BM259" s="474"/>
      <c r="BN259" s="166"/>
      <c r="BO259" s="166"/>
      <c r="BP259" s="204"/>
      <c r="BQ259" s="475"/>
      <c r="BR259" s="205"/>
      <c r="BS259" s="509"/>
      <c r="BT259" s="509"/>
      <c r="BU259" s="459"/>
      <c r="BV259" s="459"/>
      <c r="BW259" s="1"/>
      <c r="BX259" s="1"/>
      <c r="BY259" s="546"/>
      <c r="BZ259" s="546"/>
      <c r="CA259" s="546"/>
      <c r="CB259" s="546"/>
      <c r="CC259" s="728"/>
      <c r="CD259" s="728"/>
      <c r="CE259" s="170"/>
    </row>
    <row r="260" spans="1:84" customFormat="1">
      <c r="A260" s="701"/>
      <c r="B260" s="447"/>
      <c r="C260" s="161"/>
      <c r="D260" s="162"/>
      <c r="E260" s="1"/>
      <c r="F260" s="811"/>
      <c r="G260" s="440"/>
      <c r="H260" s="1"/>
      <c r="I260" s="55"/>
      <c r="J260" s="457"/>
      <c r="K260" s="1"/>
      <c r="L260" s="170"/>
      <c r="M260" s="1"/>
      <c r="N260" s="458"/>
      <c r="O260" s="170"/>
      <c r="P260" s="441"/>
      <c r="Q260" s="55"/>
      <c r="R260" s="177"/>
      <c r="S260" s="454"/>
      <c r="T260" s="178"/>
      <c r="U260" s="178"/>
      <c r="V260" s="179"/>
      <c r="W260" s="180"/>
      <c r="X260" s="179"/>
      <c r="Y260" s="180"/>
      <c r="Z260" s="178"/>
      <c r="AA260" s="178"/>
      <c r="AB260" s="178"/>
      <c r="AC260" s="178"/>
      <c r="AD260" s="182"/>
      <c r="AE260" s="182"/>
      <c r="AF260" s="182"/>
      <c r="AG260" s="182"/>
      <c r="AH260" s="401"/>
      <c r="AI260" s="401"/>
      <c r="AJ260" s="401"/>
      <c r="AK260" s="401"/>
      <c r="AL260" s="401"/>
      <c r="AM260" s="189"/>
      <c r="AN260" s="829"/>
      <c r="AO260" s="830"/>
      <c r="AP260" s="401"/>
      <c r="AQ260" s="401"/>
      <c r="AR260" s="401"/>
      <c r="AS260" s="401"/>
      <c r="AT260" s="403"/>
      <c r="AU260" s="403"/>
      <c r="AV260" s="170"/>
      <c r="AW260" s="166"/>
      <c r="AX260" s="166"/>
      <c r="AY260" s="189"/>
      <c r="AZ260" s="189"/>
      <c r="BA260" s="196"/>
      <c r="BB260" s="629"/>
      <c r="BC260" s="190"/>
      <c r="BD260" s="510"/>
      <c r="BE260" s="510"/>
      <c r="BF260" s="177"/>
      <c r="BG260" s="177"/>
      <c r="BH260" s="166"/>
      <c r="BI260" s="474"/>
      <c r="BJ260" s="166"/>
      <c r="BK260" s="474"/>
      <c r="BL260" s="474"/>
      <c r="BM260" s="474"/>
      <c r="BN260" s="166"/>
      <c r="BO260" s="166"/>
      <c r="BP260" s="204"/>
      <c r="BQ260" s="475"/>
      <c r="BR260" s="205"/>
      <c r="BS260" s="509"/>
      <c r="BT260" s="509"/>
      <c r="BU260" s="459"/>
      <c r="BV260" s="459"/>
      <c r="BW260" s="1"/>
      <c r="BX260" s="1"/>
      <c r="BY260" s="546"/>
      <c r="BZ260" s="546"/>
      <c r="CA260" s="546"/>
      <c r="CB260" s="546"/>
      <c r="CC260" s="728"/>
      <c r="CD260" s="728"/>
      <c r="CE260" s="170"/>
    </row>
    <row r="261" spans="1:84" customFormat="1">
      <c r="A261" s="701"/>
      <c r="B261" s="447"/>
      <c r="C261" s="161"/>
      <c r="D261" s="162"/>
      <c r="E261" s="1"/>
      <c r="F261" s="811"/>
      <c r="G261" s="440"/>
      <c r="H261" s="1"/>
      <c r="I261" s="55"/>
      <c r="J261" s="170"/>
      <c r="K261" s="1"/>
      <c r="L261" s="170"/>
      <c r="M261" s="1"/>
      <c r="N261" s="458"/>
      <c r="O261" s="170"/>
      <c r="P261" s="441"/>
      <c r="Q261" s="55"/>
      <c r="R261" s="177"/>
      <c r="S261" s="454"/>
      <c r="T261" s="178"/>
      <c r="U261" s="178"/>
      <c r="V261" s="179"/>
      <c r="W261" s="180"/>
      <c r="X261" s="179"/>
      <c r="Y261" s="180"/>
      <c r="Z261" s="178"/>
      <c r="AA261" s="178"/>
      <c r="AB261" s="178"/>
      <c r="AC261" s="178"/>
      <c r="AD261" s="182"/>
      <c r="AE261" s="182"/>
      <c r="AF261" s="182"/>
      <c r="AG261" s="182"/>
      <c r="AH261" s="401"/>
      <c r="AI261" s="401"/>
      <c r="AJ261" s="401"/>
      <c r="AK261" s="401"/>
      <c r="AL261" s="401"/>
      <c r="AM261" s="189"/>
      <c r="AN261" s="829"/>
      <c r="AO261" s="830"/>
      <c r="AP261" s="401"/>
      <c r="AQ261" s="401"/>
      <c r="AR261" s="401"/>
      <c r="AS261" s="401"/>
      <c r="AT261" s="403"/>
      <c r="AU261" s="403"/>
      <c r="AV261" s="170"/>
      <c r="AW261" s="166"/>
      <c r="AX261" s="166"/>
      <c r="AY261" s="189"/>
      <c r="AZ261" s="189"/>
      <c r="BA261" s="196"/>
      <c r="BB261" s="629"/>
      <c r="BC261" s="190"/>
      <c r="BD261" s="510"/>
      <c r="BE261" s="510"/>
      <c r="BF261" s="177"/>
      <c r="BG261" s="177"/>
      <c r="BH261" s="166"/>
      <c r="BI261" s="474"/>
      <c r="BJ261" s="166"/>
      <c r="BK261" s="474"/>
      <c r="BL261" s="474"/>
      <c r="BM261" s="474"/>
      <c r="BN261" s="166"/>
      <c r="BO261" s="166"/>
      <c r="BP261" s="204"/>
      <c r="BQ261" s="475"/>
      <c r="BR261" s="205"/>
      <c r="BS261" s="509"/>
      <c r="BT261" s="509"/>
      <c r="BU261" s="459"/>
      <c r="BV261" s="459"/>
      <c r="BW261" s="1"/>
      <c r="BX261" s="1"/>
      <c r="BY261" s="546"/>
      <c r="BZ261" s="546"/>
      <c r="CA261" s="546"/>
      <c r="CB261" s="546"/>
      <c r="CC261" s="728"/>
      <c r="CD261" s="728"/>
      <c r="CE261" s="170"/>
    </row>
    <row r="262" spans="1:84" customFormat="1">
      <c r="A262" s="701"/>
      <c r="B262" s="447"/>
      <c r="C262" s="161"/>
      <c r="D262" s="162"/>
      <c r="E262" s="1"/>
      <c r="F262" s="811"/>
      <c r="G262" s="440"/>
      <c r="H262" s="1"/>
      <c r="I262" s="55"/>
      <c r="J262" s="170"/>
      <c r="K262" s="1"/>
      <c r="L262" s="170"/>
      <c r="M262" s="1"/>
      <c r="N262" s="458"/>
      <c r="O262" s="170"/>
      <c r="P262" s="441"/>
      <c r="Q262" s="55"/>
      <c r="R262" s="177"/>
      <c r="S262" s="454"/>
      <c r="T262" s="178"/>
      <c r="U262" s="178"/>
      <c r="V262" s="179"/>
      <c r="W262" s="180"/>
      <c r="X262" s="179"/>
      <c r="Y262" s="180"/>
      <c r="Z262" s="178"/>
      <c r="AA262" s="178"/>
      <c r="AB262" s="178"/>
      <c r="AC262" s="178"/>
      <c r="AD262" s="182"/>
      <c r="AE262" s="182"/>
      <c r="AF262" s="182"/>
      <c r="AG262" s="182"/>
      <c r="AH262" s="401"/>
      <c r="AI262" s="401"/>
      <c r="AJ262" s="401"/>
      <c r="AK262" s="401"/>
      <c r="AL262" s="401"/>
      <c r="AM262" s="189"/>
      <c r="AN262" s="829"/>
      <c r="AO262" s="830"/>
      <c r="AP262" s="401"/>
      <c r="AQ262" s="401"/>
      <c r="AR262" s="401"/>
      <c r="AS262" s="401"/>
      <c r="AT262" s="403"/>
      <c r="AU262" s="403"/>
      <c r="AV262" s="170"/>
      <c r="AW262" s="166"/>
      <c r="AX262" s="166"/>
      <c r="AY262" s="189"/>
      <c r="AZ262" s="189"/>
      <c r="BA262" s="196"/>
      <c r="BB262" s="629"/>
      <c r="BC262" s="190"/>
      <c r="BD262" s="510"/>
      <c r="BE262" s="510"/>
      <c r="BF262" s="177"/>
      <c r="BG262" s="177"/>
      <c r="BH262" s="166"/>
      <c r="BI262" s="474"/>
      <c r="BJ262" s="166"/>
      <c r="BK262" s="474"/>
      <c r="BL262" s="474"/>
      <c r="BM262" s="474"/>
      <c r="BN262" s="166"/>
      <c r="BO262" s="166"/>
      <c r="BP262" s="204"/>
      <c r="BQ262" s="475"/>
      <c r="BR262" s="205"/>
      <c r="BS262" s="509"/>
      <c r="BT262" s="509"/>
      <c r="BU262" s="459"/>
      <c r="BV262" s="459"/>
      <c r="BW262" s="1"/>
      <c r="BX262" s="1"/>
      <c r="BY262" s="546"/>
      <c r="BZ262" s="546"/>
      <c r="CA262" s="546"/>
      <c r="CB262" s="546"/>
      <c r="CC262" s="728"/>
      <c r="CD262" s="728"/>
      <c r="CE262" s="170"/>
    </row>
    <row r="263" spans="1:84" customFormat="1">
      <c r="A263" s="701"/>
      <c r="B263" s="447"/>
      <c r="C263" s="161"/>
      <c r="D263" s="162"/>
      <c r="E263" s="1"/>
      <c r="F263" s="811"/>
      <c r="G263" s="440"/>
      <c r="H263" s="1"/>
      <c r="I263" s="55"/>
      <c r="J263" s="170"/>
      <c r="K263" s="1"/>
      <c r="L263" s="170"/>
      <c r="M263" s="1"/>
      <c r="N263" s="458"/>
      <c r="O263" s="170"/>
      <c r="P263" s="441"/>
      <c r="Q263" s="55"/>
      <c r="R263" s="177"/>
      <c r="S263" s="454"/>
      <c r="T263" s="178"/>
      <c r="U263" s="178"/>
      <c r="V263" s="179"/>
      <c r="W263" s="180"/>
      <c r="X263" s="179"/>
      <c r="Y263" s="180"/>
      <c r="Z263" s="178"/>
      <c r="AA263" s="178"/>
      <c r="AB263" s="178"/>
      <c r="AC263" s="178"/>
      <c r="AD263" s="182"/>
      <c r="AE263" s="182"/>
      <c r="AF263" s="182"/>
      <c r="AG263" s="182"/>
      <c r="AH263" s="401"/>
      <c r="AI263" s="401"/>
      <c r="AJ263" s="401"/>
      <c r="AK263" s="401"/>
      <c r="AL263" s="401"/>
      <c r="AM263" s="189"/>
      <c r="AN263" s="829"/>
      <c r="AO263" s="830"/>
      <c r="AP263" s="401"/>
      <c r="AQ263" s="401"/>
      <c r="AR263" s="401"/>
      <c r="AS263" s="401"/>
      <c r="AT263" s="403"/>
      <c r="AU263" s="403"/>
      <c r="AV263" s="170"/>
      <c r="AW263" s="166"/>
      <c r="AX263" s="166"/>
      <c r="AY263" s="189"/>
      <c r="AZ263" s="189"/>
      <c r="BA263" s="196"/>
      <c r="BB263" s="629"/>
      <c r="BC263" s="190"/>
      <c r="BD263" s="510"/>
      <c r="BE263" s="510"/>
      <c r="BF263" s="177"/>
      <c r="BG263" s="177"/>
      <c r="BH263" s="166"/>
      <c r="BI263" s="474"/>
      <c r="BJ263" s="166"/>
      <c r="BK263" s="474"/>
      <c r="BL263" s="474"/>
      <c r="BM263" s="474"/>
      <c r="BN263" s="166"/>
      <c r="BO263" s="166"/>
      <c r="BP263" s="204"/>
      <c r="BQ263" s="475"/>
      <c r="BR263" s="205"/>
      <c r="BS263" s="509"/>
      <c r="BT263" s="509"/>
      <c r="BU263" s="459"/>
      <c r="BV263" s="459"/>
      <c r="BW263" s="1"/>
      <c r="BX263" s="1"/>
      <c r="BY263" s="546"/>
      <c r="BZ263" s="546"/>
      <c r="CA263" s="546"/>
      <c r="CB263" s="546"/>
      <c r="CC263" s="728"/>
      <c r="CD263" s="728"/>
      <c r="CE263" s="170"/>
    </row>
    <row r="264" spans="1:84" customFormat="1">
      <c r="A264" s="701"/>
      <c r="B264" s="447"/>
      <c r="C264" s="161"/>
      <c r="D264" s="162"/>
      <c r="E264" s="1"/>
      <c r="F264" s="811"/>
      <c r="G264" s="440"/>
      <c r="H264" s="1"/>
      <c r="I264" s="55"/>
      <c r="J264" s="170"/>
      <c r="K264" s="1"/>
      <c r="L264" s="170"/>
      <c r="M264" s="1"/>
      <c r="N264" s="458"/>
      <c r="O264" s="170"/>
      <c r="P264" s="441"/>
      <c r="Q264" s="55"/>
      <c r="R264" s="177"/>
      <c r="S264" s="454"/>
      <c r="T264" s="178"/>
      <c r="U264" s="178"/>
      <c r="V264" s="179"/>
      <c r="W264" s="180"/>
      <c r="X264" s="179"/>
      <c r="Y264" s="180"/>
      <c r="Z264" s="178"/>
      <c r="AA264" s="178"/>
      <c r="AB264" s="178"/>
      <c r="AC264" s="178"/>
      <c r="AD264" s="182"/>
      <c r="AE264" s="182"/>
      <c r="AF264" s="182"/>
      <c r="AG264" s="182"/>
      <c r="AH264" s="401"/>
      <c r="AI264" s="401"/>
      <c r="AJ264" s="401"/>
      <c r="AK264" s="401"/>
      <c r="AL264" s="401"/>
      <c r="AM264" s="189"/>
      <c r="AN264" s="829"/>
      <c r="AO264" s="830"/>
      <c r="AP264" s="401"/>
      <c r="AQ264" s="401"/>
      <c r="AR264" s="401"/>
      <c r="AS264" s="401"/>
      <c r="AT264" s="403"/>
      <c r="AU264" s="403"/>
      <c r="AV264" s="170"/>
      <c r="AW264" s="166"/>
      <c r="AX264" s="166"/>
      <c r="AY264" s="189"/>
      <c r="AZ264" s="189"/>
      <c r="BA264" s="196"/>
      <c r="BB264" s="629"/>
      <c r="BC264" s="190"/>
      <c r="BD264" s="510"/>
      <c r="BE264" s="510"/>
      <c r="BF264" s="177"/>
      <c r="BG264" s="177"/>
      <c r="BH264" s="166"/>
      <c r="BI264" s="474"/>
      <c r="BJ264" s="166"/>
      <c r="BK264" s="474"/>
      <c r="BL264" s="474"/>
      <c r="BM264" s="474"/>
      <c r="BN264" s="166"/>
      <c r="BO264" s="166"/>
      <c r="BP264" s="204"/>
      <c r="BQ264" s="475"/>
      <c r="BR264" s="205"/>
      <c r="BS264" s="509"/>
      <c r="BT264" s="509"/>
      <c r="BU264" s="459"/>
      <c r="BV264" s="459"/>
      <c r="BW264" s="1"/>
      <c r="BX264" s="1"/>
      <c r="BY264" s="546"/>
      <c r="BZ264" s="546"/>
      <c r="CA264" s="546"/>
      <c r="CB264" s="546"/>
      <c r="CC264" s="728"/>
      <c r="CD264" s="728"/>
      <c r="CE264" s="170"/>
    </row>
    <row r="265" spans="1:84">
      <c r="A265" s="701"/>
      <c r="B265" s="447"/>
      <c r="C265" s="161"/>
      <c r="D265" s="162"/>
      <c r="E265" s="1"/>
      <c r="F265" s="811"/>
      <c r="G265" s="440"/>
      <c r="H265" s="1"/>
      <c r="I265" s="55"/>
      <c r="J265" s="170"/>
      <c r="K265" s="1"/>
      <c r="L265" s="170"/>
      <c r="M265" s="1"/>
      <c r="N265" s="458"/>
      <c r="O265" s="170"/>
      <c r="P265" s="441"/>
      <c r="Q265" s="55"/>
      <c r="R265" s="177"/>
      <c r="S265" s="454"/>
      <c r="T265" s="178"/>
      <c r="U265" s="178"/>
      <c r="V265" s="179"/>
      <c r="W265" s="180"/>
      <c r="X265" s="179"/>
      <c r="Y265" s="180"/>
      <c r="Z265" s="178"/>
      <c r="AA265" s="178"/>
      <c r="AB265" s="178"/>
      <c r="AC265" s="178"/>
      <c r="AD265" s="182"/>
      <c r="AE265" s="182"/>
      <c r="AF265" s="182"/>
      <c r="AG265" s="182"/>
      <c r="AH265" s="401"/>
      <c r="AI265" s="401"/>
      <c r="AJ265" s="401"/>
      <c r="AK265" s="401"/>
      <c r="AL265" s="401"/>
      <c r="AM265" s="189"/>
      <c r="AN265" s="829"/>
      <c r="AO265" s="830"/>
      <c r="AP265" s="401"/>
      <c r="AQ265" s="401"/>
      <c r="AR265" s="401"/>
      <c r="AS265" s="401"/>
      <c r="AT265" s="403"/>
      <c r="AU265" s="403"/>
      <c r="AV265" s="170"/>
      <c r="AW265" s="166"/>
      <c r="AX265" s="166"/>
      <c r="AY265" s="189"/>
      <c r="AZ265" s="189"/>
      <c r="BA265" s="196"/>
      <c r="BB265" s="629"/>
      <c r="BC265" s="190"/>
      <c r="BD265" s="510"/>
      <c r="BE265" s="510"/>
      <c r="BF265" s="177"/>
      <c r="BG265" s="177"/>
      <c r="BH265" s="166"/>
      <c r="BI265" s="474"/>
      <c r="BJ265" s="166"/>
      <c r="BK265" s="474"/>
      <c r="BL265" s="474"/>
      <c r="BM265" s="474"/>
      <c r="BN265" s="166"/>
      <c r="BO265" s="166"/>
      <c r="BP265" s="204"/>
      <c r="BQ265" s="475"/>
      <c r="BR265" s="205"/>
      <c r="BS265" s="509"/>
      <c r="BT265" s="509"/>
      <c r="BU265" s="459"/>
      <c r="BV265" s="459"/>
      <c r="BW265" s="1"/>
      <c r="BX265" s="1"/>
      <c r="BY265" s="1"/>
      <c r="BZ265" s="1"/>
      <c r="CE265" s="170"/>
      <c r="CF265"/>
    </row>
    <row r="266" spans="1:84">
      <c r="A266" s="701"/>
      <c r="B266" s="447"/>
      <c r="C266" s="161"/>
      <c r="D266" s="162"/>
      <c r="E266" s="1"/>
      <c r="F266" s="811"/>
      <c r="G266" s="440"/>
      <c r="H266" s="1"/>
      <c r="I266" s="55"/>
      <c r="J266" s="170"/>
      <c r="K266" s="1"/>
      <c r="L266" s="170"/>
      <c r="M266" s="1"/>
      <c r="N266" s="458"/>
      <c r="O266" s="170"/>
      <c r="P266" s="441"/>
      <c r="Q266" s="55"/>
      <c r="R266" s="177"/>
      <c r="S266" s="454"/>
      <c r="T266" s="178"/>
      <c r="U266" s="178"/>
      <c r="V266" s="179"/>
      <c r="W266" s="180"/>
      <c r="X266" s="179"/>
      <c r="Y266" s="180"/>
      <c r="Z266" s="178"/>
      <c r="AA266" s="178"/>
      <c r="AB266" s="178"/>
      <c r="AC266" s="178"/>
      <c r="AD266" s="182"/>
      <c r="AE266" s="182"/>
      <c r="AF266" s="182"/>
      <c r="AG266" s="182"/>
      <c r="AH266" s="401"/>
      <c r="AI266" s="401"/>
      <c r="AJ266" s="401"/>
      <c r="AK266" s="401"/>
      <c r="AL266" s="401"/>
      <c r="AM266" s="189"/>
      <c r="AN266" s="829"/>
      <c r="AO266" s="830"/>
      <c r="AP266" s="401"/>
      <c r="AQ266" s="401"/>
      <c r="AR266" s="401"/>
      <c r="AS266" s="401"/>
      <c r="AT266" s="403"/>
      <c r="AU266" s="403"/>
      <c r="AV266" s="170"/>
      <c r="AW266" s="166"/>
      <c r="AX266" s="166"/>
      <c r="AY266" s="189"/>
      <c r="AZ266" s="189"/>
      <c r="BA266" s="196"/>
      <c r="BB266" s="629"/>
      <c r="BC266" s="190"/>
      <c r="BD266" s="510"/>
      <c r="BE266" s="510"/>
      <c r="BF266" s="177"/>
      <c r="BG266" s="177"/>
      <c r="BH266" s="166"/>
      <c r="BI266" s="474"/>
      <c r="BJ266" s="166"/>
      <c r="BK266" s="474"/>
      <c r="BL266" s="474"/>
      <c r="BM266" s="474"/>
      <c r="BN266" s="166"/>
      <c r="BO266" s="166"/>
      <c r="BP266" s="204"/>
      <c r="BQ266" s="475"/>
      <c r="BR266" s="205"/>
      <c r="BS266" s="509"/>
      <c r="BT266" s="509"/>
      <c r="BU266" s="459"/>
      <c r="BV266" s="459"/>
      <c r="BW266" s="1"/>
      <c r="BX266" s="1"/>
      <c r="BY266" s="1"/>
      <c r="BZ266" s="1"/>
      <c r="CE266" s="170"/>
      <c r="CF266"/>
    </row>
    <row r="267" spans="1:84" customFormat="1">
      <c r="A267" s="701"/>
      <c r="B267" s="447"/>
      <c r="C267" s="1"/>
      <c r="D267" s="538"/>
      <c r="E267" s="1"/>
      <c r="F267" s="811"/>
      <c r="G267" s="440"/>
      <c r="H267" s="1"/>
      <c r="I267" s="55"/>
      <c r="J267" s="171"/>
      <c r="K267" s="55"/>
      <c r="L267" s="171"/>
      <c r="M267" s="55"/>
      <c r="N267" s="172"/>
      <c r="O267" s="170"/>
      <c r="P267" s="139"/>
      <c r="Q267" s="172"/>
      <c r="R267" s="181"/>
      <c r="S267" s="455"/>
      <c r="T267" s="170"/>
      <c r="U267" s="170"/>
      <c r="V267" s="1"/>
      <c r="W267" s="173"/>
      <c r="X267" s="1"/>
      <c r="Y267" s="166"/>
      <c r="Z267" s="170"/>
      <c r="AA267" s="170"/>
      <c r="AB267" s="170"/>
      <c r="AC267" s="170"/>
      <c r="AD267" s="182"/>
      <c r="AE267" s="182"/>
      <c r="AF267" s="182"/>
      <c r="AG267" s="182"/>
      <c r="AH267" s="189"/>
      <c r="AI267" s="401"/>
      <c r="AJ267" s="189"/>
      <c r="AK267" s="401"/>
      <c r="AL267" s="401"/>
      <c r="AM267" s="189"/>
      <c r="AN267" s="782"/>
      <c r="AO267" s="189"/>
      <c r="AP267" s="401"/>
      <c r="AQ267" s="401"/>
      <c r="AR267" s="401"/>
      <c r="AS267" s="188"/>
      <c r="AT267" s="1"/>
      <c r="AU267" s="403"/>
      <c r="AV267" s="1"/>
      <c r="AW267" s="166"/>
      <c r="AX267" s="166"/>
      <c r="AY267" s="189"/>
      <c r="AZ267" s="189"/>
      <c r="BA267" s="196"/>
      <c r="BB267" s="629"/>
      <c r="BC267" s="197"/>
      <c r="BD267" s="510"/>
      <c r="BE267" s="510"/>
      <c r="BF267" s="177"/>
      <c r="BG267" s="177"/>
      <c r="BH267" s="166"/>
      <c r="BI267" s="474"/>
      <c r="BJ267" s="166"/>
      <c r="BK267" s="474"/>
      <c r="BL267" s="474"/>
      <c r="BM267" s="474"/>
      <c r="BN267" s="166"/>
      <c r="BO267" s="166"/>
      <c r="BP267" s="204"/>
      <c r="BQ267" s="475"/>
      <c r="BR267" s="205"/>
      <c r="BS267" s="509"/>
      <c r="BT267" s="509"/>
      <c r="BU267" s="459"/>
      <c r="BV267" s="459"/>
      <c r="BW267" s="1"/>
      <c r="BX267" s="1"/>
      <c r="BY267" s="546"/>
      <c r="BZ267" s="546"/>
      <c r="CA267" s="546"/>
      <c r="CB267" s="546"/>
      <c r="CC267" s="728"/>
      <c r="CD267" s="728"/>
      <c r="CE267" s="170"/>
    </row>
    <row r="268" spans="1:84" customFormat="1">
      <c r="A268" s="701"/>
      <c r="B268" s="447"/>
      <c r="C268" s="161"/>
      <c r="D268" s="162"/>
      <c r="E268" s="1"/>
      <c r="F268" s="811"/>
      <c r="G268" s="440"/>
      <c r="H268" s="1"/>
      <c r="I268" s="55"/>
      <c r="J268" s="170"/>
      <c r="K268" s="1"/>
      <c r="L268" s="170"/>
      <c r="M268" s="1"/>
      <c r="N268" s="458"/>
      <c r="O268" s="170"/>
      <c r="P268" s="441"/>
      <c r="Q268" s="55"/>
      <c r="R268" s="177"/>
      <c r="S268" s="454"/>
      <c r="T268" s="178"/>
      <c r="U268" s="178"/>
      <c r="V268" s="179"/>
      <c r="W268" s="180"/>
      <c r="X268" s="179"/>
      <c r="Y268" s="180"/>
      <c r="Z268" s="178"/>
      <c r="AA268" s="178"/>
      <c r="AB268" s="178"/>
      <c r="AC268" s="178"/>
      <c r="AD268" s="182"/>
      <c r="AE268" s="182"/>
      <c r="AF268" s="182"/>
      <c r="AG268" s="182"/>
      <c r="AH268" s="401"/>
      <c r="AI268" s="401"/>
      <c r="AJ268" s="401"/>
      <c r="AK268" s="401"/>
      <c r="AL268" s="401"/>
      <c r="AM268" s="189"/>
      <c r="AN268" s="829"/>
      <c r="AO268" s="830"/>
      <c r="AP268" s="401"/>
      <c r="AQ268" s="401"/>
      <c r="AR268" s="401"/>
      <c r="AS268" s="401"/>
      <c r="AT268" s="403"/>
      <c r="AU268" s="403"/>
      <c r="AV268" s="170"/>
      <c r="AW268" s="166"/>
      <c r="AX268" s="166"/>
      <c r="AY268" s="189"/>
      <c r="AZ268" s="189"/>
      <c r="BA268" s="196"/>
      <c r="BB268" s="629"/>
      <c r="BC268" s="190"/>
      <c r="BD268" s="510"/>
      <c r="BE268" s="510"/>
      <c r="BF268" s="177"/>
      <c r="BG268" s="177"/>
      <c r="BH268" s="166"/>
      <c r="BI268" s="474"/>
      <c r="BJ268" s="166"/>
      <c r="BK268" s="474"/>
      <c r="BL268" s="474"/>
      <c r="BM268" s="474"/>
      <c r="BN268" s="166"/>
      <c r="BO268" s="166"/>
      <c r="BP268" s="204"/>
      <c r="BQ268" s="475"/>
      <c r="BR268" s="205"/>
      <c r="BS268" s="509"/>
      <c r="BT268" s="509"/>
      <c r="BU268" s="459"/>
      <c r="BV268" s="459"/>
      <c r="BW268" s="1"/>
      <c r="BX268" s="1"/>
      <c r="BY268" s="546"/>
      <c r="BZ268" s="546"/>
      <c r="CA268" s="546"/>
      <c r="CB268" s="546"/>
      <c r="CC268" s="728"/>
      <c r="CD268" s="728"/>
      <c r="CE268" s="170"/>
    </row>
    <row r="269" spans="1:84" customFormat="1">
      <c r="A269" s="701"/>
      <c r="B269" s="447"/>
      <c r="C269" s="161"/>
      <c r="D269" s="162"/>
      <c r="E269" s="1"/>
      <c r="F269" s="811"/>
      <c r="G269" s="440"/>
      <c r="H269" s="1"/>
      <c r="I269" s="55"/>
      <c r="J269" s="170"/>
      <c r="K269" s="1"/>
      <c r="L269" s="170"/>
      <c r="M269" s="1"/>
      <c r="N269" s="458"/>
      <c r="O269" s="170"/>
      <c r="P269" s="441"/>
      <c r="Q269" s="55"/>
      <c r="R269" s="177"/>
      <c r="S269" s="454"/>
      <c r="T269" s="178"/>
      <c r="U269" s="178"/>
      <c r="V269" s="179"/>
      <c r="W269" s="180"/>
      <c r="X269" s="179"/>
      <c r="Y269" s="180"/>
      <c r="Z269" s="178"/>
      <c r="AA269" s="178"/>
      <c r="AB269" s="178"/>
      <c r="AC269" s="178"/>
      <c r="AD269" s="182"/>
      <c r="AE269" s="182"/>
      <c r="AF269" s="182"/>
      <c r="AG269" s="182"/>
      <c r="AH269" s="401"/>
      <c r="AI269" s="401"/>
      <c r="AJ269" s="401"/>
      <c r="AK269" s="401"/>
      <c r="AL269" s="401"/>
      <c r="AM269" s="189"/>
      <c r="AN269" s="829"/>
      <c r="AO269" s="830"/>
      <c r="AP269" s="401"/>
      <c r="AQ269" s="401"/>
      <c r="AR269" s="401"/>
      <c r="AS269" s="401"/>
      <c r="AT269" s="403"/>
      <c r="AU269" s="403"/>
      <c r="AV269" s="170"/>
      <c r="AW269" s="166"/>
      <c r="AX269" s="166"/>
      <c r="AY269" s="189"/>
      <c r="AZ269" s="189"/>
      <c r="BA269" s="196"/>
      <c r="BB269" s="629"/>
      <c r="BC269" s="190"/>
      <c r="BD269" s="510"/>
      <c r="BE269" s="510"/>
      <c r="BF269" s="177"/>
      <c r="BG269" s="177"/>
      <c r="BH269" s="166"/>
      <c r="BI269" s="474"/>
      <c r="BJ269" s="166"/>
      <c r="BK269" s="474"/>
      <c r="BL269" s="474"/>
      <c r="BM269" s="474"/>
      <c r="BN269" s="166"/>
      <c r="BO269" s="166"/>
      <c r="BP269" s="204"/>
      <c r="BQ269" s="475"/>
      <c r="BR269" s="205"/>
      <c r="BS269" s="509"/>
      <c r="BT269" s="509"/>
      <c r="BU269" s="459"/>
      <c r="BV269" s="459"/>
      <c r="BW269" s="1"/>
      <c r="BX269" s="1"/>
      <c r="BY269" s="546"/>
      <c r="BZ269" s="546"/>
      <c r="CA269" s="546"/>
      <c r="CB269" s="546"/>
      <c r="CC269" s="728"/>
      <c r="CD269" s="728"/>
      <c r="CE269" s="170"/>
    </row>
    <row r="270" spans="1:84" customFormat="1">
      <c r="A270" s="701"/>
      <c r="B270" s="447"/>
      <c r="C270" s="161"/>
      <c r="D270" s="162"/>
      <c r="E270" s="1"/>
      <c r="F270" s="811"/>
      <c r="G270" s="440"/>
      <c r="H270" s="1"/>
      <c r="I270" s="55"/>
      <c r="J270" s="457"/>
      <c r="K270" s="1"/>
      <c r="L270" s="170"/>
      <c r="M270" s="1"/>
      <c r="N270" s="458"/>
      <c r="O270" s="170"/>
      <c r="P270" s="441"/>
      <c r="Q270" s="55"/>
      <c r="R270" s="177"/>
      <c r="S270" s="454"/>
      <c r="T270" s="178"/>
      <c r="U270" s="178"/>
      <c r="V270" s="179"/>
      <c r="W270" s="180"/>
      <c r="X270" s="179"/>
      <c r="Y270" s="180"/>
      <c r="Z270" s="178"/>
      <c r="AA270" s="178"/>
      <c r="AB270" s="178"/>
      <c r="AC270" s="178"/>
      <c r="AD270" s="182"/>
      <c r="AE270" s="182"/>
      <c r="AF270" s="182"/>
      <c r="AG270" s="182"/>
      <c r="AH270" s="401"/>
      <c r="AI270" s="401"/>
      <c r="AJ270" s="401"/>
      <c r="AK270" s="401"/>
      <c r="AL270" s="401"/>
      <c r="AM270" s="189"/>
      <c r="AN270" s="829"/>
      <c r="AO270" s="830"/>
      <c r="AP270" s="401"/>
      <c r="AQ270" s="401"/>
      <c r="AR270" s="401"/>
      <c r="AS270" s="401"/>
      <c r="AT270" s="403"/>
      <c r="AU270" s="403"/>
      <c r="AV270" s="170"/>
      <c r="AW270" s="166"/>
      <c r="AX270" s="166"/>
      <c r="AY270" s="189"/>
      <c r="AZ270" s="189"/>
      <c r="BA270" s="196"/>
      <c r="BB270" s="629"/>
      <c r="BC270" s="190"/>
      <c r="BD270" s="510"/>
      <c r="BE270" s="510"/>
      <c r="BF270" s="177"/>
      <c r="BG270" s="177"/>
      <c r="BH270" s="166"/>
      <c r="BI270" s="474"/>
      <c r="BJ270" s="166"/>
      <c r="BK270" s="474"/>
      <c r="BL270" s="474"/>
      <c r="BM270" s="474"/>
      <c r="BN270" s="166"/>
      <c r="BO270" s="166"/>
      <c r="BP270" s="204"/>
      <c r="BQ270" s="475"/>
      <c r="BR270" s="205"/>
      <c r="BS270" s="509"/>
      <c r="BT270" s="509"/>
      <c r="BU270" s="459"/>
      <c r="BV270" s="459"/>
      <c r="BW270" s="1"/>
      <c r="BX270" s="1"/>
      <c r="BY270" s="546"/>
      <c r="BZ270" s="546"/>
      <c r="CA270" s="546"/>
      <c r="CB270" s="546"/>
      <c r="CC270" s="728"/>
      <c r="CD270" s="728"/>
      <c r="CE270" s="170"/>
    </row>
    <row r="271" spans="1:84" customFormat="1">
      <c r="A271" s="701"/>
      <c r="B271" s="447"/>
      <c r="C271" s="161"/>
      <c r="D271" s="162"/>
      <c r="E271" s="1"/>
      <c r="F271" s="811"/>
      <c r="G271" s="440"/>
      <c r="H271" s="1"/>
      <c r="I271" s="55"/>
      <c r="J271" s="170"/>
      <c r="K271" s="1"/>
      <c r="L271" s="170"/>
      <c r="M271" s="1"/>
      <c r="N271" s="458"/>
      <c r="O271" s="170"/>
      <c r="P271" s="441"/>
      <c r="Q271" s="55"/>
      <c r="R271" s="177"/>
      <c r="S271" s="454"/>
      <c r="T271" s="178"/>
      <c r="U271" s="178"/>
      <c r="V271" s="179"/>
      <c r="W271" s="180"/>
      <c r="X271" s="179"/>
      <c r="Y271" s="180"/>
      <c r="Z271" s="178"/>
      <c r="AA271" s="178"/>
      <c r="AB271" s="178"/>
      <c r="AC271" s="178"/>
      <c r="AD271" s="182"/>
      <c r="AE271" s="182"/>
      <c r="AF271" s="182"/>
      <c r="AG271" s="182"/>
      <c r="AH271" s="401"/>
      <c r="AI271" s="401"/>
      <c r="AJ271" s="401"/>
      <c r="AK271" s="401"/>
      <c r="AL271" s="401"/>
      <c r="AM271" s="189"/>
      <c r="AN271" s="829"/>
      <c r="AO271" s="830"/>
      <c r="AP271" s="401"/>
      <c r="AQ271" s="401"/>
      <c r="AR271" s="401"/>
      <c r="AS271" s="401"/>
      <c r="AT271" s="403"/>
      <c r="AU271" s="403"/>
      <c r="AV271" s="170"/>
      <c r="AW271" s="166"/>
      <c r="AX271" s="166"/>
      <c r="AY271" s="189"/>
      <c r="AZ271" s="189"/>
      <c r="BA271" s="196"/>
      <c r="BB271" s="629"/>
      <c r="BC271" s="190"/>
      <c r="BD271" s="510"/>
      <c r="BE271" s="510"/>
      <c r="BF271" s="177"/>
      <c r="BG271" s="177"/>
      <c r="BH271" s="166"/>
      <c r="BI271" s="474"/>
      <c r="BJ271" s="166"/>
      <c r="BK271" s="474"/>
      <c r="BL271" s="474"/>
      <c r="BM271" s="474"/>
      <c r="BN271" s="166"/>
      <c r="BO271" s="166"/>
      <c r="BP271" s="204"/>
      <c r="BQ271" s="475"/>
      <c r="BR271" s="205"/>
      <c r="BS271" s="509"/>
      <c r="BT271" s="509"/>
      <c r="BU271" s="459"/>
      <c r="BV271" s="459"/>
      <c r="BW271" s="1"/>
      <c r="BX271" s="1"/>
      <c r="BY271" s="546"/>
      <c r="BZ271" s="546"/>
      <c r="CA271" s="546"/>
      <c r="CB271" s="546"/>
      <c r="CC271" s="728"/>
      <c r="CD271" s="728"/>
      <c r="CE271" s="170"/>
    </row>
    <row r="272" spans="1:84" customFormat="1">
      <c r="A272" s="701"/>
      <c r="B272" s="447"/>
      <c r="C272" s="161"/>
      <c r="D272" s="162"/>
      <c r="E272" s="1"/>
      <c r="F272" s="811"/>
      <c r="G272" s="440"/>
      <c r="H272" s="1"/>
      <c r="I272" s="55"/>
      <c r="J272" s="170"/>
      <c r="K272" s="1"/>
      <c r="L272" s="170"/>
      <c r="M272" s="1"/>
      <c r="N272" s="458"/>
      <c r="O272" s="170"/>
      <c r="P272" s="441"/>
      <c r="Q272" s="55"/>
      <c r="R272" s="177"/>
      <c r="S272" s="454"/>
      <c r="T272" s="178"/>
      <c r="U272" s="178"/>
      <c r="V272" s="179"/>
      <c r="W272" s="180"/>
      <c r="X272" s="179"/>
      <c r="Y272" s="180"/>
      <c r="Z272" s="178"/>
      <c r="AA272" s="178"/>
      <c r="AB272" s="178"/>
      <c r="AC272" s="178"/>
      <c r="AD272" s="182"/>
      <c r="AE272" s="182"/>
      <c r="AF272" s="182"/>
      <c r="AG272" s="182"/>
      <c r="AH272" s="401"/>
      <c r="AI272" s="401"/>
      <c r="AJ272" s="401"/>
      <c r="AK272" s="401"/>
      <c r="AL272" s="401"/>
      <c r="AM272" s="189"/>
      <c r="AN272" s="829"/>
      <c r="AO272" s="830"/>
      <c r="AP272" s="401"/>
      <c r="AQ272" s="401"/>
      <c r="AR272" s="401"/>
      <c r="AS272" s="401"/>
      <c r="AT272" s="403"/>
      <c r="AU272" s="403"/>
      <c r="AV272" s="170"/>
      <c r="AW272" s="166"/>
      <c r="AX272" s="166"/>
      <c r="AY272" s="189"/>
      <c r="AZ272" s="189"/>
      <c r="BA272" s="196"/>
      <c r="BB272" s="629"/>
      <c r="BC272" s="190"/>
      <c r="BD272" s="510"/>
      <c r="BE272" s="510"/>
      <c r="BF272" s="177"/>
      <c r="BG272" s="177"/>
      <c r="BH272" s="166"/>
      <c r="BI272" s="474"/>
      <c r="BJ272" s="166"/>
      <c r="BK272" s="474"/>
      <c r="BL272" s="474"/>
      <c r="BM272" s="474"/>
      <c r="BN272" s="166"/>
      <c r="BO272" s="166"/>
      <c r="BP272" s="204"/>
      <c r="BQ272" s="475"/>
      <c r="BR272" s="205"/>
      <c r="BS272" s="509"/>
      <c r="BT272" s="509"/>
      <c r="BU272" s="459"/>
      <c r="BV272" s="459"/>
      <c r="BW272" s="1"/>
      <c r="BX272" s="1"/>
      <c r="BY272" s="546"/>
      <c r="BZ272" s="546"/>
      <c r="CA272" s="546"/>
      <c r="CB272" s="546"/>
      <c r="CC272" s="728"/>
      <c r="CD272" s="728"/>
      <c r="CE272" s="170"/>
    </row>
    <row r="273" spans="1:84" customFormat="1">
      <c r="A273" s="701"/>
      <c r="B273" s="447"/>
      <c r="C273" s="161"/>
      <c r="D273" s="162"/>
      <c r="E273" s="1"/>
      <c r="F273" s="811"/>
      <c r="G273" s="440"/>
      <c r="H273" s="1"/>
      <c r="I273" s="55"/>
      <c r="J273" s="170"/>
      <c r="K273" s="1"/>
      <c r="L273" s="170"/>
      <c r="M273" s="1"/>
      <c r="N273" s="458"/>
      <c r="O273" s="170"/>
      <c r="P273" s="441"/>
      <c r="Q273" s="55"/>
      <c r="R273" s="177"/>
      <c r="S273" s="454"/>
      <c r="T273" s="178"/>
      <c r="U273" s="178"/>
      <c r="V273" s="179"/>
      <c r="W273" s="180"/>
      <c r="X273" s="179"/>
      <c r="Y273" s="180"/>
      <c r="Z273" s="178"/>
      <c r="AA273" s="178"/>
      <c r="AB273" s="178"/>
      <c r="AC273" s="178"/>
      <c r="AD273" s="182"/>
      <c r="AE273" s="182"/>
      <c r="AF273" s="182"/>
      <c r="AG273" s="182"/>
      <c r="AH273" s="401"/>
      <c r="AI273" s="401"/>
      <c r="AJ273" s="401"/>
      <c r="AK273" s="401"/>
      <c r="AL273" s="401"/>
      <c r="AM273" s="189"/>
      <c r="AN273" s="829"/>
      <c r="AO273" s="830"/>
      <c r="AP273" s="401"/>
      <c r="AQ273" s="401"/>
      <c r="AR273" s="401"/>
      <c r="AS273" s="401"/>
      <c r="AT273" s="403"/>
      <c r="AU273" s="403"/>
      <c r="AV273" s="170"/>
      <c r="AW273" s="166"/>
      <c r="AX273" s="166"/>
      <c r="AY273" s="189"/>
      <c r="AZ273" s="189"/>
      <c r="BA273" s="196"/>
      <c r="BB273" s="629"/>
      <c r="BC273" s="190"/>
      <c r="BD273" s="510"/>
      <c r="BE273" s="510"/>
      <c r="BF273" s="177"/>
      <c r="BG273" s="177"/>
      <c r="BH273" s="166"/>
      <c r="BI273" s="474"/>
      <c r="BJ273" s="166"/>
      <c r="BK273" s="474"/>
      <c r="BL273" s="474"/>
      <c r="BM273" s="474"/>
      <c r="BN273" s="166"/>
      <c r="BO273" s="166"/>
      <c r="BP273" s="204"/>
      <c r="BQ273" s="475"/>
      <c r="BR273" s="205"/>
      <c r="BS273" s="509"/>
      <c r="BT273" s="509"/>
      <c r="BU273" s="459"/>
      <c r="BV273" s="459"/>
      <c r="BW273" s="1"/>
      <c r="BX273" s="1"/>
      <c r="BY273" s="546"/>
      <c r="BZ273" s="546"/>
      <c r="CA273" s="546"/>
      <c r="CB273" s="546"/>
      <c r="CC273" s="728"/>
      <c r="CD273" s="728"/>
      <c r="CE273" s="170"/>
    </row>
    <row r="274" spans="1:84" customFormat="1">
      <c r="A274" s="701"/>
      <c r="B274" s="447"/>
      <c r="C274" s="161"/>
      <c r="D274" s="162"/>
      <c r="E274" s="1"/>
      <c r="F274" s="811"/>
      <c r="G274" s="440"/>
      <c r="H274" s="1"/>
      <c r="I274" s="55"/>
      <c r="J274" s="170"/>
      <c r="K274" s="1"/>
      <c r="L274" s="170"/>
      <c r="M274" s="1"/>
      <c r="N274" s="458"/>
      <c r="O274" s="170"/>
      <c r="P274" s="441"/>
      <c r="Q274" s="55"/>
      <c r="R274" s="177"/>
      <c r="S274" s="454"/>
      <c r="T274" s="178"/>
      <c r="U274" s="178"/>
      <c r="V274" s="179"/>
      <c r="W274" s="180"/>
      <c r="X274" s="179"/>
      <c r="Y274" s="180"/>
      <c r="Z274" s="178"/>
      <c r="AA274" s="178"/>
      <c r="AB274" s="178"/>
      <c r="AC274" s="178"/>
      <c r="AD274" s="182"/>
      <c r="AE274" s="182"/>
      <c r="AF274" s="182"/>
      <c r="AG274" s="182"/>
      <c r="AH274" s="401"/>
      <c r="AI274" s="401"/>
      <c r="AJ274" s="401"/>
      <c r="AK274" s="401"/>
      <c r="AL274" s="401"/>
      <c r="AM274" s="189"/>
      <c r="AN274" s="829"/>
      <c r="AO274" s="830"/>
      <c r="AP274" s="401"/>
      <c r="AQ274" s="401"/>
      <c r="AR274" s="401"/>
      <c r="AS274" s="401"/>
      <c r="AT274" s="403"/>
      <c r="AU274" s="403"/>
      <c r="AV274" s="170"/>
      <c r="AW274" s="166"/>
      <c r="AX274" s="166"/>
      <c r="AY274" s="189"/>
      <c r="AZ274" s="189"/>
      <c r="BA274" s="196"/>
      <c r="BB274" s="629"/>
      <c r="BC274" s="190"/>
      <c r="BD274" s="510"/>
      <c r="BE274" s="510"/>
      <c r="BF274" s="177"/>
      <c r="BG274" s="177"/>
      <c r="BH274" s="166"/>
      <c r="BI274" s="474"/>
      <c r="BJ274" s="166"/>
      <c r="BK274" s="474"/>
      <c r="BL274" s="474"/>
      <c r="BM274" s="474"/>
      <c r="BN274" s="166"/>
      <c r="BO274" s="166"/>
      <c r="BP274" s="204"/>
      <c r="BQ274" s="475"/>
      <c r="BR274" s="205"/>
      <c r="BS274" s="509"/>
      <c r="BT274" s="509"/>
      <c r="BU274" s="459"/>
      <c r="BV274" s="459"/>
      <c r="BW274" s="1"/>
      <c r="BX274" s="1"/>
      <c r="BY274" s="546"/>
      <c r="BZ274" s="546"/>
      <c r="CA274" s="546"/>
      <c r="CB274" s="546"/>
      <c r="CC274" s="728"/>
      <c r="CD274" s="728"/>
      <c r="CE274" s="170"/>
    </row>
    <row r="275" spans="1:84">
      <c r="A275" s="701"/>
      <c r="B275" s="447"/>
      <c r="C275" s="161"/>
      <c r="D275" s="162"/>
      <c r="E275" s="1"/>
      <c r="F275" s="811"/>
      <c r="G275" s="440"/>
      <c r="H275" s="1"/>
      <c r="I275" s="55"/>
      <c r="J275" s="170"/>
      <c r="K275" s="1"/>
      <c r="L275" s="170"/>
      <c r="M275" s="1"/>
      <c r="N275" s="458"/>
      <c r="O275" s="170"/>
      <c r="P275" s="441"/>
      <c r="Q275" s="55"/>
      <c r="R275" s="177"/>
      <c r="S275" s="454"/>
      <c r="T275" s="178"/>
      <c r="U275" s="178"/>
      <c r="V275" s="179"/>
      <c r="W275" s="180"/>
      <c r="X275" s="179"/>
      <c r="Y275" s="180"/>
      <c r="Z275" s="178"/>
      <c r="AA275" s="178"/>
      <c r="AB275" s="178"/>
      <c r="AC275" s="178"/>
      <c r="AD275" s="182"/>
      <c r="AE275" s="182"/>
      <c r="AF275" s="182"/>
      <c r="AG275" s="182"/>
      <c r="AH275" s="401"/>
      <c r="AI275" s="401"/>
      <c r="AJ275" s="401"/>
      <c r="AK275" s="401"/>
      <c r="AL275" s="401"/>
      <c r="AM275" s="189"/>
      <c r="AN275" s="829"/>
      <c r="AO275" s="830"/>
      <c r="AP275" s="401"/>
      <c r="AQ275" s="401"/>
      <c r="AR275" s="401"/>
      <c r="AS275" s="401"/>
      <c r="AT275" s="403"/>
      <c r="AU275" s="403"/>
      <c r="AV275" s="170"/>
      <c r="AW275" s="166"/>
      <c r="AX275" s="166"/>
      <c r="AY275" s="189"/>
      <c r="AZ275" s="189"/>
      <c r="BA275" s="196"/>
      <c r="BB275" s="629"/>
      <c r="BC275" s="190"/>
      <c r="BD275" s="510"/>
      <c r="BE275" s="510"/>
      <c r="BF275" s="177"/>
      <c r="BG275" s="177"/>
      <c r="BH275" s="166"/>
      <c r="BI275" s="474"/>
      <c r="BJ275" s="166"/>
      <c r="BK275" s="474"/>
      <c r="BL275" s="474"/>
      <c r="BM275" s="474"/>
      <c r="BN275" s="166"/>
      <c r="BO275" s="166"/>
      <c r="BP275" s="204"/>
      <c r="BQ275" s="475"/>
      <c r="BR275" s="205"/>
      <c r="BS275" s="509"/>
      <c r="BT275" s="509"/>
      <c r="BU275" s="459"/>
      <c r="BV275" s="459"/>
      <c r="BW275" s="1"/>
      <c r="BX275" s="1"/>
      <c r="BY275" s="1"/>
      <c r="BZ275" s="1"/>
      <c r="CE275" s="170"/>
      <c r="CF275"/>
    </row>
    <row r="276" spans="1:84" customFormat="1">
      <c r="A276" s="701"/>
      <c r="B276" s="447"/>
      <c r="C276" s="161"/>
      <c r="D276" s="162"/>
      <c r="E276" s="1"/>
      <c r="F276" s="811"/>
      <c r="G276" s="440"/>
      <c r="H276" s="1"/>
      <c r="I276" s="55"/>
      <c r="J276" s="170"/>
      <c r="K276" s="1"/>
      <c r="L276" s="170"/>
      <c r="M276" s="1"/>
      <c r="N276" s="458"/>
      <c r="O276" s="170"/>
      <c r="P276" s="441"/>
      <c r="Q276" s="55"/>
      <c r="R276" s="177"/>
      <c r="S276" s="454"/>
      <c r="T276" s="178"/>
      <c r="U276" s="178"/>
      <c r="V276" s="179"/>
      <c r="W276" s="180"/>
      <c r="X276" s="179"/>
      <c r="Y276" s="180"/>
      <c r="Z276" s="178"/>
      <c r="AA276" s="178"/>
      <c r="AB276" s="178"/>
      <c r="AC276" s="178"/>
      <c r="AD276" s="182"/>
      <c r="AE276" s="182"/>
      <c r="AF276" s="182"/>
      <c r="AG276" s="182"/>
      <c r="AH276" s="401"/>
      <c r="AI276" s="401"/>
      <c r="AJ276" s="401"/>
      <c r="AK276" s="401"/>
      <c r="AL276" s="401"/>
      <c r="AM276" s="189"/>
      <c r="AN276" s="829"/>
      <c r="AO276" s="830"/>
      <c r="AP276" s="401"/>
      <c r="AQ276" s="401"/>
      <c r="AR276" s="401"/>
      <c r="AS276" s="401"/>
      <c r="AT276" s="403"/>
      <c r="AU276" s="403"/>
      <c r="AV276" s="170"/>
      <c r="AW276" s="166"/>
      <c r="AX276" s="166"/>
      <c r="AY276" s="189"/>
      <c r="AZ276" s="189"/>
      <c r="BA276" s="196"/>
      <c r="BB276" s="629"/>
      <c r="BC276" s="190"/>
      <c r="BD276" s="510"/>
      <c r="BE276" s="510"/>
      <c r="BF276" s="177"/>
      <c r="BG276" s="177"/>
      <c r="BH276" s="166"/>
      <c r="BI276" s="474"/>
      <c r="BJ276" s="166"/>
      <c r="BK276" s="474"/>
      <c r="BL276" s="474"/>
      <c r="BM276" s="474"/>
      <c r="BN276" s="166"/>
      <c r="BO276" s="166"/>
      <c r="BP276" s="204"/>
      <c r="BQ276" s="475"/>
      <c r="BR276" s="205"/>
      <c r="BS276" s="509"/>
      <c r="BT276" s="509"/>
      <c r="BU276" s="459"/>
      <c r="BV276" s="459"/>
      <c r="BW276" s="1"/>
      <c r="BX276" s="1"/>
      <c r="BY276" s="546"/>
      <c r="BZ276" s="546"/>
      <c r="CA276" s="546"/>
      <c r="CB276" s="546"/>
      <c r="CC276" s="728"/>
      <c r="CD276" s="728"/>
      <c r="CE276" s="170"/>
    </row>
    <row r="277" spans="1:84" customFormat="1">
      <c r="A277" s="701"/>
      <c r="B277" s="447"/>
      <c r="C277" s="161"/>
      <c r="D277" s="162"/>
      <c r="E277" s="1"/>
      <c r="F277" s="811"/>
      <c r="G277" s="440"/>
      <c r="H277" s="1"/>
      <c r="I277" s="55"/>
      <c r="J277" s="170"/>
      <c r="K277" s="1"/>
      <c r="L277" s="170"/>
      <c r="M277" s="1"/>
      <c r="N277" s="458"/>
      <c r="O277" s="170"/>
      <c r="P277" s="441"/>
      <c r="Q277" s="55"/>
      <c r="R277" s="177"/>
      <c r="S277" s="454"/>
      <c r="T277" s="178"/>
      <c r="U277" s="178"/>
      <c r="V277" s="179"/>
      <c r="W277" s="180"/>
      <c r="X277" s="179"/>
      <c r="Y277" s="180"/>
      <c r="Z277" s="178"/>
      <c r="AA277" s="178"/>
      <c r="AB277" s="178"/>
      <c r="AC277" s="178"/>
      <c r="AD277" s="182"/>
      <c r="AE277" s="182"/>
      <c r="AF277" s="182"/>
      <c r="AG277" s="182"/>
      <c r="AH277" s="401"/>
      <c r="AI277" s="401"/>
      <c r="AJ277" s="401"/>
      <c r="AK277" s="401"/>
      <c r="AL277" s="401"/>
      <c r="AM277" s="189"/>
      <c r="AN277" s="829"/>
      <c r="AO277" s="830"/>
      <c r="AP277" s="401"/>
      <c r="AQ277" s="401"/>
      <c r="AR277" s="401"/>
      <c r="AS277" s="401"/>
      <c r="AT277" s="403"/>
      <c r="AU277" s="403"/>
      <c r="AV277" s="170"/>
      <c r="AW277" s="166"/>
      <c r="AX277" s="166"/>
      <c r="AY277" s="189"/>
      <c r="AZ277" s="189"/>
      <c r="BA277" s="196"/>
      <c r="BB277" s="629"/>
      <c r="BC277" s="190"/>
      <c r="BD277" s="510"/>
      <c r="BE277" s="510"/>
      <c r="BF277" s="177"/>
      <c r="BG277" s="177"/>
      <c r="BH277" s="166"/>
      <c r="BI277" s="474"/>
      <c r="BJ277" s="166"/>
      <c r="BK277" s="474"/>
      <c r="BL277" s="474"/>
      <c r="BM277" s="474"/>
      <c r="BN277" s="166"/>
      <c r="BO277" s="166"/>
      <c r="BP277" s="204"/>
      <c r="BQ277" s="475"/>
      <c r="BR277" s="205"/>
      <c r="BS277" s="509"/>
      <c r="BT277" s="509"/>
      <c r="BU277" s="459"/>
      <c r="BV277" s="459"/>
      <c r="BW277" s="1"/>
      <c r="BX277" s="1"/>
      <c r="BY277" s="546"/>
      <c r="BZ277" s="546"/>
      <c r="CA277" s="546"/>
      <c r="CB277" s="546"/>
      <c r="CC277" s="728"/>
      <c r="CD277" s="728"/>
      <c r="CE277" s="170"/>
    </row>
    <row r="278" spans="1:84" customFormat="1">
      <c r="A278" s="701"/>
      <c r="B278" s="447"/>
      <c r="C278" s="161"/>
      <c r="D278" s="162"/>
      <c r="E278" s="1"/>
      <c r="F278" s="811"/>
      <c r="G278" s="440"/>
      <c r="H278" s="1"/>
      <c r="I278" s="55"/>
      <c r="J278" s="170"/>
      <c r="K278" s="1"/>
      <c r="L278" s="170"/>
      <c r="M278" s="1"/>
      <c r="N278" s="458"/>
      <c r="O278" s="170"/>
      <c r="P278" s="441"/>
      <c r="Q278" s="55"/>
      <c r="R278" s="177"/>
      <c r="S278" s="454"/>
      <c r="T278" s="178"/>
      <c r="U278" s="178"/>
      <c r="V278" s="179"/>
      <c r="W278" s="180"/>
      <c r="X278" s="179"/>
      <c r="Y278" s="180"/>
      <c r="Z278" s="178"/>
      <c r="AA278" s="178"/>
      <c r="AB278" s="178"/>
      <c r="AC278" s="178"/>
      <c r="AD278" s="182"/>
      <c r="AE278" s="182"/>
      <c r="AF278" s="182"/>
      <c r="AG278" s="182"/>
      <c r="AH278" s="401"/>
      <c r="AI278" s="401"/>
      <c r="AJ278" s="401"/>
      <c r="AK278" s="401"/>
      <c r="AL278" s="401"/>
      <c r="AM278" s="189"/>
      <c r="AN278" s="829"/>
      <c r="AO278" s="830"/>
      <c r="AP278" s="401"/>
      <c r="AQ278" s="401"/>
      <c r="AR278" s="401"/>
      <c r="AS278" s="401"/>
      <c r="AT278" s="403"/>
      <c r="AU278" s="403"/>
      <c r="AV278" s="170"/>
      <c r="AW278" s="166"/>
      <c r="AX278" s="166"/>
      <c r="AY278" s="189"/>
      <c r="AZ278" s="189"/>
      <c r="BA278" s="196"/>
      <c r="BB278" s="629"/>
      <c r="BC278" s="190"/>
      <c r="BD278" s="510"/>
      <c r="BE278" s="510"/>
      <c r="BF278" s="177"/>
      <c r="BG278" s="177"/>
      <c r="BH278" s="166"/>
      <c r="BI278" s="474"/>
      <c r="BJ278" s="166"/>
      <c r="BK278" s="474"/>
      <c r="BL278" s="474"/>
      <c r="BM278" s="474"/>
      <c r="BN278" s="166"/>
      <c r="BO278" s="166"/>
      <c r="BP278" s="204"/>
      <c r="BQ278" s="475"/>
      <c r="BR278" s="205"/>
      <c r="BS278" s="509"/>
      <c r="BT278" s="509"/>
      <c r="BU278" s="459"/>
      <c r="BV278" s="459"/>
      <c r="BW278" s="1"/>
      <c r="BX278" s="1"/>
      <c r="BY278" s="546"/>
      <c r="BZ278" s="546"/>
      <c r="CA278" s="546"/>
      <c r="CB278" s="546"/>
      <c r="CC278" s="728"/>
      <c r="CD278" s="728"/>
      <c r="CE278" s="170"/>
    </row>
    <row r="279" spans="1:84" customFormat="1">
      <c r="A279" s="701"/>
      <c r="B279" s="447"/>
      <c r="C279" s="161"/>
      <c r="D279" s="162"/>
      <c r="E279" s="1"/>
      <c r="F279" s="811"/>
      <c r="G279" s="440"/>
      <c r="H279" s="1"/>
      <c r="I279" s="55"/>
      <c r="J279" s="170"/>
      <c r="K279" s="1"/>
      <c r="L279" s="170"/>
      <c r="M279" s="1"/>
      <c r="N279" s="458"/>
      <c r="O279" s="170"/>
      <c r="P279" s="441"/>
      <c r="Q279" s="55"/>
      <c r="R279" s="177"/>
      <c r="S279" s="454"/>
      <c r="T279" s="178"/>
      <c r="U279" s="178"/>
      <c r="V279" s="179"/>
      <c r="W279" s="180"/>
      <c r="X279" s="179"/>
      <c r="Y279" s="180"/>
      <c r="Z279" s="178"/>
      <c r="AA279" s="178"/>
      <c r="AB279" s="178"/>
      <c r="AC279" s="178"/>
      <c r="AD279" s="182"/>
      <c r="AE279" s="182"/>
      <c r="AF279" s="182"/>
      <c r="AG279" s="182"/>
      <c r="AH279" s="401"/>
      <c r="AI279" s="401"/>
      <c r="AJ279" s="401"/>
      <c r="AK279" s="401"/>
      <c r="AL279" s="401"/>
      <c r="AM279" s="189"/>
      <c r="AN279" s="829"/>
      <c r="AO279" s="830"/>
      <c r="AP279" s="401"/>
      <c r="AQ279" s="401"/>
      <c r="AR279" s="401"/>
      <c r="AS279" s="401"/>
      <c r="AT279" s="403"/>
      <c r="AU279" s="403"/>
      <c r="AV279" s="170"/>
      <c r="AW279" s="166"/>
      <c r="AX279" s="166"/>
      <c r="AY279" s="189"/>
      <c r="AZ279" s="189"/>
      <c r="BA279" s="196"/>
      <c r="BB279" s="629"/>
      <c r="BC279" s="190"/>
      <c r="BD279" s="510"/>
      <c r="BE279" s="510"/>
      <c r="BF279" s="177"/>
      <c r="BG279" s="177"/>
      <c r="BH279" s="166"/>
      <c r="BI279" s="474"/>
      <c r="BJ279" s="166"/>
      <c r="BK279" s="474"/>
      <c r="BL279" s="474"/>
      <c r="BM279" s="474"/>
      <c r="BN279" s="166"/>
      <c r="BO279" s="166"/>
      <c r="BP279" s="204"/>
      <c r="BQ279" s="475"/>
      <c r="BR279" s="205"/>
      <c r="BS279" s="509"/>
      <c r="BT279" s="509"/>
      <c r="BU279" s="459"/>
      <c r="BV279" s="459"/>
      <c r="BW279" s="1"/>
      <c r="BX279" s="1"/>
      <c r="BY279" s="546"/>
      <c r="BZ279" s="546"/>
      <c r="CA279" s="546"/>
      <c r="CB279" s="546"/>
      <c r="CC279" s="728"/>
      <c r="CD279" s="728"/>
      <c r="CE279" s="170"/>
    </row>
    <row r="280" spans="1:84" customFormat="1">
      <c r="A280" s="701"/>
      <c r="B280" s="447"/>
      <c r="C280" s="161"/>
      <c r="D280" s="162"/>
      <c r="E280" s="1"/>
      <c r="F280" s="811"/>
      <c r="G280" s="440"/>
      <c r="H280" s="1"/>
      <c r="I280" s="55"/>
      <c r="J280" s="170"/>
      <c r="K280" s="1"/>
      <c r="L280" s="170"/>
      <c r="M280" s="1"/>
      <c r="N280" s="458"/>
      <c r="O280" s="170"/>
      <c r="P280" s="441"/>
      <c r="Q280" s="55"/>
      <c r="R280" s="177"/>
      <c r="S280" s="454"/>
      <c r="T280" s="178"/>
      <c r="U280" s="178"/>
      <c r="V280" s="179"/>
      <c r="W280" s="180"/>
      <c r="X280" s="179"/>
      <c r="Y280" s="180"/>
      <c r="Z280" s="178"/>
      <c r="AA280" s="178"/>
      <c r="AB280" s="178"/>
      <c r="AC280" s="178"/>
      <c r="AD280" s="182"/>
      <c r="AE280" s="182"/>
      <c r="AF280" s="182"/>
      <c r="AG280" s="182"/>
      <c r="AH280" s="401"/>
      <c r="AI280" s="401"/>
      <c r="AJ280" s="401"/>
      <c r="AK280" s="401"/>
      <c r="AL280" s="401"/>
      <c r="AM280" s="189"/>
      <c r="AN280" s="829"/>
      <c r="AO280" s="830"/>
      <c r="AP280" s="401"/>
      <c r="AQ280" s="401"/>
      <c r="AR280" s="401"/>
      <c r="AS280" s="401"/>
      <c r="AT280" s="403"/>
      <c r="AU280" s="403"/>
      <c r="AV280" s="170"/>
      <c r="AW280" s="166"/>
      <c r="AX280" s="166"/>
      <c r="AY280" s="189"/>
      <c r="AZ280" s="189"/>
      <c r="BA280" s="196"/>
      <c r="BB280" s="629"/>
      <c r="BC280" s="190"/>
      <c r="BD280" s="510"/>
      <c r="BE280" s="510"/>
      <c r="BF280" s="177"/>
      <c r="BG280" s="177"/>
      <c r="BH280" s="166"/>
      <c r="BI280" s="474"/>
      <c r="BJ280" s="166"/>
      <c r="BK280" s="474"/>
      <c r="BL280" s="474"/>
      <c r="BM280" s="474"/>
      <c r="BN280" s="166"/>
      <c r="BO280" s="166"/>
      <c r="BP280" s="204"/>
      <c r="BQ280" s="475"/>
      <c r="BR280" s="205"/>
      <c r="BS280" s="509"/>
      <c r="BT280" s="509"/>
      <c r="BU280" s="459"/>
      <c r="BV280" s="459"/>
      <c r="BW280" s="1"/>
      <c r="BX280" s="1"/>
      <c r="BY280" s="546"/>
      <c r="BZ280" s="546"/>
      <c r="CA280" s="546"/>
      <c r="CB280" s="546"/>
      <c r="CC280" s="728"/>
      <c r="CD280" s="728"/>
      <c r="CE280" s="170"/>
    </row>
    <row r="281" spans="1:84" customFormat="1">
      <c r="A281" s="701"/>
      <c r="B281" s="447"/>
      <c r="C281" s="161"/>
      <c r="D281" s="162"/>
      <c r="E281" s="1"/>
      <c r="F281" s="811"/>
      <c r="G281" s="440"/>
      <c r="H281" s="1"/>
      <c r="I281" s="55"/>
      <c r="J281" s="170"/>
      <c r="K281" s="1"/>
      <c r="L281" s="170"/>
      <c r="M281" s="1"/>
      <c r="N281" s="458"/>
      <c r="O281" s="170"/>
      <c r="P281" s="441"/>
      <c r="Q281" s="55"/>
      <c r="R281" s="177"/>
      <c r="S281" s="454"/>
      <c r="T281" s="178"/>
      <c r="U281" s="178"/>
      <c r="V281" s="179"/>
      <c r="W281" s="180"/>
      <c r="X281" s="179"/>
      <c r="Y281" s="180"/>
      <c r="Z281" s="178"/>
      <c r="AA281" s="178"/>
      <c r="AB281" s="178"/>
      <c r="AC281" s="178"/>
      <c r="AD281" s="182"/>
      <c r="AE281" s="182"/>
      <c r="AF281" s="182"/>
      <c r="AG281" s="182"/>
      <c r="AH281" s="401"/>
      <c r="AI281" s="401"/>
      <c r="AJ281" s="401"/>
      <c r="AK281" s="401"/>
      <c r="AL281" s="401"/>
      <c r="AM281" s="189"/>
      <c r="AN281" s="829"/>
      <c r="AO281" s="830"/>
      <c r="AP281" s="401"/>
      <c r="AQ281" s="401"/>
      <c r="AR281" s="401"/>
      <c r="AS281" s="401"/>
      <c r="AT281" s="403"/>
      <c r="AU281" s="403"/>
      <c r="AV281" s="170"/>
      <c r="AW281" s="166"/>
      <c r="AX281" s="166"/>
      <c r="AY281" s="189"/>
      <c r="AZ281" s="189"/>
      <c r="BA281" s="196"/>
      <c r="BB281" s="629"/>
      <c r="BC281" s="190"/>
      <c r="BD281" s="510"/>
      <c r="BE281" s="510"/>
      <c r="BF281" s="177"/>
      <c r="BG281" s="177"/>
      <c r="BH281" s="166"/>
      <c r="BI281" s="474"/>
      <c r="BJ281" s="166"/>
      <c r="BK281" s="474"/>
      <c r="BL281" s="474"/>
      <c r="BM281" s="474"/>
      <c r="BN281" s="166"/>
      <c r="BO281" s="166"/>
      <c r="BP281" s="204"/>
      <c r="BQ281" s="475"/>
      <c r="BR281" s="205"/>
      <c r="BS281" s="509"/>
      <c r="BT281" s="509"/>
      <c r="BU281" s="459"/>
      <c r="BV281" s="459"/>
      <c r="BW281" s="1"/>
      <c r="BX281" s="1"/>
      <c r="BY281" s="546"/>
      <c r="BZ281" s="546"/>
      <c r="CA281" s="546"/>
      <c r="CB281" s="546"/>
      <c r="CC281" s="728"/>
      <c r="CD281" s="728"/>
      <c r="CE281" s="170"/>
    </row>
    <row r="282" spans="1:84" customFormat="1">
      <c r="A282" s="701"/>
      <c r="B282" s="447"/>
      <c r="C282" s="1"/>
      <c r="D282" s="538"/>
      <c r="E282" s="1"/>
      <c r="F282" s="811"/>
      <c r="G282" s="440"/>
      <c r="H282" s="1"/>
      <c r="I282" s="55"/>
      <c r="J282" s="171"/>
      <c r="K282" s="55"/>
      <c r="L282" s="171"/>
      <c r="M282" s="55"/>
      <c r="N282" s="172"/>
      <c r="O282" s="170"/>
      <c r="P282" s="139"/>
      <c r="Q282" s="172"/>
      <c r="R282" s="181"/>
      <c r="S282" s="455"/>
      <c r="T282" s="170"/>
      <c r="U282" s="170"/>
      <c r="V282" s="1"/>
      <c r="W282" s="173"/>
      <c r="X282" s="1"/>
      <c r="Y282" s="166"/>
      <c r="Z282" s="170"/>
      <c r="AA282" s="170"/>
      <c r="AB282" s="170"/>
      <c r="AC282" s="170"/>
      <c r="AD282" s="182"/>
      <c r="AE282" s="182"/>
      <c r="AF282" s="182"/>
      <c r="AG282" s="182"/>
      <c r="AH282" s="189"/>
      <c r="AI282" s="401"/>
      <c r="AJ282" s="189"/>
      <c r="AK282" s="401"/>
      <c r="AL282" s="401"/>
      <c r="AM282" s="189"/>
      <c r="AN282" s="782"/>
      <c r="AO282" s="189"/>
      <c r="AP282" s="401"/>
      <c r="AQ282" s="401"/>
      <c r="AR282" s="401"/>
      <c r="AS282" s="188"/>
      <c r="AT282" s="1"/>
      <c r="AU282" s="403"/>
      <c r="AV282" s="1"/>
      <c r="AW282" s="166"/>
      <c r="AX282" s="166"/>
      <c r="AY282" s="189"/>
      <c r="AZ282" s="189"/>
      <c r="BA282" s="196"/>
      <c r="BB282" s="629"/>
      <c r="BC282" s="197"/>
      <c r="BD282" s="510"/>
      <c r="BE282" s="510"/>
      <c r="BF282" s="177"/>
      <c r="BG282" s="177"/>
      <c r="BH282" s="166"/>
      <c r="BI282" s="474"/>
      <c r="BJ282" s="166"/>
      <c r="BK282" s="474"/>
      <c r="BL282" s="474"/>
      <c r="BM282" s="474"/>
      <c r="BN282" s="166"/>
      <c r="BO282" s="166"/>
      <c r="BP282" s="204"/>
      <c r="BQ282" s="475"/>
      <c r="BR282" s="205"/>
      <c r="BS282" s="509"/>
      <c r="BT282" s="509"/>
      <c r="BU282" s="459"/>
      <c r="BV282" s="459"/>
      <c r="BW282" s="1"/>
      <c r="BX282" s="1"/>
      <c r="BY282" s="546"/>
      <c r="BZ282" s="546"/>
      <c r="CA282" s="546"/>
      <c r="CB282" s="546"/>
      <c r="CC282" s="728"/>
      <c r="CD282" s="728"/>
      <c r="CE282" s="170"/>
    </row>
    <row r="283" spans="1:84" customFormat="1">
      <c r="A283" s="701"/>
      <c r="B283" s="447"/>
      <c r="C283" s="161"/>
      <c r="D283" s="162"/>
      <c r="E283" s="1"/>
      <c r="F283" s="811"/>
      <c r="G283" s="440"/>
      <c r="H283" s="1"/>
      <c r="I283" s="55"/>
      <c r="J283" s="170"/>
      <c r="K283" s="1"/>
      <c r="L283" s="170"/>
      <c r="M283" s="1"/>
      <c r="N283" s="458"/>
      <c r="O283" s="170"/>
      <c r="P283" s="441"/>
      <c r="Q283" s="55"/>
      <c r="R283" s="177"/>
      <c r="S283" s="454"/>
      <c r="T283" s="178"/>
      <c r="U283" s="178"/>
      <c r="V283" s="179"/>
      <c r="W283" s="180"/>
      <c r="X283" s="179"/>
      <c r="Y283" s="180"/>
      <c r="Z283" s="178"/>
      <c r="AA283" s="178"/>
      <c r="AB283" s="178"/>
      <c r="AC283" s="178"/>
      <c r="AD283" s="182"/>
      <c r="AE283" s="182"/>
      <c r="AF283" s="182"/>
      <c r="AG283" s="182"/>
      <c r="AH283" s="401"/>
      <c r="AI283" s="401"/>
      <c r="AJ283" s="401"/>
      <c r="AK283" s="401"/>
      <c r="AL283" s="401"/>
      <c r="AM283" s="189"/>
      <c r="AN283" s="829"/>
      <c r="AO283" s="830"/>
      <c r="AP283" s="401"/>
      <c r="AQ283" s="401"/>
      <c r="AR283" s="401"/>
      <c r="AS283" s="401"/>
      <c r="AT283" s="403"/>
      <c r="AU283" s="403"/>
      <c r="AV283" s="170"/>
      <c r="AW283" s="166"/>
      <c r="AX283" s="166"/>
      <c r="AY283" s="189"/>
      <c r="AZ283" s="189"/>
      <c r="BA283" s="196"/>
      <c r="BB283" s="629"/>
      <c r="BC283" s="190"/>
      <c r="BD283" s="510"/>
      <c r="BE283" s="510"/>
      <c r="BF283" s="177"/>
      <c r="BG283" s="177"/>
      <c r="BH283" s="166"/>
      <c r="BI283" s="474"/>
      <c r="BJ283" s="166"/>
      <c r="BK283" s="474"/>
      <c r="BL283" s="474"/>
      <c r="BM283" s="474"/>
      <c r="BN283" s="166"/>
      <c r="BO283" s="166"/>
      <c r="BP283" s="204"/>
      <c r="BQ283" s="475"/>
      <c r="BR283" s="205"/>
      <c r="BS283" s="509"/>
      <c r="BT283" s="509"/>
      <c r="BU283" s="459"/>
      <c r="BV283" s="459"/>
      <c r="BW283" s="1"/>
      <c r="BX283" s="1"/>
      <c r="BY283" s="546"/>
      <c r="BZ283" s="546"/>
      <c r="CA283" s="546"/>
      <c r="CB283" s="546"/>
      <c r="CC283" s="728"/>
      <c r="CD283" s="728"/>
      <c r="CE283" s="170"/>
    </row>
    <row r="284" spans="1:84" customFormat="1">
      <c r="A284" s="701"/>
      <c r="B284" s="447"/>
      <c r="C284" s="161"/>
      <c r="D284" s="162"/>
      <c r="E284" s="1"/>
      <c r="F284" s="811"/>
      <c r="G284" s="440"/>
      <c r="H284" s="1"/>
      <c r="I284" s="55"/>
      <c r="J284" s="170"/>
      <c r="K284" s="1"/>
      <c r="L284" s="170"/>
      <c r="M284" s="1"/>
      <c r="N284" s="458"/>
      <c r="O284" s="170"/>
      <c r="P284" s="441"/>
      <c r="Q284" s="55"/>
      <c r="R284" s="177"/>
      <c r="S284" s="454"/>
      <c r="T284" s="178"/>
      <c r="U284" s="178"/>
      <c r="V284" s="179"/>
      <c r="W284" s="180"/>
      <c r="X284" s="179"/>
      <c r="Y284" s="180"/>
      <c r="Z284" s="178"/>
      <c r="AA284" s="178"/>
      <c r="AB284" s="178"/>
      <c r="AC284" s="178"/>
      <c r="AD284" s="182"/>
      <c r="AE284" s="182"/>
      <c r="AF284" s="182"/>
      <c r="AG284" s="182"/>
      <c r="AH284" s="401"/>
      <c r="AI284" s="401"/>
      <c r="AJ284" s="401"/>
      <c r="AK284" s="401"/>
      <c r="AL284" s="401"/>
      <c r="AM284" s="189"/>
      <c r="AN284" s="829"/>
      <c r="AO284" s="830"/>
      <c r="AP284" s="401"/>
      <c r="AQ284" s="401"/>
      <c r="AR284" s="401"/>
      <c r="AS284" s="401"/>
      <c r="AT284" s="403"/>
      <c r="AU284" s="403"/>
      <c r="AV284" s="170"/>
      <c r="AW284" s="166"/>
      <c r="AX284" s="166"/>
      <c r="AY284" s="189"/>
      <c r="AZ284" s="189"/>
      <c r="BA284" s="196"/>
      <c r="BB284" s="629"/>
      <c r="BC284" s="190"/>
      <c r="BD284" s="510"/>
      <c r="BE284" s="510"/>
      <c r="BF284" s="177"/>
      <c r="BG284" s="177"/>
      <c r="BH284" s="166"/>
      <c r="BI284" s="474"/>
      <c r="BJ284" s="166"/>
      <c r="BK284" s="474"/>
      <c r="BL284" s="474"/>
      <c r="BM284" s="474"/>
      <c r="BN284" s="166"/>
      <c r="BO284" s="166"/>
      <c r="BP284" s="204"/>
      <c r="BQ284" s="475"/>
      <c r="BR284" s="205"/>
      <c r="BS284" s="509"/>
      <c r="BT284" s="509"/>
      <c r="BU284" s="459"/>
      <c r="BV284" s="459"/>
      <c r="BW284" s="1"/>
      <c r="BX284" s="1"/>
      <c r="BY284" s="546"/>
      <c r="BZ284" s="546"/>
      <c r="CA284" s="546"/>
      <c r="CB284" s="546"/>
      <c r="CC284" s="728"/>
      <c r="CD284" s="728"/>
      <c r="CE284" s="170"/>
    </row>
    <row r="285" spans="1:84" customFormat="1">
      <c r="A285" s="701"/>
      <c r="B285" s="447"/>
      <c r="C285" s="161"/>
      <c r="D285" s="162"/>
      <c r="E285" s="1"/>
      <c r="F285" s="811"/>
      <c r="G285" s="440"/>
      <c r="H285" s="1"/>
      <c r="I285" s="55"/>
      <c r="J285" s="457"/>
      <c r="K285" s="1"/>
      <c r="L285" s="170"/>
      <c r="M285" s="1"/>
      <c r="N285" s="458"/>
      <c r="O285" s="170"/>
      <c r="P285" s="441"/>
      <c r="Q285" s="55"/>
      <c r="R285" s="177"/>
      <c r="S285" s="454"/>
      <c r="T285" s="178"/>
      <c r="U285" s="178"/>
      <c r="V285" s="179"/>
      <c r="W285" s="180"/>
      <c r="X285" s="179"/>
      <c r="Y285" s="180"/>
      <c r="Z285" s="178"/>
      <c r="AA285" s="178"/>
      <c r="AB285" s="178"/>
      <c r="AC285" s="178"/>
      <c r="AD285" s="182"/>
      <c r="AE285" s="182"/>
      <c r="AF285" s="182"/>
      <c r="AG285" s="182"/>
      <c r="AH285" s="401"/>
      <c r="AI285" s="401"/>
      <c r="AJ285" s="401"/>
      <c r="AK285" s="401"/>
      <c r="AL285" s="401"/>
      <c r="AM285" s="189"/>
      <c r="AN285" s="829"/>
      <c r="AO285" s="830"/>
      <c r="AP285" s="401"/>
      <c r="AQ285" s="401"/>
      <c r="AR285" s="401"/>
      <c r="AS285" s="401"/>
      <c r="AT285" s="403"/>
      <c r="AU285" s="403"/>
      <c r="AV285" s="170"/>
      <c r="AW285" s="166"/>
      <c r="AX285" s="166"/>
      <c r="AY285" s="189"/>
      <c r="AZ285" s="189"/>
      <c r="BA285" s="196"/>
      <c r="BB285" s="629"/>
      <c r="BC285" s="190"/>
      <c r="BD285" s="510"/>
      <c r="BE285" s="510"/>
      <c r="BF285" s="177"/>
      <c r="BG285" s="177"/>
      <c r="BH285" s="166"/>
      <c r="BI285" s="474"/>
      <c r="BJ285" s="166"/>
      <c r="BK285" s="474"/>
      <c r="BL285" s="474"/>
      <c r="BM285" s="474"/>
      <c r="BN285" s="166"/>
      <c r="BO285" s="166"/>
      <c r="BP285" s="204"/>
      <c r="BQ285" s="475"/>
      <c r="BR285" s="205"/>
      <c r="BS285" s="509"/>
      <c r="BT285" s="509"/>
      <c r="BU285" s="459"/>
      <c r="BV285" s="459"/>
      <c r="BW285" s="1"/>
      <c r="BX285" s="1"/>
      <c r="BY285" s="546"/>
      <c r="BZ285" s="546"/>
      <c r="CA285" s="546"/>
      <c r="CB285" s="546"/>
      <c r="CC285" s="728"/>
      <c r="CD285" s="728"/>
      <c r="CE285" s="170"/>
    </row>
    <row r="286" spans="1:84" customFormat="1">
      <c r="A286" s="701"/>
      <c r="B286" s="447"/>
      <c r="C286" s="161"/>
      <c r="D286" s="162"/>
      <c r="E286" s="1"/>
      <c r="F286" s="811"/>
      <c r="G286" s="440"/>
      <c r="H286" s="1"/>
      <c r="I286" s="55"/>
      <c r="J286" s="170"/>
      <c r="K286" s="1"/>
      <c r="L286" s="170"/>
      <c r="M286" s="1"/>
      <c r="N286" s="458"/>
      <c r="O286" s="170"/>
      <c r="P286" s="441"/>
      <c r="Q286" s="55"/>
      <c r="R286" s="177"/>
      <c r="S286" s="454"/>
      <c r="T286" s="178"/>
      <c r="U286" s="178"/>
      <c r="V286" s="179"/>
      <c r="W286" s="180"/>
      <c r="X286" s="179"/>
      <c r="Y286" s="180"/>
      <c r="Z286" s="178"/>
      <c r="AA286" s="178"/>
      <c r="AB286" s="178"/>
      <c r="AC286" s="178"/>
      <c r="AD286" s="182"/>
      <c r="AE286" s="182"/>
      <c r="AF286" s="182"/>
      <c r="AG286" s="182"/>
      <c r="AH286" s="401"/>
      <c r="AI286" s="401"/>
      <c r="AJ286" s="401"/>
      <c r="AK286" s="401"/>
      <c r="AL286" s="401"/>
      <c r="AM286" s="189"/>
      <c r="AN286" s="829"/>
      <c r="AO286" s="830"/>
      <c r="AP286" s="401"/>
      <c r="AQ286" s="401"/>
      <c r="AR286" s="401"/>
      <c r="AS286" s="401"/>
      <c r="AT286" s="403"/>
      <c r="AU286" s="403"/>
      <c r="AV286" s="170"/>
      <c r="AW286" s="166"/>
      <c r="AX286" s="166"/>
      <c r="AY286" s="189"/>
      <c r="AZ286" s="189"/>
      <c r="BA286" s="196"/>
      <c r="BB286" s="629"/>
      <c r="BC286" s="190"/>
      <c r="BD286" s="510"/>
      <c r="BE286" s="510"/>
      <c r="BF286" s="177"/>
      <c r="BG286" s="177"/>
      <c r="BH286" s="166"/>
      <c r="BI286" s="474"/>
      <c r="BJ286" s="166"/>
      <c r="BK286" s="474"/>
      <c r="BL286" s="474"/>
      <c r="BM286" s="474"/>
      <c r="BN286" s="166"/>
      <c r="BO286" s="166"/>
      <c r="BP286" s="204"/>
      <c r="BQ286" s="475"/>
      <c r="BR286" s="205"/>
      <c r="BS286" s="509"/>
      <c r="BT286" s="509"/>
      <c r="BU286" s="459"/>
      <c r="BV286" s="459"/>
      <c r="BW286" s="1"/>
      <c r="BX286" s="1"/>
      <c r="BY286" s="546"/>
      <c r="BZ286" s="546"/>
      <c r="CA286" s="546"/>
      <c r="CB286" s="546"/>
      <c r="CC286" s="728"/>
      <c r="CD286" s="728"/>
      <c r="CE286" s="170"/>
    </row>
    <row r="287" spans="1:84" customFormat="1">
      <c r="A287" s="701"/>
      <c r="B287" s="447"/>
      <c r="C287" s="161"/>
      <c r="D287" s="162"/>
      <c r="E287" s="1"/>
      <c r="F287" s="811"/>
      <c r="G287" s="440"/>
      <c r="H287" s="1"/>
      <c r="I287" s="55"/>
      <c r="J287" s="170"/>
      <c r="K287" s="1"/>
      <c r="L287" s="170"/>
      <c r="M287" s="1"/>
      <c r="N287" s="458"/>
      <c r="O287" s="170"/>
      <c r="P287" s="441"/>
      <c r="Q287" s="55"/>
      <c r="R287" s="177"/>
      <c r="S287" s="454"/>
      <c r="T287" s="178"/>
      <c r="U287" s="178"/>
      <c r="V287" s="179"/>
      <c r="W287" s="180"/>
      <c r="X287" s="179"/>
      <c r="Y287" s="180"/>
      <c r="Z287" s="178"/>
      <c r="AA287" s="178"/>
      <c r="AB287" s="178"/>
      <c r="AC287" s="178"/>
      <c r="AD287" s="182"/>
      <c r="AE287" s="182"/>
      <c r="AF287" s="182"/>
      <c r="AG287" s="182"/>
      <c r="AH287" s="401"/>
      <c r="AI287" s="401"/>
      <c r="AJ287" s="401"/>
      <c r="AK287" s="401"/>
      <c r="AL287" s="401"/>
      <c r="AM287" s="189"/>
      <c r="AN287" s="829"/>
      <c r="AO287" s="830"/>
      <c r="AP287" s="401"/>
      <c r="AQ287" s="401"/>
      <c r="AR287" s="401"/>
      <c r="AS287" s="401"/>
      <c r="AT287" s="403"/>
      <c r="AU287" s="403"/>
      <c r="AV287" s="170"/>
      <c r="AW287" s="166"/>
      <c r="AX287" s="166"/>
      <c r="AY287" s="189"/>
      <c r="AZ287" s="189"/>
      <c r="BA287" s="196"/>
      <c r="BB287" s="629"/>
      <c r="BC287" s="190"/>
      <c r="BD287" s="510"/>
      <c r="BE287" s="510"/>
      <c r="BF287" s="177"/>
      <c r="BG287" s="177"/>
      <c r="BH287" s="166"/>
      <c r="BI287" s="474"/>
      <c r="BJ287" s="166"/>
      <c r="BK287" s="474"/>
      <c r="BL287" s="474"/>
      <c r="BM287" s="474"/>
      <c r="BN287" s="166"/>
      <c r="BO287" s="166"/>
      <c r="BP287" s="204"/>
      <c r="BQ287" s="475"/>
      <c r="BR287" s="205"/>
      <c r="BS287" s="509"/>
      <c r="BT287" s="509"/>
      <c r="BU287" s="459"/>
      <c r="BV287" s="459"/>
      <c r="BW287" s="1"/>
      <c r="BX287" s="1"/>
      <c r="BY287" s="546"/>
      <c r="BZ287" s="546"/>
      <c r="CA287" s="546"/>
      <c r="CB287" s="546"/>
      <c r="CC287" s="728"/>
      <c r="CD287" s="728"/>
      <c r="CE287" s="170"/>
    </row>
    <row r="288" spans="1:84" customFormat="1">
      <c r="A288" s="701"/>
      <c r="B288" s="447"/>
      <c r="C288" s="161"/>
      <c r="D288" s="162"/>
      <c r="E288" s="1"/>
      <c r="F288" s="811"/>
      <c r="G288" s="440"/>
      <c r="H288" s="1"/>
      <c r="I288" s="55"/>
      <c r="J288" s="170"/>
      <c r="K288" s="1"/>
      <c r="L288" s="170"/>
      <c r="M288" s="1"/>
      <c r="N288" s="458"/>
      <c r="O288" s="170"/>
      <c r="P288" s="441"/>
      <c r="Q288" s="55"/>
      <c r="R288" s="177"/>
      <c r="S288" s="454"/>
      <c r="T288" s="178"/>
      <c r="U288" s="178"/>
      <c r="V288" s="179"/>
      <c r="W288" s="180"/>
      <c r="X288" s="179"/>
      <c r="Y288" s="180"/>
      <c r="Z288" s="178"/>
      <c r="AA288" s="178"/>
      <c r="AB288" s="178"/>
      <c r="AC288" s="178"/>
      <c r="AD288" s="182"/>
      <c r="AE288" s="182"/>
      <c r="AF288" s="182"/>
      <c r="AG288" s="182"/>
      <c r="AH288" s="401"/>
      <c r="AI288" s="401"/>
      <c r="AJ288" s="401"/>
      <c r="AK288" s="401"/>
      <c r="AL288" s="401"/>
      <c r="AM288" s="189"/>
      <c r="AN288" s="829"/>
      <c r="AO288" s="830"/>
      <c r="AP288" s="401"/>
      <c r="AQ288" s="401"/>
      <c r="AR288" s="401"/>
      <c r="AS288" s="401"/>
      <c r="AT288" s="403"/>
      <c r="AU288" s="403"/>
      <c r="AV288" s="170"/>
      <c r="AW288" s="166"/>
      <c r="AX288" s="166"/>
      <c r="AY288" s="189"/>
      <c r="AZ288" s="189"/>
      <c r="BA288" s="196"/>
      <c r="BB288" s="629"/>
      <c r="BC288" s="190"/>
      <c r="BD288" s="510"/>
      <c r="BE288" s="510"/>
      <c r="BF288" s="177"/>
      <c r="BG288" s="177"/>
      <c r="BH288" s="166"/>
      <c r="BI288" s="474"/>
      <c r="BJ288" s="166"/>
      <c r="BK288" s="474"/>
      <c r="BL288" s="474"/>
      <c r="BM288" s="474"/>
      <c r="BN288" s="166"/>
      <c r="BO288" s="166"/>
      <c r="BP288" s="204"/>
      <c r="BQ288" s="475"/>
      <c r="BR288" s="205"/>
      <c r="BS288" s="509"/>
      <c r="BT288" s="509"/>
      <c r="BU288" s="459"/>
      <c r="BV288" s="459"/>
      <c r="BW288" s="1"/>
      <c r="BX288" s="1"/>
      <c r="BY288" s="546"/>
      <c r="BZ288" s="546"/>
      <c r="CA288" s="546"/>
      <c r="CB288" s="546"/>
      <c r="CC288" s="728"/>
      <c r="CD288" s="728"/>
      <c r="CE288" s="170"/>
    </row>
    <row r="289" spans="1:84" customFormat="1">
      <c r="A289" s="701"/>
      <c r="B289" s="447"/>
      <c r="C289" s="161"/>
      <c r="D289" s="162"/>
      <c r="E289" s="1"/>
      <c r="F289" s="811"/>
      <c r="G289" s="440"/>
      <c r="H289" s="1"/>
      <c r="I289" s="55"/>
      <c r="J289" s="170"/>
      <c r="K289" s="1"/>
      <c r="L289" s="170"/>
      <c r="M289" s="1"/>
      <c r="N289" s="166"/>
      <c r="O289" s="170"/>
      <c r="P289" s="441"/>
      <c r="Q289" s="55"/>
      <c r="R289" s="177"/>
      <c r="S289" s="454"/>
      <c r="T289" s="178"/>
      <c r="U289" s="178"/>
      <c r="V289" s="179"/>
      <c r="W289" s="180"/>
      <c r="X289" s="179"/>
      <c r="Y289" s="180"/>
      <c r="Z289" s="178"/>
      <c r="AA289" s="178"/>
      <c r="AB289" s="178"/>
      <c r="AC289" s="178"/>
      <c r="AD289" s="182"/>
      <c r="AE289" s="182"/>
      <c r="AF289" s="182"/>
      <c r="AG289" s="182"/>
      <c r="AH289" s="401"/>
      <c r="AI289" s="401"/>
      <c r="AJ289" s="182"/>
      <c r="AK289" s="401"/>
      <c r="AL289" s="401"/>
      <c r="AM289" s="189"/>
      <c r="AN289" s="829"/>
      <c r="AO289" s="830"/>
      <c r="AP289" s="401"/>
      <c r="AQ289" s="401"/>
      <c r="AR289" s="401"/>
      <c r="AS289" s="401"/>
      <c r="AT289" s="403"/>
      <c r="AU289" s="403"/>
      <c r="AV289" s="170"/>
      <c r="AW289" s="166"/>
      <c r="AX289" s="166"/>
      <c r="AY289" s="189"/>
      <c r="AZ289" s="189"/>
      <c r="BA289" s="196"/>
      <c r="BB289" s="629"/>
      <c r="BC289" s="190"/>
      <c r="BD289" s="510"/>
      <c r="BE289" s="510"/>
      <c r="BF289" s="177"/>
      <c r="BG289" s="177"/>
      <c r="BH289" s="166"/>
      <c r="BI289" s="474"/>
      <c r="BJ289" s="166"/>
      <c r="BK289" s="474"/>
      <c r="BL289" s="474"/>
      <c r="BM289" s="474"/>
      <c r="BN289" s="166"/>
      <c r="BO289" s="166"/>
      <c r="BP289" s="204"/>
      <c r="BQ289" s="475"/>
      <c r="BR289" s="205"/>
      <c r="BS289" s="509"/>
      <c r="BT289" s="509"/>
      <c r="BU289" s="459"/>
      <c r="BV289" s="459"/>
      <c r="BW289" s="1"/>
      <c r="BX289" s="1"/>
      <c r="BY289" s="546"/>
      <c r="BZ289" s="546"/>
      <c r="CA289" s="546"/>
      <c r="CB289" s="546"/>
      <c r="CC289" s="728"/>
      <c r="CD289" s="728"/>
      <c r="CE289" s="170"/>
    </row>
    <row r="290" spans="1:84" customFormat="1">
      <c r="A290" s="701"/>
      <c r="B290" s="447"/>
      <c r="C290" s="161"/>
      <c r="D290" s="162"/>
      <c r="E290" s="1"/>
      <c r="F290" s="811"/>
      <c r="G290" s="440"/>
      <c r="H290" s="1"/>
      <c r="I290" s="55"/>
      <c r="J290" s="170"/>
      <c r="K290" s="1"/>
      <c r="L290" s="170"/>
      <c r="M290" s="1"/>
      <c r="N290" s="458"/>
      <c r="O290" s="170"/>
      <c r="P290" s="441"/>
      <c r="Q290" s="55"/>
      <c r="R290" s="177"/>
      <c r="S290" s="454"/>
      <c r="T290" s="178"/>
      <c r="U290" s="178"/>
      <c r="V290" s="179"/>
      <c r="W290" s="180"/>
      <c r="X290" s="179"/>
      <c r="Y290" s="180"/>
      <c r="Z290" s="178"/>
      <c r="AA290" s="178"/>
      <c r="AB290" s="178"/>
      <c r="AC290" s="178"/>
      <c r="AD290" s="182"/>
      <c r="AE290" s="182"/>
      <c r="AF290" s="182"/>
      <c r="AG290" s="182"/>
      <c r="AH290" s="401"/>
      <c r="AI290" s="401"/>
      <c r="AJ290" s="401"/>
      <c r="AK290" s="401"/>
      <c r="AL290" s="401"/>
      <c r="AM290" s="189"/>
      <c r="AN290" s="829"/>
      <c r="AO290" s="830"/>
      <c r="AP290" s="401"/>
      <c r="AQ290" s="401"/>
      <c r="AR290" s="401"/>
      <c r="AS290" s="401"/>
      <c r="AT290" s="403"/>
      <c r="AU290" s="403"/>
      <c r="AV290" s="170"/>
      <c r="AW290" s="166"/>
      <c r="AX290" s="166"/>
      <c r="AY290" s="189"/>
      <c r="AZ290" s="189"/>
      <c r="BA290" s="196"/>
      <c r="BB290" s="629"/>
      <c r="BC290" s="190"/>
      <c r="BD290" s="510"/>
      <c r="BE290" s="510"/>
      <c r="BF290" s="177"/>
      <c r="BG290" s="177"/>
      <c r="BH290" s="166"/>
      <c r="BI290" s="474"/>
      <c r="BJ290" s="166"/>
      <c r="BK290" s="474"/>
      <c r="BL290" s="474"/>
      <c r="BM290" s="474"/>
      <c r="BN290" s="166"/>
      <c r="BO290" s="166"/>
      <c r="BP290" s="204"/>
      <c r="BQ290" s="475"/>
      <c r="BR290" s="205"/>
      <c r="BS290" s="509"/>
      <c r="BT290" s="509"/>
      <c r="BU290" s="459"/>
      <c r="BV290" s="459"/>
      <c r="BW290" s="1"/>
      <c r="BX290" s="1"/>
      <c r="BY290" s="546"/>
      <c r="BZ290" s="546"/>
      <c r="CA290" s="546"/>
      <c r="CB290" s="546"/>
      <c r="CC290" s="728"/>
      <c r="CD290" s="728"/>
      <c r="CE290" s="170"/>
    </row>
    <row r="291" spans="1:84" customFormat="1">
      <c r="A291" s="701"/>
      <c r="B291" s="447"/>
      <c r="C291" s="161"/>
      <c r="D291" s="162"/>
      <c r="E291" s="1"/>
      <c r="F291" s="811"/>
      <c r="G291" s="440"/>
      <c r="H291" s="1"/>
      <c r="I291" s="55"/>
      <c r="J291" s="170"/>
      <c r="K291" s="1"/>
      <c r="L291" s="170"/>
      <c r="M291" s="1"/>
      <c r="N291" s="458"/>
      <c r="O291" s="170"/>
      <c r="P291" s="441"/>
      <c r="Q291" s="55"/>
      <c r="R291" s="177"/>
      <c r="S291" s="454"/>
      <c r="T291" s="178"/>
      <c r="U291" s="178"/>
      <c r="V291" s="179"/>
      <c r="W291" s="180"/>
      <c r="X291" s="179"/>
      <c r="Y291" s="180"/>
      <c r="Z291" s="178"/>
      <c r="AA291" s="178"/>
      <c r="AB291" s="178"/>
      <c r="AC291" s="178"/>
      <c r="AD291" s="182"/>
      <c r="AE291" s="182"/>
      <c r="AF291" s="182"/>
      <c r="AG291" s="182"/>
      <c r="AH291" s="401"/>
      <c r="AI291" s="401"/>
      <c r="AJ291" s="401"/>
      <c r="AK291" s="401"/>
      <c r="AL291" s="401"/>
      <c r="AM291" s="189"/>
      <c r="AN291" s="829"/>
      <c r="AO291" s="830"/>
      <c r="AP291" s="401"/>
      <c r="AQ291" s="401"/>
      <c r="AR291" s="401"/>
      <c r="AS291" s="401"/>
      <c r="AT291" s="403"/>
      <c r="AU291" s="403"/>
      <c r="AV291" s="170"/>
      <c r="AW291" s="166"/>
      <c r="AX291" s="166"/>
      <c r="AY291" s="189"/>
      <c r="AZ291" s="189"/>
      <c r="BA291" s="196"/>
      <c r="BB291" s="629"/>
      <c r="BC291" s="190"/>
      <c r="BD291" s="510"/>
      <c r="BE291" s="510"/>
      <c r="BF291" s="177"/>
      <c r="BG291" s="177"/>
      <c r="BH291" s="166"/>
      <c r="BI291" s="474"/>
      <c r="BJ291" s="166"/>
      <c r="BK291" s="474"/>
      <c r="BL291" s="474"/>
      <c r="BM291" s="474"/>
      <c r="BN291" s="166"/>
      <c r="BO291" s="166"/>
      <c r="BP291" s="204"/>
      <c r="BQ291" s="475"/>
      <c r="BR291" s="205"/>
      <c r="BS291" s="509"/>
      <c r="BT291" s="509"/>
      <c r="BU291" s="459"/>
      <c r="BV291" s="459"/>
      <c r="BW291" s="1"/>
      <c r="BX291" s="1"/>
      <c r="BY291" s="546"/>
      <c r="BZ291" s="546"/>
      <c r="CA291" s="546"/>
      <c r="CB291" s="546"/>
      <c r="CC291" s="728"/>
      <c r="CD291" s="728"/>
      <c r="CE291" s="170"/>
    </row>
    <row r="292" spans="1:84">
      <c r="A292" s="701"/>
      <c r="B292" s="447"/>
      <c r="C292" s="161"/>
      <c r="D292" s="162"/>
      <c r="E292" s="1"/>
      <c r="F292" s="811"/>
      <c r="G292" s="440"/>
      <c r="H292" s="1"/>
      <c r="I292" s="55"/>
      <c r="J292" s="170"/>
      <c r="K292" s="1"/>
      <c r="L292" s="170"/>
      <c r="M292" s="1"/>
      <c r="N292" s="458"/>
      <c r="O292" s="170"/>
      <c r="P292" s="441"/>
      <c r="Q292" s="55"/>
      <c r="R292" s="177"/>
      <c r="S292" s="454"/>
      <c r="T292" s="178"/>
      <c r="U292" s="178"/>
      <c r="V292" s="179"/>
      <c r="W292" s="180"/>
      <c r="X292" s="179"/>
      <c r="Y292" s="180"/>
      <c r="Z292" s="178"/>
      <c r="AA292" s="178"/>
      <c r="AB292" s="178"/>
      <c r="AC292" s="178"/>
      <c r="AD292" s="182"/>
      <c r="AE292" s="182"/>
      <c r="AF292" s="182"/>
      <c r="AG292" s="182"/>
      <c r="AH292" s="401"/>
      <c r="AI292" s="401"/>
      <c r="AJ292" s="401"/>
      <c r="AK292" s="401"/>
      <c r="AL292" s="401"/>
      <c r="AM292" s="189"/>
      <c r="AN292" s="829"/>
      <c r="AO292" s="830"/>
      <c r="AP292" s="401"/>
      <c r="AQ292" s="401"/>
      <c r="AR292" s="401"/>
      <c r="AS292" s="401"/>
      <c r="AT292" s="403"/>
      <c r="AU292" s="403"/>
      <c r="AV292" s="170"/>
      <c r="AW292" s="166"/>
      <c r="AX292" s="166"/>
      <c r="AY292" s="189"/>
      <c r="AZ292" s="189"/>
      <c r="BA292" s="196"/>
      <c r="BB292" s="629"/>
      <c r="BC292" s="190"/>
      <c r="BD292" s="510"/>
      <c r="BE292" s="510"/>
      <c r="BF292" s="177"/>
      <c r="BG292" s="177"/>
      <c r="BH292" s="166"/>
      <c r="BI292" s="474"/>
      <c r="BJ292" s="166"/>
      <c r="BK292" s="474"/>
      <c r="BL292" s="474"/>
      <c r="BM292" s="474"/>
      <c r="BN292" s="166"/>
      <c r="BO292" s="166"/>
      <c r="BP292" s="204"/>
      <c r="BQ292" s="475"/>
      <c r="BR292" s="205"/>
      <c r="BS292" s="509"/>
      <c r="BT292" s="509"/>
      <c r="BU292" s="459"/>
      <c r="BV292" s="459"/>
      <c r="BW292" s="1"/>
      <c r="BX292" s="1"/>
      <c r="BY292" s="1"/>
      <c r="BZ292" s="1"/>
      <c r="CE292" s="170"/>
      <c r="CF292"/>
    </row>
    <row r="293" spans="1:84" customFormat="1">
      <c r="A293" s="701"/>
      <c r="B293" s="447"/>
      <c r="C293" s="1"/>
      <c r="D293" s="538"/>
      <c r="E293" s="1"/>
      <c r="F293" s="811"/>
      <c r="G293" s="440"/>
      <c r="H293" s="1"/>
      <c r="I293" s="55"/>
      <c r="J293" s="171"/>
      <c r="K293" s="55"/>
      <c r="L293" s="171"/>
      <c r="M293" s="55"/>
      <c r="N293" s="172"/>
      <c r="O293" s="170"/>
      <c r="P293" s="139"/>
      <c r="Q293" s="172"/>
      <c r="R293" s="181"/>
      <c r="S293" s="455"/>
      <c r="T293" s="170"/>
      <c r="U293" s="170"/>
      <c r="V293" s="1"/>
      <c r="W293" s="173"/>
      <c r="X293" s="1"/>
      <c r="Y293" s="166"/>
      <c r="Z293" s="170"/>
      <c r="AA293" s="170"/>
      <c r="AB293" s="170"/>
      <c r="AC293" s="170"/>
      <c r="AD293" s="182"/>
      <c r="AE293" s="182"/>
      <c r="AF293" s="182"/>
      <c r="AG293" s="182"/>
      <c r="AH293" s="189"/>
      <c r="AI293" s="401"/>
      <c r="AJ293" s="189"/>
      <c r="AK293" s="401"/>
      <c r="AL293" s="401"/>
      <c r="AM293" s="189"/>
      <c r="AN293" s="782"/>
      <c r="AO293" s="189"/>
      <c r="AP293" s="401"/>
      <c r="AQ293" s="401"/>
      <c r="AR293" s="401"/>
      <c r="AS293" s="188"/>
      <c r="AT293" s="1"/>
      <c r="AU293" s="403"/>
      <c r="AV293" s="1"/>
      <c r="AW293" s="166"/>
      <c r="AX293" s="166"/>
      <c r="AY293" s="189"/>
      <c r="AZ293" s="189"/>
      <c r="BA293" s="196"/>
      <c r="BB293" s="629"/>
      <c r="BC293" s="197"/>
      <c r="BD293" s="510"/>
      <c r="BE293" s="510"/>
      <c r="BF293" s="177"/>
      <c r="BG293" s="177"/>
      <c r="BH293" s="166"/>
      <c r="BI293" s="474"/>
      <c r="BJ293" s="166"/>
      <c r="BK293" s="474"/>
      <c r="BL293" s="474"/>
      <c r="BM293" s="474"/>
      <c r="BN293" s="166"/>
      <c r="BO293" s="166"/>
      <c r="BP293" s="204"/>
      <c r="BQ293" s="475"/>
      <c r="BR293" s="205"/>
      <c r="BS293" s="509"/>
      <c r="BT293" s="509"/>
      <c r="BU293" s="459"/>
      <c r="BV293" s="459"/>
      <c r="BW293" s="1"/>
      <c r="BX293" s="1"/>
      <c r="BY293" s="546"/>
      <c r="BZ293" s="546"/>
      <c r="CA293" s="546"/>
      <c r="CB293" s="546"/>
      <c r="CC293" s="728"/>
      <c r="CD293" s="728"/>
      <c r="CE293" s="170"/>
    </row>
    <row r="294" spans="1:84" customFormat="1">
      <c r="A294" s="701"/>
      <c r="B294" s="447"/>
      <c r="C294" s="161"/>
      <c r="D294" s="162"/>
      <c r="E294" s="1"/>
      <c r="F294" s="811"/>
      <c r="G294" s="440"/>
      <c r="H294" s="1"/>
      <c r="I294" s="55"/>
      <c r="J294" s="170"/>
      <c r="K294" s="1"/>
      <c r="L294" s="170"/>
      <c r="M294" s="1"/>
      <c r="N294" s="458"/>
      <c r="O294" s="170"/>
      <c r="P294" s="441"/>
      <c r="Q294" s="55"/>
      <c r="R294" s="177"/>
      <c r="S294" s="454"/>
      <c r="T294" s="178"/>
      <c r="U294" s="178"/>
      <c r="V294" s="179"/>
      <c r="W294" s="180"/>
      <c r="X294" s="179"/>
      <c r="Y294" s="180"/>
      <c r="Z294" s="178"/>
      <c r="AA294" s="178"/>
      <c r="AB294" s="178"/>
      <c r="AC294" s="178"/>
      <c r="AD294" s="182"/>
      <c r="AE294" s="182"/>
      <c r="AF294" s="182"/>
      <c r="AG294" s="182"/>
      <c r="AH294" s="401"/>
      <c r="AI294" s="401"/>
      <c r="AJ294" s="401"/>
      <c r="AK294" s="401"/>
      <c r="AL294" s="401"/>
      <c r="AM294" s="189"/>
      <c r="AN294" s="829"/>
      <c r="AO294" s="830"/>
      <c r="AP294" s="401"/>
      <c r="AQ294" s="401"/>
      <c r="AR294" s="401"/>
      <c r="AS294" s="401"/>
      <c r="AT294" s="403"/>
      <c r="AU294" s="403"/>
      <c r="AV294" s="170"/>
      <c r="AW294" s="166"/>
      <c r="AX294" s="166"/>
      <c r="AY294" s="189"/>
      <c r="AZ294" s="189"/>
      <c r="BA294" s="196"/>
      <c r="BB294" s="629"/>
      <c r="BC294" s="190"/>
      <c r="BD294" s="510"/>
      <c r="BE294" s="510"/>
      <c r="BF294" s="177"/>
      <c r="BG294" s="177"/>
      <c r="BH294" s="166"/>
      <c r="BI294" s="474"/>
      <c r="BJ294" s="166"/>
      <c r="BK294" s="474"/>
      <c r="BL294" s="474"/>
      <c r="BM294" s="474"/>
      <c r="BN294" s="166"/>
      <c r="BO294" s="166"/>
      <c r="BP294" s="204"/>
      <c r="BQ294" s="475"/>
      <c r="BR294" s="205"/>
      <c r="BS294" s="509"/>
      <c r="BT294" s="509"/>
      <c r="BU294" s="459"/>
      <c r="BV294" s="459"/>
      <c r="BW294" s="1"/>
      <c r="BX294" s="1"/>
      <c r="BY294" s="546"/>
      <c r="BZ294" s="546"/>
      <c r="CA294" s="546"/>
      <c r="CB294" s="546"/>
      <c r="CC294" s="728"/>
      <c r="CD294" s="728"/>
      <c r="CE294" s="170"/>
    </row>
    <row r="295" spans="1:84" customFormat="1">
      <c r="A295" s="701"/>
      <c r="B295" s="447"/>
      <c r="C295" s="161"/>
      <c r="D295" s="162"/>
      <c r="E295" s="1"/>
      <c r="F295" s="811"/>
      <c r="G295" s="440"/>
      <c r="H295" s="1"/>
      <c r="I295" s="55"/>
      <c r="J295" s="170"/>
      <c r="K295" s="1"/>
      <c r="L295" s="170"/>
      <c r="M295" s="1"/>
      <c r="N295" s="458"/>
      <c r="O295" s="170"/>
      <c r="P295" s="441"/>
      <c r="Q295" s="55"/>
      <c r="R295" s="177"/>
      <c r="S295" s="454"/>
      <c r="T295" s="178"/>
      <c r="U295" s="178"/>
      <c r="V295" s="179"/>
      <c r="W295" s="180"/>
      <c r="X295" s="179"/>
      <c r="Y295" s="180"/>
      <c r="Z295" s="178"/>
      <c r="AA295" s="178"/>
      <c r="AB295" s="178"/>
      <c r="AC295" s="178"/>
      <c r="AD295" s="182"/>
      <c r="AE295" s="182"/>
      <c r="AF295" s="182"/>
      <c r="AG295" s="182"/>
      <c r="AH295" s="401"/>
      <c r="AI295" s="401"/>
      <c r="AJ295" s="401"/>
      <c r="AK295" s="401"/>
      <c r="AL295" s="401"/>
      <c r="AM295" s="189"/>
      <c r="AN295" s="829"/>
      <c r="AO295" s="830"/>
      <c r="AP295" s="401"/>
      <c r="AQ295" s="401"/>
      <c r="AR295" s="401"/>
      <c r="AS295" s="401"/>
      <c r="AT295" s="403"/>
      <c r="AU295" s="403"/>
      <c r="AV295" s="170"/>
      <c r="AW295" s="166"/>
      <c r="AX295" s="166"/>
      <c r="AY295" s="189"/>
      <c r="AZ295" s="189"/>
      <c r="BA295" s="196"/>
      <c r="BB295" s="629"/>
      <c r="BC295" s="190"/>
      <c r="BD295" s="510"/>
      <c r="BE295" s="510"/>
      <c r="BF295" s="177"/>
      <c r="BG295" s="177"/>
      <c r="BH295" s="166"/>
      <c r="BI295" s="474"/>
      <c r="BJ295" s="166"/>
      <c r="BK295" s="474"/>
      <c r="BL295" s="474"/>
      <c r="BM295" s="474"/>
      <c r="BN295" s="166"/>
      <c r="BO295" s="166"/>
      <c r="BP295" s="204"/>
      <c r="BQ295" s="475"/>
      <c r="BR295" s="205"/>
      <c r="BS295" s="509"/>
      <c r="BT295" s="509"/>
      <c r="BU295" s="459"/>
      <c r="BV295" s="459"/>
      <c r="BW295" s="1"/>
      <c r="BX295" s="1"/>
      <c r="BY295" s="546"/>
      <c r="BZ295" s="546"/>
      <c r="CA295" s="546"/>
      <c r="CB295" s="546"/>
      <c r="CC295" s="728"/>
      <c r="CD295" s="728"/>
      <c r="CE295" s="170"/>
    </row>
    <row r="296" spans="1:84" customFormat="1">
      <c r="A296" s="701"/>
      <c r="B296" s="447"/>
      <c r="C296" s="161"/>
      <c r="D296" s="162"/>
      <c r="E296" s="1"/>
      <c r="F296" s="811"/>
      <c r="G296" s="440"/>
      <c r="H296" s="1"/>
      <c r="I296" s="55"/>
      <c r="J296" s="457"/>
      <c r="K296" s="1"/>
      <c r="L296" s="170"/>
      <c r="M296" s="1"/>
      <c r="N296" s="458"/>
      <c r="O296" s="170"/>
      <c r="P296" s="441"/>
      <c r="Q296" s="55"/>
      <c r="R296" s="177"/>
      <c r="S296" s="454"/>
      <c r="T296" s="178"/>
      <c r="U296" s="178"/>
      <c r="V296" s="179"/>
      <c r="W296" s="180"/>
      <c r="X296" s="179"/>
      <c r="Y296" s="180"/>
      <c r="Z296" s="178"/>
      <c r="AA296" s="178"/>
      <c r="AB296" s="178"/>
      <c r="AC296" s="178"/>
      <c r="AD296" s="182"/>
      <c r="AE296" s="182"/>
      <c r="AF296" s="182"/>
      <c r="AG296" s="182"/>
      <c r="AH296" s="401"/>
      <c r="AI296" s="401"/>
      <c r="AJ296" s="401"/>
      <c r="AK296" s="401"/>
      <c r="AL296" s="401"/>
      <c r="AM296" s="189"/>
      <c r="AN296" s="829"/>
      <c r="AO296" s="830"/>
      <c r="AP296" s="401"/>
      <c r="AQ296" s="401"/>
      <c r="AR296" s="401"/>
      <c r="AS296" s="401"/>
      <c r="AT296" s="403"/>
      <c r="AU296" s="403"/>
      <c r="AV296" s="170"/>
      <c r="AW296" s="166"/>
      <c r="AX296" s="166"/>
      <c r="AY296" s="189"/>
      <c r="AZ296" s="189"/>
      <c r="BA296" s="196"/>
      <c r="BB296" s="629"/>
      <c r="BC296" s="190"/>
      <c r="BD296" s="510"/>
      <c r="BE296" s="510"/>
      <c r="BF296" s="177"/>
      <c r="BG296" s="177"/>
      <c r="BH296" s="166"/>
      <c r="BI296" s="474"/>
      <c r="BJ296" s="166"/>
      <c r="BK296" s="474"/>
      <c r="BL296" s="474"/>
      <c r="BM296" s="474"/>
      <c r="BN296" s="166"/>
      <c r="BO296" s="166"/>
      <c r="BP296" s="204"/>
      <c r="BQ296" s="475"/>
      <c r="BR296" s="205"/>
      <c r="BS296" s="509"/>
      <c r="BT296" s="509"/>
      <c r="BU296" s="459"/>
      <c r="BV296" s="459"/>
      <c r="BW296" s="1"/>
      <c r="BX296" s="1"/>
      <c r="BY296" s="546"/>
      <c r="BZ296" s="546"/>
      <c r="CA296" s="546"/>
      <c r="CB296" s="546"/>
      <c r="CC296" s="728"/>
      <c r="CD296" s="728"/>
      <c r="CE296" s="170"/>
    </row>
    <row r="297" spans="1:84" customFormat="1">
      <c r="A297" s="701"/>
      <c r="B297" s="447"/>
      <c r="C297" s="161"/>
      <c r="D297" s="162"/>
      <c r="E297" s="1"/>
      <c r="F297" s="811"/>
      <c r="G297" s="440"/>
      <c r="H297" s="1"/>
      <c r="I297" s="55"/>
      <c r="J297" s="170"/>
      <c r="K297" s="1"/>
      <c r="L297" s="170"/>
      <c r="M297" s="1"/>
      <c r="N297" s="458"/>
      <c r="O297" s="170"/>
      <c r="P297" s="441"/>
      <c r="Q297" s="55"/>
      <c r="R297" s="177"/>
      <c r="S297" s="454"/>
      <c r="T297" s="178"/>
      <c r="U297" s="178"/>
      <c r="V297" s="179"/>
      <c r="W297" s="180"/>
      <c r="X297" s="179"/>
      <c r="Y297" s="180"/>
      <c r="Z297" s="178"/>
      <c r="AA297" s="178"/>
      <c r="AB297" s="178"/>
      <c r="AC297" s="178"/>
      <c r="AD297" s="182"/>
      <c r="AE297" s="182"/>
      <c r="AF297" s="182"/>
      <c r="AG297" s="182"/>
      <c r="AH297" s="401"/>
      <c r="AI297" s="401"/>
      <c r="AJ297" s="401"/>
      <c r="AK297" s="401"/>
      <c r="AL297" s="401"/>
      <c r="AM297" s="189"/>
      <c r="AN297" s="829"/>
      <c r="AO297" s="830"/>
      <c r="AP297" s="401"/>
      <c r="AQ297" s="401"/>
      <c r="AR297" s="401"/>
      <c r="AS297" s="401"/>
      <c r="AT297" s="403"/>
      <c r="AU297" s="403"/>
      <c r="AV297" s="170"/>
      <c r="AW297" s="166"/>
      <c r="AX297" s="166"/>
      <c r="AY297" s="189"/>
      <c r="AZ297" s="189"/>
      <c r="BA297" s="196"/>
      <c r="BB297" s="629"/>
      <c r="BC297" s="190"/>
      <c r="BD297" s="510"/>
      <c r="BE297" s="510"/>
      <c r="BF297" s="177"/>
      <c r="BG297" s="177"/>
      <c r="BH297" s="166"/>
      <c r="BI297" s="474"/>
      <c r="BJ297" s="166"/>
      <c r="BK297" s="474"/>
      <c r="BL297" s="474"/>
      <c r="BM297" s="474"/>
      <c r="BN297" s="166"/>
      <c r="BO297" s="166"/>
      <c r="BP297" s="204"/>
      <c r="BQ297" s="475"/>
      <c r="BR297" s="205"/>
      <c r="BS297" s="509"/>
      <c r="BT297" s="509"/>
      <c r="BU297" s="459"/>
      <c r="BV297" s="459"/>
      <c r="BW297" s="1"/>
      <c r="BX297" s="1"/>
      <c r="BY297" s="546"/>
      <c r="BZ297" s="546"/>
      <c r="CA297" s="546"/>
      <c r="CB297" s="546"/>
      <c r="CC297" s="728"/>
      <c r="CD297" s="728"/>
      <c r="CE297" s="170"/>
    </row>
    <row r="298" spans="1:84" customFormat="1">
      <c r="A298" s="701"/>
      <c r="B298" s="447"/>
      <c r="C298" s="161"/>
      <c r="D298" s="162"/>
      <c r="E298" s="1"/>
      <c r="F298" s="811"/>
      <c r="G298" s="440"/>
      <c r="H298" s="1"/>
      <c r="I298" s="55"/>
      <c r="J298" s="170"/>
      <c r="K298" s="1"/>
      <c r="L298" s="170"/>
      <c r="M298" s="1"/>
      <c r="N298" s="458"/>
      <c r="O298" s="170"/>
      <c r="P298" s="441"/>
      <c r="Q298" s="55"/>
      <c r="R298" s="177"/>
      <c r="S298" s="454"/>
      <c r="T298" s="178"/>
      <c r="U298" s="178"/>
      <c r="V298" s="179"/>
      <c r="W298" s="180"/>
      <c r="X298" s="179"/>
      <c r="Y298" s="180"/>
      <c r="Z298" s="178"/>
      <c r="AA298" s="178"/>
      <c r="AB298" s="178"/>
      <c r="AC298" s="178"/>
      <c r="AD298" s="182"/>
      <c r="AE298" s="182"/>
      <c r="AF298" s="182"/>
      <c r="AG298" s="182"/>
      <c r="AH298" s="401"/>
      <c r="AI298" s="401"/>
      <c r="AJ298" s="401"/>
      <c r="AK298" s="401"/>
      <c r="AL298" s="401"/>
      <c r="AM298" s="189"/>
      <c r="AN298" s="829"/>
      <c r="AO298" s="830"/>
      <c r="AP298" s="401"/>
      <c r="AQ298" s="401"/>
      <c r="AR298" s="401"/>
      <c r="AS298" s="401"/>
      <c r="AT298" s="403"/>
      <c r="AU298" s="403"/>
      <c r="AV298" s="170"/>
      <c r="AW298" s="166"/>
      <c r="AX298" s="166"/>
      <c r="AY298" s="189"/>
      <c r="AZ298" s="189"/>
      <c r="BA298" s="196"/>
      <c r="BB298" s="629"/>
      <c r="BC298" s="190"/>
      <c r="BD298" s="510"/>
      <c r="BE298" s="510"/>
      <c r="BF298" s="177"/>
      <c r="BG298" s="177"/>
      <c r="BH298" s="166"/>
      <c r="BI298" s="474"/>
      <c r="BJ298" s="166"/>
      <c r="BK298" s="474"/>
      <c r="BL298" s="474"/>
      <c r="BM298" s="474"/>
      <c r="BN298" s="166"/>
      <c r="BO298" s="166"/>
      <c r="BP298" s="204"/>
      <c r="BQ298" s="475"/>
      <c r="BR298" s="205"/>
      <c r="BS298" s="509"/>
      <c r="BT298" s="509"/>
      <c r="BU298" s="459"/>
      <c r="BV298" s="459"/>
      <c r="BW298" s="1"/>
      <c r="BX298" s="1"/>
      <c r="BY298" s="546"/>
      <c r="BZ298" s="546"/>
      <c r="CA298" s="546"/>
      <c r="CB298" s="546"/>
      <c r="CC298" s="728"/>
      <c r="CD298" s="728"/>
      <c r="CE298" s="170"/>
    </row>
    <row r="299" spans="1:84">
      <c r="A299" s="701"/>
      <c r="B299" s="447"/>
      <c r="C299" s="161"/>
      <c r="D299" s="162"/>
      <c r="E299" s="1"/>
      <c r="F299" s="811"/>
      <c r="G299" s="440"/>
      <c r="H299" s="1"/>
      <c r="I299" s="55"/>
      <c r="J299" s="170"/>
      <c r="K299" s="1"/>
      <c r="L299" s="170"/>
      <c r="M299" s="1"/>
      <c r="N299" s="458"/>
      <c r="O299" s="170"/>
      <c r="P299" s="441"/>
      <c r="Q299" s="55"/>
      <c r="R299" s="177"/>
      <c r="S299" s="454"/>
      <c r="T299" s="178"/>
      <c r="U299" s="178"/>
      <c r="V299" s="179"/>
      <c r="W299" s="180"/>
      <c r="X299" s="179"/>
      <c r="Y299" s="180"/>
      <c r="Z299" s="178"/>
      <c r="AA299" s="178"/>
      <c r="AB299" s="178"/>
      <c r="AC299" s="178"/>
      <c r="AD299" s="182"/>
      <c r="AE299" s="182"/>
      <c r="AF299" s="182"/>
      <c r="AG299" s="182"/>
      <c r="AH299" s="401"/>
      <c r="AI299" s="401"/>
      <c r="AJ299" s="401"/>
      <c r="AK299" s="401"/>
      <c r="AL299" s="401"/>
      <c r="AM299" s="189"/>
      <c r="AN299" s="829"/>
      <c r="AO299" s="830"/>
      <c r="AP299" s="401"/>
      <c r="AQ299" s="401"/>
      <c r="AR299" s="401"/>
      <c r="AS299" s="401"/>
      <c r="AT299" s="403"/>
      <c r="AU299" s="403"/>
      <c r="AV299" s="170"/>
      <c r="AW299" s="166"/>
      <c r="AX299" s="166"/>
      <c r="AY299" s="189"/>
      <c r="AZ299" s="189"/>
      <c r="BA299" s="196"/>
      <c r="BB299" s="629"/>
      <c r="BC299" s="190"/>
      <c r="BD299" s="510"/>
      <c r="BE299" s="510"/>
      <c r="BF299" s="177"/>
      <c r="BG299" s="177"/>
      <c r="BH299" s="166"/>
      <c r="BI299" s="474"/>
      <c r="BJ299" s="166"/>
      <c r="BK299" s="474"/>
      <c r="BL299" s="474"/>
      <c r="BM299" s="474"/>
      <c r="BN299" s="166"/>
      <c r="BO299" s="166"/>
      <c r="BP299" s="204"/>
      <c r="BQ299" s="475"/>
      <c r="BR299" s="205"/>
      <c r="BS299" s="509"/>
      <c r="BT299" s="509"/>
      <c r="BU299" s="459"/>
      <c r="BV299" s="459"/>
      <c r="BW299" s="1"/>
      <c r="BX299" s="1"/>
      <c r="BY299" s="1"/>
      <c r="BZ299" s="1"/>
      <c r="CE299" s="170"/>
      <c r="CF299"/>
    </row>
    <row r="300" spans="1:84" customFormat="1">
      <c r="A300" s="701"/>
      <c r="B300" s="447"/>
      <c r="C300" s="161"/>
      <c r="D300" s="162"/>
      <c r="E300" s="1"/>
      <c r="F300" s="811"/>
      <c r="G300" s="440"/>
      <c r="H300" s="1"/>
      <c r="I300" s="55"/>
      <c r="J300" s="170"/>
      <c r="K300" s="1"/>
      <c r="L300" s="170"/>
      <c r="M300" s="1"/>
      <c r="N300" s="458"/>
      <c r="O300" s="170"/>
      <c r="P300" s="441"/>
      <c r="Q300" s="55"/>
      <c r="R300" s="177"/>
      <c r="S300" s="454"/>
      <c r="T300" s="178"/>
      <c r="U300" s="178"/>
      <c r="V300" s="179"/>
      <c r="W300" s="180"/>
      <c r="X300" s="179"/>
      <c r="Y300" s="180"/>
      <c r="Z300" s="178"/>
      <c r="AA300" s="178"/>
      <c r="AB300" s="178"/>
      <c r="AC300" s="178"/>
      <c r="AD300" s="182"/>
      <c r="AE300" s="182"/>
      <c r="AF300" s="182"/>
      <c r="AG300" s="182"/>
      <c r="AH300" s="401"/>
      <c r="AI300" s="401"/>
      <c r="AJ300" s="401"/>
      <c r="AK300" s="401"/>
      <c r="AL300" s="401"/>
      <c r="AM300" s="189"/>
      <c r="AN300" s="829"/>
      <c r="AO300" s="830"/>
      <c r="AP300" s="401"/>
      <c r="AQ300" s="401"/>
      <c r="AR300" s="401"/>
      <c r="AS300" s="401"/>
      <c r="AT300" s="403"/>
      <c r="AU300" s="403"/>
      <c r="AV300" s="170"/>
      <c r="AW300" s="166"/>
      <c r="AX300" s="166"/>
      <c r="AY300" s="189"/>
      <c r="AZ300" s="189"/>
      <c r="BA300" s="196"/>
      <c r="BB300" s="629"/>
      <c r="BC300" s="190"/>
      <c r="BD300" s="510"/>
      <c r="BE300" s="510"/>
      <c r="BF300" s="177"/>
      <c r="BG300" s="177"/>
      <c r="BH300" s="166"/>
      <c r="BI300" s="474"/>
      <c r="BJ300" s="166"/>
      <c r="BK300" s="474"/>
      <c r="BL300" s="474"/>
      <c r="BM300" s="474"/>
      <c r="BN300" s="166"/>
      <c r="BO300" s="166"/>
      <c r="BP300" s="204"/>
      <c r="BQ300" s="475"/>
      <c r="BR300" s="205"/>
      <c r="BS300" s="509"/>
      <c r="BT300" s="509"/>
      <c r="BU300" s="459"/>
      <c r="BV300" s="459"/>
      <c r="BW300" s="1"/>
      <c r="BX300" s="1"/>
      <c r="BY300" s="546"/>
      <c r="BZ300" s="546"/>
      <c r="CA300" s="546"/>
      <c r="CB300" s="546"/>
      <c r="CC300" s="728"/>
      <c r="CD300" s="728"/>
      <c r="CE300" s="170"/>
    </row>
    <row r="301" spans="1:84">
      <c r="A301" s="701"/>
      <c r="B301" s="447"/>
      <c r="C301" s="161"/>
      <c r="D301" s="162"/>
      <c r="E301" s="1"/>
      <c r="F301" s="811"/>
      <c r="G301" s="440"/>
      <c r="H301" s="1"/>
      <c r="I301" s="55"/>
      <c r="J301" s="170"/>
      <c r="K301" s="1"/>
      <c r="L301" s="170"/>
      <c r="M301" s="1"/>
      <c r="N301" s="458"/>
      <c r="O301" s="170"/>
      <c r="P301" s="441"/>
      <c r="Q301" s="55"/>
      <c r="R301" s="177"/>
      <c r="S301" s="454"/>
      <c r="T301" s="178"/>
      <c r="U301" s="178"/>
      <c r="V301" s="179"/>
      <c r="W301" s="180"/>
      <c r="X301" s="179"/>
      <c r="Y301" s="180"/>
      <c r="Z301" s="178"/>
      <c r="AA301" s="178"/>
      <c r="AB301" s="178"/>
      <c r="AC301" s="178"/>
      <c r="AD301" s="182"/>
      <c r="AE301" s="182"/>
      <c r="AF301" s="182"/>
      <c r="AG301" s="182"/>
      <c r="AH301" s="401"/>
      <c r="AI301" s="401"/>
      <c r="AJ301" s="401"/>
      <c r="AK301" s="401"/>
      <c r="AL301" s="401"/>
      <c r="AM301" s="189"/>
      <c r="AN301" s="829"/>
      <c r="AO301" s="830"/>
      <c r="AP301" s="401"/>
      <c r="AQ301" s="401"/>
      <c r="AR301" s="401"/>
      <c r="AS301" s="401"/>
      <c r="AT301" s="403"/>
      <c r="AU301" s="403"/>
      <c r="AV301" s="170"/>
      <c r="AW301" s="166"/>
      <c r="AX301" s="166"/>
      <c r="AY301" s="189"/>
      <c r="AZ301" s="189"/>
      <c r="BA301" s="196"/>
      <c r="BB301" s="629"/>
      <c r="BC301" s="190"/>
      <c r="BD301" s="510"/>
      <c r="BE301" s="510"/>
      <c r="BF301" s="177"/>
      <c r="BG301" s="177"/>
      <c r="BH301" s="166"/>
      <c r="BI301" s="474"/>
      <c r="BJ301" s="166"/>
      <c r="BK301" s="474"/>
      <c r="BL301" s="474"/>
      <c r="BM301" s="474"/>
      <c r="BN301" s="166"/>
      <c r="BO301" s="166"/>
      <c r="BP301" s="204"/>
      <c r="BQ301" s="475"/>
      <c r="BR301" s="205"/>
      <c r="BS301" s="509"/>
      <c r="BT301" s="509"/>
      <c r="BU301" s="459"/>
      <c r="BV301" s="459"/>
      <c r="BW301" s="1"/>
      <c r="BX301" s="1"/>
      <c r="BY301" s="1"/>
      <c r="BZ301" s="1"/>
      <c r="CE301" s="170"/>
      <c r="CF301"/>
    </row>
    <row r="302" spans="1:84">
      <c r="A302" s="701"/>
      <c r="B302" s="447"/>
      <c r="C302" s="161"/>
      <c r="D302" s="162"/>
      <c r="E302" s="1"/>
      <c r="F302" s="811"/>
      <c r="G302" s="440"/>
      <c r="H302" s="1"/>
      <c r="I302" s="55"/>
      <c r="J302" s="170"/>
      <c r="K302" s="1"/>
      <c r="L302" s="170"/>
      <c r="M302" s="1"/>
      <c r="N302" s="458"/>
      <c r="O302" s="170"/>
      <c r="P302" s="441"/>
      <c r="Q302" s="55"/>
      <c r="R302" s="177"/>
      <c r="S302" s="454"/>
      <c r="T302" s="178"/>
      <c r="U302" s="178"/>
      <c r="V302" s="179"/>
      <c r="W302" s="180"/>
      <c r="X302" s="179"/>
      <c r="Y302" s="180"/>
      <c r="Z302" s="178"/>
      <c r="AA302" s="178"/>
      <c r="AB302" s="178"/>
      <c r="AC302" s="178"/>
      <c r="AD302" s="182"/>
      <c r="AE302" s="182"/>
      <c r="AF302" s="182"/>
      <c r="AG302" s="182"/>
      <c r="AH302" s="401"/>
      <c r="AI302" s="401"/>
      <c r="AJ302" s="401"/>
      <c r="AK302" s="401"/>
      <c r="AL302" s="401"/>
      <c r="AM302" s="189"/>
      <c r="AN302" s="829"/>
      <c r="AO302" s="830"/>
      <c r="AP302" s="401"/>
      <c r="AQ302" s="401"/>
      <c r="AR302" s="401"/>
      <c r="AS302" s="401"/>
      <c r="AT302" s="403"/>
      <c r="AU302" s="403"/>
      <c r="AV302" s="170"/>
      <c r="AW302" s="166"/>
      <c r="AX302" s="166"/>
      <c r="AY302" s="189"/>
      <c r="AZ302" s="189"/>
      <c r="BA302" s="196"/>
      <c r="BB302" s="629"/>
      <c r="BC302" s="190"/>
      <c r="BD302" s="510"/>
      <c r="BE302" s="510"/>
      <c r="BF302" s="177"/>
      <c r="BG302" s="177"/>
      <c r="BH302" s="166"/>
      <c r="BI302" s="474"/>
      <c r="BJ302" s="166"/>
      <c r="BK302" s="474"/>
      <c r="BL302" s="474"/>
      <c r="BM302" s="474"/>
      <c r="BN302" s="166"/>
      <c r="BO302" s="166"/>
      <c r="BP302" s="204"/>
      <c r="BQ302" s="475"/>
      <c r="BR302" s="205"/>
      <c r="BS302" s="509"/>
      <c r="BT302" s="509"/>
      <c r="BU302" s="459"/>
      <c r="BV302" s="459"/>
      <c r="BW302" s="1"/>
      <c r="BX302" s="1"/>
      <c r="BY302" s="1"/>
      <c r="BZ302" s="1"/>
      <c r="CE302" s="170"/>
      <c r="CF302"/>
    </row>
    <row r="303" spans="1:84" customFormat="1">
      <c r="A303" s="701"/>
      <c r="B303" s="447"/>
      <c r="C303" s="1"/>
      <c r="D303" s="538"/>
      <c r="E303" s="1"/>
      <c r="F303" s="811"/>
      <c r="G303" s="440"/>
      <c r="H303" s="1"/>
      <c r="I303" s="55"/>
      <c r="J303" s="171"/>
      <c r="K303" s="55"/>
      <c r="L303" s="171"/>
      <c r="M303" s="55"/>
      <c r="N303" s="172"/>
      <c r="O303" s="170"/>
      <c r="P303" s="139"/>
      <c r="Q303" s="172"/>
      <c r="R303" s="181"/>
      <c r="S303" s="455"/>
      <c r="T303" s="170"/>
      <c r="U303" s="170"/>
      <c r="V303" s="1"/>
      <c r="W303" s="173"/>
      <c r="X303" s="1"/>
      <c r="Y303" s="166"/>
      <c r="Z303" s="170"/>
      <c r="AA303" s="170"/>
      <c r="AB303" s="170"/>
      <c r="AC303" s="170"/>
      <c r="AD303" s="182"/>
      <c r="AE303" s="182"/>
      <c r="AF303" s="182"/>
      <c r="AG303" s="182"/>
      <c r="AH303" s="189"/>
      <c r="AI303" s="401"/>
      <c r="AJ303" s="189"/>
      <c r="AK303" s="401"/>
      <c r="AL303" s="401"/>
      <c r="AM303" s="189"/>
      <c r="AN303" s="782"/>
      <c r="AO303" s="189"/>
      <c r="AP303" s="401"/>
      <c r="AQ303" s="401"/>
      <c r="AR303" s="401"/>
      <c r="AS303" s="188"/>
      <c r="AT303" s="1"/>
      <c r="AU303" s="403"/>
      <c r="AV303" s="1"/>
      <c r="AW303" s="166"/>
      <c r="AX303" s="166"/>
      <c r="AY303" s="189"/>
      <c r="AZ303" s="189"/>
      <c r="BA303" s="196"/>
      <c r="BB303" s="629"/>
      <c r="BC303" s="197"/>
      <c r="BD303" s="510"/>
      <c r="BE303" s="510"/>
      <c r="BF303" s="177"/>
      <c r="BG303" s="177"/>
      <c r="BH303" s="166"/>
      <c r="BI303" s="474"/>
      <c r="BJ303" s="166"/>
      <c r="BK303" s="474"/>
      <c r="BL303" s="474"/>
      <c r="BM303" s="474"/>
      <c r="BN303" s="166"/>
      <c r="BO303" s="166"/>
      <c r="BP303" s="204"/>
      <c r="BQ303" s="475"/>
      <c r="BR303" s="205"/>
      <c r="BS303" s="509"/>
      <c r="BT303" s="509"/>
      <c r="BU303" s="459"/>
      <c r="BV303" s="459"/>
      <c r="BW303" s="1"/>
      <c r="BX303" s="1"/>
      <c r="BY303" s="546"/>
      <c r="BZ303" s="546"/>
      <c r="CA303" s="546"/>
      <c r="CB303" s="546"/>
      <c r="CC303" s="728"/>
      <c r="CD303" s="728"/>
      <c r="CE303" s="170"/>
    </row>
    <row r="304" spans="1:84" customFormat="1">
      <c r="A304" s="701"/>
      <c r="B304" s="447"/>
      <c r="C304" s="161"/>
      <c r="D304" s="162"/>
      <c r="E304" s="1"/>
      <c r="F304" s="811"/>
      <c r="G304" s="440"/>
      <c r="H304" s="1"/>
      <c r="I304" s="55"/>
      <c r="J304" s="170"/>
      <c r="K304" s="1"/>
      <c r="L304" s="170"/>
      <c r="M304" s="1"/>
      <c r="N304" s="458"/>
      <c r="O304" s="170"/>
      <c r="P304" s="441"/>
      <c r="Q304" s="55"/>
      <c r="R304" s="177"/>
      <c r="S304" s="454"/>
      <c r="T304" s="178"/>
      <c r="U304" s="178"/>
      <c r="V304" s="179"/>
      <c r="W304" s="180"/>
      <c r="X304" s="179"/>
      <c r="Y304" s="180"/>
      <c r="Z304" s="178"/>
      <c r="AA304" s="178"/>
      <c r="AB304" s="178"/>
      <c r="AC304" s="178"/>
      <c r="AD304" s="182"/>
      <c r="AE304" s="182"/>
      <c r="AF304" s="182"/>
      <c r="AG304" s="182"/>
      <c r="AH304" s="401"/>
      <c r="AI304" s="401"/>
      <c r="AJ304" s="401"/>
      <c r="AK304" s="401"/>
      <c r="AL304" s="401"/>
      <c r="AM304" s="189"/>
      <c r="AN304" s="829"/>
      <c r="AO304" s="830"/>
      <c r="AP304" s="401"/>
      <c r="AQ304" s="401"/>
      <c r="AR304" s="401"/>
      <c r="AS304" s="401"/>
      <c r="AT304" s="403"/>
      <c r="AU304" s="403"/>
      <c r="AV304" s="170"/>
      <c r="AW304" s="166"/>
      <c r="AX304" s="166"/>
      <c r="AY304" s="189"/>
      <c r="AZ304" s="189"/>
      <c r="BA304" s="196"/>
      <c r="BB304" s="629"/>
      <c r="BC304" s="190"/>
      <c r="BD304" s="510"/>
      <c r="BE304" s="510"/>
      <c r="BF304" s="177"/>
      <c r="BG304" s="177"/>
      <c r="BH304" s="166"/>
      <c r="BI304" s="474"/>
      <c r="BJ304" s="166"/>
      <c r="BK304" s="474"/>
      <c r="BL304" s="474"/>
      <c r="BM304" s="474"/>
      <c r="BN304" s="166"/>
      <c r="BO304" s="166"/>
      <c r="BP304" s="204"/>
      <c r="BQ304" s="475"/>
      <c r="BR304" s="205"/>
      <c r="BS304" s="509"/>
      <c r="BT304" s="509"/>
      <c r="BU304" s="459"/>
      <c r="BV304" s="459"/>
      <c r="BW304" s="1"/>
      <c r="BX304" s="1"/>
      <c r="BY304" s="546"/>
      <c r="BZ304" s="546"/>
      <c r="CA304" s="546"/>
      <c r="CB304" s="546"/>
      <c r="CC304" s="728"/>
      <c r="CD304" s="728"/>
      <c r="CE304" s="170"/>
    </row>
    <row r="305" spans="1:84" customFormat="1">
      <c r="A305" s="701"/>
      <c r="B305" s="447"/>
      <c r="C305" s="161"/>
      <c r="D305" s="162"/>
      <c r="E305" s="1"/>
      <c r="F305" s="811"/>
      <c r="G305" s="440"/>
      <c r="H305" s="1"/>
      <c r="I305" s="55"/>
      <c r="J305" s="170"/>
      <c r="K305" s="1"/>
      <c r="L305" s="170"/>
      <c r="M305" s="1"/>
      <c r="N305" s="458"/>
      <c r="O305" s="170"/>
      <c r="P305" s="441"/>
      <c r="Q305" s="55"/>
      <c r="R305" s="177"/>
      <c r="S305" s="454"/>
      <c r="T305" s="178"/>
      <c r="U305" s="178"/>
      <c r="V305" s="179"/>
      <c r="W305" s="180"/>
      <c r="X305" s="179"/>
      <c r="Y305" s="180"/>
      <c r="Z305" s="178"/>
      <c r="AA305" s="178"/>
      <c r="AB305" s="178"/>
      <c r="AC305" s="178"/>
      <c r="AD305" s="182"/>
      <c r="AE305" s="182"/>
      <c r="AF305" s="182"/>
      <c r="AG305" s="182"/>
      <c r="AH305" s="401"/>
      <c r="AI305" s="401"/>
      <c r="AJ305" s="401"/>
      <c r="AK305" s="401"/>
      <c r="AL305" s="401"/>
      <c r="AM305" s="189"/>
      <c r="AN305" s="829"/>
      <c r="AO305" s="830"/>
      <c r="AP305" s="401"/>
      <c r="AQ305" s="401"/>
      <c r="AR305" s="401"/>
      <c r="AS305" s="401"/>
      <c r="AT305" s="403"/>
      <c r="AU305" s="403"/>
      <c r="AV305" s="170"/>
      <c r="AW305" s="166"/>
      <c r="AX305" s="166"/>
      <c r="AY305" s="189"/>
      <c r="AZ305" s="189"/>
      <c r="BA305" s="196"/>
      <c r="BB305" s="629"/>
      <c r="BC305" s="190"/>
      <c r="BD305" s="510"/>
      <c r="BE305" s="510"/>
      <c r="BF305" s="177"/>
      <c r="BG305" s="177"/>
      <c r="BH305" s="166"/>
      <c r="BI305" s="474"/>
      <c r="BJ305" s="166"/>
      <c r="BK305" s="474"/>
      <c r="BL305" s="474"/>
      <c r="BM305" s="474"/>
      <c r="BN305" s="166"/>
      <c r="BO305" s="166"/>
      <c r="BP305" s="204"/>
      <c r="BQ305" s="475"/>
      <c r="BR305" s="205"/>
      <c r="BS305" s="509"/>
      <c r="BT305" s="509"/>
      <c r="BU305" s="459"/>
      <c r="BV305" s="459"/>
      <c r="BW305" s="1"/>
      <c r="BX305" s="1"/>
      <c r="BY305" s="546"/>
      <c r="BZ305" s="546"/>
      <c r="CA305" s="546"/>
      <c r="CB305" s="546"/>
      <c r="CC305" s="728"/>
      <c r="CD305" s="728"/>
      <c r="CE305" s="170"/>
    </row>
    <row r="306" spans="1:84" customFormat="1">
      <c r="A306" s="701"/>
      <c r="B306" s="447"/>
      <c r="C306" s="161"/>
      <c r="D306" s="162"/>
      <c r="E306" s="1"/>
      <c r="F306" s="811"/>
      <c r="G306" s="440"/>
      <c r="H306" s="1"/>
      <c r="I306" s="55"/>
      <c r="J306" s="457"/>
      <c r="K306" s="1"/>
      <c r="L306" s="170"/>
      <c r="M306" s="1"/>
      <c r="N306" s="458"/>
      <c r="O306" s="170"/>
      <c r="P306" s="441"/>
      <c r="Q306" s="55"/>
      <c r="R306" s="177"/>
      <c r="S306" s="454"/>
      <c r="T306" s="178"/>
      <c r="U306" s="178"/>
      <c r="V306" s="179"/>
      <c r="W306" s="180"/>
      <c r="X306" s="179"/>
      <c r="Y306" s="180"/>
      <c r="Z306" s="178"/>
      <c r="AA306" s="178"/>
      <c r="AB306" s="178"/>
      <c r="AC306" s="178"/>
      <c r="AD306" s="182"/>
      <c r="AE306" s="182"/>
      <c r="AF306" s="182"/>
      <c r="AG306" s="182"/>
      <c r="AH306" s="401"/>
      <c r="AI306" s="401"/>
      <c r="AJ306" s="401"/>
      <c r="AK306" s="401"/>
      <c r="AL306" s="401"/>
      <c r="AM306" s="189"/>
      <c r="AN306" s="829"/>
      <c r="AO306" s="830"/>
      <c r="AP306" s="401"/>
      <c r="AQ306" s="401"/>
      <c r="AR306" s="401"/>
      <c r="AS306" s="401"/>
      <c r="AT306" s="403"/>
      <c r="AU306" s="403"/>
      <c r="AV306" s="170"/>
      <c r="AW306" s="166"/>
      <c r="AX306" s="166"/>
      <c r="AY306" s="189"/>
      <c r="AZ306" s="189"/>
      <c r="BA306" s="196"/>
      <c r="BB306" s="629"/>
      <c r="BC306" s="190"/>
      <c r="BD306" s="510"/>
      <c r="BE306" s="510"/>
      <c r="BF306" s="177"/>
      <c r="BG306" s="177"/>
      <c r="BH306" s="166"/>
      <c r="BI306" s="474"/>
      <c r="BJ306" s="166"/>
      <c r="BK306" s="474"/>
      <c r="BL306" s="474"/>
      <c r="BM306" s="474"/>
      <c r="BN306" s="166"/>
      <c r="BO306" s="166"/>
      <c r="BP306" s="204"/>
      <c r="BQ306" s="475"/>
      <c r="BR306" s="205"/>
      <c r="BS306" s="509"/>
      <c r="BT306" s="509"/>
      <c r="BU306" s="459"/>
      <c r="BV306" s="459"/>
      <c r="BW306" s="1"/>
      <c r="BX306" s="1"/>
      <c r="BY306" s="546"/>
      <c r="BZ306" s="546"/>
      <c r="CA306" s="546"/>
      <c r="CB306" s="546"/>
      <c r="CC306" s="728"/>
      <c r="CD306" s="728"/>
      <c r="CE306" s="170"/>
    </row>
    <row r="307" spans="1:84" customFormat="1">
      <c r="A307" s="701"/>
      <c r="B307" s="447"/>
      <c r="C307" s="161"/>
      <c r="D307" s="162"/>
      <c r="E307" s="1"/>
      <c r="F307" s="811"/>
      <c r="G307" s="440"/>
      <c r="H307" s="1"/>
      <c r="I307" s="55"/>
      <c r="J307" s="170"/>
      <c r="K307" s="1"/>
      <c r="L307" s="170"/>
      <c r="M307" s="1"/>
      <c r="N307" s="458"/>
      <c r="O307" s="170"/>
      <c r="P307" s="441"/>
      <c r="Q307" s="55"/>
      <c r="R307" s="177"/>
      <c r="S307" s="454"/>
      <c r="T307" s="178"/>
      <c r="U307" s="178"/>
      <c r="V307" s="179"/>
      <c r="W307" s="180"/>
      <c r="X307" s="179"/>
      <c r="Y307" s="180"/>
      <c r="Z307" s="178"/>
      <c r="AA307" s="178"/>
      <c r="AB307" s="178"/>
      <c r="AC307" s="178"/>
      <c r="AD307" s="182"/>
      <c r="AE307" s="182"/>
      <c r="AF307" s="182"/>
      <c r="AG307" s="182"/>
      <c r="AH307" s="401"/>
      <c r="AI307" s="401"/>
      <c r="AJ307" s="401"/>
      <c r="AK307" s="401"/>
      <c r="AL307" s="401"/>
      <c r="AM307" s="189"/>
      <c r="AN307" s="829"/>
      <c r="AO307" s="830"/>
      <c r="AP307" s="401"/>
      <c r="AQ307" s="401"/>
      <c r="AR307" s="401"/>
      <c r="AS307" s="401"/>
      <c r="AT307" s="403"/>
      <c r="AU307" s="403"/>
      <c r="AV307" s="170"/>
      <c r="AW307" s="166"/>
      <c r="AX307" s="166"/>
      <c r="AY307" s="189"/>
      <c r="AZ307" s="189"/>
      <c r="BA307" s="196"/>
      <c r="BB307" s="629"/>
      <c r="BC307" s="190"/>
      <c r="BD307" s="510"/>
      <c r="BE307" s="510"/>
      <c r="BF307" s="177"/>
      <c r="BG307" s="177"/>
      <c r="BH307" s="166"/>
      <c r="BI307" s="474"/>
      <c r="BJ307" s="166"/>
      <c r="BK307" s="474"/>
      <c r="BL307" s="474"/>
      <c r="BM307" s="474"/>
      <c r="BN307" s="166"/>
      <c r="BO307" s="166"/>
      <c r="BP307" s="204"/>
      <c r="BQ307" s="475"/>
      <c r="BR307" s="205"/>
      <c r="BS307" s="509"/>
      <c r="BT307" s="509"/>
      <c r="BU307" s="459"/>
      <c r="BV307" s="459"/>
      <c r="BW307" s="1"/>
      <c r="BX307" s="1"/>
      <c r="BY307" s="546"/>
      <c r="BZ307" s="546"/>
      <c r="CA307" s="546"/>
      <c r="CB307" s="546"/>
      <c r="CC307" s="728"/>
      <c r="CD307" s="728"/>
      <c r="CE307" s="170"/>
    </row>
    <row r="308" spans="1:84" customFormat="1">
      <c r="A308" s="701"/>
      <c r="B308" s="447"/>
      <c r="C308" s="161"/>
      <c r="D308" s="162"/>
      <c r="E308" s="1"/>
      <c r="F308" s="811"/>
      <c r="G308" s="440"/>
      <c r="H308" s="1"/>
      <c r="I308" s="55"/>
      <c r="J308" s="170"/>
      <c r="K308" s="1"/>
      <c r="L308" s="170"/>
      <c r="M308" s="1"/>
      <c r="N308" s="458"/>
      <c r="O308" s="170"/>
      <c r="P308" s="441"/>
      <c r="Q308" s="55"/>
      <c r="R308" s="177"/>
      <c r="S308" s="454"/>
      <c r="T308" s="178"/>
      <c r="U308" s="178"/>
      <c r="V308" s="179"/>
      <c r="W308" s="180"/>
      <c r="X308" s="179"/>
      <c r="Y308" s="180"/>
      <c r="Z308" s="178"/>
      <c r="AA308" s="178"/>
      <c r="AB308" s="178"/>
      <c r="AC308" s="178"/>
      <c r="AD308" s="182"/>
      <c r="AE308" s="182"/>
      <c r="AF308" s="182"/>
      <c r="AG308" s="182"/>
      <c r="AH308" s="401"/>
      <c r="AI308" s="401"/>
      <c r="AJ308" s="401"/>
      <c r="AK308" s="401"/>
      <c r="AL308" s="401"/>
      <c r="AM308" s="189"/>
      <c r="AN308" s="829"/>
      <c r="AO308" s="830"/>
      <c r="AP308" s="401"/>
      <c r="AQ308" s="401"/>
      <c r="AR308" s="401"/>
      <c r="AS308" s="401"/>
      <c r="AT308" s="403"/>
      <c r="AU308" s="403"/>
      <c r="AV308" s="170"/>
      <c r="AW308" s="166"/>
      <c r="AX308" s="166"/>
      <c r="AY308" s="189"/>
      <c r="AZ308" s="189"/>
      <c r="BA308" s="196"/>
      <c r="BB308" s="629"/>
      <c r="BC308" s="190"/>
      <c r="BD308" s="510"/>
      <c r="BE308" s="510"/>
      <c r="BF308" s="177"/>
      <c r="BG308" s="177"/>
      <c r="BH308" s="166"/>
      <c r="BI308" s="474"/>
      <c r="BJ308" s="166"/>
      <c r="BK308" s="474"/>
      <c r="BL308" s="474"/>
      <c r="BM308" s="474"/>
      <c r="BN308" s="166"/>
      <c r="BO308" s="166"/>
      <c r="BP308" s="204"/>
      <c r="BQ308" s="475"/>
      <c r="BR308" s="205"/>
      <c r="BS308" s="509"/>
      <c r="BT308" s="509"/>
      <c r="BU308" s="459"/>
      <c r="BV308" s="459"/>
      <c r="BW308" s="1"/>
      <c r="BX308" s="1"/>
      <c r="BY308" s="546"/>
      <c r="BZ308" s="546"/>
      <c r="CA308" s="546"/>
      <c r="CB308" s="546"/>
      <c r="CC308" s="728"/>
      <c r="CD308" s="728"/>
      <c r="CE308" s="170"/>
    </row>
    <row r="309" spans="1:84" customFormat="1">
      <c r="A309" s="701"/>
      <c r="B309" s="447"/>
      <c r="C309" s="161"/>
      <c r="D309" s="162"/>
      <c r="E309" s="1"/>
      <c r="F309" s="811"/>
      <c r="G309" s="440"/>
      <c r="H309" s="1"/>
      <c r="I309" s="55"/>
      <c r="J309" s="170"/>
      <c r="K309" s="1"/>
      <c r="L309" s="170"/>
      <c r="M309" s="1"/>
      <c r="N309" s="458"/>
      <c r="O309" s="170"/>
      <c r="P309" s="441"/>
      <c r="Q309" s="55"/>
      <c r="R309" s="177"/>
      <c r="S309" s="454"/>
      <c r="T309" s="178"/>
      <c r="U309" s="178"/>
      <c r="V309" s="179"/>
      <c r="W309" s="180"/>
      <c r="X309" s="179"/>
      <c r="Y309" s="180"/>
      <c r="Z309" s="178"/>
      <c r="AA309" s="178"/>
      <c r="AB309" s="178"/>
      <c r="AC309" s="178"/>
      <c r="AD309" s="182"/>
      <c r="AE309" s="182"/>
      <c r="AF309" s="182"/>
      <c r="AG309" s="182"/>
      <c r="AH309" s="401"/>
      <c r="AI309" s="401"/>
      <c r="AJ309" s="401"/>
      <c r="AK309" s="401"/>
      <c r="AL309" s="401"/>
      <c r="AM309" s="189"/>
      <c r="AN309" s="829"/>
      <c r="AO309" s="830"/>
      <c r="AP309" s="401"/>
      <c r="AQ309" s="401"/>
      <c r="AR309" s="401"/>
      <c r="AS309" s="401"/>
      <c r="AT309" s="403"/>
      <c r="AU309" s="403"/>
      <c r="AV309" s="170"/>
      <c r="AW309" s="166"/>
      <c r="AX309" s="166"/>
      <c r="AY309" s="189"/>
      <c r="AZ309" s="189"/>
      <c r="BA309" s="196"/>
      <c r="BB309" s="629"/>
      <c r="BC309" s="190"/>
      <c r="BD309" s="510"/>
      <c r="BE309" s="510"/>
      <c r="BF309" s="177"/>
      <c r="BG309" s="177"/>
      <c r="BH309" s="166"/>
      <c r="BI309" s="474"/>
      <c r="BJ309" s="166"/>
      <c r="BK309" s="474"/>
      <c r="BL309" s="474"/>
      <c r="BM309" s="474"/>
      <c r="BN309" s="166"/>
      <c r="BO309" s="166"/>
      <c r="BP309" s="204"/>
      <c r="BQ309" s="475"/>
      <c r="BR309" s="205"/>
      <c r="BS309" s="509"/>
      <c r="BT309" s="509"/>
      <c r="BU309" s="459"/>
      <c r="BV309" s="459"/>
      <c r="BW309" s="1"/>
      <c r="BX309" s="1"/>
      <c r="BY309" s="546"/>
      <c r="BZ309" s="546"/>
      <c r="CA309" s="546"/>
      <c r="CB309" s="546"/>
      <c r="CC309" s="728"/>
      <c r="CD309" s="728"/>
      <c r="CE309" s="170"/>
    </row>
    <row r="310" spans="1:84" customFormat="1">
      <c r="A310" s="701"/>
      <c r="B310" s="447"/>
      <c r="C310" s="161"/>
      <c r="D310" s="162"/>
      <c r="E310" s="1"/>
      <c r="F310" s="811"/>
      <c r="G310" s="440"/>
      <c r="H310" s="1"/>
      <c r="I310" s="55"/>
      <c r="J310" s="170"/>
      <c r="K310" s="1"/>
      <c r="L310" s="170"/>
      <c r="M310" s="1"/>
      <c r="N310" s="166"/>
      <c r="O310" s="170"/>
      <c r="P310" s="441"/>
      <c r="Q310" s="55"/>
      <c r="R310" s="177"/>
      <c r="S310" s="454"/>
      <c r="T310" s="178"/>
      <c r="U310" s="178"/>
      <c r="V310" s="179"/>
      <c r="W310" s="180"/>
      <c r="X310" s="179"/>
      <c r="Y310" s="180"/>
      <c r="Z310" s="178"/>
      <c r="AA310" s="178"/>
      <c r="AB310" s="178"/>
      <c r="AC310" s="178"/>
      <c r="AD310" s="182"/>
      <c r="AE310" s="182"/>
      <c r="AF310" s="182"/>
      <c r="AG310" s="182"/>
      <c r="AH310" s="401"/>
      <c r="AI310" s="401"/>
      <c r="AJ310" s="182"/>
      <c r="AK310" s="401"/>
      <c r="AL310" s="401"/>
      <c r="AM310" s="189"/>
      <c r="AN310" s="829"/>
      <c r="AO310" s="830"/>
      <c r="AP310" s="401"/>
      <c r="AQ310" s="401"/>
      <c r="AR310" s="401"/>
      <c r="AS310" s="401"/>
      <c r="AT310" s="403"/>
      <c r="AU310" s="403"/>
      <c r="AV310" s="170"/>
      <c r="AW310" s="166"/>
      <c r="AX310" s="166"/>
      <c r="AY310" s="189"/>
      <c r="AZ310" s="189"/>
      <c r="BA310" s="196"/>
      <c r="BB310" s="629"/>
      <c r="BC310" s="190"/>
      <c r="BD310" s="510"/>
      <c r="BE310" s="510"/>
      <c r="BF310" s="177"/>
      <c r="BG310" s="177"/>
      <c r="BH310" s="166"/>
      <c r="BI310" s="474"/>
      <c r="BJ310" s="166"/>
      <c r="BK310" s="474"/>
      <c r="BL310" s="474"/>
      <c r="BM310" s="474"/>
      <c r="BN310" s="166"/>
      <c r="BO310" s="166"/>
      <c r="BP310" s="204"/>
      <c r="BQ310" s="475"/>
      <c r="BR310" s="205"/>
      <c r="BS310" s="509"/>
      <c r="BT310" s="509"/>
      <c r="BU310" s="459"/>
      <c r="BV310" s="459"/>
      <c r="BW310" s="1"/>
      <c r="BX310" s="1"/>
      <c r="BY310" s="546"/>
      <c r="BZ310" s="546"/>
      <c r="CA310" s="546"/>
      <c r="CB310" s="546"/>
      <c r="CC310" s="728"/>
      <c r="CD310" s="728"/>
      <c r="CE310" s="170"/>
    </row>
    <row r="311" spans="1:84" customFormat="1">
      <c r="A311" s="701"/>
      <c r="B311" s="447"/>
      <c r="C311" s="161"/>
      <c r="D311" s="162"/>
      <c r="E311" s="1"/>
      <c r="F311" s="811"/>
      <c r="G311" s="440"/>
      <c r="H311" s="1"/>
      <c r="I311" s="55"/>
      <c r="J311" s="170"/>
      <c r="K311" s="1"/>
      <c r="L311" s="170"/>
      <c r="M311" s="1"/>
      <c r="N311" s="458"/>
      <c r="O311" s="170"/>
      <c r="P311" s="441"/>
      <c r="Q311" s="55"/>
      <c r="R311" s="177"/>
      <c r="S311" s="454"/>
      <c r="T311" s="178"/>
      <c r="U311" s="178"/>
      <c r="V311" s="179"/>
      <c r="W311" s="180"/>
      <c r="X311" s="179"/>
      <c r="Y311" s="180"/>
      <c r="Z311" s="178"/>
      <c r="AA311" s="178"/>
      <c r="AB311" s="178"/>
      <c r="AC311" s="178"/>
      <c r="AD311" s="182"/>
      <c r="AE311" s="182"/>
      <c r="AF311" s="182"/>
      <c r="AG311" s="182"/>
      <c r="AH311" s="401"/>
      <c r="AI311" s="401"/>
      <c r="AJ311" s="401"/>
      <c r="AK311" s="401"/>
      <c r="AL311" s="401"/>
      <c r="AM311" s="189"/>
      <c r="AN311" s="829"/>
      <c r="AO311" s="830"/>
      <c r="AP311" s="401"/>
      <c r="AQ311" s="401"/>
      <c r="AR311" s="401"/>
      <c r="AS311" s="401"/>
      <c r="AT311" s="403"/>
      <c r="AU311" s="403"/>
      <c r="AV311" s="170"/>
      <c r="AW311" s="166"/>
      <c r="AX311" s="166"/>
      <c r="AY311" s="189"/>
      <c r="AZ311" s="189"/>
      <c r="BA311" s="196"/>
      <c r="BB311" s="629"/>
      <c r="BC311" s="190"/>
      <c r="BD311" s="510"/>
      <c r="BE311" s="510"/>
      <c r="BF311" s="177"/>
      <c r="BG311" s="177"/>
      <c r="BH311" s="166"/>
      <c r="BI311" s="474"/>
      <c r="BJ311" s="166"/>
      <c r="BK311" s="474"/>
      <c r="BL311" s="474"/>
      <c r="BM311" s="474"/>
      <c r="BN311" s="166"/>
      <c r="BO311" s="166"/>
      <c r="BP311" s="204"/>
      <c r="BQ311" s="475"/>
      <c r="BR311" s="205"/>
      <c r="BS311" s="509"/>
      <c r="BT311" s="509"/>
      <c r="BU311" s="459"/>
      <c r="BV311" s="459"/>
      <c r="BW311" s="1"/>
      <c r="BX311" s="1"/>
      <c r="BY311" s="546"/>
      <c r="BZ311" s="546"/>
      <c r="CA311" s="546"/>
      <c r="CB311" s="546"/>
      <c r="CC311" s="728"/>
      <c r="CD311" s="728"/>
      <c r="CE311" s="170"/>
    </row>
    <row r="312" spans="1:84">
      <c r="A312" s="701"/>
      <c r="B312" s="447"/>
      <c r="C312" s="161"/>
      <c r="D312" s="162"/>
      <c r="E312" s="1"/>
      <c r="F312" s="811"/>
      <c r="G312" s="440"/>
      <c r="H312" s="1"/>
      <c r="I312" s="55"/>
      <c r="J312" s="170"/>
      <c r="K312" s="1"/>
      <c r="L312" s="170"/>
      <c r="M312" s="1"/>
      <c r="N312" s="458"/>
      <c r="O312" s="170"/>
      <c r="P312" s="441"/>
      <c r="Q312" s="55"/>
      <c r="R312" s="177"/>
      <c r="S312" s="454"/>
      <c r="T312" s="178"/>
      <c r="U312" s="178"/>
      <c r="V312" s="179"/>
      <c r="W312" s="180"/>
      <c r="X312" s="179"/>
      <c r="Y312" s="180"/>
      <c r="Z312" s="178"/>
      <c r="AA312" s="178"/>
      <c r="AB312" s="178"/>
      <c r="AC312" s="178"/>
      <c r="AD312" s="182"/>
      <c r="AE312" s="182"/>
      <c r="AF312" s="182"/>
      <c r="AG312" s="182"/>
      <c r="AH312" s="401"/>
      <c r="AI312" s="401"/>
      <c r="AJ312" s="401"/>
      <c r="AK312" s="401"/>
      <c r="AL312" s="401"/>
      <c r="AM312" s="189"/>
      <c r="AN312" s="829"/>
      <c r="AO312" s="830"/>
      <c r="AP312" s="401"/>
      <c r="AQ312" s="401"/>
      <c r="AR312" s="401"/>
      <c r="AS312" s="401"/>
      <c r="AT312" s="403"/>
      <c r="AU312" s="403"/>
      <c r="AV312" s="170"/>
      <c r="AW312" s="166"/>
      <c r="AX312" s="166"/>
      <c r="AY312" s="189"/>
      <c r="AZ312" s="189"/>
      <c r="BA312" s="196"/>
      <c r="BB312" s="629"/>
      <c r="BC312" s="190"/>
      <c r="BD312" s="510"/>
      <c r="BE312" s="510"/>
      <c r="BF312" s="177"/>
      <c r="BG312" s="177"/>
      <c r="BH312" s="166"/>
      <c r="BI312" s="474"/>
      <c r="BJ312" s="166"/>
      <c r="BK312" s="474"/>
      <c r="BL312" s="474"/>
      <c r="BM312" s="474"/>
      <c r="BN312" s="166"/>
      <c r="BO312" s="166"/>
      <c r="BP312" s="204"/>
      <c r="BQ312" s="475"/>
      <c r="BR312" s="205"/>
      <c r="BS312" s="509"/>
      <c r="BT312" s="509"/>
      <c r="BU312" s="459"/>
      <c r="BV312" s="459"/>
      <c r="BW312" s="1"/>
      <c r="BX312" s="1"/>
      <c r="BY312" s="1"/>
      <c r="BZ312" s="1"/>
      <c r="CE312" s="170"/>
      <c r="CF312"/>
    </row>
    <row r="313" spans="1:84">
      <c r="A313" s="701"/>
      <c r="B313" s="447"/>
      <c r="C313" s="161"/>
      <c r="D313" s="162"/>
      <c r="E313" s="1"/>
      <c r="F313" s="811"/>
      <c r="G313" s="440"/>
      <c r="H313" s="1"/>
      <c r="I313" s="55"/>
      <c r="J313" s="170"/>
      <c r="K313" s="1"/>
      <c r="L313" s="170"/>
      <c r="M313" s="1"/>
      <c r="N313" s="458"/>
      <c r="O313" s="170"/>
      <c r="P313" s="441"/>
      <c r="Q313" s="55"/>
      <c r="R313" s="177"/>
      <c r="S313" s="454"/>
      <c r="T313" s="178"/>
      <c r="U313" s="178"/>
      <c r="V313" s="179"/>
      <c r="W313" s="180"/>
      <c r="X313" s="179"/>
      <c r="Y313" s="180"/>
      <c r="Z313" s="178"/>
      <c r="AA313" s="178"/>
      <c r="AB313" s="178"/>
      <c r="AC313" s="178"/>
      <c r="AD313" s="182"/>
      <c r="AE313" s="182"/>
      <c r="AF313" s="182"/>
      <c r="AG313" s="182"/>
      <c r="AH313" s="401"/>
      <c r="AI313" s="401"/>
      <c r="AJ313" s="401"/>
      <c r="AK313" s="401"/>
      <c r="AL313" s="401"/>
      <c r="AM313" s="189"/>
      <c r="AN313" s="829"/>
      <c r="AO313" s="830"/>
      <c r="AP313" s="401"/>
      <c r="AQ313" s="401"/>
      <c r="AR313" s="401"/>
      <c r="AS313" s="401"/>
      <c r="AT313" s="403"/>
      <c r="AU313" s="403"/>
      <c r="AV313" s="170"/>
      <c r="AW313" s="166"/>
      <c r="AX313" s="166"/>
      <c r="AY313" s="189"/>
      <c r="AZ313" s="189"/>
      <c r="BA313" s="196"/>
      <c r="BB313" s="629"/>
      <c r="BC313" s="190"/>
      <c r="BD313" s="510"/>
      <c r="BE313" s="510"/>
      <c r="BF313" s="177"/>
      <c r="BG313" s="177"/>
      <c r="BH313" s="166"/>
      <c r="BI313" s="474"/>
      <c r="BJ313" s="166"/>
      <c r="BK313" s="474"/>
      <c r="BL313" s="474"/>
      <c r="BM313" s="474"/>
      <c r="BN313" s="166"/>
      <c r="BO313" s="166"/>
      <c r="BP313" s="204"/>
      <c r="BQ313" s="475"/>
      <c r="BR313" s="205"/>
      <c r="BS313" s="509"/>
      <c r="BT313" s="509"/>
      <c r="BU313" s="459"/>
      <c r="BV313" s="459"/>
      <c r="BW313" s="1"/>
      <c r="BX313" s="1"/>
      <c r="BY313" s="1"/>
      <c r="BZ313" s="1"/>
      <c r="CE313" s="170"/>
      <c r="CF313"/>
    </row>
    <row r="314" spans="1:84" customFormat="1">
      <c r="A314" s="701"/>
      <c r="B314" s="447"/>
      <c r="C314" s="1"/>
      <c r="D314" s="538"/>
      <c r="E314" s="1"/>
      <c r="F314" s="811"/>
      <c r="G314" s="440"/>
      <c r="H314" s="1"/>
      <c r="I314" s="55"/>
      <c r="J314" s="171"/>
      <c r="K314" s="55"/>
      <c r="L314" s="171"/>
      <c r="M314" s="55"/>
      <c r="N314" s="172"/>
      <c r="O314" s="170"/>
      <c r="P314" s="139"/>
      <c r="Q314" s="172"/>
      <c r="R314" s="181"/>
      <c r="S314" s="455"/>
      <c r="T314" s="170"/>
      <c r="U314" s="170"/>
      <c r="V314" s="1"/>
      <c r="W314" s="173"/>
      <c r="X314" s="1"/>
      <c r="Y314" s="166"/>
      <c r="Z314" s="170"/>
      <c r="AA314" s="170"/>
      <c r="AB314" s="170"/>
      <c r="AC314" s="170"/>
      <c r="AD314" s="182"/>
      <c r="AE314" s="182"/>
      <c r="AF314" s="182"/>
      <c r="AG314" s="182"/>
      <c r="AH314" s="189"/>
      <c r="AI314" s="401"/>
      <c r="AJ314" s="189"/>
      <c r="AK314" s="401"/>
      <c r="AL314" s="401"/>
      <c r="AM314" s="189"/>
      <c r="AN314" s="782"/>
      <c r="AO314" s="189"/>
      <c r="AP314" s="401"/>
      <c r="AQ314" s="401"/>
      <c r="AR314" s="401"/>
      <c r="AS314" s="188"/>
      <c r="AT314" s="1"/>
      <c r="AU314" s="403"/>
      <c r="AV314" s="1"/>
      <c r="AW314" s="166"/>
      <c r="AX314" s="166"/>
      <c r="AY314" s="189"/>
      <c r="AZ314" s="189"/>
      <c r="BA314" s="196"/>
      <c r="BB314" s="629"/>
      <c r="BC314" s="197"/>
      <c r="BD314" s="510"/>
      <c r="BE314" s="510"/>
      <c r="BF314" s="177"/>
      <c r="BG314" s="177"/>
      <c r="BH314" s="166"/>
      <c r="BI314" s="474"/>
      <c r="BJ314" s="166"/>
      <c r="BK314" s="474"/>
      <c r="BL314" s="474"/>
      <c r="BM314" s="474"/>
      <c r="BN314" s="166"/>
      <c r="BO314" s="166"/>
      <c r="BP314" s="204"/>
      <c r="BQ314" s="475"/>
      <c r="BR314" s="205"/>
      <c r="BS314" s="509"/>
      <c r="BT314" s="509"/>
      <c r="BU314" s="459"/>
      <c r="BV314" s="459"/>
      <c r="BW314" s="1"/>
      <c r="BX314" s="1"/>
      <c r="BY314" s="546"/>
      <c r="BZ314" s="546"/>
      <c r="CA314" s="546"/>
      <c r="CB314" s="546"/>
      <c r="CC314" s="728"/>
      <c r="CD314" s="728"/>
      <c r="CE314" s="170"/>
    </row>
    <row r="315" spans="1:84" customFormat="1">
      <c r="A315" s="701"/>
      <c r="B315" s="447"/>
      <c r="C315" s="161"/>
      <c r="D315" s="162"/>
      <c r="E315" s="1"/>
      <c r="F315" s="811"/>
      <c r="G315" s="440"/>
      <c r="H315" s="1"/>
      <c r="I315" s="55"/>
      <c r="J315" s="170"/>
      <c r="K315" s="1"/>
      <c r="L315" s="170"/>
      <c r="M315" s="1"/>
      <c r="N315" s="458"/>
      <c r="O315" s="170"/>
      <c r="P315" s="441"/>
      <c r="Q315" s="55"/>
      <c r="R315" s="177"/>
      <c r="S315" s="454"/>
      <c r="T315" s="178"/>
      <c r="U315" s="178"/>
      <c r="V315" s="179"/>
      <c r="W315" s="180"/>
      <c r="X315" s="179"/>
      <c r="Y315" s="180"/>
      <c r="Z315" s="178"/>
      <c r="AA315" s="178"/>
      <c r="AB315" s="178"/>
      <c r="AC315" s="178"/>
      <c r="AD315" s="182"/>
      <c r="AE315" s="182"/>
      <c r="AF315" s="182"/>
      <c r="AG315" s="182"/>
      <c r="AH315" s="401"/>
      <c r="AI315" s="401"/>
      <c r="AJ315" s="401"/>
      <c r="AK315" s="401"/>
      <c r="AL315" s="401"/>
      <c r="AM315" s="189"/>
      <c r="AN315" s="829"/>
      <c r="AO315" s="830"/>
      <c r="AP315" s="401"/>
      <c r="AQ315" s="401"/>
      <c r="AR315" s="401"/>
      <c r="AS315" s="401"/>
      <c r="AT315" s="403"/>
      <c r="AU315" s="403"/>
      <c r="AV315" s="170"/>
      <c r="AW315" s="166"/>
      <c r="AX315" s="166"/>
      <c r="AY315" s="189"/>
      <c r="AZ315" s="189"/>
      <c r="BA315" s="196"/>
      <c r="BB315" s="629"/>
      <c r="BC315" s="190"/>
      <c r="BD315" s="510"/>
      <c r="BE315" s="510"/>
      <c r="BF315" s="177"/>
      <c r="BG315" s="177"/>
      <c r="BH315" s="166"/>
      <c r="BI315" s="474"/>
      <c r="BJ315" s="166"/>
      <c r="BK315" s="474"/>
      <c r="BL315" s="474"/>
      <c r="BM315" s="474"/>
      <c r="BN315" s="166"/>
      <c r="BO315" s="166"/>
      <c r="BP315" s="204"/>
      <c r="BQ315" s="475"/>
      <c r="BR315" s="205"/>
      <c r="BS315" s="509"/>
      <c r="BT315" s="509"/>
      <c r="BU315" s="459"/>
      <c r="BV315" s="459"/>
      <c r="BW315" s="1"/>
      <c r="BX315" s="1"/>
      <c r="BY315" s="546"/>
      <c r="BZ315" s="546"/>
      <c r="CA315" s="546"/>
      <c r="CB315" s="546"/>
      <c r="CC315" s="728"/>
      <c r="CD315" s="728"/>
      <c r="CE315" s="170"/>
    </row>
    <row r="316" spans="1:84" customFormat="1">
      <c r="A316" s="701"/>
      <c r="B316" s="447"/>
      <c r="C316" s="161"/>
      <c r="D316" s="162"/>
      <c r="E316" s="1"/>
      <c r="F316" s="811"/>
      <c r="G316" s="440"/>
      <c r="H316" s="1"/>
      <c r="I316" s="55"/>
      <c r="J316" s="170"/>
      <c r="K316" s="1"/>
      <c r="L316" s="170"/>
      <c r="M316" s="1"/>
      <c r="N316" s="458"/>
      <c r="O316" s="170"/>
      <c r="P316" s="441"/>
      <c r="Q316" s="55"/>
      <c r="R316" s="177"/>
      <c r="S316" s="454"/>
      <c r="T316" s="178"/>
      <c r="U316" s="178"/>
      <c r="V316" s="179"/>
      <c r="W316" s="180"/>
      <c r="X316" s="179"/>
      <c r="Y316" s="180"/>
      <c r="Z316" s="178"/>
      <c r="AA316" s="178"/>
      <c r="AB316" s="178"/>
      <c r="AC316" s="178"/>
      <c r="AD316" s="182"/>
      <c r="AE316" s="182"/>
      <c r="AF316" s="182"/>
      <c r="AG316" s="182"/>
      <c r="AH316" s="401"/>
      <c r="AI316" s="401"/>
      <c r="AJ316" s="401"/>
      <c r="AK316" s="401"/>
      <c r="AL316" s="401"/>
      <c r="AM316" s="189"/>
      <c r="AN316" s="829"/>
      <c r="AO316" s="830"/>
      <c r="AP316" s="401"/>
      <c r="AQ316" s="401"/>
      <c r="AR316" s="401"/>
      <c r="AS316" s="401"/>
      <c r="AT316" s="403"/>
      <c r="AU316" s="403"/>
      <c r="AV316" s="170"/>
      <c r="AW316" s="166"/>
      <c r="AX316" s="166"/>
      <c r="AY316" s="189"/>
      <c r="AZ316" s="189"/>
      <c r="BA316" s="196"/>
      <c r="BB316" s="629"/>
      <c r="BC316" s="190"/>
      <c r="BD316" s="510"/>
      <c r="BE316" s="510"/>
      <c r="BF316" s="177"/>
      <c r="BG316" s="177"/>
      <c r="BH316" s="166"/>
      <c r="BI316" s="474"/>
      <c r="BJ316" s="166"/>
      <c r="BK316" s="474"/>
      <c r="BL316" s="474"/>
      <c r="BM316" s="474"/>
      <c r="BN316" s="166"/>
      <c r="BO316" s="166"/>
      <c r="BP316" s="204"/>
      <c r="BQ316" s="475"/>
      <c r="BR316" s="205"/>
      <c r="BS316" s="509"/>
      <c r="BT316" s="509"/>
      <c r="BU316" s="459"/>
      <c r="BV316" s="459"/>
      <c r="BW316" s="1"/>
      <c r="BX316" s="1"/>
      <c r="BY316" s="546"/>
      <c r="BZ316" s="546"/>
      <c r="CA316" s="546"/>
      <c r="CB316" s="546"/>
      <c r="CC316" s="728"/>
      <c r="CD316" s="728"/>
      <c r="CE316" s="170"/>
    </row>
    <row r="317" spans="1:84" customFormat="1">
      <c r="A317" s="701"/>
      <c r="B317" s="447"/>
      <c r="C317" s="161"/>
      <c r="D317" s="162"/>
      <c r="E317" s="1"/>
      <c r="F317" s="811"/>
      <c r="G317" s="440"/>
      <c r="H317" s="1"/>
      <c r="I317" s="55"/>
      <c r="J317" s="457"/>
      <c r="K317" s="1"/>
      <c r="L317" s="170"/>
      <c r="M317" s="1"/>
      <c r="N317" s="458"/>
      <c r="O317" s="170"/>
      <c r="P317" s="441"/>
      <c r="Q317" s="55"/>
      <c r="R317" s="177"/>
      <c r="S317" s="454"/>
      <c r="T317" s="178"/>
      <c r="U317" s="178"/>
      <c r="V317" s="179"/>
      <c r="W317" s="180"/>
      <c r="X317" s="179"/>
      <c r="Y317" s="180"/>
      <c r="Z317" s="178"/>
      <c r="AA317" s="178"/>
      <c r="AB317" s="178"/>
      <c r="AC317" s="178"/>
      <c r="AD317" s="182"/>
      <c r="AE317" s="182"/>
      <c r="AF317" s="182"/>
      <c r="AG317" s="182"/>
      <c r="AH317" s="401"/>
      <c r="AI317" s="401"/>
      <c r="AJ317" s="401"/>
      <c r="AK317" s="401"/>
      <c r="AL317" s="401"/>
      <c r="AM317" s="189"/>
      <c r="AN317" s="829"/>
      <c r="AO317" s="830"/>
      <c r="AP317" s="401"/>
      <c r="AQ317" s="401"/>
      <c r="AR317" s="401"/>
      <c r="AS317" s="401"/>
      <c r="AT317" s="403"/>
      <c r="AU317" s="403"/>
      <c r="AV317" s="170"/>
      <c r="AW317" s="166"/>
      <c r="AX317" s="166"/>
      <c r="AY317" s="189"/>
      <c r="AZ317" s="189"/>
      <c r="BA317" s="196"/>
      <c r="BB317" s="629"/>
      <c r="BC317" s="190"/>
      <c r="BD317" s="510"/>
      <c r="BE317" s="510"/>
      <c r="BF317" s="177"/>
      <c r="BG317" s="177"/>
      <c r="BH317" s="166"/>
      <c r="BI317" s="474"/>
      <c r="BJ317" s="166"/>
      <c r="BK317" s="474"/>
      <c r="BL317" s="474"/>
      <c r="BM317" s="474"/>
      <c r="BN317" s="166"/>
      <c r="BO317" s="166"/>
      <c r="BP317" s="204"/>
      <c r="BQ317" s="475"/>
      <c r="BR317" s="205"/>
      <c r="BS317" s="509"/>
      <c r="BT317" s="509"/>
      <c r="BU317" s="459"/>
      <c r="BV317" s="459"/>
      <c r="BW317" s="1"/>
      <c r="BX317" s="1"/>
      <c r="BY317" s="546"/>
      <c r="BZ317" s="546"/>
      <c r="CA317" s="546"/>
      <c r="CB317" s="546"/>
      <c r="CC317" s="728"/>
      <c r="CD317" s="728"/>
      <c r="CE317" s="170"/>
    </row>
    <row r="318" spans="1:84" customFormat="1">
      <c r="A318" s="701"/>
      <c r="B318" s="447"/>
      <c r="C318" s="161"/>
      <c r="D318" s="162"/>
      <c r="E318" s="1"/>
      <c r="F318" s="811"/>
      <c r="G318" s="440"/>
      <c r="H318" s="1"/>
      <c r="I318" s="55"/>
      <c r="J318" s="170"/>
      <c r="K318" s="1"/>
      <c r="L318" s="170"/>
      <c r="M318" s="1"/>
      <c r="N318" s="458"/>
      <c r="O318" s="170"/>
      <c r="P318" s="441"/>
      <c r="Q318" s="55"/>
      <c r="R318" s="177"/>
      <c r="S318" s="454"/>
      <c r="T318" s="178"/>
      <c r="U318" s="178"/>
      <c r="V318" s="179"/>
      <c r="W318" s="180"/>
      <c r="X318" s="179"/>
      <c r="Y318" s="180"/>
      <c r="Z318" s="178"/>
      <c r="AA318" s="178"/>
      <c r="AB318" s="178"/>
      <c r="AC318" s="178"/>
      <c r="AD318" s="182"/>
      <c r="AE318" s="182"/>
      <c r="AF318" s="182"/>
      <c r="AG318" s="182"/>
      <c r="AH318" s="401"/>
      <c r="AI318" s="401"/>
      <c r="AJ318" s="401"/>
      <c r="AK318" s="401"/>
      <c r="AL318" s="401"/>
      <c r="AM318" s="189"/>
      <c r="AN318" s="829"/>
      <c r="AO318" s="830"/>
      <c r="AP318" s="401"/>
      <c r="AQ318" s="401"/>
      <c r="AR318" s="401"/>
      <c r="AS318" s="401"/>
      <c r="AT318" s="403"/>
      <c r="AU318" s="403"/>
      <c r="AV318" s="170"/>
      <c r="AW318" s="166"/>
      <c r="AX318" s="166"/>
      <c r="AY318" s="189"/>
      <c r="AZ318" s="189"/>
      <c r="BA318" s="196"/>
      <c r="BB318" s="629"/>
      <c r="BC318" s="190"/>
      <c r="BD318" s="510"/>
      <c r="BE318" s="510"/>
      <c r="BF318" s="177"/>
      <c r="BG318" s="177"/>
      <c r="BH318" s="166"/>
      <c r="BI318" s="474"/>
      <c r="BJ318" s="166"/>
      <c r="BK318" s="474"/>
      <c r="BL318" s="474"/>
      <c r="BM318" s="474"/>
      <c r="BN318" s="166"/>
      <c r="BO318" s="166"/>
      <c r="BP318" s="204"/>
      <c r="BQ318" s="475"/>
      <c r="BR318" s="205"/>
      <c r="BS318" s="509"/>
      <c r="BT318" s="509"/>
      <c r="BU318" s="459"/>
      <c r="BV318" s="459"/>
      <c r="BW318" s="1"/>
      <c r="BX318" s="1"/>
      <c r="BY318" s="546"/>
      <c r="BZ318" s="546"/>
      <c r="CA318" s="546"/>
      <c r="CB318" s="546"/>
      <c r="CC318" s="728"/>
      <c r="CD318" s="728"/>
      <c r="CE318" s="170"/>
    </row>
    <row r="319" spans="1:84" customFormat="1">
      <c r="A319" s="701"/>
      <c r="B319" s="447"/>
      <c r="C319" s="161"/>
      <c r="D319" s="162"/>
      <c r="E319" s="1"/>
      <c r="F319" s="811"/>
      <c r="G319" s="440"/>
      <c r="H319" s="1"/>
      <c r="I319" s="55"/>
      <c r="J319" s="170"/>
      <c r="K319" s="1"/>
      <c r="L319" s="170"/>
      <c r="M319" s="1"/>
      <c r="N319" s="458"/>
      <c r="O319" s="170"/>
      <c r="P319" s="441"/>
      <c r="Q319" s="55"/>
      <c r="R319" s="177"/>
      <c r="S319" s="454"/>
      <c r="T319" s="178"/>
      <c r="U319" s="178"/>
      <c r="V319" s="179"/>
      <c r="W319" s="180"/>
      <c r="X319" s="179"/>
      <c r="Y319" s="180"/>
      <c r="Z319" s="178"/>
      <c r="AA319" s="178"/>
      <c r="AB319" s="178"/>
      <c r="AC319" s="178"/>
      <c r="AD319" s="182"/>
      <c r="AE319" s="182"/>
      <c r="AF319" s="182"/>
      <c r="AG319" s="182"/>
      <c r="AH319" s="401"/>
      <c r="AI319" s="401"/>
      <c r="AJ319" s="401"/>
      <c r="AK319" s="401"/>
      <c r="AL319" s="401"/>
      <c r="AM319" s="189"/>
      <c r="AN319" s="829"/>
      <c r="AO319" s="830"/>
      <c r="AP319" s="401"/>
      <c r="AQ319" s="401"/>
      <c r="AR319" s="401"/>
      <c r="AS319" s="401"/>
      <c r="AT319" s="403"/>
      <c r="AU319" s="403"/>
      <c r="AV319" s="170"/>
      <c r="AW319" s="166"/>
      <c r="AX319" s="166"/>
      <c r="AY319" s="189"/>
      <c r="AZ319" s="189"/>
      <c r="BA319" s="196"/>
      <c r="BB319" s="629"/>
      <c r="BC319" s="190"/>
      <c r="BD319" s="510"/>
      <c r="BE319" s="510"/>
      <c r="BF319" s="177"/>
      <c r="BG319" s="177"/>
      <c r="BH319" s="166"/>
      <c r="BI319" s="474"/>
      <c r="BJ319" s="166"/>
      <c r="BK319" s="474"/>
      <c r="BL319" s="474"/>
      <c r="BM319" s="474"/>
      <c r="BN319" s="166"/>
      <c r="BO319" s="166"/>
      <c r="BP319" s="204"/>
      <c r="BQ319" s="475"/>
      <c r="BR319" s="205"/>
      <c r="BS319" s="509"/>
      <c r="BT319" s="509"/>
      <c r="BU319" s="459"/>
      <c r="BV319" s="459"/>
      <c r="BW319" s="1"/>
      <c r="BX319" s="1"/>
      <c r="BY319" s="546"/>
      <c r="BZ319" s="546"/>
      <c r="CA319" s="546"/>
      <c r="CB319" s="546"/>
      <c r="CC319" s="728"/>
      <c r="CD319" s="728"/>
      <c r="CE319" s="170"/>
    </row>
    <row r="320" spans="1:84">
      <c r="A320" s="701"/>
      <c r="B320" s="447"/>
      <c r="C320" s="161"/>
      <c r="D320" s="162"/>
      <c r="E320" s="1"/>
      <c r="F320" s="811"/>
      <c r="G320" s="440"/>
      <c r="H320" s="1"/>
      <c r="I320" s="55"/>
      <c r="J320" s="170"/>
      <c r="K320" s="1"/>
      <c r="L320" s="170"/>
      <c r="M320" s="1"/>
      <c r="N320" s="458"/>
      <c r="O320" s="170"/>
      <c r="P320" s="441"/>
      <c r="Q320" s="55"/>
      <c r="R320" s="177"/>
      <c r="S320" s="454"/>
      <c r="T320" s="178"/>
      <c r="U320" s="178"/>
      <c r="V320" s="179"/>
      <c r="W320" s="180"/>
      <c r="X320" s="179"/>
      <c r="Y320" s="180"/>
      <c r="Z320" s="178"/>
      <c r="AA320" s="178"/>
      <c r="AB320" s="178"/>
      <c r="AC320" s="178"/>
      <c r="AD320" s="182"/>
      <c r="AE320" s="182"/>
      <c r="AF320" s="182"/>
      <c r="AG320" s="182"/>
      <c r="AH320" s="401"/>
      <c r="AI320" s="401"/>
      <c r="AJ320" s="401"/>
      <c r="AK320" s="401"/>
      <c r="AL320" s="401"/>
      <c r="AM320" s="189"/>
      <c r="AN320" s="829"/>
      <c r="AO320" s="830"/>
      <c r="AP320" s="401"/>
      <c r="AQ320" s="401"/>
      <c r="AR320" s="401"/>
      <c r="AS320" s="401"/>
      <c r="AT320" s="403"/>
      <c r="AU320" s="403"/>
      <c r="AV320" s="170"/>
      <c r="AW320" s="166"/>
      <c r="AX320" s="166"/>
      <c r="AY320" s="189"/>
      <c r="AZ320" s="189"/>
      <c r="BA320" s="196"/>
      <c r="BB320" s="629"/>
      <c r="BC320" s="190"/>
      <c r="BD320" s="510"/>
      <c r="BE320" s="510"/>
      <c r="BF320" s="177"/>
      <c r="BG320" s="177"/>
      <c r="BH320" s="166"/>
      <c r="BI320" s="474"/>
      <c r="BJ320" s="166"/>
      <c r="BK320" s="474"/>
      <c r="BL320" s="474"/>
      <c r="BM320" s="474"/>
      <c r="BN320" s="166"/>
      <c r="BO320" s="166"/>
      <c r="BP320" s="204"/>
      <c r="BQ320" s="475"/>
      <c r="BR320" s="205"/>
      <c r="BS320" s="509"/>
      <c r="BT320" s="509"/>
      <c r="BU320" s="459"/>
      <c r="BV320" s="459"/>
      <c r="BW320" s="1"/>
      <c r="BX320" s="1"/>
      <c r="BY320" s="1"/>
      <c r="BZ320" s="1"/>
      <c r="CE320" s="170"/>
      <c r="CF320"/>
    </row>
    <row r="321" spans="1:84" customFormat="1">
      <c r="A321" s="701"/>
      <c r="B321" s="447"/>
      <c r="C321" s="161"/>
      <c r="D321" s="162"/>
      <c r="E321" s="1"/>
      <c r="F321" s="811"/>
      <c r="G321" s="440"/>
      <c r="H321" s="1"/>
      <c r="I321" s="55"/>
      <c r="J321" s="170"/>
      <c r="K321" s="1"/>
      <c r="L321" s="170"/>
      <c r="M321" s="1"/>
      <c r="N321" s="458"/>
      <c r="O321" s="170"/>
      <c r="P321" s="441"/>
      <c r="Q321" s="55"/>
      <c r="R321" s="177"/>
      <c r="S321" s="454"/>
      <c r="T321" s="178"/>
      <c r="U321" s="178"/>
      <c r="V321" s="179"/>
      <c r="W321" s="180"/>
      <c r="X321" s="179"/>
      <c r="Y321" s="180"/>
      <c r="Z321" s="178"/>
      <c r="AA321" s="178"/>
      <c r="AB321" s="178"/>
      <c r="AC321" s="178"/>
      <c r="AD321" s="182"/>
      <c r="AE321" s="182"/>
      <c r="AF321" s="182"/>
      <c r="AG321" s="182"/>
      <c r="AH321" s="401"/>
      <c r="AI321" s="401"/>
      <c r="AJ321" s="401"/>
      <c r="AK321" s="401"/>
      <c r="AL321" s="401"/>
      <c r="AM321" s="189"/>
      <c r="AN321" s="829"/>
      <c r="AO321" s="830"/>
      <c r="AP321" s="401"/>
      <c r="AQ321" s="401"/>
      <c r="AR321" s="401"/>
      <c r="AS321" s="401"/>
      <c r="AT321" s="403"/>
      <c r="AU321" s="403"/>
      <c r="AV321" s="170"/>
      <c r="AW321" s="166"/>
      <c r="AX321" s="166"/>
      <c r="AY321" s="189"/>
      <c r="AZ321" s="189"/>
      <c r="BA321" s="196"/>
      <c r="BB321" s="629"/>
      <c r="BC321" s="190"/>
      <c r="BD321" s="510"/>
      <c r="BE321" s="510"/>
      <c r="BF321" s="177"/>
      <c r="BG321" s="177"/>
      <c r="BH321" s="166"/>
      <c r="BI321" s="474"/>
      <c r="BJ321" s="166"/>
      <c r="BK321" s="474"/>
      <c r="BL321" s="474"/>
      <c r="BM321" s="474"/>
      <c r="BN321" s="166"/>
      <c r="BO321" s="166"/>
      <c r="BP321" s="204"/>
      <c r="BQ321" s="475"/>
      <c r="BR321" s="205"/>
      <c r="BS321" s="509"/>
      <c r="BT321" s="509"/>
      <c r="BU321" s="459"/>
      <c r="BV321" s="459"/>
      <c r="BW321" s="1"/>
      <c r="BX321" s="1"/>
      <c r="BY321" s="546"/>
      <c r="BZ321" s="546"/>
      <c r="CA321" s="546"/>
      <c r="CB321" s="546"/>
      <c r="CC321" s="728"/>
      <c r="CD321" s="728"/>
      <c r="CE321" s="170"/>
    </row>
    <row r="322" spans="1:84" customFormat="1">
      <c r="A322" s="701"/>
      <c r="B322" s="447"/>
      <c r="C322" s="161"/>
      <c r="D322" s="162"/>
      <c r="E322" s="1"/>
      <c r="F322" s="811"/>
      <c r="G322" s="440"/>
      <c r="H322" s="1"/>
      <c r="I322" s="55"/>
      <c r="J322" s="170"/>
      <c r="K322" s="1"/>
      <c r="L322" s="170"/>
      <c r="M322" s="1"/>
      <c r="N322" s="458"/>
      <c r="O322" s="170"/>
      <c r="P322" s="441"/>
      <c r="Q322" s="55"/>
      <c r="R322" s="177"/>
      <c r="S322" s="454"/>
      <c r="T322" s="178"/>
      <c r="U322" s="178"/>
      <c r="V322" s="179"/>
      <c r="W322" s="180"/>
      <c r="X322" s="179"/>
      <c r="Y322" s="180"/>
      <c r="Z322" s="178"/>
      <c r="AA322" s="178"/>
      <c r="AB322" s="178"/>
      <c r="AC322" s="178"/>
      <c r="AD322" s="182"/>
      <c r="AE322" s="182"/>
      <c r="AF322" s="182"/>
      <c r="AG322" s="182"/>
      <c r="AH322" s="401"/>
      <c r="AI322" s="401"/>
      <c r="AJ322" s="401"/>
      <c r="AK322" s="401"/>
      <c r="AL322" s="401"/>
      <c r="AM322" s="189"/>
      <c r="AN322" s="829"/>
      <c r="AO322" s="830"/>
      <c r="AP322" s="401"/>
      <c r="AQ322" s="401"/>
      <c r="AR322" s="401"/>
      <c r="AS322" s="401"/>
      <c r="AT322" s="403"/>
      <c r="AU322" s="403"/>
      <c r="AV322" s="170"/>
      <c r="AW322" s="166"/>
      <c r="AX322" s="166"/>
      <c r="AY322" s="189"/>
      <c r="AZ322" s="189"/>
      <c r="BA322" s="196"/>
      <c r="BB322" s="629"/>
      <c r="BC322" s="190"/>
      <c r="BD322" s="510"/>
      <c r="BE322" s="510"/>
      <c r="BF322" s="177"/>
      <c r="BG322" s="177"/>
      <c r="BH322" s="166"/>
      <c r="BI322" s="474"/>
      <c r="BJ322" s="166"/>
      <c r="BK322" s="474"/>
      <c r="BL322" s="474"/>
      <c r="BM322" s="474"/>
      <c r="BN322" s="166"/>
      <c r="BO322" s="166"/>
      <c r="BP322" s="204"/>
      <c r="BQ322" s="475"/>
      <c r="BR322" s="205"/>
      <c r="BS322" s="509"/>
      <c r="BT322" s="509"/>
      <c r="BU322" s="459"/>
      <c r="BV322" s="459"/>
      <c r="BW322" s="1"/>
      <c r="BX322" s="1"/>
      <c r="BY322" s="546"/>
      <c r="BZ322" s="546"/>
      <c r="CA322" s="546"/>
      <c r="CB322" s="546"/>
      <c r="CC322" s="728"/>
      <c r="CD322" s="728"/>
      <c r="CE322" s="170"/>
    </row>
    <row r="323" spans="1:84" customFormat="1">
      <c r="A323" s="701"/>
      <c r="B323" s="447"/>
      <c r="C323" s="161"/>
      <c r="D323" s="162"/>
      <c r="E323" s="1"/>
      <c r="F323" s="811"/>
      <c r="G323" s="440"/>
      <c r="H323" s="1"/>
      <c r="I323" s="55"/>
      <c r="J323" s="170"/>
      <c r="K323" s="1"/>
      <c r="L323" s="170"/>
      <c r="M323" s="1"/>
      <c r="N323" s="458"/>
      <c r="O323" s="170"/>
      <c r="P323" s="441"/>
      <c r="Q323" s="55"/>
      <c r="R323" s="177"/>
      <c r="S323" s="454"/>
      <c r="T323" s="178"/>
      <c r="U323" s="178"/>
      <c r="V323" s="179"/>
      <c r="W323" s="180"/>
      <c r="X323" s="179"/>
      <c r="Y323" s="180"/>
      <c r="Z323" s="178"/>
      <c r="AA323" s="178"/>
      <c r="AB323" s="178"/>
      <c r="AC323" s="178"/>
      <c r="AD323" s="182"/>
      <c r="AE323" s="182"/>
      <c r="AF323" s="182"/>
      <c r="AG323" s="182"/>
      <c r="AH323" s="401"/>
      <c r="AI323" s="401"/>
      <c r="AJ323" s="401"/>
      <c r="AK323" s="401"/>
      <c r="AL323" s="401"/>
      <c r="AM323" s="189"/>
      <c r="AN323" s="829"/>
      <c r="AO323" s="830"/>
      <c r="AP323" s="401"/>
      <c r="AQ323" s="401"/>
      <c r="AR323" s="401"/>
      <c r="AS323" s="401"/>
      <c r="AT323" s="403"/>
      <c r="AU323" s="403"/>
      <c r="AV323" s="170"/>
      <c r="AW323" s="166"/>
      <c r="AX323" s="166"/>
      <c r="AY323" s="189"/>
      <c r="AZ323" s="189"/>
      <c r="BA323" s="196"/>
      <c r="BB323" s="629"/>
      <c r="BC323" s="190"/>
      <c r="BD323" s="510"/>
      <c r="BE323" s="510"/>
      <c r="BF323" s="177"/>
      <c r="BG323" s="177"/>
      <c r="BH323" s="166"/>
      <c r="BI323" s="474"/>
      <c r="BJ323" s="166"/>
      <c r="BK323" s="474"/>
      <c r="BL323" s="474"/>
      <c r="BM323" s="474"/>
      <c r="BN323" s="166"/>
      <c r="BO323" s="166"/>
      <c r="BP323" s="204"/>
      <c r="BQ323" s="475"/>
      <c r="BR323" s="205"/>
      <c r="BS323" s="509"/>
      <c r="BT323" s="509"/>
      <c r="BU323" s="459"/>
      <c r="BV323" s="459"/>
      <c r="BW323" s="1"/>
      <c r="BX323" s="1"/>
      <c r="BY323" s="546"/>
      <c r="BZ323" s="546"/>
      <c r="CA323" s="546"/>
      <c r="CB323" s="546"/>
      <c r="CC323" s="728"/>
      <c r="CD323" s="728"/>
      <c r="CE323" s="170"/>
    </row>
    <row r="324" spans="1:84" customFormat="1">
      <c r="A324" s="701"/>
      <c r="B324" s="447"/>
      <c r="C324" s="1"/>
      <c r="D324" s="538"/>
      <c r="E324" s="1"/>
      <c r="F324" s="811"/>
      <c r="G324" s="440"/>
      <c r="H324" s="1"/>
      <c r="I324" s="55"/>
      <c r="J324" s="171"/>
      <c r="K324" s="55"/>
      <c r="L324" s="171"/>
      <c r="M324" s="55"/>
      <c r="N324" s="172"/>
      <c r="O324" s="170"/>
      <c r="P324" s="139"/>
      <c r="Q324" s="172"/>
      <c r="R324" s="181"/>
      <c r="S324" s="455"/>
      <c r="T324" s="170"/>
      <c r="U324" s="170"/>
      <c r="V324" s="1"/>
      <c r="W324" s="173"/>
      <c r="X324" s="1"/>
      <c r="Y324" s="166"/>
      <c r="Z324" s="170"/>
      <c r="AA324" s="170"/>
      <c r="AB324" s="170"/>
      <c r="AC324" s="170"/>
      <c r="AD324" s="182"/>
      <c r="AE324" s="182"/>
      <c r="AF324" s="182"/>
      <c r="AG324" s="182"/>
      <c r="AH324" s="189"/>
      <c r="AI324" s="401"/>
      <c r="AJ324" s="189"/>
      <c r="AK324" s="401"/>
      <c r="AL324" s="401"/>
      <c r="AM324" s="189"/>
      <c r="AN324" s="782"/>
      <c r="AO324" s="189"/>
      <c r="AP324" s="401"/>
      <c r="AQ324" s="401"/>
      <c r="AR324" s="401"/>
      <c r="AS324" s="188"/>
      <c r="AT324" s="1"/>
      <c r="AU324" s="403"/>
      <c r="AV324" s="1"/>
      <c r="AW324" s="166"/>
      <c r="AX324" s="166"/>
      <c r="AY324" s="189"/>
      <c r="AZ324" s="189"/>
      <c r="BA324" s="196"/>
      <c r="BB324" s="629"/>
      <c r="BC324" s="197"/>
      <c r="BD324" s="510"/>
      <c r="BE324" s="510"/>
      <c r="BF324" s="177"/>
      <c r="BG324" s="177"/>
      <c r="BH324" s="166"/>
      <c r="BI324" s="474"/>
      <c r="BJ324" s="166"/>
      <c r="BK324" s="474"/>
      <c r="BL324" s="474"/>
      <c r="BM324" s="474"/>
      <c r="BN324" s="166"/>
      <c r="BO324" s="166"/>
      <c r="BP324" s="204"/>
      <c r="BQ324" s="475"/>
      <c r="BR324" s="205"/>
      <c r="BS324" s="509"/>
      <c r="BT324" s="509"/>
      <c r="BU324" s="459"/>
      <c r="BV324" s="459"/>
      <c r="BW324" s="1"/>
      <c r="BX324" s="1"/>
      <c r="BY324" s="546"/>
      <c r="BZ324" s="546"/>
      <c r="CA324" s="546"/>
      <c r="CB324" s="546"/>
      <c r="CC324" s="728"/>
      <c r="CD324" s="728"/>
      <c r="CE324" s="170"/>
    </row>
    <row r="325" spans="1:84" customFormat="1">
      <c r="A325" s="701"/>
      <c r="B325" s="447"/>
      <c r="C325" s="161"/>
      <c r="D325" s="162"/>
      <c r="E325" s="1"/>
      <c r="F325" s="811"/>
      <c r="G325" s="440"/>
      <c r="H325" s="1"/>
      <c r="I325" s="55"/>
      <c r="J325" s="170"/>
      <c r="K325" s="1"/>
      <c r="L325" s="170"/>
      <c r="M325" s="1"/>
      <c r="N325" s="458"/>
      <c r="O325" s="170"/>
      <c r="P325" s="441"/>
      <c r="Q325" s="55"/>
      <c r="R325" s="177"/>
      <c r="S325" s="454"/>
      <c r="T325" s="178"/>
      <c r="U325" s="178"/>
      <c r="V325" s="179"/>
      <c r="W325" s="180"/>
      <c r="X325" s="179"/>
      <c r="Y325" s="180"/>
      <c r="Z325" s="178"/>
      <c r="AA325" s="178"/>
      <c r="AB325" s="178"/>
      <c r="AC325" s="178"/>
      <c r="AD325" s="182"/>
      <c r="AE325" s="182"/>
      <c r="AF325" s="182"/>
      <c r="AG325" s="182"/>
      <c r="AH325" s="401"/>
      <c r="AI325" s="401"/>
      <c r="AJ325" s="401"/>
      <c r="AK325" s="401"/>
      <c r="AL325" s="401"/>
      <c r="AM325" s="189"/>
      <c r="AN325" s="829"/>
      <c r="AO325" s="830"/>
      <c r="AP325" s="401"/>
      <c r="AQ325" s="401"/>
      <c r="AR325" s="401"/>
      <c r="AS325" s="401"/>
      <c r="AT325" s="403"/>
      <c r="AU325" s="403"/>
      <c r="AV325" s="170"/>
      <c r="AW325" s="166"/>
      <c r="AX325" s="166"/>
      <c r="AY325" s="189"/>
      <c r="AZ325" s="189"/>
      <c r="BA325" s="196"/>
      <c r="BB325" s="629"/>
      <c r="BC325" s="190"/>
      <c r="BD325" s="510"/>
      <c r="BE325" s="510"/>
      <c r="BF325" s="177"/>
      <c r="BG325" s="177"/>
      <c r="BH325" s="166"/>
      <c r="BI325" s="474"/>
      <c r="BJ325" s="166"/>
      <c r="BK325" s="474"/>
      <c r="BL325" s="474"/>
      <c r="BM325" s="474"/>
      <c r="BN325" s="166"/>
      <c r="BO325" s="166"/>
      <c r="BP325" s="204"/>
      <c r="BQ325" s="475"/>
      <c r="BR325" s="205"/>
      <c r="BS325" s="509"/>
      <c r="BT325" s="509"/>
      <c r="BU325" s="459"/>
      <c r="BV325" s="459"/>
      <c r="BW325" s="1"/>
      <c r="BX325" s="1"/>
      <c r="BY325" s="546"/>
      <c r="BZ325" s="546"/>
      <c r="CA325" s="546"/>
      <c r="CB325" s="546"/>
      <c r="CC325" s="728"/>
      <c r="CD325" s="728"/>
      <c r="CE325" s="170"/>
    </row>
    <row r="326" spans="1:84" customFormat="1">
      <c r="A326" s="701"/>
      <c r="B326" s="447"/>
      <c r="C326" s="161"/>
      <c r="D326" s="162"/>
      <c r="E326" s="1"/>
      <c r="F326" s="811"/>
      <c r="G326" s="440"/>
      <c r="H326" s="1"/>
      <c r="I326" s="55"/>
      <c r="J326" s="170"/>
      <c r="K326" s="1"/>
      <c r="L326" s="170"/>
      <c r="M326" s="1"/>
      <c r="N326" s="458"/>
      <c r="O326" s="170"/>
      <c r="P326" s="441"/>
      <c r="Q326" s="55"/>
      <c r="R326" s="177"/>
      <c r="S326" s="454"/>
      <c r="T326" s="178"/>
      <c r="U326" s="178"/>
      <c r="V326" s="179"/>
      <c r="W326" s="180"/>
      <c r="X326" s="179"/>
      <c r="Y326" s="180"/>
      <c r="Z326" s="178"/>
      <c r="AA326" s="178"/>
      <c r="AB326" s="178"/>
      <c r="AC326" s="178"/>
      <c r="AD326" s="182"/>
      <c r="AE326" s="182"/>
      <c r="AF326" s="182"/>
      <c r="AG326" s="182"/>
      <c r="AH326" s="401"/>
      <c r="AI326" s="401"/>
      <c r="AJ326" s="401"/>
      <c r="AK326" s="401"/>
      <c r="AL326" s="401"/>
      <c r="AM326" s="189"/>
      <c r="AN326" s="829"/>
      <c r="AO326" s="830"/>
      <c r="AP326" s="401"/>
      <c r="AQ326" s="401"/>
      <c r="AR326" s="401"/>
      <c r="AS326" s="401"/>
      <c r="AT326" s="403"/>
      <c r="AU326" s="403"/>
      <c r="AV326" s="170"/>
      <c r="AW326" s="166"/>
      <c r="AX326" s="166"/>
      <c r="AY326" s="189"/>
      <c r="AZ326" s="189"/>
      <c r="BA326" s="196"/>
      <c r="BB326" s="629"/>
      <c r="BC326" s="190"/>
      <c r="BD326" s="510"/>
      <c r="BE326" s="510"/>
      <c r="BF326" s="177"/>
      <c r="BG326" s="177"/>
      <c r="BH326" s="166"/>
      <c r="BI326" s="474"/>
      <c r="BJ326" s="166"/>
      <c r="BK326" s="474"/>
      <c r="BL326" s="474"/>
      <c r="BM326" s="474"/>
      <c r="BN326" s="166"/>
      <c r="BO326" s="166"/>
      <c r="BP326" s="204"/>
      <c r="BQ326" s="475"/>
      <c r="BR326" s="205"/>
      <c r="BS326" s="509"/>
      <c r="BT326" s="509"/>
      <c r="BU326" s="459"/>
      <c r="BV326" s="459"/>
      <c r="BW326" s="1"/>
      <c r="BX326" s="1"/>
      <c r="BY326" s="546"/>
      <c r="BZ326" s="546"/>
      <c r="CA326" s="546"/>
      <c r="CB326" s="546"/>
      <c r="CC326" s="728"/>
      <c r="CD326" s="728"/>
      <c r="CE326" s="170"/>
    </row>
    <row r="327" spans="1:84" customFormat="1">
      <c r="A327" s="701"/>
      <c r="B327" s="447"/>
      <c r="C327" s="161"/>
      <c r="D327" s="162"/>
      <c r="E327" s="1"/>
      <c r="F327" s="811"/>
      <c r="G327" s="440"/>
      <c r="H327" s="1"/>
      <c r="I327" s="55"/>
      <c r="J327" s="457"/>
      <c r="K327" s="1"/>
      <c r="L327" s="170"/>
      <c r="M327" s="1"/>
      <c r="N327" s="458"/>
      <c r="O327" s="170"/>
      <c r="P327" s="441"/>
      <c r="Q327" s="55"/>
      <c r="R327" s="177"/>
      <c r="S327" s="454"/>
      <c r="T327" s="178"/>
      <c r="U327" s="178"/>
      <c r="V327" s="179"/>
      <c r="W327" s="180"/>
      <c r="X327" s="179"/>
      <c r="Y327" s="180"/>
      <c r="Z327" s="178"/>
      <c r="AA327" s="178"/>
      <c r="AB327" s="178"/>
      <c r="AC327" s="178"/>
      <c r="AD327" s="182"/>
      <c r="AE327" s="182"/>
      <c r="AF327" s="182"/>
      <c r="AG327" s="182"/>
      <c r="AH327" s="401"/>
      <c r="AI327" s="401"/>
      <c r="AJ327" s="401"/>
      <c r="AK327" s="401"/>
      <c r="AL327" s="401"/>
      <c r="AM327" s="189"/>
      <c r="AN327" s="829"/>
      <c r="AO327" s="830"/>
      <c r="AP327" s="401"/>
      <c r="AQ327" s="401"/>
      <c r="AR327" s="401"/>
      <c r="AS327" s="401"/>
      <c r="AT327" s="403"/>
      <c r="AU327" s="403"/>
      <c r="AV327" s="170"/>
      <c r="AW327" s="166"/>
      <c r="AX327" s="166"/>
      <c r="AY327" s="189"/>
      <c r="AZ327" s="189"/>
      <c r="BA327" s="196"/>
      <c r="BB327" s="629"/>
      <c r="BC327" s="190"/>
      <c r="BD327" s="510"/>
      <c r="BE327" s="510"/>
      <c r="BF327" s="177"/>
      <c r="BG327" s="177"/>
      <c r="BH327" s="166"/>
      <c r="BI327" s="474"/>
      <c r="BJ327" s="166"/>
      <c r="BK327" s="474"/>
      <c r="BL327" s="474"/>
      <c r="BM327" s="474"/>
      <c r="BN327" s="166"/>
      <c r="BO327" s="166"/>
      <c r="BP327" s="204"/>
      <c r="BQ327" s="475"/>
      <c r="BR327" s="205"/>
      <c r="BS327" s="509"/>
      <c r="BT327" s="509"/>
      <c r="BU327" s="459"/>
      <c r="BV327" s="459"/>
      <c r="BW327" s="1"/>
      <c r="BX327" s="1"/>
      <c r="BY327" s="546"/>
      <c r="BZ327" s="546"/>
      <c r="CA327" s="546"/>
      <c r="CB327" s="546"/>
      <c r="CC327" s="728"/>
      <c r="CD327" s="728"/>
      <c r="CE327" s="170"/>
    </row>
    <row r="328" spans="1:84" customFormat="1">
      <c r="A328" s="701"/>
      <c r="B328" s="447"/>
      <c r="C328" s="161"/>
      <c r="D328" s="162"/>
      <c r="E328" s="1"/>
      <c r="F328" s="811"/>
      <c r="G328" s="440"/>
      <c r="H328" s="1"/>
      <c r="I328" s="55"/>
      <c r="J328" s="170"/>
      <c r="K328" s="1"/>
      <c r="L328" s="170"/>
      <c r="M328" s="1"/>
      <c r="N328" s="458"/>
      <c r="O328" s="170"/>
      <c r="P328" s="441"/>
      <c r="Q328" s="55"/>
      <c r="R328" s="177"/>
      <c r="S328" s="454"/>
      <c r="T328" s="178"/>
      <c r="U328" s="178"/>
      <c r="V328" s="179"/>
      <c r="W328" s="180"/>
      <c r="X328" s="179"/>
      <c r="Y328" s="180"/>
      <c r="Z328" s="178"/>
      <c r="AA328" s="178"/>
      <c r="AB328" s="178"/>
      <c r="AC328" s="178"/>
      <c r="AD328" s="182"/>
      <c r="AE328" s="182"/>
      <c r="AF328" s="182"/>
      <c r="AG328" s="182"/>
      <c r="AH328" s="401"/>
      <c r="AI328" s="401"/>
      <c r="AJ328" s="401"/>
      <c r="AK328" s="401"/>
      <c r="AL328" s="401"/>
      <c r="AM328" s="189"/>
      <c r="AN328" s="829"/>
      <c r="AO328" s="830"/>
      <c r="AP328" s="401"/>
      <c r="AQ328" s="401"/>
      <c r="AR328" s="401"/>
      <c r="AS328" s="401"/>
      <c r="AT328" s="403"/>
      <c r="AU328" s="403"/>
      <c r="AV328" s="170"/>
      <c r="AW328" s="166"/>
      <c r="AX328" s="166"/>
      <c r="AY328" s="189"/>
      <c r="AZ328" s="189"/>
      <c r="BA328" s="196"/>
      <c r="BB328" s="629"/>
      <c r="BC328" s="190"/>
      <c r="BD328" s="510"/>
      <c r="BE328" s="510"/>
      <c r="BF328" s="177"/>
      <c r="BG328" s="177"/>
      <c r="BH328" s="166"/>
      <c r="BI328" s="474"/>
      <c r="BJ328" s="166"/>
      <c r="BK328" s="474"/>
      <c r="BL328" s="474"/>
      <c r="BM328" s="474"/>
      <c r="BN328" s="166"/>
      <c r="BO328" s="166"/>
      <c r="BP328" s="204"/>
      <c r="BQ328" s="475"/>
      <c r="BR328" s="205"/>
      <c r="BS328" s="509"/>
      <c r="BT328" s="509"/>
      <c r="BU328" s="459"/>
      <c r="BV328" s="459"/>
      <c r="BW328" s="1"/>
      <c r="BX328" s="1"/>
      <c r="BY328" s="546"/>
      <c r="BZ328" s="546"/>
      <c r="CA328" s="546"/>
      <c r="CB328" s="546"/>
      <c r="CC328" s="728"/>
      <c r="CD328" s="728"/>
      <c r="CE328" s="170"/>
    </row>
    <row r="329" spans="1:84" customFormat="1">
      <c r="A329" s="701"/>
      <c r="B329" s="447"/>
      <c r="C329" s="161"/>
      <c r="D329" s="162"/>
      <c r="E329" s="1"/>
      <c r="F329" s="811"/>
      <c r="G329" s="440"/>
      <c r="H329" s="1"/>
      <c r="I329" s="55"/>
      <c r="J329" s="170"/>
      <c r="K329" s="1"/>
      <c r="L329" s="170"/>
      <c r="M329" s="1"/>
      <c r="N329" s="458"/>
      <c r="O329" s="170"/>
      <c r="P329" s="441"/>
      <c r="Q329" s="55"/>
      <c r="R329" s="177"/>
      <c r="S329" s="454"/>
      <c r="T329" s="178"/>
      <c r="U329" s="178"/>
      <c r="V329" s="179"/>
      <c r="W329" s="180"/>
      <c r="X329" s="179"/>
      <c r="Y329" s="180"/>
      <c r="Z329" s="178"/>
      <c r="AA329" s="178"/>
      <c r="AB329" s="178"/>
      <c r="AC329" s="178"/>
      <c r="AD329" s="182"/>
      <c r="AE329" s="182"/>
      <c r="AF329" s="182"/>
      <c r="AG329" s="182"/>
      <c r="AH329" s="401"/>
      <c r="AI329" s="401"/>
      <c r="AJ329" s="401"/>
      <c r="AK329" s="401"/>
      <c r="AL329" s="401"/>
      <c r="AM329" s="189"/>
      <c r="AN329" s="829"/>
      <c r="AO329" s="830"/>
      <c r="AP329" s="401"/>
      <c r="AQ329" s="401"/>
      <c r="AR329" s="401"/>
      <c r="AS329" s="401"/>
      <c r="AT329" s="403"/>
      <c r="AU329" s="403"/>
      <c r="AV329" s="170"/>
      <c r="AW329" s="166"/>
      <c r="AX329" s="166"/>
      <c r="AY329" s="189"/>
      <c r="AZ329" s="189"/>
      <c r="BA329" s="196"/>
      <c r="BB329" s="629"/>
      <c r="BC329" s="190"/>
      <c r="BD329" s="510"/>
      <c r="BE329" s="510"/>
      <c r="BF329" s="177"/>
      <c r="BG329" s="177"/>
      <c r="BH329" s="166"/>
      <c r="BI329" s="474"/>
      <c r="BJ329" s="166"/>
      <c r="BK329" s="474"/>
      <c r="BL329" s="474"/>
      <c r="BM329" s="474"/>
      <c r="BN329" s="166"/>
      <c r="BO329" s="166"/>
      <c r="BP329" s="204"/>
      <c r="BQ329" s="475"/>
      <c r="BR329" s="205"/>
      <c r="BS329" s="509"/>
      <c r="BT329" s="509"/>
      <c r="BU329" s="459"/>
      <c r="BV329" s="459"/>
      <c r="BW329" s="1"/>
      <c r="BX329" s="1"/>
      <c r="BY329" s="546"/>
      <c r="BZ329" s="546"/>
      <c r="CA329" s="546"/>
      <c r="CB329" s="546"/>
      <c r="CC329" s="728"/>
      <c r="CD329" s="728"/>
      <c r="CE329" s="170"/>
    </row>
    <row r="330" spans="1:84" customFormat="1">
      <c r="A330" s="701"/>
      <c r="B330" s="447"/>
      <c r="C330" s="161"/>
      <c r="D330" s="162"/>
      <c r="E330" s="1"/>
      <c r="F330" s="811"/>
      <c r="G330" s="440"/>
      <c r="H330" s="1"/>
      <c r="I330" s="55"/>
      <c r="J330" s="170"/>
      <c r="K330" s="1"/>
      <c r="L330" s="170"/>
      <c r="M330" s="1"/>
      <c r="N330" s="458"/>
      <c r="O330" s="170"/>
      <c r="P330" s="441"/>
      <c r="Q330" s="55"/>
      <c r="R330" s="177"/>
      <c r="S330" s="454"/>
      <c r="T330" s="178"/>
      <c r="U330" s="178"/>
      <c r="V330" s="179"/>
      <c r="W330" s="180"/>
      <c r="X330" s="179"/>
      <c r="Y330" s="180"/>
      <c r="Z330" s="178"/>
      <c r="AA330" s="178"/>
      <c r="AB330" s="178"/>
      <c r="AC330" s="178"/>
      <c r="AD330" s="182"/>
      <c r="AE330" s="182"/>
      <c r="AF330" s="182"/>
      <c r="AG330" s="182"/>
      <c r="AH330" s="401"/>
      <c r="AI330" s="401"/>
      <c r="AJ330" s="401"/>
      <c r="AK330" s="401"/>
      <c r="AL330" s="401"/>
      <c r="AM330" s="189"/>
      <c r="AN330" s="829"/>
      <c r="AO330" s="830"/>
      <c r="AP330" s="401"/>
      <c r="AQ330" s="401"/>
      <c r="AR330" s="401"/>
      <c r="AS330" s="401"/>
      <c r="AT330" s="403"/>
      <c r="AU330" s="403"/>
      <c r="AV330" s="170"/>
      <c r="AW330" s="166"/>
      <c r="AX330" s="166"/>
      <c r="AY330" s="189"/>
      <c r="AZ330" s="189"/>
      <c r="BA330" s="196"/>
      <c r="BB330" s="629"/>
      <c r="BC330" s="190"/>
      <c r="BD330" s="510"/>
      <c r="BE330" s="510"/>
      <c r="BF330" s="177"/>
      <c r="BG330" s="177"/>
      <c r="BH330" s="166"/>
      <c r="BI330" s="474"/>
      <c r="BJ330" s="166"/>
      <c r="BK330" s="474"/>
      <c r="BL330" s="474"/>
      <c r="BM330" s="474"/>
      <c r="BN330" s="166"/>
      <c r="BO330" s="166"/>
      <c r="BP330" s="204"/>
      <c r="BQ330" s="475"/>
      <c r="BR330" s="205"/>
      <c r="BS330" s="509"/>
      <c r="BT330" s="509"/>
      <c r="BU330" s="459"/>
      <c r="BV330" s="459"/>
      <c r="BW330" s="1"/>
      <c r="BX330" s="1"/>
      <c r="BY330" s="546"/>
      <c r="BZ330" s="546"/>
      <c r="CA330" s="546"/>
      <c r="CB330" s="546"/>
      <c r="CC330" s="728"/>
      <c r="CD330" s="728"/>
      <c r="CE330" s="170"/>
    </row>
    <row r="331" spans="1:84" customFormat="1">
      <c r="A331" s="701"/>
      <c r="B331" s="447"/>
      <c r="C331" s="161"/>
      <c r="D331" s="162"/>
      <c r="E331" s="1"/>
      <c r="F331" s="811"/>
      <c r="G331" s="440"/>
      <c r="H331" s="1"/>
      <c r="I331" s="55"/>
      <c r="J331" s="170"/>
      <c r="K331" s="1"/>
      <c r="L331" s="170"/>
      <c r="M331" s="1"/>
      <c r="N331" s="166"/>
      <c r="O331" s="170"/>
      <c r="P331" s="441"/>
      <c r="Q331" s="55"/>
      <c r="R331" s="177"/>
      <c r="S331" s="454"/>
      <c r="T331" s="178"/>
      <c r="U331" s="178"/>
      <c r="V331" s="179"/>
      <c r="W331" s="180"/>
      <c r="X331" s="179"/>
      <c r="Y331" s="180"/>
      <c r="Z331" s="178"/>
      <c r="AA331" s="178"/>
      <c r="AB331" s="178"/>
      <c r="AC331" s="178"/>
      <c r="AD331" s="182"/>
      <c r="AE331" s="182"/>
      <c r="AF331" s="182"/>
      <c r="AG331" s="182"/>
      <c r="AH331" s="401"/>
      <c r="AI331" s="401"/>
      <c r="AJ331" s="182"/>
      <c r="AK331" s="401"/>
      <c r="AL331" s="401"/>
      <c r="AM331" s="189"/>
      <c r="AN331" s="829"/>
      <c r="AO331" s="830"/>
      <c r="AP331" s="401"/>
      <c r="AQ331" s="401"/>
      <c r="AR331" s="401"/>
      <c r="AS331" s="401"/>
      <c r="AT331" s="403"/>
      <c r="AU331" s="403"/>
      <c r="AV331" s="170"/>
      <c r="AW331" s="166"/>
      <c r="AX331" s="166"/>
      <c r="AY331" s="189"/>
      <c r="AZ331" s="189"/>
      <c r="BA331" s="196"/>
      <c r="BB331" s="629"/>
      <c r="BC331" s="190"/>
      <c r="BD331" s="510"/>
      <c r="BE331" s="510"/>
      <c r="BF331" s="177"/>
      <c r="BG331" s="177"/>
      <c r="BH331" s="166"/>
      <c r="BI331" s="474"/>
      <c r="BJ331" s="166"/>
      <c r="BK331" s="474"/>
      <c r="BL331" s="474"/>
      <c r="BM331" s="474"/>
      <c r="BN331" s="166"/>
      <c r="BO331" s="166"/>
      <c r="BP331" s="204"/>
      <c r="BQ331" s="475"/>
      <c r="BR331" s="205"/>
      <c r="BS331" s="509"/>
      <c r="BT331" s="509"/>
      <c r="BU331" s="459"/>
      <c r="BV331" s="459"/>
      <c r="BW331" s="1"/>
      <c r="BX331" s="1"/>
      <c r="BY331" s="546"/>
      <c r="BZ331" s="546"/>
      <c r="CA331" s="546"/>
      <c r="CB331" s="546"/>
      <c r="CC331" s="728"/>
      <c r="CD331" s="728"/>
      <c r="CE331" s="170"/>
    </row>
    <row r="332" spans="1:84" customFormat="1">
      <c r="A332" s="701"/>
      <c r="B332" s="447"/>
      <c r="C332" s="161"/>
      <c r="D332" s="162"/>
      <c r="E332" s="1"/>
      <c r="F332" s="811"/>
      <c r="G332" s="440"/>
      <c r="H332" s="1"/>
      <c r="I332" s="55"/>
      <c r="J332" s="170"/>
      <c r="K332" s="1"/>
      <c r="L332" s="170"/>
      <c r="M332" s="1"/>
      <c r="N332" s="458"/>
      <c r="O332" s="170"/>
      <c r="P332" s="441"/>
      <c r="Q332" s="55"/>
      <c r="R332" s="177"/>
      <c r="S332" s="454"/>
      <c r="T332" s="178"/>
      <c r="U332" s="178"/>
      <c r="V332" s="179"/>
      <c r="W332" s="180"/>
      <c r="X332" s="179"/>
      <c r="Y332" s="180"/>
      <c r="Z332" s="178"/>
      <c r="AA332" s="178"/>
      <c r="AB332" s="178"/>
      <c r="AC332" s="178"/>
      <c r="AD332" s="182"/>
      <c r="AE332" s="182"/>
      <c r="AF332" s="182"/>
      <c r="AG332" s="182"/>
      <c r="AH332" s="401"/>
      <c r="AI332" s="401"/>
      <c r="AJ332" s="401"/>
      <c r="AK332" s="401"/>
      <c r="AL332" s="401"/>
      <c r="AM332" s="189"/>
      <c r="AN332" s="829"/>
      <c r="AO332" s="830"/>
      <c r="AP332" s="401"/>
      <c r="AQ332" s="401"/>
      <c r="AR332" s="401"/>
      <c r="AS332" s="401"/>
      <c r="AT332" s="403"/>
      <c r="AU332" s="403"/>
      <c r="AV332" s="170"/>
      <c r="AW332" s="166"/>
      <c r="AX332" s="166"/>
      <c r="AY332" s="189"/>
      <c r="AZ332" s="189"/>
      <c r="BA332" s="196"/>
      <c r="BB332" s="629"/>
      <c r="BC332" s="190"/>
      <c r="BD332" s="510"/>
      <c r="BE332" s="510"/>
      <c r="BF332" s="177"/>
      <c r="BG332" s="177"/>
      <c r="BH332" s="166"/>
      <c r="BI332" s="474"/>
      <c r="BJ332" s="166"/>
      <c r="BK332" s="474"/>
      <c r="BL332" s="474"/>
      <c r="BM332" s="474"/>
      <c r="BN332" s="166"/>
      <c r="BO332" s="166"/>
      <c r="BP332" s="204"/>
      <c r="BQ332" s="475"/>
      <c r="BR332" s="205"/>
      <c r="BS332" s="509"/>
      <c r="BT332" s="509"/>
      <c r="BU332" s="459"/>
      <c r="BV332" s="459"/>
      <c r="BW332" s="1"/>
      <c r="BX332" s="1"/>
      <c r="BY332" s="546"/>
      <c r="BZ332" s="546"/>
      <c r="CA332" s="546"/>
      <c r="CB332" s="546"/>
      <c r="CC332" s="728"/>
      <c r="CD332" s="728"/>
      <c r="CE332" s="170"/>
    </row>
    <row r="333" spans="1:84">
      <c r="B333" s="447"/>
      <c r="C333" s="161"/>
      <c r="D333" s="162"/>
      <c r="E333" s="1"/>
      <c r="F333" s="811"/>
      <c r="G333" s="440"/>
      <c r="H333" s="1"/>
      <c r="I333" s="55"/>
      <c r="J333" s="170"/>
      <c r="K333" s="1"/>
      <c r="L333" s="170"/>
      <c r="M333" s="1"/>
      <c r="N333" s="458"/>
      <c r="O333" s="170"/>
      <c r="P333" s="441"/>
      <c r="Q333" s="55"/>
      <c r="R333" s="177"/>
      <c r="S333" s="454"/>
      <c r="T333" s="178"/>
      <c r="U333" s="178"/>
      <c r="V333" s="179"/>
      <c r="W333" s="180"/>
      <c r="X333" s="179"/>
      <c r="Y333" s="180"/>
      <c r="Z333" s="178"/>
      <c r="AA333" s="178"/>
      <c r="AB333" s="178"/>
      <c r="AC333" s="178"/>
      <c r="AD333" s="182"/>
      <c r="AE333" s="182"/>
      <c r="AF333" s="182"/>
      <c r="AG333" s="182"/>
      <c r="AH333" s="401"/>
      <c r="AI333" s="401"/>
      <c r="AJ333" s="401"/>
      <c r="AK333" s="401"/>
      <c r="AL333" s="401"/>
      <c r="AM333" s="189"/>
      <c r="AN333" s="829"/>
      <c r="AO333" s="830"/>
      <c r="AP333" s="401"/>
      <c r="AQ333" s="401"/>
      <c r="AR333" s="401"/>
      <c r="AS333" s="401"/>
      <c r="AT333" s="403"/>
      <c r="AU333" s="403"/>
      <c r="AV333" s="170"/>
      <c r="AW333" s="166"/>
      <c r="AX333" s="166"/>
      <c r="AY333" s="189"/>
      <c r="AZ333" s="189"/>
      <c r="BA333" s="196"/>
      <c r="BB333" s="629"/>
      <c r="BC333" s="190"/>
      <c r="BD333" s="510"/>
      <c r="BE333" s="510"/>
      <c r="BF333" s="177"/>
      <c r="BG333" s="177"/>
      <c r="BH333" s="166"/>
      <c r="BI333" s="474"/>
      <c r="BJ333" s="166"/>
      <c r="BK333" s="474"/>
      <c r="BL333" s="474"/>
      <c r="BM333" s="474"/>
      <c r="BN333" s="166"/>
      <c r="BO333" s="166"/>
      <c r="BP333" s="204"/>
      <c r="BQ333" s="475"/>
      <c r="BR333" s="205"/>
      <c r="BS333" s="509"/>
      <c r="BT333" s="509"/>
      <c r="BU333" s="459"/>
      <c r="BV333" s="459"/>
      <c r="BW333" s="1"/>
      <c r="BX333" s="1"/>
      <c r="BY333" s="1"/>
      <c r="BZ333" s="1"/>
      <c r="CE333" s="170"/>
      <c r="CF333"/>
    </row>
    <row r="334" spans="1:84">
      <c r="B334" s="447"/>
      <c r="C334" s="161"/>
      <c r="D334" s="162"/>
      <c r="E334" s="1"/>
      <c r="F334" s="811"/>
      <c r="G334" s="440"/>
      <c r="H334" s="1"/>
      <c r="I334" s="55"/>
      <c r="J334" s="170"/>
      <c r="K334" s="1"/>
      <c r="L334" s="170"/>
      <c r="M334" s="1"/>
      <c r="N334" s="458"/>
      <c r="O334" s="170"/>
      <c r="P334" s="441"/>
      <c r="Q334" s="55"/>
      <c r="R334" s="177"/>
      <c r="S334" s="454"/>
      <c r="T334" s="178"/>
      <c r="U334" s="178"/>
      <c r="V334" s="179"/>
      <c r="W334" s="180"/>
      <c r="X334" s="179"/>
      <c r="Y334" s="180"/>
      <c r="Z334" s="178"/>
      <c r="AA334" s="178"/>
      <c r="AB334" s="178"/>
      <c r="AC334" s="178"/>
      <c r="AD334" s="182"/>
      <c r="AE334" s="182"/>
      <c r="AF334" s="182"/>
      <c r="AG334" s="182"/>
      <c r="AH334" s="401"/>
      <c r="AI334" s="401"/>
      <c r="AJ334" s="401"/>
      <c r="AK334" s="401"/>
      <c r="AL334" s="401"/>
      <c r="AM334" s="189"/>
      <c r="AN334" s="829"/>
      <c r="AO334" s="830"/>
      <c r="AP334" s="401"/>
      <c r="AQ334" s="401"/>
      <c r="AR334" s="401"/>
      <c r="AS334" s="401"/>
      <c r="AT334" s="403"/>
      <c r="AU334" s="403"/>
      <c r="AV334" s="170"/>
      <c r="AW334" s="166"/>
      <c r="AX334" s="166"/>
      <c r="AY334" s="189"/>
      <c r="AZ334" s="189"/>
      <c r="BA334" s="196"/>
      <c r="BB334" s="629"/>
      <c r="BC334" s="190"/>
      <c r="BD334" s="510"/>
      <c r="BE334" s="510"/>
      <c r="BF334" s="177"/>
      <c r="BG334" s="177"/>
      <c r="BH334" s="166"/>
      <c r="BI334" s="474"/>
      <c r="BJ334" s="166"/>
      <c r="BK334" s="474"/>
      <c r="BL334" s="474"/>
      <c r="BM334" s="474"/>
      <c r="BN334" s="166"/>
      <c r="BO334" s="166"/>
      <c r="BP334" s="204"/>
      <c r="BQ334" s="475"/>
      <c r="BR334" s="205"/>
      <c r="BS334" s="509"/>
      <c r="BT334" s="509"/>
      <c r="BU334" s="459"/>
      <c r="BV334" s="459"/>
      <c r="BW334" s="1"/>
      <c r="BX334" s="1"/>
      <c r="BY334" s="1"/>
      <c r="BZ334" s="1"/>
      <c r="CE334" s="170"/>
      <c r="CF334"/>
    </row>
    <row r="335" spans="1:84" customFormat="1">
      <c r="A335" s="701"/>
      <c r="B335" s="447"/>
      <c r="C335" s="1"/>
      <c r="D335" s="538"/>
      <c r="E335" s="1"/>
      <c r="F335" s="811"/>
      <c r="G335" s="440"/>
      <c r="H335" s="1"/>
      <c r="I335" s="55"/>
      <c r="J335" s="171"/>
      <c r="K335" s="55"/>
      <c r="L335" s="171"/>
      <c r="M335" s="55"/>
      <c r="N335" s="172"/>
      <c r="O335" s="170"/>
      <c r="P335" s="139"/>
      <c r="Q335" s="172"/>
      <c r="R335" s="181"/>
      <c r="S335" s="455"/>
      <c r="T335" s="170"/>
      <c r="U335" s="170"/>
      <c r="V335" s="1"/>
      <c r="W335" s="173"/>
      <c r="X335" s="1"/>
      <c r="Y335" s="166"/>
      <c r="Z335" s="170"/>
      <c r="AA335" s="170"/>
      <c r="AB335" s="170"/>
      <c r="AC335" s="170"/>
      <c r="AD335" s="182"/>
      <c r="AE335" s="182"/>
      <c r="AF335" s="182"/>
      <c r="AG335" s="182"/>
      <c r="AH335" s="189"/>
      <c r="AI335" s="401"/>
      <c r="AJ335" s="189"/>
      <c r="AK335" s="401"/>
      <c r="AL335" s="401"/>
      <c r="AM335" s="189"/>
      <c r="AN335" s="782"/>
      <c r="AO335" s="189"/>
      <c r="AP335" s="401"/>
      <c r="AQ335" s="401"/>
      <c r="AR335" s="401"/>
      <c r="AS335" s="188"/>
      <c r="AT335" s="1"/>
      <c r="AU335" s="403"/>
      <c r="AV335" s="1"/>
      <c r="AW335" s="166"/>
      <c r="AX335" s="166"/>
      <c r="AY335" s="189"/>
      <c r="AZ335" s="189"/>
      <c r="BA335" s="196"/>
      <c r="BB335" s="629"/>
      <c r="BC335" s="197"/>
      <c r="BD335" s="510"/>
      <c r="BE335" s="510"/>
      <c r="BF335" s="177"/>
      <c r="BG335" s="177"/>
      <c r="BH335" s="166"/>
      <c r="BI335" s="474"/>
      <c r="BJ335" s="166"/>
      <c r="BK335" s="474"/>
      <c r="BL335" s="474"/>
      <c r="BM335" s="474"/>
      <c r="BN335" s="166"/>
      <c r="BO335" s="166"/>
      <c r="BP335" s="204"/>
      <c r="BQ335" s="475"/>
      <c r="BR335" s="205"/>
      <c r="BS335" s="509"/>
      <c r="BT335" s="509"/>
      <c r="BU335" s="459"/>
      <c r="BV335" s="459"/>
      <c r="BW335" s="1"/>
      <c r="BX335" s="1"/>
      <c r="BY335" s="546"/>
      <c r="BZ335" s="546"/>
      <c r="CA335" s="546"/>
      <c r="CB335" s="546"/>
      <c r="CC335" s="728"/>
      <c r="CD335" s="728"/>
      <c r="CE335" s="170"/>
    </row>
    <row r="336" spans="1:84" customFormat="1">
      <c r="A336" s="701"/>
      <c r="B336" s="447"/>
      <c r="C336" s="161"/>
      <c r="D336" s="162"/>
      <c r="E336" s="1"/>
      <c r="F336" s="811"/>
      <c r="G336" s="440"/>
      <c r="H336" s="1"/>
      <c r="I336" s="55"/>
      <c r="J336" s="170"/>
      <c r="K336" s="1"/>
      <c r="L336" s="170"/>
      <c r="M336" s="1"/>
      <c r="N336" s="458"/>
      <c r="O336" s="170"/>
      <c r="P336" s="441"/>
      <c r="Q336" s="55"/>
      <c r="R336" s="177"/>
      <c r="S336" s="454"/>
      <c r="T336" s="178"/>
      <c r="U336" s="178"/>
      <c r="V336" s="179"/>
      <c r="W336" s="180"/>
      <c r="X336" s="179"/>
      <c r="Y336" s="180"/>
      <c r="Z336" s="178"/>
      <c r="AA336" s="178"/>
      <c r="AB336" s="178"/>
      <c r="AC336" s="178"/>
      <c r="AD336" s="182"/>
      <c r="AE336" s="182"/>
      <c r="AF336" s="182"/>
      <c r="AG336" s="182"/>
      <c r="AH336" s="401"/>
      <c r="AI336" s="401"/>
      <c r="AJ336" s="401"/>
      <c r="AK336" s="401"/>
      <c r="AL336" s="401"/>
      <c r="AM336" s="189"/>
      <c r="AN336" s="829"/>
      <c r="AO336" s="830"/>
      <c r="AP336" s="401"/>
      <c r="AQ336" s="401"/>
      <c r="AR336" s="401"/>
      <c r="AS336" s="401"/>
      <c r="AT336" s="403"/>
      <c r="AU336" s="403"/>
      <c r="AV336" s="170"/>
      <c r="AW336" s="166"/>
      <c r="AX336" s="166"/>
      <c r="AY336" s="189"/>
      <c r="AZ336" s="189"/>
      <c r="BA336" s="196"/>
      <c r="BB336" s="629"/>
      <c r="BC336" s="190"/>
      <c r="BD336" s="510"/>
      <c r="BE336" s="510"/>
      <c r="BF336" s="177"/>
      <c r="BG336" s="177"/>
      <c r="BH336" s="166"/>
      <c r="BI336" s="474"/>
      <c r="BJ336" s="166"/>
      <c r="BK336" s="474"/>
      <c r="BL336" s="474"/>
      <c r="BM336" s="474"/>
      <c r="BN336" s="166"/>
      <c r="BO336" s="166"/>
      <c r="BP336" s="204"/>
      <c r="BQ336" s="475"/>
      <c r="BR336" s="205"/>
      <c r="BS336" s="509"/>
      <c r="BT336" s="509"/>
      <c r="BU336" s="459"/>
      <c r="BV336" s="459"/>
      <c r="BW336" s="1"/>
      <c r="BX336" s="1"/>
      <c r="BY336" s="546"/>
      <c r="BZ336" s="546"/>
      <c r="CA336" s="546"/>
      <c r="CB336" s="546"/>
      <c r="CC336" s="728"/>
      <c r="CD336" s="728"/>
      <c r="CE336" s="170"/>
    </row>
    <row r="337" spans="1:83" customFormat="1">
      <c r="A337" s="701"/>
      <c r="B337" s="447"/>
      <c r="C337" s="161"/>
      <c r="D337" s="162"/>
      <c r="E337" s="1"/>
      <c r="F337" s="811"/>
      <c r="G337" s="440"/>
      <c r="H337" s="1"/>
      <c r="I337" s="55"/>
      <c r="J337" s="170"/>
      <c r="K337" s="1"/>
      <c r="L337" s="170"/>
      <c r="M337" s="1"/>
      <c r="N337" s="458"/>
      <c r="O337" s="170"/>
      <c r="P337" s="441"/>
      <c r="Q337" s="55"/>
      <c r="R337" s="177"/>
      <c r="S337" s="454"/>
      <c r="T337" s="178"/>
      <c r="U337" s="178"/>
      <c r="V337" s="179"/>
      <c r="W337" s="180"/>
      <c r="X337" s="179"/>
      <c r="Y337" s="180"/>
      <c r="Z337" s="178"/>
      <c r="AA337" s="178"/>
      <c r="AB337" s="178"/>
      <c r="AC337" s="178"/>
      <c r="AD337" s="182"/>
      <c r="AE337" s="182"/>
      <c r="AF337" s="182"/>
      <c r="AG337" s="182"/>
      <c r="AH337" s="401"/>
      <c r="AI337" s="401"/>
      <c r="AJ337" s="401"/>
      <c r="AK337" s="401"/>
      <c r="AL337" s="401"/>
      <c r="AM337" s="189"/>
      <c r="AN337" s="829"/>
      <c r="AO337" s="830"/>
      <c r="AP337" s="401"/>
      <c r="AQ337" s="401"/>
      <c r="AR337" s="401"/>
      <c r="AS337" s="401"/>
      <c r="AT337" s="403"/>
      <c r="AU337" s="403"/>
      <c r="AV337" s="170"/>
      <c r="AW337" s="166"/>
      <c r="AX337" s="166"/>
      <c r="AY337" s="189"/>
      <c r="AZ337" s="189"/>
      <c r="BA337" s="196"/>
      <c r="BB337" s="629"/>
      <c r="BC337" s="190"/>
      <c r="BD337" s="510"/>
      <c r="BE337" s="510"/>
      <c r="BF337" s="177"/>
      <c r="BG337" s="177"/>
      <c r="BH337" s="166"/>
      <c r="BI337" s="474"/>
      <c r="BJ337" s="166"/>
      <c r="BK337" s="474"/>
      <c r="BL337" s="474"/>
      <c r="BM337" s="474"/>
      <c r="BN337" s="166"/>
      <c r="BO337" s="166"/>
      <c r="BP337" s="204"/>
      <c r="BQ337" s="475"/>
      <c r="BR337" s="205"/>
      <c r="BS337" s="509"/>
      <c r="BT337" s="509"/>
      <c r="BU337" s="459"/>
      <c r="BV337" s="459"/>
      <c r="BW337" s="1"/>
      <c r="BX337" s="1"/>
      <c r="BY337" s="546"/>
      <c r="BZ337" s="546"/>
      <c r="CA337" s="546"/>
      <c r="CB337" s="546"/>
      <c r="CC337" s="728"/>
      <c r="CD337" s="728"/>
      <c r="CE337" s="170"/>
    </row>
    <row r="338" spans="1:83" customFormat="1">
      <c r="A338" s="701"/>
      <c r="B338" s="447"/>
      <c r="C338" s="161"/>
      <c r="D338" s="162"/>
      <c r="E338" s="1"/>
      <c r="F338" s="811"/>
      <c r="G338" s="440"/>
      <c r="H338" s="1"/>
      <c r="I338" s="55"/>
      <c r="J338" s="457"/>
      <c r="K338" s="1"/>
      <c r="L338" s="170"/>
      <c r="M338" s="1"/>
      <c r="N338" s="458"/>
      <c r="O338" s="170"/>
      <c r="P338" s="441"/>
      <c r="Q338" s="55"/>
      <c r="R338" s="177"/>
      <c r="S338" s="454"/>
      <c r="T338" s="178"/>
      <c r="U338" s="178"/>
      <c r="V338" s="179"/>
      <c r="W338" s="180"/>
      <c r="X338" s="179"/>
      <c r="Y338" s="180"/>
      <c r="Z338" s="178"/>
      <c r="AA338" s="178"/>
      <c r="AB338" s="178"/>
      <c r="AC338" s="178"/>
      <c r="AD338" s="182"/>
      <c r="AE338" s="182"/>
      <c r="AF338" s="182"/>
      <c r="AG338" s="182"/>
      <c r="AH338" s="401"/>
      <c r="AI338" s="401"/>
      <c r="AJ338" s="401"/>
      <c r="AK338" s="401"/>
      <c r="AL338" s="401"/>
      <c r="AM338" s="189"/>
      <c r="AN338" s="829"/>
      <c r="AO338" s="830"/>
      <c r="AP338" s="401"/>
      <c r="AQ338" s="401"/>
      <c r="AR338" s="401"/>
      <c r="AS338" s="401"/>
      <c r="AT338" s="403"/>
      <c r="AU338" s="403"/>
      <c r="AV338" s="170"/>
      <c r="AW338" s="166"/>
      <c r="AX338" s="166"/>
      <c r="AY338" s="189"/>
      <c r="AZ338" s="189"/>
      <c r="BA338" s="196"/>
      <c r="BB338" s="629"/>
      <c r="BC338" s="190"/>
      <c r="BD338" s="510"/>
      <c r="BE338" s="510"/>
      <c r="BF338" s="177"/>
      <c r="BG338" s="177"/>
      <c r="BH338" s="166"/>
      <c r="BI338" s="474"/>
      <c r="BJ338" s="166"/>
      <c r="BK338" s="474"/>
      <c r="BL338" s="474"/>
      <c r="BM338" s="474"/>
      <c r="BN338" s="166"/>
      <c r="BO338" s="166"/>
      <c r="BP338" s="204"/>
      <c r="BQ338" s="475"/>
      <c r="BR338" s="205"/>
      <c r="BS338" s="509"/>
      <c r="BT338" s="509"/>
      <c r="BU338" s="459"/>
      <c r="BV338" s="459"/>
      <c r="BW338" s="1"/>
      <c r="BX338" s="1"/>
      <c r="BY338" s="546"/>
      <c r="BZ338" s="546"/>
      <c r="CA338" s="546"/>
      <c r="CB338" s="546"/>
      <c r="CC338" s="728"/>
      <c r="CD338" s="728"/>
      <c r="CE338" s="170"/>
    </row>
    <row r="339" spans="1:83" customFormat="1">
      <c r="A339" s="701"/>
      <c r="B339" s="447"/>
      <c r="C339" s="161"/>
      <c r="D339" s="162"/>
      <c r="E339" s="1"/>
      <c r="F339" s="811"/>
      <c r="G339" s="440"/>
      <c r="H339" s="1"/>
      <c r="I339" s="55"/>
      <c r="J339" s="170"/>
      <c r="K339" s="1"/>
      <c r="L339" s="170"/>
      <c r="M339" s="1"/>
      <c r="N339" s="458"/>
      <c r="O339" s="170"/>
      <c r="P339" s="441"/>
      <c r="Q339" s="55"/>
      <c r="R339" s="177"/>
      <c r="S339" s="454"/>
      <c r="T339" s="178"/>
      <c r="U339" s="178"/>
      <c r="V339" s="179"/>
      <c r="W339" s="180"/>
      <c r="X339" s="179"/>
      <c r="Y339" s="180"/>
      <c r="Z339" s="178"/>
      <c r="AA339" s="178"/>
      <c r="AB339" s="178"/>
      <c r="AC339" s="178"/>
      <c r="AD339" s="182"/>
      <c r="AE339" s="182"/>
      <c r="AF339" s="182"/>
      <c r="AG339" s="182"/>
      <c r="AH339" s="401"/>
      <c r="AI339" s="401"/>
      <c r="AJ339" s="401"/>
      <c r="AK339" s="401"/>
      <c r="AL339" s="401"/>
      <c r="AM339" s="189"/>
      <c r="AN339" s="829"/>
      <c r="AO339" s="830"/>
      <c r="AP339" s="401"/>
      <c r="AQ339" s="401"/>
      <c r="AR339" s="401"/>
      <c r="AS339" s="401"/>
      <c r="AT339" s="403"/>
      <c r="AU339" s="403"/>
      <c r="AV339" s="170"/>
      <c r="AW339" s="166"/>
      <c r="AX339" s="166"/>
      <c r="AY339" s="189"/>
      <c r="AZ339" s="189"/>
      <c r="BA339" s="196"/>
      <c r="BB339" s="629"/>
      <c r="BC339" s="190"/>
      <c r="BD339" s="510"/>
      <c r="BE339" s="510"/>
      <c r="BF339" s="177"/>
      <c r="BG339" s="177"/>
      <c r="BH339" s="166"/>
      <c r="BI339" s="474"/>
      <c r="BJ339" s="166"/>
      <c r="BK339" s="474"/>
      <c r="BL339" s="474"/>
      <c r="BM339" s="474"/>
      <c r="BN339" s="166"/>
      <c r="BO339" s="166"/>
      <c r="BP339" s="204"/>
      <c r="BQ339" s="475"/>
      <c r="BR339" s="205"/>
      <c r="BS339" s="509"/>
      <c r="BT339" s="509"/>
      <c r="BU339" s="459"/>
      <c r="BV339" s="459"/>
      <c r="BW339" s="1"/>
      <c r="BX339" s="1"/>
      <c r="BY339" s="546"/>
      <c r="BZ339" s="546"/>
      <c r="CA339" s="546"/>
      <c r="CB339" s="546"/>
      <c r="CC339" s="728"/>
      <c r="CD339" s="728"/>
      <c r="CE339" s="170"/>
    </row>
    <row r="340" spans="1:83" customFormat="1">
      <c r="A340" s="701"/>
      <c r="B340" s="447"/>
      <c r="C340" s="161"/>
      <c r="D340" s="162"/>
      <c r="E340" s="1"/>
      <c r="F340" s="811"/>
      <c r="G340" s="440"/>
      <c r="H340" s="1"/>
      <c r="I340" s="55"/>
      <c r="J340" s="170"/>
      <c r="K340" s="1"/>
      <c r="L340" s="170"/>
      <c r="M340" s="1"/>
      <c r="N340" s="458"/>
      <c r="O340" s="170"/>
      <c r="P340" s="441"/>
      <c r="Q340" s="55"/>
      <c r="R340" s="177"/>
      <c r="S340" s="454"/>
      <c r="T340" s="178"/>
      <c r="U340" s="178"/>
      <c r="V340" s="179"/>
      <c r="W340" s="180"/>
      <c r="X340" s="179"/>
      <c r="Y340" s="180"/>
      <c r="Z340" s="178"/>
      <c r="AA340" s="178"/>
      <c r="AB340" s="178"/>
      <c r="AC340" s="178"/>
      <c r="AD340" s="182"/>
      <c r="AE340" s="182"/>
      <c r="AF340" s="182"/>
      <c r="AG340" s="182"/>
      <c r="AH340" s="401"/>
      <c r="AI340" s="401"/>
      <c r="AJ340" s="401"/>
      <c r="AK340" s="401"/>
      <c r="AL340" s="401"/>
      <c r="AM340" s="189"/>
      <c r="AN340" s="829"/>
      <c r="AO340" s="830"/>
      <c r="AP340" s="401"/>
      <c r="AQ340" s="401"/>
      <c r="AR340" s="401"/>
      <c r="AS340" s="401"/>
      <c r="AT340" s="403"/>
      <c r="AU340" s="403"/>
      <c r="AV340" s="170"/>
      <c r="AW340" s="166"/>
      <c r="AX340" s="166"/>
      <c r="AY340" s="189"/>
      <c r="AZ340" s="189"/>
      <c r="BA340" s="196"/>
      <c r="BB340" s="629"/>
      <c r="BC340" s="190"/>
      <c r="BD340" s="510"/>
      <c r="BE340" s="510"/>
      <c r="BF340" s="177"/>
      <c r="BG340" s="177"/>
      <c r="BH340" s="166"/>
      <c r="BI340" s="474"/>
      <c r="BJ340" s="166"/>
      <c r="BK340" s="474"/>
      <c r="BL340" s="474"/>
      <c r="BM340" s="474"/>
      <c r="BN340" s="166"/>
      <c r="BO340" s="166"/>
      <c r="BP340" s="204"/>
      <c r="BQ340" s="475"/>
      <c r="BR340" s="205"/>
      <c r="BS340" s="509"/>
      <c r="BT340" s="509"/>
      <c r="BU340" s="459"/>
      <c r="BV340" s="459"/>
      <c r="BW340" s="1"/>
      <c r="BX340" s="1"/>
      <c r="BY340" s="546"/>
      <c r="BZ340" s="546"/>
      <c r="CA340" s="546"/>
      <c r="CB340" s="546"/>
      <c r="CC340" s="728"/>
      <c r="CD340" s="728"/>
      <c r="CE340" s="170"/>
    </row>
    <row r="341" spans="1:83" customFormat="1">
      <c r="A341" s="701"/>
      <c r="B341" s="447"/>
      <c r="C341" s="161"/>
      <c r="D341" s="162"/>
      <c r="E341" s="1"/>
      <c r="F341" s="811"/>
      <c r="G341" s="440"/>
      <c r="H341" s="1"/>
      <c r="I341" s="55"/>
      <c r="J341" s="170"/>
      <c r="K341" s="1"/>
      <c r="L341" s="170"/>
      <c r="M341" s="1"/>
      <c r="N341" s="166"/>
      <c r="O341" s="170"/>
      <c r="P341" s="441"/>
      <c r="Q341" s="55"/>
      <c r="R341" s="177"/>
      <c r="S341" s="454"/>
      <c r="T341" s="178"/>
      <c r="U341" s="178"/>
      <c r="V341" s="179"/>
      <c r="W341" s="180"/>
      <c r="X341" s="179"/>
      <c r="Y341" s="180"/>
      <c r="Z341" s="178"/>
      <c r="AA341" s="178"/>
      <c r="AB341" s="178"/>
      <c r="AC341" s="178"/>
      <c r="AD341" s="182"/>
      <c r="AE341" s="182"/>
      <c r="AF341" s="182"/>
      <c r="AG341" s="182"/>
      <c r="AH341" s="401"/>
      <c r="AI341" s="401"/>
      <c r="AJ341" s="182"/>
      <c r="AK341" s="401"/>
      <c r="AL341" s="401"/>
      <c r="AM341" s="189"/>
      <c r="AN341" s="829"/>
      <c r="AO341" s="830"/>
      <c r="AP341" s="401"/>
      <c r="AQ341" s="401"/>
      <c r="AR341" s="401"/>
      <c r="AS341" s="401"/>
      <c r="AT341" s="403"/>
      <c r="AU341" s="403"/>
      <c r="AV341" s="170"/>
      <c r="AW341" s="166"/>
      <c r="AX341" s="166"/>
      <c r="AY341" s="189"/>
      <c r="AZ341" s="189"/>
      <c r="BA341" s="196"/>
      <c r="BB341" s="629"/>
      <c r="BC341" s="190"/>
      <c r="BD341" s="510"/>
      <c r="BE341" s="510"/>
      <c r="BF341" s="177"/>
      <c r="BG341" s="177"/>
      <c r="BH341" s="166"/>
      <c r="BI341" s="474"/>
      <c r="BJ341" s="166"/>
      <c r="BK341" s="474"/>
      <c r="BL341" s="474"/>
      <c r="BM341" s="474"/>
      <c r="BN341" s="166"/>
      <c r="BO341" s="166"/>
      <c r="BP341" s="204"/>
      <c r="BQ341" s="475"/>
      <c r="BR341" s="205"/>
      <c r="BS341" s="509"/>
      <c r="BT341" s="509"/>
      <c r="BU341" s="459"/>
      <c r="BV341" s="459"/>
      <c r="BW341" s="1"/>
      <c r="BX341" s="1"/>
      <c r="BY341" s="546"/>
      <c r="BZ341" s="546"/>
      <c r="CA341" s="546"/>
      <c r="CB341" s="546"/>
      <c r="CC341" s="728"/>
      <c r="CD341" s="728"/>
      <c r="CE341" s="170"/>
    </row>
    <row r="342" spans="1:83" customFormat="1">
      <c r="A342" s="701"/>
      <c r="B342" s="447"/>
      <c r="C342" s="161"/>
      <c r="D342" s="162"/>
      <c r="E342" s="1"/>
      <c r="F342" s="811"/>
      <c r="G342" s="440"/>
      <c r="H342" s="1"/>
      <c r="I342" s="55"/>
      <c r="J342" s="170"/>
      <c r="K342" s="1"/>
      <c r="L342" s="170"/>
      <c r="M342" s="1"/>
      <c r="N342" s="458"/>
      <c r="O342" s="170"/>
      <c r="P342" s="441"/>
      <c r="Q342" s="55"/>
      <c r="R342" s="177"/>
      <c r="S342" s="454"/>
      <c r="T342" s="178"/>
      <c r="U342" s="178"/>
      <c r="V342" s="179"/>
      <c r="W342" s="180"/>
      <c r="X342" s="179"/>
      <c r="Y342" s="180"/>
      <c r="Z342" s="178"/>
      <c r="AA342" s="178"/>
      <c r="AB342" s="178"/>
      <c r="AC342" s="178"/>
      <c r="AD342" s="182"/>
      <c r="AE342" s="182"/>
      <c r="AF342" s="182"/>
      <c r="AG342" s="182"/>
      <c r="AH342" s="401"/>
      <c r="AI342" s="401"/>
      <c r="AJ342" s="401"/>
      <c r="AK342" s="401"/>
      <c r="AL342" s="401"/>
      <c r="AM342" s="189"/>
      <c r="AN342" s="829"/>
      <c r="AO342" s="830"/>
      <c r="AP342" s="401"/>
      <c r="AQ342" s="401"/>
      <c r="AR342" s="401"/>
      <c r="AS342" s="401"/>
      <c r="AT342" s="403"/>
      <c r="AU342" s="403"/>
      <c r="AV342" s="170"/>
      <c r="AW342" s="166"/>
      <c r="AX342" s="166"/>
      <c r="AY342" s="189"/>
      <c r="AZ342" s="189"/>
      <c r="BA342" s="196"/>
      <c r="BB342" s="629"/>
      <c r="BC342" s="190"/>
      <c r="BD342" s="510"/>
      <c r="BE342" s="510"/>
      <c r="BF342" s="177"/>
      <c r="BG342" s="177"/>
      <c r="BH342" s="166"/>
      <c r="BI342" s="474"/>
      <c r="BJ342" s="166"/>
      <c r="BK342" s="474"/>
      <c r="BL342" s="474"/>
      <c r="BM342" s="474"/>
      <c r="BN342" s="166"/>
      <c r="BO342" s="166"/>
      <c r="BP342" s="204"/>
      <c r="BQ342" s="475"/>
      <c r="BR342" s="205"/>
      <c r="BS342" s="509"/>
      <c r="BT342" s="509"/>
      <c r="BU342" s="459"/>
      <c r="BV342" s="459"/>
      <c r="BW342" s="1"/>
      <c r="BX342" s="1"/>
      <c r="BY342" s="546"/>
      <c r="BZ342" s="546"/>
      <c r="CA342" s="546"/>
      <c r="CB342" s="546"/>
      <c r="CC342" s="728"/>
      <c r="CD342" s="728"/>
      <c r="CE342" s="170"/>
    </row>
    <row r="343" spans="1:83" customFormat="1">
      <c r="A343" s="701"/>
      <c r="B343" s="447"/>
      <c r="C343" s="161"/>
      <c r="D343" s="162"/>
      <c r="E343" s="1"/>
      <c r="F343" s="811"/>
      <c r="G343" s="440"/>
      <c r="H343" s="1"/>
      <c r="I343" s="55"/>
      <c r="J343" s="170"/>
      <c r="K343" s="1"/>
      <c r="L343" s="170"/>
      <c r="M343" s="1"/>
      <c r="N343" s="458"/>
      <c r="O343" s="170"/>
      <c r="P343" s="441"/>
      <c r="Q343" s="55"/>
      <c r="R343" s="177"/>
      <c r="S343" s="454"/>
      <c r="T343" s="178"/>
      <c r="U343" s="178"/>
      <c r="V343" s="179"/>
      <c r="W343" s="180"/>
      <c r="X343" s="179"/>
      <c r="Y343" s="180"/>
      <c r="Z343" s="178"/>
      <c r="AA343" s="178"/>
      <c r="AB343" s="178"/>
      <c r="AC343" s="178"/>
      <c r="AD343" s="182"/>
      <c r="AE343" s="182"/>
      <c r="AF343" s="182"/>
      <c r="AG343" s="182"/>
      <c r="AH343" s="401"/>
      <c r="AI343" s="401"/>
      <c r="AJ343" s="401"/>
      <c r="AK343" s="401"/>
      <c r="AL343" s="401"/>
      <c r="AM343" s="189"/>
      <c r="AN343" s="829"/>
      <c r="AO343" s="830"/>
      <c r="AP343" s="401"/>
      <c r="AQ343" s="401"/>
      <c r="AR343" s="401"/>
      <c r="AS343" s="401"/>
      <c r="AT343" s="403"/>
      <c r="AU343" s="403"/>
      <c r="AV343" s="170"/>
      <c r="AW343" s="166"/>
      <c r="AX343" s="166"/>
      <c r="AY343" s="189"/>
      <c r="AZ343" s="189"/>
      <c r="BA343" s="196"/>
      <c r="BB343" s="629"/>
      <c r="BC343" s="190"/>
      <c r="BD343" s="510"/>
      <c r="BE343" s="510"/>
      <c r="BF343" s="177"/>
      <c r="BG343" s="177"/>
      <c r="BH343" s="166"/>
      <c r="BI343" s="474"/>
      <c r="BJ343" s="166"/>
      <c r="BK343" s="474"/>
      <c r="BL343" s="474"/>
      <c r="BM343" s="474"/>
      <c r="BN343" s="166"/>
      <c r="BO343" s="166"/>
      <c r="BP343" s="204"/>
      <c r="BQ343" s="475"/>
      <c r="BR343" s="205"/>
      <c r="BS343" s="509"/>
      <c r="BT343" s="509"/>
      <c r="BU343" s="459"/>
      <c r="BV343" s="459"/>
      <c r="BW343" s="1"/>
      <c r="BX343" s="1"/>
      <c r="BY343" s="546"/>
      <c r="BZ343" s="546"/>
      <c r="CA343" s="546"/>
      <c r="CB343" s="546"/>
      <c r="CC343" s="728"/>
      <c r="CD343" s="728"/>
      <c r="CE343" s="170"/>
    </row>
    <row r="344" spans="1:83" customFormat="1">
      <c r="A344" s="701"/>
      <c r="B344" s="447"/>
      <c r="C344" s="161"/>
      <c r="D344" s="162"/>
      <c r="E344" s="1"/>
      <c r="F344" s="811"/>
      <c r="G344" s="440"/>
      <c r="H344" s="1"/>
      <c r="I344" s="55"/>
      <c r="J344" s="170"/>
      <c r="K344" s="1"/>
      <c r="L344" s="170"/>
      <c r="M344" s="1"/>
      <c r="N344" s="458"/>
      <c r="O344" s="170"/>
      <c r="P344" s="441"/>
      <c r="Q344" s="55"/>
      <c r="R344" s="177"/>
      <c r="S344" s="454"/>
      <c r="T344" s="178"/>
      <c r="U344" s="178"/>
      <c r="V344" s="179"/>
      <c r="W344" s="180"/>
      <c r="X344" s="179"/>
      <c r="Y344" s="180"/>
      <c r="Z344" s="178"/>
      <c r="AA344" s="178"/>
      <c r="AB344" s="178"/>
      <c r="AC344" s="178"/>
      <c r="AD344" s="182"/>
      <c r="AE344" s="182"/>
      <c r="AF344" s="182"/>
      <c r="AG344" s="182"/>
      <c r="AH344" s="401"/>
      <c r="AI344" s="401"/>
      <c r="AJ344" s="401"/>
      <c r="AK344" s="401"/>
      <c r="AL344" s="401"/>
      <c r="AM344" s="189"/>
      <c r="AN344" s="829"/>
      <c r="AO344" s="830"/>
      <c r="AP344" s="401"/>
      <c r="AQ344" s="401"/>
      <c r="AR344" s="401"/>
      <c r="AS344" s="401"/>
      <c r="AT344" s="403"/>
      <c r="AU344" s="403"/>
      <c r="AV344" s="170"/>
      <c r="AW344" s="166"/>
      <c r="AX344" s="166"/>
      <c r="AY344" s="189"/>
      <c r="AZ344" s="189"/>
      <c r="BA344" s="196"/>
      <c r="BB344" s="629"/>
      <c r="BC344" s="190"/>
      <c r="BD344" s="510"/>
      <c r="BE344" s="510"/>
      <c r="BF344" s="177"/>
      <c r="BG344" s="177"/>
      <c r="BH344" s="166"/>
      <c r="BI344" s="474"/>
      <c r="BJ344" s="166"/>
      <c r="BK344" s="474"/>
      <c r="BL344" s="474"/>
      <c r="BM344" s="474"/>
      <c r="BN344" s="166"/>
      <c r="BO344" s="166"/>
      <c r="BP344" s="204"/>
      <c r="BQ344" s="475"/>
      <c r="BR344" s="205"/>
      <c r="BS344" s="509"/>
      <c r="BT344" s="509"/>
      <c r="BU344" s="459"/>
      <c r="BV344" s="459"/>
      <c r="BW344" s="1"/>
      <c r="BX344" s="1"/>
      <c r="BY344" s="546"/>
      <c r="BZ344" s="546"/>
      <c r="CA344" s="546"/>
      <c r="CB344" s="546"/>
      <c r="CC344" s="728"/>
      <c r="CD344" s="728"/>
      <c r="CE344" s="170"/>
    </row>
    <row r="345" spans="1:83" customFormat="1">
      <c r="A345" s="701"/>
      <c r="B345" s="447"/>
      <c r="C345" s="1"/>
      <c r="D345" s="538"/>
      <c r="E345" s="1"/>
      <c r="F345" s="811"/>
      <c r="G345" s="440"/>
      <c r="H345" s="1"/>
      <c r="I345" s="55"/>
      <c r="J345" s="171"/>
      <c r="K345" s="55"/>
      <c r="L345" s="171"/>
      <c r="M345" s="55"/>
      <c r="N345" s="172"/>
      <c r="O345" s="170"/>
      <c r="P345" s="139"/>
      <c r="Q345" s="172"/>
      <c r="R345" s="181"/>
      <c r="S345" s="455"/>
      <c r="T345" s="170"/>
      <c r="U345" s="170"/>
      <c r="V345" s="1"/>
      <c r="W345" s="173"/>
      <c r="X345" s="1"/>
      <c r="Y345" s="166"/>
      <c r="Z345" s="170"/>
      <c r="AA345" s="170"/>
      <c r="AB345" s="170"/>
      <c r="AC345" s="170"/>
      <c r="AD345" s="182"/>
      <c r="AE345" s="182"/>
      <c r="AF345" s="182"/>
      <c r="AG345" s="182"/>
      <c r="AH345" s="189"/>
      <c r="AI345" s="401"/>
      <c r="AJ345" s="189"/>
      <c r="AK345" s="401"/>
      <c r="AL345" s="401"/>
      <c r="AM345" s="189"/>
      <c r="AN345" s="782"/>
      <c r="AO345" s="189"/>
      <c r="AP345" s="401"/>
      <c r="AQ345" s="401"/>
      <c r="AR345" s="401"/>
      <c r="AS345" s="188"/>
      <c r="AT345" s="1"/>
      <c r="AU345" s="403"/>
      <c r="AV345" s="1"/>
      <c r="AW345" s="166"/>
      <c r="AX345" s="166"/>
      <c r="AY345" s="189"/>
      <c r="AZ345" s="189"/>
      <c r="BA345" s="196"/>
      <c r="BB345" s="629"/>
      <c r="BC345" s="197"/>
      <c r="BD345" s="510"/>
      <c r="BE345" s="510"/>
      <c r="BF345" s="177"/>
      <c r="BG345" s="177"/>
      <c r="BH345" s="166"/>
      <c r="BI345" s="474"/>
      <c r="BJ345" s="166"/>
      <c r="BK345" s="474"/>
      <c r="BL345" s="474"/>
      <c r="BM345" s="474"/>
      <c r="BN345" s="166"/>
      <c r="BO345" s="166"/>
      <c r="BP345" s="204"/>
      <c r="BQ345" s="475"/>
      <c r="BR345" s="205"/>
      <c r="BS345" s="509"/>
      <c r="BT345" s="509"/>
      <c r="BU345" s="459"/>
      <c r="BV345" s="459"/>
      <c r="BW345" s="1"/>
      <c r="BX345" s="1"/>
      <c r="BY345" s="546"/>
      <c r="BZ345" s="546"/>
      <c r="CA345" s="546"/>
      <c r="CB345" s="546"/>
      <c r="CC345" s="728"/>
      <c r="CD345" s="728"/>
      <c r="CE345" s="170"/>
    </row>
    <row r="346" spans="1:83" customFormat="1">
      <c r="A346" s="701"/>
      <c r="B346" s="447"/>
      <c r="C346" s="161"/>
      <c r="D346" s="162"/>
      <c r="E346" s="1"/>
      <c r="F346" s="811"/>
      <c r="G346" s="440"/>
      <c r="H346" s="1"/>
      <c r="I346" s="55"/>
      <c r="J346" s="170"/>
      <c r="K346" s="1"/>
      <c r="L346" s="170"/>
      <c r="M346" s="1"/>
      <c r="N346" s="458"/>
      <c r="O346" s="170"/>
      <c r="P346" s="441"/>
      <c r="Q346" s="55"/>
      <c r="R346" s="177"/>
      <c r="S346" s="454"/>
      <c r="T346" s="178"/>
      <c r="U346" s="178"/>
      <c r="V346" s="179"/>
      <c r="W346" s="180"/>
      <c r="X346" s="179"/>
      <c r="Y346" s="180"/>
      <c r="Z346" s="178"/>
      <c r="AA346" s="178"/>
      <c r="AB346" s="178"/>
      <c r="AC346" s="178"/>
      <c r="AD346" s="182"/>
      <c r="AE346" s="182"/>
      <c r="AF346" s="182"/>
      <c r="AG346" s="182"/>
      <c r="AH346" s="401"/>
      <c r="AI346" s="401"/>
      <c r="AJ346" s="401"/>
      <c r="AK346" s="401"/>
      <c r="AL346" s="401"/>
      <c r="AM346" s="189"/>
      <c r="AN346" s="829"/>
      <c r="AO346" s="830"/>
      <c r="AP346" s="401"/>
      <c r="AQ346" s="401"/>
      <c r="AR346" s="401"/>
      <c r="AS346" s="401"/>
      <c r="AT346" s="403"/>
      <c r="AU346" s="403"/>
      <c r="AV346" s="170"/>
      <c r="AW346" s="166"/>
      <c r="AX346" s="166"/>
      <c r="AY346" s="189"/>
      <c r="AZ346" s="189"/>
      <c r="BA346" s="196"/>
      <c r="BB346" s="629"/>
      <c r="BC346" s="190"/>
      <c r="BD346" s="510"/>
      <c r="BE346" s="510"/>
      <c r="BF346" s="177"/>
      <c r="BG346" s="177"/>
      <c r="BH346" s="166"/>
      <c r="BI346" s="474"/>
      <c r="BJ346" s="166"/>
      <c r="BK346" s="474"/>
      <c r="BL346" s="474"/>
      <c r="BM346" s="474"/>
      <c r="BN346" s="166"/>
      <c r="BO346" s="166"/>
      <c r="BP346" s="204"/>
      <c r="BQ346" s="475"/>
      <c r="BR346" s="205"/>
      <c r="BS346" s="509"/>
      <c r="BT346" s="509"/>
      <c r="BU346" s="459"/>
      <c r="BV346" s="459"/>
      <c r="BW346" s="1"/>
      <c r="BX346" s="1"/>
      <c r="BY346" s="546"/>
      <c r="BZ346" s="546"/>
      <c r="CA346" s="546"/>
      <c r="CB346" s="546"/>
      <c r="CC346" s="728"/>
      <c r="CD346" s="728"/>
      <c r="CE346" s="170"/>
    </row>
    <row r="347" spans="1:83" customFormat="1">
      <c r="A347" s="701"/>
      <c r="B347" s="447"/>
      <c r="C347" s="161"/>
      <c r="D347" s="162"/>
      <c r="E347" s="1"/>
      <c r="F347" s="811"/>
      <c r="G347" s="440"/>
      <c r="H347" s="1"/>
      <c r="I347" s="55"/>
      <c r="J347" s="170"/>
      <c r="K347" s="1"/>
      <c r="L347" s="170"/>
      <c r="M347" s="1"/>
      <c r="N347" s="458"/>
      <c r="O347" s="170"/>
      <c r="P347" s="441"/>
      <c r="Q347" s="55"/>
      <c r="R347" s="177"/>
      <c r="S347" s="454"/>
      <c r="T347" s="178"/>
      <c r="U347" s="178"/>
      <c r="V347" s="179"/>
      <c r="W347" s="180"/>
      <c r="X347" s="179"/>
      <c r="Y347" s="180"/>
      <c r="Z347" s="178"/>
      <c r="AA347" s="178"/>
      <c r="AB347" s="178"/>
      <c r="AC347" s="178"/>
      <c r="AD347" s="182"/>
      <c r="AE347" s="182"/>
      <c r="AF347" s="182"/>
      <c r="AG347" s="182"/>
      <c r="AH347" s="401"/>
      <c r="AI347" s="401"/>
      <c r="AJ347" s="401"/>
      <c r="AK347" s="401"/>
      <c r="AL347" s="401"/>
      <c r="AM347" s="189"/>
      <c r="AN347" s="829"/>
      <c r="AO347" s="830"/>
      <c r="AP347" s="401"/>
      <c r="AQ347" s="401"/>
      <c r="AR347" s="401"/>
      <c r="AS347" s="401"/>
      <c r="AT347" s="403"/>
      <c r="AU347" s="403"/>
      <c r="AV347" s="170"/>
      <c r="AW347" s="166"/>
      <c r="AX347" s="166"/>
      <c r="AY347" s="189"/>
      <c r="AZ347" s="189"/>
      <c r="BA347" s="196"/>
      <c r="BB347" s="629"/>
      <c r="BC347" s="190"/>
      <c r="BD347" s="510"/>
      <c r="BE347" s="510"/>
      <c r="BF347" s="177"/>
      <c r="BG347" s="177"/>
      <c r="BH347" s="166"/>
      <c r="BI347" s="474"/>
      <c r="BJ347" s="166"/>
      <c r="BK347" s="474"/>
      <c r="BL347" s="474"/>
      <c r="BM347" s="474"/>
      <c r="BN347" s="166"/>
      <c r="BO347" s="166"/>
      <c r="BP347" s="204"/>
      <c r="BQ347" s="475"/>
      <c r="BR347" s="205"/>
      <c r="BS347" s="509"/>
      <c r="BT347" s="509"/>
      <c r="BU347" s="459"/>
      <c r="BV347" s="459"/>
      <c r="BW347" s="1"/>
      <c r="BX347" s="1"/>
      <c r="BY347" s="546"/>
      <c r="BZ347" s="546"/>
      <c r="CA347" s="546"/>
      <c r="CB347" s="546"/>
      <c r="CC347" s="728"/>
      <c r="CD347" s="728"/>
      <c r="CE347" s="170"/>
    </row>
    <row r="348" spans="1:83" customFormat="1">
      <c r="A348" s="701"/>
      <c r="B348" s="447"/>
      <c r="C348" s="161"/>
      <c r="D348" s="162"/>
      <c r="E348" s="1"/>
      <c r="F348" s="811"/>
      <c r="G348" s="440"/>
      <c r="H348" s="1"/>
      <c r="I348" s="55"/>
      <c r="J348" s="457"/>
      <c r="K348" s="1"/>
      <c r="L348" s="170"/>
      <c r="M348" s="1"/>
      <c r="N348" s="458"/>
      <c r="O348" s="170"/>
      <c r="P348" s="441"/>
      <c r="Q348" s="55"/>
      <c r="R348" s="177"/>
      <c r="S348" s="454"/>
      <c r="T348" s="178"/>
      <c r="U348" s="178"/>
      <c r="V348" s="179"/>
      <c r="W348" s="180"/>
      <c r="X348" s="179"/>
      <c r="Y348" s="180"/>
      <c r="Z348" s="178"/>
      <c r="AA348" s="178"/>
      <c r="AB348" s="178"/>
      <c r="AC348" s="178"/>
      <c r="AD348" s="182"/>
      <c r="AE348" s="182"/>
      <c r="AF348" s="182"/>
      <c r="AG348" s="182"/>
      <c r="AH348" s="401"/>
      <c r="AI348" s="401"/>
      <c r="AJ348" s="401"/>
      <c r="AK348" s="401"/>
      <c r="AL348" s="401"/>
      <c r="AM348" s="189"/>
      <c r="AN348" s="829"/>
      <c r="AO348" s="830"/>
      <c r="AP348" s="401"/>
      <c r="AQ348" s="401"/>
      <c r="AR348" s="401"/>
      <c r="AS348" s="401"/>
      <c r="AT348" s="403"/>
      <c r="AU348" s="403"/>
      <c r="AV348" s="170"/>
      <c r="AW348" s="166"/>
      <c r="AX348" s="166"/>
      <c r="AY348" s="189"/>
      <c r="AZ348" s="189"/>
      <c r="BA348" s="196"/>
      <c r="BB348" s="629"/>
      <c r="BC348" s="190"/>
      <c r="BD348" s="510"/>
      <c r="BE348" s="510"/>
      <c r="BF348" s="177"/>
      <c r="BG348" s="177"/>
      <c r="BH348" s="166"/>
      <c r="BI348" s="474"/>
      <c r="BJ348" s="166"/>
      <c r="BK348" s="474"/>
      <c r="BL348" s="474"/>
      <c r="BM348" s="474"/>
      <c r="BN348" s="166"/>
      <c r="BO348" s="166"/>
      <c r="BP348" s="204"/>
      <c r="BQ348" s="475"/>
      <c r="BR348" s="205"/>
      <c r="BS348" s="509"/>
      <c r="BT348" s="509"/>
      <c r="BU348" s="459"/>
      <c r="BV348" s="459"/>
      <c r="BW348" s="1"/>
      <c r="BX348" s="1"/>
      <c r="BY348" s="546"/>
      <c r="BZ348" s="546"/>
      <c r="CA348" s="546"/>
      <c r="CB348" s="546"/>
      <c r="CC348" s="728"/>
      <c r="CD348" s="728"/>
      <c r="CE348" s="170"/>
    </row>
    <row r="349" spans="1:83" customFormat="1">
      <c r="A349" s="701"/>
      <c r="B349" s="447"/>
      <c r="C349" s="161"/>
      <c r="D349" s="162"/>
      <c r="E349" s="1"/>
      <c r="F349" s="811"/>
      <c r="G349" s="440"/>
      <c r="H349" s="1"/>
      <c r="I349" s="55"/>
      <c r="J349" s="170"/>
      <c r="K349" s="1"/>
      <c r="L349" s="170"/>
      <c r="M349" s="1"/>
      <c r="N349" s="458"/>
      <c r="O349" s="170"/>
      <c r="P349" s="441"/>
      <c r="Q349" s="55"/>
      <c r="R349" s="177"/>
      <c r="S349" s="454"/>
      <c r="T349" s="178"/>
      <c r="U349" s="178"/>
      <c r="V349" s="179"/>
      <c r="W349" s="180"/>
      <c r="X349" s="179"/>
      <c r="Y349" s="180"/>
      <c r="Z349" s="178"/>
      <c r="AA349" s="178"/>
      <c r="AB349" s="178"/>
      <c r="AC349" s="178"/>
      <c r="AD349" s="182"/>
      <c r="AE349" s="182"/>
      <c r="AF349" s="182"/>
      <c r="AG349" s="182"/>
      <c r="AH349" s="401"/>
      <c r="AI349" s="401"/>
      <c r="AJ349" s="401"/>
      <c r="AK349" s="401"/>
      <c r="AL349" s="401"/>
      <c r="AM349" s="189"/>
      <c r="AN349" s="829"/>
      <c r="AO349" s="830"/>
      <c r="AP349" s="401"/>
      <c r="AQ349" s="401"/>
      <c r="AR349" s="401"/>
      <c r="AS349" s="401"/>
      <c r="AT349" s="403"/>
      <c r="AU349" s="403"/>
      <c r="AV349" s="170"/>
      <c r="AW349" s="166"/>
      <c r="AX349" s="166"/>
      <c r="AY349" s="189"/>
      <c r="AZ349" s="189"/>
      <c r="BA349" s="196"/>
      <c r="BB349" s="629"/>
      <c r="BC349" s="190"/>
      <c r="BD349" s="510"/>
      <c r="BE349" s="510"/>
      <c r="BF349" s="177"/>
      <c r="BG349" s="177"/>
      <c r="BH349" s="166"/>
      <c r="BI349" s="474"/>
      <c r="BJ349" s="166"/>
      <c r="BK349" s="474"/>
      <c r="BL349" s="474"/>
      <c r="BM349" s="474"/>
      <c r="BN349" s="166"/>
      <c r="BO349" s="166"/>
      <c r="BP349" s="204"/>
      <c r="BQ349" s="475"/>
      <c r="BR349" s="205"/>
      <c r="BS349" s="509"/>
      <c r="BT349" s="509"/>
      <c r="BU349" s="459"/>
      <c r="BV349" s="459"/>
      <c r="BW349" s="1"/>
      <c r="BX349" s="1"/>
      <c r="BY349" s="546"/>
      <c r="BZ349" s="546"/>
      <c r="CA349" s="546"/>
      <c r="CB349" s="546"/>
      <c r="CC349" s="728"/>
      <c r="CD349" s="728"/>
      <c r="CE349" s="170"/>
    </row>
    <row r="350" spans="1:83" customFormat="1">
      <c r="A350" s="701"/>
      <c r="B350" s="447"/>
      <c r="C350" s="161"/>
      <c r="D350" s="162"/>
      <c r="E350" s="1"/>
      <c r="F350" s="811"/>
      <c r="G350" s="440"/>
      <c r="H350" s="1"/>
      <c r="I350" s="55"/>
      <c r="J350" s="170"/>
      <c r="K350" s="1"/>
      <c r="L350" s="170"/>
      <c r="M350" s="1"/>
      <c r="N350" s="458"/>
      <c r="O350" s="170"/>
      <c r="P350" s="441"/>
      <c r="Q350" s="55"/>
      <c r="R350" s="177"/>
      <c r="S350" s="454"/>
      <c r="T350" s="178"/>
      <c r="U350" s="178"/>
      <c r="V350" s="179"/>
      <c r="W350" s="180"/>
      <c r="X350" s="179"/>
      <c r="Y350" s="180"/>
      <c r="Z350" s="178"/>
      <c r="AA350" s="178"/>
      <c r="AB350" s="178"/>
      <c r="AC350" s="178"/>
      <c r="AD350" s="182"/>
      <c r="AE350" s="182"/>
      <c r="AF350" s="182"/>
      <c r="AG350" s="182"/>
      <c r="AH350" s="401"/>
      <c r="AI350" s="401"/>
      <c r="AJ350" s="401"/>
      <c r="AK350" s="401"/>
      <c r="AL350" s="401"/>
      <c r="AM350" s="189"/>
      <c r="AN350" s="829"/>
      <c r="AO350" s="830"/>
      <c r="AP350" s="401"/>
      <c r="AQ350" s="401"/>
      <c r="AR350" s="401"/>
      <c r="AS350" s="401"/>
      <c r="AT350" s="403"/>
      <c r="AU350" s="403"/>
      <c r="AV350" s="170"/>
      <c r="AW350" s="166"/>
      <c r="AX350" s="166"/>
      <c r="AY350" s="189"/>
      <c r="AZ350" s="189"/>
      <c r="BA350" s="196"/>
      <c r="BB350" s="629"/>
      <c r="BC350" s="190"/>
      <c r="BD350" s="510"/>
      <c r="BE350" s="510"/>
      <c r="BF350" s="177"/>
      <c r="BG350" s="177"/>
      <c r="BH350" s="166"/>
      <c r="BI350" s="474"/>
      <c r="BJ350" s="166"/>
      <c r="BK350" s="474"/>
      <c r="BL350" s="474"/>
      <c r="BM350" s="474"/>
      <c r="BN350" s="166"/>
      <c r="BO350" s="166"/>
      <c r="BP350" s="204"/>
      <c r="BQ350" s="475"/>
      <c r="BR350" s="205"/>
      <c r="BS350" s="509"/>
      <c r="BT350" s="509"/>
      <c r="BU350" s="459"/>
      <c r="BV350" s="459"/>
      <c r="BW350" s="1"/>
      <c r="BX350" s="1"/>
      <c r="BY350" s="546"/>
      <c r="BZ350" s="546"/>
      <c r="CA350" s="546"/>
      <c r="CB350" s="546"/>
      <c r="CC350" s="728"/>
      <c r="CD350" s="728"/>
      <c r="CE350" s="170"/>
    </row>
    <row r="351" spans="1:83" customFormat="1">
      <c r="A351" s="701"/>
      <c r="B351" s="447"/>
      <c r="C351" s="161"/>
      <c r="D351" s="162"/>
      <c r="E351" s="1"/>
      <c r="F351" s="811"/>
      <c r="G351" s="440"/>
      <c r="H351" s="1"/>
      <c r="I351" s="55"/>
      <c r="J351" s="170"/>
      <c r="K351" s="1"/>
      <c r="L351" s="170"/>
      <c r="M351" s="1"/>
      <c r="N351" s="458"/>
      <c r="O351" s="170"/>
      <c r="P351" s="441"/>
      <c r="Q351" s="55"/>
      <c r="R351" s="177"/>
      <c r="S351" s="454"/>
      <c r="T351" s="178"/>
      <c r="U351" s="178"/>
      <c r="V351" s="179"/>
      <c r="W351" s="180"/>
      <c r="X351" s="179"/>
      <c r="Y351" s="180"/>
      <c r="Z351" s="178"/>
      <c r="AA351" s="178"/>
      <c r="AB351" s="178"/>
      <c r="AC351" s="178"/>
      <c r="AD351" s="182"/>
      <c r="AE351" s="182"/>
      <c r="AF351" s="182"/>
      <c r="AG351" s="182"/>
      <c r="AH351" s="401"/>
      <c r="AI351" s="401"/>
      <c r="AJ351" s="401"/>
      <c r="AK351" s="401"/>
      <c r="AL351" s="401"/>
      <c r="AM351" s="189"/>
      <c r="AN351" s="829"/>
      <c r="AO351" s="830"/>
      <c r="AP351" s="401"/>
      <c r="AQ351" s="401"/>
      <c r="AR351" s="401"/>
      <c r="AS351" s="401"/>
      <c r="AT351" s="403"/>
      <c r="AU351" s="403"/>
      <c r="AV351" s="170"/>
      <c r="AW351" s="166"/>
      <c r="AX351" s="166"/>
      <c r="AY351" s="189"/>
      <c r="AZ351" s="189"/>
      <c r="BA351" s="196"/>
      <c r="BB351" s="629"/>
      <c r="BC351" s="190"/>
      <c r="BD351" s="510"/>
      <c r="BE351" s="510"/>
      <c r="BF351" s="177"/>
      <c r="BG351" s="177"/>
      <c r="BH351" s="166"/>
      <c r="BI351" s="474"/>
      <c r="BJ351" s="166"/>
      <c r="BK351" s="474"/>
      <c r="BL351" s="474"/>
      <c r="BM351" s="474"/>
      <c r="BN351" s="166"/>
      <c r="BO351" s="166"/>
      <c r="BP351" s="204"/>
      <c r="BQ351" s="475"/>
      <c r="BR351" s="205"/>
      <c r="BS351" s="509"/>
      <c r="BT351" s="509"/>
      <c r="BU351" s="459"/>
      <c r="BV351" s="459"/>
      <c r="BW351" s="1"/>
      <c r="BX351" s="1"/>
      <c r="BY351" s="546"/>
      <c r="BZ351" s="546"/>
      <c r="CA351" s="546"/>
      <c r="CB351" s="546"/>
      <c r="CC351" s="728"/>
      <c r="CD351" s="728"/>
      <c r="CE351" s="170"/>
    </row>
    <row r="352" spans="1:83" customFormat="1">
      <c r="A352" s="701"/>
      <c r="B352" s="447"/>
      <c r="C352" s="161"/>
      <c r="D352" s="162"/>
      <c r="E352" s="1"/>
      <c r="F352" s="811"/>
      <c r="G352" s="440"/>
      <c r="H352" s="1"/>
      <c r="I352" s="55"/>
      <c r="J352" s="457"/>
      <c r="K352" s="1"/>
      <c r="L352" s="170"/>
      <c r="M352" s="1"/>
      <c r="N352" s="458"/>
      <c r="O352" s="170"/>
      <c r="P352" s="441"/>
      <c r="Q352" s="55"/>
      <c r="R352" s="177"/>
      <c r="S352" s="454"/>
      <c r="T352" s="178"/>
      <c r="U352" s="178"/>
      <c r="V352" s="179"/>
      <c r="W352" s="180"/>
      <c r="X352" s="179"/>
      <c r="Y352" s="180"/>
      <c r="Z352" s="178"/>
      <c r="AA352" s="178"/>
      <c r="AB352" s="178"/>
      <c r="AC352" s="178"/>
      <c r="AD352" s="182"/>
      <c r="AE352" s="182"/>
      <c r="AF352" s="182"/>
      <c r="AG352" s="182"/>
      <c r="AH352" s="401"/>
      <c r="AI352" s="401"/>
      <c r="AJ352" s="401"/>
      <c r="AK352" s="401"/>
      <c r="AL352" s="401"/>
      <c r="AM352" s="189"/>
      <c r="AN352" s="829"/>
      <c r="AO352" s="830"/>
      <c r="AP352" s="401"/>
      <c r="AQ352" s="401"/>
      <c r="AR352" s="401"/>
      <c r="AS352" s="401"/>
      <c r="AT352" s="403"/>
      <c r="AU352" s="403"/>
      <c r="AV352" s="170"/>
      <c r="AW352" s="166"/>
      <c r="AX352" s="166"/>
      <c r="AY352" s="189"/>
      <c r="AZ352" s="189"/>
      <c r="BA352" s="196"/>
      <c r="BB352" s="629"/>
      <c r="BC352" s="190"/>
      <c r="BD352" s="510"/>
      <c r="BE352" s="510"/>
      <c r="BF352" s="177"/>
      <c r="BG352" s="177"/>
      <c r="BH352" s="166"/>
      <c r="BI352" s="474"/>
      <c r="BJ352" s="166"/>
      <c r="BK352" s="474"/>
      <c r="BL352" s="474"/>
      <c r="BM352" s="474"/>
      <c r="BN352" s="166"/>
      <c r="BO352" s="166"/>
      <c r="BP352" s="204"/>
      <c r="BQ352" s="475"/>
      <c r="BR352" s="205"/>
      <c r="BS352" s="509"/>
      <c r="BT352" s="509"/>
      <c r="BU352" s="459"/>
      <c r="BV352" s="459"/>
      <c r="BW352" s="1"/>
      <c r="BX352" s="1"/>
      <c r="BY352" s="546"/>
      <c r="BZ352" s="546"/>
      <c r="CA352" s="546"/>
      <c r="CB352" s="546"/>
      <c r="CC352" s="728"/>
      <c r="CD352" s="728"/>
      <c r="CE352" s="170"/>
    </row>
    <row r="353" spans="1:83" customFormat="1">
      <c r="A353" s="701"/>
      <c r="B353" s="447"/>
      <c r="C353" s="161"/>
      <c r="D353" s="162"/>
      <c r="E353" s="1"/>
      <c r="F353" s="811"/>
      <c r="G353" s="440"/>
      <c r="H353" s="1"/>
      <c r="I353" s="55"/>
      <c r="J353" s="170"/>
      <c r="K353" s="1"/>
      <c r="L353" s="170"/>
      <c r="M353" s="1"/>
      <c r="N353" s="458"/>
      <c r="O353" s="170"/>
      <c r="P353" s="441"/>
      <c r="Q353" s="55"/>
      <c r="R353" s="177"/>
      <c r="S353" s="454"/>
      <c r="T353" s="178"/>
      <c r="U353" s="178"/>
      <c r="V353" s="179"/>
      <c r="W353" s="180"/>
      <c r="X353" s="179"/>
      <c r="Y353" s="180"/>
      <c r="Z353" s="178"/>
      <c r="AA353" s="178"/>
      <c r="AB353" s="178"/>
      <c r="AC353" s="178"/>
      <c r="AD353" s="182"/>
      <c r="AE353" s="182"/>
      <c r="AF353" s="182"/>
      <c r="AG353" s="182"/>
      <c r="AH353" s="401"/>
      <c r="AI353" s="401"/>
      <c r="AJ353" s="401"/>
      <c r="AK353" s="401"/>
      <c r="AL353" s="401"/>
      <c r="AM353" s="189"/>
      <c r="AN353" s="829"/>
      <c r="AO353" s="830"/>
      <c r="AP353" s="401"/>
      <c r="AQ353" s="401"/>
      <c r="AR353" s="401"/>
      <c r="AS353" s="401"/>
      <c r="AT353" s="403"/>
      <c r="AU353" s="403"/>
      <c r="AV353" s="170"/>
      <c r="AW353" s="166"/>
      <c r="AX353" s="166"/>
      <c r="AY353" s="189"/>
      <c r="AZ353" s="189"/>
      <c r="BA353" s="196"/>
      <c r="BB353" s="629"/>
      <c r="BC353" s="190"/>
      <c r="BD353" s="510"/>
      <c r="BE353" s="510"/>
      <c r="BF353" s="177"/>
      <c r="BG353" s="177"/>
      <c r="BH353" s="166"/>
      <c r="BI353" s="474"/>
      <c r="BJ353" s="166"/>
      <c r="BK353" s="474"/>
      <c r="BL353" s="474"/>
      <c r="BM353" s="474"/>
      <c r="BN353" s="166"/>
      <c r="BO353" s="166"/>
      <c r="BP353" s="204"/>
      <c r="BQ353" s="475"/>
      <c r="BR353" s="205"/>
      <c r="BS353" s="509"/>
      <c r="BT353" s="509"/>
      <c r="BU353" s="459"/>
      <c r="BV353" s="459"/>
      <c r="BW353" s="1"/>
      <c r="BX353" s="1"/>
      <c r="BY353" s="546"/>
      <c r="BZ353" s="546"/>
      <c r="CA353" s="546"/>
      <c r="CB353" s="546"/>
      <c r="CC353" s="728"/>
      <c r="CD353" s="728"/>
      <c r="CE353" s="170"/>
    </row>
    <row r="354" spans="1:83" customFormat="1">
      <c r="A354" s="701"/>
      <c r="B354" s="447"/>
      <c r="C354" s="161"/>
      <c r="D354" s="162"/>
      <c r="E354" s="1"/>
      <c r="F354" s="811"/>
      <c r="G354" s="440"/>
      <c r="H354" s="1"/>
      <c r="I354" s="55"/>
      <c r="J354" s="170"/>
      <c r="K354" s="1"/>
      <c r="L354" s="170"/>
      <c r="M354" s="1"/>
      <c r="N354" s="166"/>
      <c r="O354" s="170"/>
      <c r="P354" s="441"/>
      <c r="Q354" s="55"/>
      <c r="R354" s="177"/>
      <c r="S354" s="454"/>
      <c r="T354" s="178"/>
      <c r="U354" s="178"/>
      <c r="V354" s="179"/>
      <c r="W354" s="180"/>
      <c r="X354" s="179"/>
      <c r="Y354" s="180"/>
      <c r="Z354" s="178"/>
      <c r="AA354" s="178"/>
      <c r="AB354" s="178"/>
      <c r="AC354" s="178"/>
      <c r="AD354" s="182"/>
      <c r="AE354" s="182"/>
      <c r="AF354" s="182"/>
      <c r="AG354" s="182"/>
      <c r="AH354" s="401"/>
      <c r="AI354" s="401"/>
      <c r="AJ354" s="182"/>
      <c r="AK354" s="401"/>
      <c r="AL354" s="401"/>
      <c r="AM354" s="189"/>
      <c r="AN354" s="829"/>
      <c r="AO354" s="830"/>
      <c r="AP354" s="401"/>
      <c r="AQ354" s="401"/>
      <c r="AR354" s="401"/>
      <c r="AS354" s="401"/>
      <c r="AT354" s="403"/>
      <c r="AU354" s="403"/>
      <c r="AV354" s="170"/>
      <c r="AW354" s="166"/>
      <c r="AX354" s="166"/>
      <c r="AY354" s="189"/>
      <c r="AZ354" s="189"/>
      <c r="BA354" s="196"/>
      <c r="BB354" s="629"/>
      <c r="BC354" s="190"/>
      <c r="BD354" s="510"/>
      <c r="BE354" s="510"/>
      <c r="BF354" s="177"/>
      <c r="BG354" s="177"/>
      <c r="BH354" s="166"/>
      <c r="BI354" s="474"/>
      <c r="BJ354" s="166"/>
      <c r="BK354" s="474"/>
      <c r="BL354" s="474"/>
      <c r="BM354" s="474"/>
      <c r="BN354" s="166"/>
      <c r="BO354" s="166"/>
      <c r="BP354" s="204"/>
      <c r="BQ354" s="475"/>
      <c r="BR354" s="205"/>
      <c r="BS354" s="509"/>
      <c r="BT354" s="509"/>
      <c r="BU354" s="459"/>
      <c r="BV354" s="459"/>
      <c r="BW354" s="1"/>
      <c r="BX354" s="1"/>
      <c r="BY354" s="546"/>
      <c r="BZ354" s="546"/>
      <c r="CA354" s="546"/>
      <c r="CB354" s="546"/>
      <c r="CC354" s="728"/>
      <c r="CD354" s="728"/>
      <c r="CE354" s="170"/>
    </row>
    <row r="355" spans="1:83" customFormat="1">
      <c r="A355" s="701"/>
      <c r="B355" s="447"/>
      <c r="C355" s="161"/>
      <c r="D355" s="162"/>
      <c r="E355" s="1"/>
      <c r="F355" s="811"/>
      <c r="G355" s="440"/>
      <c r="H355" s="1"/>
      <c r="I355" s="55"/>
      <c r="J355" s="170"/>
      <c r="K355" s="1"/>
      <c r="L355" s="170"/>
      <c r="M355" s="1"/>
      <c r="N355" s="458"/>
      <c r="O355" s="170"/>
      <c r="P355" s="441"/>
      <c r="Q355" s="55"/>
      <c r="R355" s="177"/>
      <c r="S355" s="454"/>
      <c r="T355" s="178"/>
      <c r="U355" s="178"/>
      <c r="V355" s="179"/>
      <c r="W355" s="180"/>
      <c r="X355" s="179"/>
      <c r="Y355" s="180"/>
      <c r="Z355" s="178"/>
      <c r="AA355" s="178"/>
      <c r="AB355" s="178"/>
      <c r="AC355" s="178"/>
      <c r="AD355" s="182"/>
      <c r="AE355" s="182"/>
      <c r="AF355" s="182"/>
      <c r="AG355" s="182"/>
      <c r="AH355" s="401"/>
      <c r="AI355" s="401"/>
      <c r="AJ355" s="401"/>
      <c r="AK355" s="401"/>
      <c r="AL355" s="401"/>
      <c r="AM355" s="189"/>
      <c r="AN355" s="829"/>
      <c r="AO355" s="830"/>
      <c r="AP355" s="401"/>
      <c r="AQ355" s="401"/>
      <c r="AR355" s="401"/>
      <c r="AS355" s="401"/>
      <c r="AT355" s="403"/>
      <c r="AU355" s="403"/>
      <c r="AV355" s="170"/>
      <c r="AW355" s="166"/>
      <c r="AX355" s="166"/>
      <c r="AY355" s="189"/>
      <c r="AZ355" s="189"/>
      <c r="BA355" s="196"/>
      <c r="BB355" s="629"/>
      <c r="BC355" s="190"/>
      <c r="BD355" s="510"/>
      <c r="BE355" s="510"/>
      <c r="BF355" s="177"/>
      <c r="BG355" s="177"/>
      <c r="BH355" s="166"/>
      <c r="BI355" s="474"/>
      <c r="BJ355" s="166"/>
      <c r="BK355" s="474"/>
      <c r="BL355" s="474"/>
      <c r="BM355" s="474"/>
      <c r="BN355" s="166"/>
      <c r="BO355" s="166"/>
      <c r="BP355" s="204"/>
      <c r="BQ355" s="475"/>
      <c r="BR355" s="205"/>
      <c r="BS355" s="509"/>
      <c r="BT355" s="509"/>
      <c r="BU355" s="459"/>
      <c r="BV355" s="459"/>
      <c r="BW355" s="1"/>
      <c r="BX355" s="1"/>
      <c r="BY355" s="546"/>
      <c r="BZ355" s="546"/>
      <c r="CA355" s="546"/>
      <c r="CB355" s="546"/>
      <c r="CC355" s="728"/>
      <c r="CD355" s="728"/>
      <c r="CE355" s="170"/>
    </row>
    <row r="356" spans="1:83" customFormat="1">
      <c r="A356" s="701"/>
      <c r="B356" s="447"/>
      <c r="C356" s="161"/>
      <c r="D356" s="162"/>
      <c r="E356" s="1"/>
      <c r="F356" s="811"/>
      <c r="G356" s="440"/>
      <c r="H356" s="1"/>
      <c r="I356" s="55"/>
      <c r="J356" s="170"/>
      <c r="K356" s="1"/>
      <c r="L356" s="170"/>
      <c r="M356" s="1"/>
      <c r="N356" s="458"/>
      <c r="O356" s="170"/>
      <c r="P356" s="441"/>
      <c r="Q356" s="55"/>
      <c r="R356" s="177"/>
      <c r="S356" s="454"/>
      <c r="T356" s="178"/>
      <c r="U356" s="178"/>
      <c r="V356" s="179"/>
      <c r="W356" s="180"/>
      <c r="X356" s="179"/>
      <c r="Y356" s="180"/>
      <c r="Z356" s="178"/>
      <c r="AA356" s="178"/>
      <c r="AB356" s="178"/>
      <c r="AC356" s="178"/>
      <c r="AD356" s="182"/>
      <c r="AE356" s="182"/>
      <c r="AF356" s="182"/>
      <c r="AG356" s="182"/>
      <c r="AH356" s="401"/>
      <c r="AI356" s="401"/>
      <c r="AJ356" s="401"/>
      <c r="AK356" s="401"/>
      <c r="AL356" s="401"/>
      <c r="AM356" s="189"/>
      <c r="AN356" s="829"/>
      <c r="AO356" s="830"/>
      <c r="AP356" s="401"/>
      <c r="AQ356" s="401"/>
      <c r="AR356" s="401"/>
      <c r="AS356" s="401"/>
      <c r="AT356" s="403"/>
      <c r="AU356" s="403"/>
      <c r="AV356" s="170"/>
      <c r="AW356" s="166"/>
      <c r="AX356" s="166"/>
      <c r="AY356" s="189"/>
      <c r="AZ356" s="189"/>
      <c r="BA356" s="196"/>
      <c r="BB356" s="629"/>
      <c r="BC356" s="190"/>
      <c r="BD356" s="510"/>
      <c r="BE356" s="510"/>
      <c r="BF356" s="177"/>
      <c r="BG356" s="177"/>
      <c r="BH356" s="166"/>
      <c r="BI356" s="474"/>
      <c r="BJ356" s="166"/>
      <c r="BK356" s="474"/>
      <c r="BL356" s="474"/>
      <c r="BM356" s="474"/>
      <c r="BN356" s="166"/>
      <c r="BO356" s="166"/>
      <c r="BP356" s="204"/>
      <c r="BQ356" s="475"/>
      <c r="BR356" s="205"/>
      <c r="BS356" s="509"/>
      <c r="BT356" s="509"/>
      <c r="BU356" s="459"/>
      <c r="BV356" s="459"/>
      <c r="BW356" s="1"/>
      <c r="BX356" s="1"/>
      <c r="BY356" s="546"/>
      <c r="BZ356" s="546"/>
      <c r="CA356" s="546"/>
      <c r="CB356" s="546"/>
      <c r="CC356" s="728"/>
      <c r="CD356" s="728"/>
      <c r="CE356" s="170"/>
    </row>
    <row r="357" spans="1:83" customFormat="1">
      <c r="A357" s="701"/>
      <c r="B357" s="447"/>
      <c r="C357" s="161"/>
      <c r="D357" s="162"/>
      <c r="E357" s="1"/>
      <c r="F357" s="811"/>
      <c r="G357" s="440"/>
      <c r="H357" s="1"/>
      <c r="I357" s="55"/>
      <c r="J357" s="170"/>
      <c r="K357" s="1"/>
      <c r="L357" s="170"/>
      <c r="M357" s="1"/>
      <c r="N357" s="458"/>
      <c r="O357" s="170"/>
      <c r="P357" s="441"/>
      <c r="Q357" s="55"/>
      <c r="R357" s="177"/>
      <c r="S357" s="454"/>
      <c r="T357" s="178"/>
      <c r="U357" s="178"/>
      <c r="V357" s="179"/>
      <c r="W357" s="180"/>
      <c r="X357" s="179"/>
      <c r="Y357" s="180"/>
      <c r="Z357" s="178"/>
      <c r="AA357" s="178"/>
      <c r="AB357" s="178"/>
      <c r="AC357" s="178"/>
      <c r="AD357" s="182"/>
      <c r="AE357" s="182"/>
      <c r="AF357" s="182"/>
      <c r="AG357" s="182"/>
      <c r="AH357" s="401"/>
      <c r="AI357" s="401"/>
      <c r="AJ357" s="401"/>
      <c r="AK357" s="401"/>
      <c r="AL357" s="401"/>
      <c r="AM357" s="189"/>
      <c r="AN357" s="829"/>
      <c r="AO357" s="830"/>
      <c r="AP357" s="401"/>
      <c r="AQ357" s="401"/>
      <c r="AR357" s="401"/>
      <c r="AS357" s="401"/>
      <c r="AT357" s="403"/>
      <c r="AU357" s="403"/>
      <c r="AV357" s="170"/>
      <c r="AW357" s="166"/>
      <c r="AX357" s="166"/>
      <c r="AY357" s="189"/>
      <c r="AZ357" s="189"/>
      <c r="BA357" s="196"/>
      <c r="BB357" s="629"/>
      <c r="BC357" s="190"/>
      <c r="BD357" s="510"/>
      <c r="BE357" s="510"/>
      <c r="BF357" s="177"/>
      <c r="BG357" s="177"/>
      <c r="BH357" s="166"/>
      <c r="BI357" s="474"/>
      <c r="BJ357" s="166"/>
      <c r="BK357" s="474"/>
      <c r="BL357" s="474"/>
      <c r="BM357" s="474"/>
      <c r="BN357" s="166"/>
      <c r="BO357" s="166"/>
      <c r="BP357" s="204"/>
      <c r="BQ357" s="475"/>
      <c r="BR357" s="205"/>
      <c r="BS357" s="509"/>
      <c r="BT357" s="509"/>
      <c r="BU357" s="459"/>
      <c r="BV357" s="459"/>
      <c r="BW357" s="1"/>
      <c r="BX357" s="1"/>
      <c r="BY357" s="546"/>
      <c r="BZ357" s="546"/>
      <c r="CA357" s="546"/>
      <c r="CB357" s="546"/>
      <c r="CC357" s="728"/>
      <c r="CD357" s="728"/>
      <c r="CE357" s="170"/>
    </row>
    <row r="358" spans="1:83" customFormat="1">
      <c r="A358" s="701"/>
      <c r="B358" s="447"/>
      <c r="C358" s="1"/>
      <c r="D358" s="538"/>
      <c r="E358" s="1"/>
      <c r="F358" s="811"/>
      <c r="G358" s="440"/>
      <c r="H358" s="1"/>
      <c r="I358" s="55"/>
      <c r="J358" s="171"/>
      <c r="K358" s="55"/>
      <c r="L358" s="171"/>
      <c r="M358" s="55"/>
      <c r="N358" s="172"/>
      <c r="O358" s="170"/>
      <c r="P358" s="139"/>
      <c r="Q358" s="172"/>
      <c r="R358" s="181"/>
      <c r="S358" s="455"/>
      <c r="T358" s="170"/>
      <c r="U358" s="170"/>
      <c r="V358" s="1"/>
      <c r="W358" s="173"/>
      <c r="X358" s="1"/>
      <c r="Y358" s="166"/>
      <c r="Z358" s="170"/>
      <c r="AA358" s="170"/>
      <c r="AB358" s="170"/>
      <c r="AC358" s="170"/>
      <c r="AD358" s="182"/>
      <c r="AE358" s="182"/>
      <c r="AF358" s="182"/>
      <c r="AG358" s="182"/>
      <c r="AH358" s="189"/>
      <c r="AI358" s="401"/>
      <c r="AJ358" s="189"/>
      <c r="AK358" s="401"/>
      <c r="AL358" s="401"/>
      <c r="AM358" s="189"/>
      <c r="AN358" s="782"/>
      <c r="AO358" s="189"/>
      <c r="AP358" s="401"/>
      <c r="AQ358" s="401"/>
      <c r="AR358" s="401"/>
      <c r="AS358" s="188"/>
      <c r="AT358" s="1"/>
      <c r="AU358" s="403"/>
      <c r="AV358" s="1"/>
      <c r="AW358" s="166"/>
      <c r="AX358" s="166"/>
      <c r="AY358" s="189"/>
      <c r="AZ358" s="189"/>
      <c r="BA358" s="196"/>
      <c r="BB358" s="629"/>
      <c r="BC358" s="197"/>
      <c r="BD358" s="510"/>
      <c r="BE358" s="510"/>
      <c r="BF358" s="177"/>
      <c r="BG358" s="177"/>
      <c r="BH358" s="166"/>
      <c r="BI358" s="474"/>
      <c r="BJ358" s="166"/>
      <c r="BK358" s="474"/>
      <c r="BL358" s="474"/>
      <c r="BM358" s="474"/>
      <c r="BN358" s="166"/>
      <c r="BO358" s="166"/>
      <c r="BP358" s="204"/>
      <c r="BQ358" s="475"/>
      <c r="BR358" s="205"/>
      <c r="BS358" s="509"/>
      <c r="BT358" s="509"/>
      <c r="BU358" s="459"/>
      <c r="BV358" s="459"/>
      <c r="BW358" s="1"/>
      <c r="BX358" s="1"/>
      <c r="BY358" s="546"/>
      <c r="BZ358" s="546"/>
      <c r="CA358" s="546"/>
      <c r="CB358" s="546"/>
      <c r="CC358" s="728"/>
      <c r="CD358" s="728"/>
      <c r="CE358" s="170"/>
    </row>
    <row r="359" spans="1:83" customFormat="1">
      <c r="A359" s="701"/>
      <c r="B359" s="447"/>
      <c r="C359" s="161"/>
      <c r="D359" s="162"/>
      <c r="E359" s="1"/>
      <c r="F359" s="811"/>
      <c r="G359" s="440"/>
      <c r="H359" s="1"/>
      <c r="I359" s="55"/>
      <c r="J359" s="170"/>
      <c r="K359" s="1"/>
      <c r="L359" s="170"/>
      <c r="M359" s="1"/>
      <c r="N359" s="458"/>
      <c r="O359" s="170"/>
      <c r="P359" s="441"/>
      <c r="Q359" s="55"/>
      <c r="R359" s="177"/>
      <c r="S359" s="454"/>
      <c r="T359" s="178"/>
      <c r="U359" s="178"/>
      <c r="V359" s="179"/>
      <c r="W359" s="180"/>
      <c r="X359" s="179"/>
      <c r="Y359" s="180"/>
      <c r="Z359" s="178"/>
      <c r="AA359" s="178"/>
      <c r="AB359" s="178"/>
      <c r="AC359" s="178"/>
      <c r="AD359" s="182"/>
      <c r="AE359" s="182"/>
      <c r="AF359" s="182"/>
      <c r="AG359" s="182"/>
      <c r="AH359" s="401"/>
      <c r="AI359" s="401"/>
      <c r="AJ359" s="401"/>
      <c r="AK359" s="401"/>
      <c r="AL359" s="401"/>
      <c r="AM359" s="189"/>
      <c r="AN359" s="829"/>
      <c r="AO359" s="830"/>
      <c r="AP359" s="401"/>
      <c r="AQ359" s="401"/>
      <c r="AR359" s="401"/>
      <c r="AS359" s="401"/>
      <c r="AT359" s="403"/>
      <c r="AU359" s="403"/>
      <c r="AV359" s="170"/>
      <c r="AW359" s="166"/>
      <c r="AX359" s="166"/>
      <c r="AY359" s="189"/>
      <c r="AZ359" s="189"/>
      <c r="BA359" s="196"/>
      <c r="BB359" s="629"/>
      <c r="BC359" s="190"/>
      <c r="BD359" s="510"/>
      <c r="BE359" s="510"/>
      <c r="BF359" s="177"/>
      <c r="BG359" s="177"/>
      <c r="BH359" s="166"/>
      <c r="BI359" s="474"/>
      <c r="BJ359" s="166"/>
      <c r="BK359" s="474"/>
      <c r="BL359" s="474"/>
      <c r="BM359" s="474"/>
      <c r="BN359" s="166"/>
      <c r="BO359" s="166"/>
      <c r="BP359" s="204"/>
      <c r="BQ359" s="475"/>
      <c r="BR359" s="205"/>
      <c r="BS359" s="509"/>
      <c r="BT359" s="509"/>
      <c r="BU359" s="459"/>
      <c r="BV359" s="459"/>
      <c r="BW359" s="1"/>
      <c r="BX359" s="1"/>
      <c r="BY359" s="546"/>
      <c r="BZ359" s="546"/>
      <c r="CA359" s="546"/>
      <c r="CB359" s="546"/>
      <c r="CC359" s="728"/>
      <c r="CD359" s="728"/>
      <c r="CE359" s="170"/>
    </row>
    <row r="360" spans="1:83" customFormat="1">
      <c r="A360" s="701"/>
      <c r="B360" s="447"/>
      <c r="C360" s="161"/>
      <c r="D360" s="162"/>
      <c r="E360" s="1"/>
      <c r="F360" s="811"/>
      <c r="G360" s="440"/>
      <c r="H360" s="1"/>
      <c r="I360" s="55"/>
      <c r="J360" s="170"/>
      <c r="K360" s="1"/>
      <c r="L360" s="170"/>
      <c r="M360" s="1"/>
      <c r="N360" s="458"/>
      <c r="O360" s="170"/>
      <c r="P360" s="441"/>
      <c r="Q360" s="55"/>
      <c r="R360" s="177"/>
      <c r="S360" s="454"/>
      <c r="T360" s="178"/>
      <c r="U360" s="178"/>
      <c r="V360" s="179"/>
      <c r="W360" s="180"/>
      <c r="X360" s="179"/>
      <c r="Y360" s="180"/>
      <c r="Z360" s="178"/>
      <c r="AA360" s="178"/>
      <c r="AB360" s="178"/>
      <c r="AC360" s="178"/>
      <c r="AD360" s="182"/>
      <c r="AE360" s="182"/>
      <c r="AF360" s="182"/>
      <c r="AG360" s="182"/>
      <c r="AH360" s="401"/>
      <c r="AI360" s="401"/>
      <c r="AJ360" s="401"/>
      <c r="AK360" s="401"/>
      <c r="AL360" s="401"/>
      <c r="AM360" s="189"/>
      <c r="AN360" s="829"/>
      <c r="AO360" s="830"/>
      <c r="AP360" s="401"/>
      <c r="AQ360" s="401"/>
      <c r="AR360" s="401"/>
      <c r="AS360" s="401"/>
      <c r="AT360" s="403"/>
      <c r="AU360" s="403"/>
      <c r="AV360" s="170"/>
      <c r="AW360" s="166"/>
      <c r="AX360" s="166"/>
      <c r="AY360" s="189"/>
      <c r="AZ360" s="189"/>
      <c r="BA360" s="196"/>
      <c r="BB360" s="629"/>
      <c r="BC360" s="190"/>
      <c r="BD360" s="510"/>
      <c r="BE360" s="510"/>
      <c r="BF360" s="177"/>
      <c r="BG360" s="177"/>
      <c r="BH360" s="166"/>
      <c r="BI360" s="474"/>
      <c r="BJ360" s="166"/>
      <c r="BK360" s="474"/>
      <c r="BL360" s="474"/>
      <c r="BM360" s="474"/>
      <c r="BN360" s="166"/>
      <c r="BO360" s="166"/>
      <c r="BP360" s="204"/>
      <c r="BQ360" s="475"/>
      <c r="BR360" s="205"/>
      <c r="BS360" s="509"/>
      <c r="BT360" s="509"/>
      <c r="BU360" s="459"/>
      <c r="BV360" s="459"/>
      <c r="BW360" s="1"/>
      <c r="BX360" s="1"/>
      <c r="BY360" s="546"/>
      <c r="BZ360" s="546"/>
      <c r="CA360" s="546"/>
      <c r="CB360" s="546"/>
      <c r="CC360" s="728"/>
      <c r="CD360" s="728"/>
      <c r="CE360" s="170"/>
    </row>
    <row r="361" spans="1:83" customFormat="1">
      <c r="A361" s="701"/>
      <c r="B361" s="447"/>
      <c r="C361" s="161"/>
      <c r="D361" s="162"/>
      <c r="E361" s="1"/>
      <c r="F361" s="811"/>
      <c r="G361" s="440"/>
      <c r="H361" s="1"/>
      <c r="I361" s="55"/>
      <c r="J361" s="457"/>
      <c r="K361" s="1"/>
      <c r="L361" s="170"/>
      <c r="M361" s="1"/>
      <c r="N361" s="458"/>
      <c r="O361" s="170"/>
      <c r="P361" s="441"/>
      <c r="Q361" s="55"/>
      <c r="R361" s="177"/>
      <c r="S361" s="454"/>
      <c r="T361" s="178"/>
      <c r="U361" s="178"/>
      <c r="V361" s="179"/>
      <c r="W361" s="180"/>
      <c r="X361" s="179"/>
      <c r="Y361" s="180"/>
      <c r="Z361" s="178"/>
      <c r="AA361" s="178"/>
      <c r="AB361" s="178"/>
      <c r="AC361" s="178"/>
      <c r="AD361" s="182"/>
      <c r="AE361" s="182"/>
      <c r="AF361" s="182"/>
      <c r="AG361" s="182"/>
      <c r="AH361" s="401"/>
      <c r="AI361" s="401"/>
      <c r="AJ361" s="401"/>
      <c r="AK361" s="401"/>
      <c r="AL361" s="401"/>
      <c r="AM361" s="189"/>
      <c r="AN361" s="829"/>
      <c r="AO361" s="830"/>
      <c r="AP361" s="401"/>
      <c r="AQ361" s="401"/>
      <c r="AR361" s="401"/>
      <c r="AS361" s="401"/>
      <c r="AT361" s="403"/>
      <c r="AU361" s="403"/>
      <c r="AV361" s="170"/>
      <c r="AW361" s="166"/>
      <c r="AX361" s="166"/>
      <c r="AY361" s="189"/>
      <c r="AZ361" s="189"/>
      <c r="BA361" s="196"/>
      <c r="BB361" s="629"/>
      <c r="BC361" s="190"/>
      <c r="BD361" s="510"/>
      <c r="BE361" s="510"/>
      <c r="BF361" s="177"/>
      <c r="BG361" s="177"/>
      <c r="BH361" s="166"/>
      <c r="BI361" s="474"/>
      <c r="BJ361" s="166"/>
      <c r="BK361" s="474"/>
      <c r="BL361" s="474"/>
      <c r="BM361" s="474"/>
      <c r="BN361" s="166"/>
      <c r="BO361" s="166"/>
      <c r="BP361" s="204"/>
      <c r="BQ361" s="475"/>
      <c r="BR361" s="205"/>
      <c r="BS361" s="509"/>
      <c r="BT361" s="509"/>
      <c r="BU361" s="459"/>
      <c r="BV361" s="459"/>
      <c r="BW361" s="1"/>
      <c r="BX361" s="1"/>
      <c r="BY361" s="546"/>
      <c r="BZ361" s="546"/>
      <c r="CA361" s="546"/>
      <c r="CB361" s="546"/>
      <c r="CC361" s="728"/>
      <c r="CD361" s="728"/>
      <c r="CE361" s="170"/>
    </row>
    <row r="362" spans="1:83" customFormat="1">
      <c r="A362" s="701"/>
      <c r="B362" s="447"/>
      <c r="C362" s="161"/>
      <c r="D362" s="162"/>
      <c r="E362" s="1"/>
      <c r="F362" s="811"/>
      <c r="G362" s="440"/>
      <c r="H362" s="1"/>
      <c r="I362" s="55"/>
      <c r="J362" s="170"/>
      <c r="K362" s="1"/>
      <c r="L362" s="170"/>
      <c r="M362" s="1"/>
      <c r="N362" s="458"/>
      <c r="O362" s="170"/>
      <c r="P362" s="441"/>
      <c r="Q362" s="55"/>
      <c r="R362" s="177"/>
      <c r="S362" s="454"/>
      <c r="T362" s="178"/>
      <c r="U362" s="178"/>
      <c r="V362" s="179"/>
      <c r="W362" s="180"/>
      <c r="X362" s="179"/>
      <c r="Y362" s="180"/>
      <c r="Z362" s="178"/>
      <c r="AA362" s="178"/>
      <c r="AB362" s="178"/>
      <c r="AC362" s="178"/>
      <c r="AD362" s="182"/>
      <c r="AE362" s="182"/>
      <c r="AF362" s="182"/>
      <c r="AG362" s="182"/>
      <c r="AH362" s="401"/>
      <c r="AI362" s="401"/>
      <c r="AJ362" s="401"/>
      <c r="AK362" s="401"/>
      <c r="AL362" s="401"/>
      <c r="AM362" s="189"/>
      <c r="AN362" s="829"/>
      <c r="AO362" s="830"/>
      <c r="AP362" s="401"/>
      <c r="AQ362" s="401"/>
      <c r="AR362" s="401"/>
      <c r="AS362" s="401"/>
      <c r="AT362" s="403"/>
      <c r="AU362" s="403"/>
      <c r="AV362" s="170"/>
      <c r="AW362" s="166"/>
      <c r="AX362" s="166"/>
      <c r="AY362" s="189"/>
      <c r="AZ362" s="189"/>
      <c r="BA362" s="196"/>
      <c r="BB362" s="629"/>
      <c r="BC362" s="190"/>
      <c r="BD362" s="510"/>
      <c r="BE362" s="510"/>
      <c r="BF362" s="177"/>
      <c r="BG362" s="177"/>
      <c r="BH362" s="166"/>
      <c r="BI362" s="474"/>
      <c r="BJ362" s="166"/>
      <c r="BK362" s="474"/>
      <c r="BL362" s="474"/>
      <c r="BM362" s="474"/>
      <c r="BN362" s="166"/>
      <c r="BO362" s="166"/>
      <c r="BP362" s="204"/>
      <c r="BQ362" s="475"/>
      <c r="BR362" s="205"/>
      <c r="BS362" s="509"/>
      <c r="BT362" s="509"/>
      <c r="BU362" s="459"/>
      <c r="BV362" s="459"/>
      <c r="BW362" s="1"/>
      <c r="BX362" s="1"/>
      <c r="BY362" s="546"/>
      <c r="BZ362" s="546"/>
      <c r="CA362" s="546"/>
      <c r="CB362" s="546"/>
      <c r="CC362" s="728"/>
      <c r="CD362" s="728"/>
      <c r="CE362" s="170"/>
    </row>
    <row r="363" spans="1:83" customFormat="1">
      <c r="A363" s="701"/>
      <c r="B363" s="447"/>
      <c r="C363" s="161"/>
      <c r="D363" s="162"/>
      <c r="E363" s="1"/>
      <c r="F363" s="811"/>
      <c r="G363" s="440"/>
      <c r="H363" s="1"/>
      <c r="I363" s="55"/>
      <c r="J363" s="170"/>
      <c r="K363" s="1"/>
      <c r="L363" s="170"/>
      <c r="M363" s="1"/>
      <c r="N363" s="458"/>
      <c r="O363" s="170"/>
      <c r="P363" s="441"/>
      <c r="Q363" s="55"/>
      <c r="R363" s="177"/>
      <c r="S363" s="454"/>
      <c r="T363" s="178"/>
      <c r="U363" s="178"/>
      <c r="V363" s="179"/>
      <c r="W363" s="180"/>
      <c r="X363" s="179"/>
      <c r="Y363" s="180"/>
      <c r="Z363" s="178"/>
      <c r="AA363" s="178"/>
      <c r="AB363" s="178"/>
      <c r="AC363" s="178"/>
      <c r="AD363" s="182"/>
      <c r="AE363" s="182"/>
      <c r="AF363" s="182"/>
      <c r="AG363" s="182"/>
      <c r="AH363" s="401"/>
      <c r="AI363" s="401"/>
      <c r="AJ363" s="401"/>
      <c r="AK363" s="401"/>
      <c r="AL363" s="401"/>
      <c r="AM363" s="189"/>
      <c r="AN363" s="829"/>
      <c r="AO363" s="830"/>
      <c r="AP363" s="401"/>
      <c r="AQ363" s="401"/>
      <c r="AR363" s="401"/>
      <c r="AS363" s="401"/>
      <c r="AT363" s="403"/>
      <c r="AU363" s="403"/>
      <c r="AV363" s="170"/>
      <c r="AW363" s="166"/>
      <c r="AX363" s="166"/>
      <c r="AY363" s="189"/>
      <c r="AZ363" s="189"/>
      <c r="BA363" s="196"/>
      <c r="BB363" s="629"/>
      <c r="BC363" s="190"/>
      <c r="BD363" s="510"/>
      <c r="BE363" s="510"/>
      <c r="BF363" s="177"/>
      <c r="BG363" s="177"/>
      <c r="BH363" s="166"/>
      <c r="BI363" s="474"/>
      <c r="BJ363" s="166"/>
      <c r="BK363" s="474"/>
      <c r="BL363" s="474"/>
      <c r="BM363" s="474"/>
      <c r="BN363" s="166"/>
      <c r="BO363" s="166"/>
      <c r="BP363" s="204"/>
      <c r="BQ363" s="475"/>
      <c r="BR363" s="205"/>
      <c r="BS363" s="509"/>
      <c r="BT363" s="509"/>
      <c r="BU363" s="459"/>
      <c r="BV363" s="459"/>
      <c r="BW363" s="1"/>
      <c r="BX363" s="1"/>
      <c r="BY363" s="546"/>
      <c r="BZ363" s="546"/>
      <c r="CA363" s="546"/>
      <c r="CB363" s="546"/>
      <c r="CC363" s="728"/>
      <c r="CD363" s="728"/>
      <c r="CE363" s="170"/>
    </row>
    <row r="364" spans="1:83" customFormat="1">
      <c r="A364" s="701"/>
      <c r="B364" s="447"/>
      <c r="C364" s="161"/>
      <c r="D364" s="162"/>
      <c r="E364" s="1"/>
      <c r="F364" s="811"/>
      <c r="G364" s="440"/>
      <c r="H364" s="1"/>
      <c r="I364" s="55"/>
      <c r="J364" s="170"/>
      <c r="K364" s="1"/>
      <c r="L364" s="170"/>
      <c r="M364" s="1"/>
      <c r="N364" s="458"/>
      <c r="O364" s="170"/>
      <c r="P364" s="441"/>
      <c r="Q364" s="55"/>
      <c r="R364" s="177"/>
      <c r="S364" s="454"/>
      <c r="T364" s="178"/>
      <c r="U364" s="178"/>
      <c r="V364" s="179"/>
      <c r="W364" s="180"/>
      <c r="X364" s="179"/>
      <c r="Y364" s="180"/>
      <c r="Z364" s="178"/>
      <c r="AA364" s="178"/>
      <c r="AB364" s="178"/>
      <c r="AC364" s="178"/>
      <c r="AD364" s="182"/>
      <c r="AE364" s="182"/>
      <c r="AF364" s="182"/>
      <c r="AG364" s="182"/>
      <c r="AH364" s="401"/>
      <c r="AI364" s="401"/>
      <c r="AJ364" s="182"/>
      <c r="AK364" s="401"/>
      <c r="AL364" s="401"/>
      <c r="AM364" s="189"/>
      <c r="AN364" s="829"/>
      <c r="AO364" s="830"/>
      <c r="AP364" s="401"/>
      <c r="AQ364" s="401"/>
      <c r="AR364" s="401"/>
      <c r="AS364" s="401"/>
      <c r="AT364" s="403"/>
      <c r="AU364" s="403"/>
      <c r="AV364" s="170"/>
      <c r="AW364" s="166"/>
      <c r="AX364" s="166"/>
      <c r="AY364" s="189"/>
      <c r="AZ364" s="189"/>
      <c r="BA364" s="196"/>
      <c r="BB364" s="629"/>
      <c r="BC364" s="190"/>
      <c r="BD364" s="510"/>
      <c r="BE364" s="510"/>
      <c r="BF364" s="177"/>
      <c r="BG364" s="177"/>
      <c r="BH364" s="166"/>
      <c r="BI364" s="474"/>
      <c r="BJ364" s="166"/>
      <c r="BK364" s="474"/>
      <c r="BL364" s="474"/>
      <c r="BM364" s="474"/>
      <c r="BN364" s="166"/>
      <c r="BO364" s="166"/>
      <c r="BP364" s="204"/>
      <c r="BQ364" s="475"/>
      <c r="BR364" s="205"/>
      <c r="BS364" s="509"/>
      <c r="BT364" s="509"/>
      <c r="BU364" s="459"/>
      <c r="BV364" s="459"/>
      <c r="BW364" s="1"/>
      <c r="BX364" s="1"/>
      <c r="BY364" s="546"/>
      <c r="BZ364" s="546"/>
      <c r="CA364" s="546"/>
      <c r="CB364" s="546"/>
      <c r="CC364" s="728"/>
      <c r="CD364" s="728"/>
      <c r="CE364" s="170"/>
    </row>
    <row r="365" spans="1:83" customFormat="1">
      <c r="A365" s="701"/>
      <c r="B365" s="447"/>
      <c r="C365" s="161"/>
      <c r="D365" s="162"/>
      <c r="E365" s="1"/>
      <c r="F365" s="811"/>
      <c r="G365" s="440"/>
      <c r="H365" s="1"/>
      <c r="I365" s="55"/>
      <c r="J365" s="170"/>
      <c r="K365" s="1"/>
      <c r="L365" s="170"/>
      <c r="M365" s="1"/>
      <c r="N365" s="166"/>
      <c r="O365" s="170"/>
      <c r="P365" s="441"/>
      <c r="Q365" s="55"/>
      <c r="R365" s="177"/>
      <c r="S365" s="454"/>
      <c r="T365" s="178"/>
      <c r="U365" s="178"/>
      <c r="V365" s="179"/>
      <c r="W365" s="180"/>
      <c r="X365" s="179"/>
      <c r="Y365" s="180"/>
      <c r="Z365" s="178"/>
      <c r="AA365" s="178"/>
      <c r="AB365" s="178"/>
      <c r="AC365" s="178"/>
      <c r="AD365" s="182"/>
      <c r="AE365" s="182"/>
      <c r="AF365" s="182"/>
      <c r="AG365" s="182"/>
      <c r="AH365" s="401"/>
      <c r="AI365" s="401"/>
      <c r="AJ365" s="182"/>
      <c r="AK365" s="401"/>
      <c r="AL365" s="401"/>
      <c r="AM365" s="189"/>
      <c r="AN365" s="829"/>
      <c r="AO365" s="830"/>
      <c r="AP365" s="401"/>
      <c r="AQ365" s="401"/>
      <c r="AR365" s="401"/>
      <c r="AS365" s="401"/>
      <c r="AT365" s="403"/>
      <c r="AU365" s="403"/>
      <c r="AV365" s="170"/>
      <c r="AW365" s="166"/>
      <c r="AX365" s="166"/>
      <c r="AY365" s="189"/>
      <c r="AZ365" s="189"/>
      <c r="BA365" s="196"/>
      <c r="BB365" s="629"/>
      <c r="BC365" s="190"/>
      <c r="BD365" s="510"/>
      <c r="BE365" s="510"/>
      <c r="BF365" s="177"/>
      <c r="BG365" s="177"/>
      <c r="BH365" s="166"/>
      <c r="BI365" s="474"/>
      <c r="BJ365" s="166"/>
      <c r="BK365" s="474"/>
      <c r="BL365" s="474"/>
      <c r="BM365" s="474"/>
      <c r="BN365" s="166"/>
      <c r="BO365" s="166"/>
      <c r="BP365" s="204"/>
      <c r="BQ365" s="475"/>
      <c r="BR365" s="205"/>
      <c r="BS365" s="509"/>
      <c r="BT365" s="509"/>
      <c r="BU365" s="459"/>
      <c r="BV365" s="459"/>
      <c r="BW365" s="1"/>
      <c r="BX365" s="1"/>
      <c r="BY365" s="546"/>
      <c r="BZ365" s="546"/>
      <c r="CA365" s="546"/>
      <c r="CB365" s="546"/>
      <c r="CC365" s="728"/>
      <c r="CD365" s="728"/>
      <c r="CE365" s="170"/>
    </row>
    <row r="366" spans="1:83" customFormat="1">
      <c r="A366" s="701"/>
      <c r="B366" s="447"/>
      <c r="C366" s="161"/>
      <c r="D366" s="162"/>
      <c r="E366" s="1"/>
      <c r="F366" s="811"/>
      <c r="G366" s="440"/>
      <c r="H366" s="1"/>
      <c r="I366" s="55"/>
      <c r="J366" s="409"/>
      <c r="K366" s="1"/>
      <c r="L366" s="170"/>
      <c r="M366" s="1"/>
      <c r="N366" s="458"/>
      <c r="O366" s="170"/>
      <c r="P366" s="441"/>
      <c r="Q366" s="55"/>
      <c r="R366" s="177"/>
      <c r="S366" s="454"/>
      <c r="T366" s="178"/>
      <c r="U366" s="178"/>
      <c r="V366" s="179"/>
      <c r="W366" s="180"/>
      <c r="X366" s="179"/>
      <c r="Y366" s="180"/>
      <c r="Z366" s="178"/>
      <c r="AA366" s="178"/>
      <c r="AB366" s="178"/>
      <c r="AC366" s="178"/>
      <c r="AD366" s="182"/>
      <c r="AE366" s="182"/>
      <c r="AF366" s="182"/>
      <c r="AG366" s="182"/>
      <c r="AH366" s="401"/>
      <c r="AI366" s="401"/>
      <c r="AJ366" s="401"/>
      <c r="AK366" s="401"/>
      <c r="AL366" s="401"/>
      <c r="AM366" s="189"/>
      <c r="AN366" s="829"/>
      <c r="AO366" s="830"/>
      <c r="AP366" s="401"/>
      <c r="AQ366" s="401"/>
      <c r="AR366" s="401"/>
      <c r="AS366" s="401"/>
      <c r="AT366" s="403"/>
      <c r="AU366" s="403"/>
      <c r="AV366" s="170"/>
      <c r="AW366" s="166"/>
      <c r="AX366" s="166"/>
      <c r="AY366" s="189"/>
      <c r="AZ366" s="189"/>
      <c r="BA366" s="196"/>
      <c r="BB366" s="629"/>
      <c r="BC366" s="190"/>
      <c r="BD366" s="510"/>
      <c r="BE366" s="510"/>
      <c r="BF366" s="177"/>
      <c r="BG366" s="177"/>
      <c r="BH366" s="166"/>
      <c r="BI366" s="474"/>
      <c r="BJ366" s="166"/>
      <c r="BK366" s="474"/>
      <c r="BL366" s="474"/>
      <c r="BM366" s="474"/>
      <c r="BN366" s="166"/>
      <c r="BO366" s="166"/>
      <c r="BP366" s="204"/>
      <c r="BQ366" s="475"/>
      <c r="BR366" s="205"/>
      <c r="BS366" s="509"/>
      <c r="BT366" s="509"/>
      <c r="BU366" s="459"/>
      <c r="BV366" s="459"/>
      <c r="BW366" s="1"/>
      <c r="BX366" s="1"/>
      <c r="BY366" s="546"/>
      <c r="BZ366" s="546"/>
      <c r="CA366" s="546"/>
      <c r="CB366" s="546"/>
      <c r="CC366" s="728"/>
      <c r="CD366" s="728"/>
      <c r="CE366" s="170"/>
    </row>
    <row r="367" spans="1:83" customFormat="1">
      <c r="A367" s="701"/>
      <c r="B367" s="447"/>
      <c r="C367" s="161"/>
      <c r="D367" s="162"/>
      <c r="E367" s="1"/>
      <c r="F367" s="811"/>
      <c r="G367" s="440"/>
      <c r="H367" s="1"/>
      <c r="I367" s="55"/>
      <c r="J367" s="170"/>
      <c r="K367" s="1"/>
      <c r="L367" s="170"/>
      <c r="M367" s="1"/>
      <c r="N367" s="458"/>
      <c r="O367" s="170"/>
      <c r="P367" s="441"/>
      <c r="Q367" s="55"/>
      <c r="R367" s="177"/>
      <c r="S367" s="454"/>
      <c r="T367" s="178"/>
      <c r="U367" s="178"/>
      <c r="V367" s="179"/>
      <c r="W367" s="180"/>
      <c r="X367" s="179"/>
      <c r="Y367" s="180"/>
      <c r="Z367" s="178"/>
      <c r="AA367" s="178"/>
      <c r="AB367" s="178"/>
      <c r="AC367" s="178"/>
      <c r="AD367" s="182"/>
      <c r="AE367" s="182"/>
      <c r="AF367" s="182"/>
      <c r="AG367" s="182"/>
      <c r="AH367" s="401"/>
      <c r="AI367" s="401"/>
      <c r="AJ367" s="401"/>
      <c r="AK367" s="401"/>
      <c r="AL367" s="401"/>
      <c r="AM367" s="189"/>
      <c r="AN367" s="829"/>
      <c r="AO367" s="830"/>
      <c r="AP367" s="401"/>
      <c r="AQ367" s="401"/>
      <c r="AR367" s="401"/>
      <c r="AS367" s="401"/>
      <c r="AT367" s="403"/>
      <c r="AU367" s="403"/>
      <c r="AV367" s="170"/>
      <c r="AW367" s="166"/>
      <c r="AX367" s="166"/>
      <c r="AY367" s="189"/>
      <c r="AZ367" s="189"/>
      <c r="BA367" s="196"/>
      <c r="BB367" s="629"/>
      <c r="BC367" s="190"/>
      <c r="BD367" s="510"/>
      <c r="BE367" s="510"/>
      <c r="BF367" s="177"/>
      <c r="BG367" s="177"/>
      <c r="BH367" s="166"/>
      <c r="BI367" s="474"/>
      <c r="BJ367" s="166"/>
      <c r="BK367" s="474"/>
      <c r="BL367" s="474"/>
      <c r="BM367" s="474"/>
      <c r="BN367" s="166"/>
      <c r="BO367" s="166"/>
      <c r="BP367" s="204"/>
      <c r="BQ367" s="475"/>
      <c r="BR367" s="205"/>
      <c r="BS367" s="509"/>
      <c r="BT367" s="509"/>
      <c r="BU367" s="459"/>
      <c r="BV367" s="459"/>
      <c r="BW367" s="1"/>
      <c r="BX367" s="1"/>
      <c r="BY367" s="546"/>
      <c r="BZ367" s="546"/>
      <c r="CA367" s="546"/>
      <c r="CB367" s="546"/>
      <c r="CC367" s="728"/>
      <c r="CD367" s="728"/>
      <c r="CE367" s="170"/>
    </row>
    <row r="368" spans="1:83" customFormat="1">
      <c r="A368" s="701"/>
      <c r="B368" s="447"/>
      <c r="C368" s="161"/>
      <c r="D368" s="162"/>
      <c r="E368" s="1"/>
      <c r="F368" s="811"/>
      <c r="G368" s="440"/>
      <c r="H368" s="1"/>
      <c r="I368" s="55"/>
      <c r="J368" s="170"/>
      <c r="K368" s="1"/>
      <c r="L368" s="170"/>
      <c r="M368" s="1"/>
      <c r="N368" s="458"/>
      <c r="O368" s="170"/>
      <c r="P368" s="441"/>
      <c r="Q368" s="55"/>
      <c r="R368" s="177"/>
      <c r="S368" s="454"/>
      <c r="T368" s="178"/>
      <c r="U368" s="178"/>
      <c r="V368" s="179"/>
      <c r="W368" s="180"/>
      <c r="X368" s="179"/>
      <c r="Y368" s="180"/>
      <c r="Z368" s="178"/>
      <c r="AA368" s="178"/>
      <c r="AB368" s="178"/>
      <c r="AC368" s="178"/>
      <c r="AD368" s="182"/>
      <c r="AE368" s="182"/>
      <c r="AF368" s="182"/>
      <c r="AG368" s="182"/>
      <c r="AH368" s="401"/>
      <c r="AI368" s="401"/>
      <c r="AJ368" s="401"/>
      <c r="AK368" s="401"/>
      <c r="AL368" s="401"/>
      <c r="AM368" s="189"/>
      <c r="AN368" s="829"/>
      <c r="AO368" s="830"/>
      <c r="AP368" s="401"/>
      <c r="AQ368" s="401"/>
      <c r="AR368" s="401"/>
      <c r="AS368" s="401"/>
      <c r="AT368" s="403"/>
      <c r="AU368" s="403"/>
      <c r="AV368" s="170"/>
      <c r="AW368" s="166"/>
      <c r="AX368" s="166"/>
      <c r="AY368" s="189"/>
      <c r="AZ368" s="189"/>
      <c r="BA368" s="196"/>
      <c r="BB368" s="629"/>
      <c r="BC368" s="190"/>
      <c r="BD368" s="510"/>
      <c r="BE368" s="510"/>
      <c r="BF368" s="177"/>
      <c r="BG368" s="177"/>
      <c r="BH368" s="166"/>
      <c r="BI368" s="474"/>
      <c r="BJ368" s="166"/>
      <c r="BK368" s="474"/>
      <c r="BL368" s="474"/>
      <c r="BM368" s="474"/>
      <c r="BN368" s="166"/>
      <c r="BO368" s="166"/>
      <c r="BP368" s="204"/>
      <c r="BQ368" s="475"/>
      <c r="BR368" s="205"/>
      <c r="BS368" s="509"/>
      <c r="BT368" s="509"/>
      <c r="BU368" s="459"/>
      <c r="BV368" s="459"/>
      <c r="BW368" s="1"/>
      <c r="BX368" s="1"/>
      <c r="BY368" s="546"/>
      <c r="BZ368" s="546"/>
      <c r="CA368" s="546"/>
      <c r="CB368" s="546"/>
      <c r="CC368" s="728"/>
      <c r="CD368" s="728"/>
      <c r="CE368" s="170"/>
    </row>
    <row r="369" spans="1:83" customFormat="1">
      <c r="A369" s="701"/>
      <c r="B369" s="447"/>
      <c r="C369" s="161"/>
      <c r="D369" s="162"/>
      <c r="E369" s="1"/>
      <c r="F369" s="811"/>
      <c r="G369" s="440"/>
      <c r="H369" s="1"/>
      <c r="I369" s="55"/>
      <c r="J369" s="170"/>
      <c r="K369" s="1"/>
      <c r="L369" s="170"/>
      <c r="M369" s="1"/>
      <c r="N369" s="458"/>
      <c r="O369" s="170"/>
      <c r="P369" s="441"/>
      <c r="Q369" s="55"/>
      <c r="R369" s="177"/>
      <c r="S369" s="454"/>
      <c r="T369" s="178"/>
      <c r="U369" s="178"/>
      <c r="V369" s="179"/>
      <c r="W369" s="180"/>
      <c r="X369" s="179"/>
      <c r="Y369" s="180"/>
      <c r="Z369" s="178"/>
      <c r="AA369" s="178"/>
      <c r="AB369" s="178"/>
      <c r="AC369" s="178"/>
      <c r="AD369" s="182"/>
      <c r="AE369" s="182"/>
      <c r="AF369" s="182"/>
      <c r="AG369" s="182"/>
      <c r="AH369" s="401"/>
      <c r="AI369" s="401"/>
      <c r="AJ369" s="401"/>
      <c r="AK369" s="401"/>
      <c r="AL369" s="401"/>
      <c r="AM369" s="189"/>
      <c r="AN369" s="829"/>
      <c r="AO369" s="830"/>
      <c r="AP369" s="401"/>
      <c r="AQ369" s="401"/>
      <c r="AR369" s="401"/>
      <c r="AS369" s="401"/>
      <c r="AT369" s="403"/>
      <c r="AU369" s="403"/>
      <c r="AV369" s="170"/>
      <c r="AW369" s="166"/>
      <c r="AX369" s="166"/>
      <c r="AY369" s="189"/>
      <c r="AZ369" s="189"/>
      <c r="BA369" s="196"/>
      <c r="BB369" s="629"/>
      <c r="BC369" s="190"/>
      <c r="BD369" s="510"/>
      <c r="BE369" s="510"/>
      <c r="BF369" s="177"/>
      <c r="BG369" s="177"/>
      <c r="BH369" s="166"/>
      <c r="BI369" s="474"/>
      <c r="BJ369" s="166"/>
      <c r="BK369" s="474"/>
      <c r="BL369" s="474"/>
      <c r="BM369" s="474"/>
      <c r="BN369" s="166"/>
      <c r="BO369" s="166"/>
      <c r="BP369" s="204"/>
      <c r="BQ369" s="475"/>
      <c r="BR369" s="205"/>
      <c r="BS369" s="509"/>
      <c r="BT369" s="509"/>
      <c r="BU369" s="459"/>
      <c r="BV369" s="459"/>
      <c r="BW369" s="1"/>
      <c r="BX369" s="1"/>
      <c r="BY369" s="546"/>
      <c r="BZ369" s="546"/>
      <c r="CA369" s="546"/>
      <c r="CB369" s="546"/>
      <c r="CC369" s="728"/>
      <c r="CD369" s="728"/>
      <c r="CE369" s="170"/>
    </row>
    <row r="370" spans="1:83" customFormat="1">
      <c r="A370" s="701"/>
      <c r="B370" s="447"/>
      <c r="C370" s="161"/>
      <c r="D370" s="162"/>
      <c r="E370" s="1"/>
      <c r="F370" s="811"/>
      <c r="G370" s="440"/>
      <c r="H370" s="1"/>
      <c r="I370" s="55"/>
      <c r="J370" s="170"/>
      <c r="K370" s="1"/>
      <c r="L370" s="170"/>
      <c r="M370" s="1"/>
      <c r="N370" s="166"/>
      <c r="O370" s="170"/>
      <c r="P370" s="441"/>
      <c r="Q370" s="55"/>
      <c r="R370" s="177"/>
      <c r="S370" s="454"/>
      <c r="T370" s="178"/>
      <c r="U370" s="178"/>
      <c r="V370" s="179"/>
      <c r="W370" s="180"/>
      <c r="X370" s="179"/>
      <c r="Y370" s="180"/>
      <c r="Z370" s="178"/>
      <c r="AA370" s="178"/>
      <c r="AB370" s="178"/>
      <c r="AC370" s="178"/>
      <c r="AD370" s="182"/>
      <c r="AE370" s="182"/>
      <c r="AF370" s="182"/>
      <c r="AG370" s="182"/>
      <c r="AH370" s="401"/>
      <c r="AI370" s="401"/>
      <c r="AJ370" s="182"/>
      <c r="AK370" s="401"/>
      <c r="AL370" s="401"/>
      <c r="AM370" s="189"/>
      <c r="AN370" s="829"/>
      <c r="AO370" s="830"/>
      <c r="AP370" s="401"/>
      <c r="AQ370" s="401"/>
      <c r="AR370" s="401"/>
      <c r="AS370" s="401"/>
      <c r="AT370" s="403"/>
      <c r="AU370" s="403"/>
      <c r="AV370" s="170"/>
      <c r="AW370" s="166"/>
      <c r="AX370" s="166"/>
      <c r="AY370" s="189"/>
      <c r="AZ370" s="189"/>
      <c r="BA370" s="196"/>
      <c r="BB370" s="629"/>
      <c r="BC370" s="190"/>
      <c r="BD370" s="510"/>
      <c r="BE370" s="510"/>
      <c r="BF370" s="177"/>
      <c r="BG370" s="177"/>
      <c r="BH370" s="166"/>
      <c r="BI370" s="474"/>
      <c r="BJ370" s="166"/>
      <c r="BK370" s="474"/>
      <c r="BL370" s="474"/>
      <c r="BM370" s="474"/>
      <c r="BN370" s="166"/>
      <c r="BO370" s="166"/>
      <c r="BP370" s="204"/>
      <c r="BQ370" s="475"/>
      <c r="BR370" s="205"/>
      <c r="BS370" s="509"/>
      <c r="BT370" s="509"/>
      <c r="BU370" s="459"/>
      <c r="BV370" s="459"/>
      <c r="BW370" s="1"/>
      <c r="BX370" s="1"/>
      <c r="BY370" s="546"/>
      <c r="BZ370" s="546"/>
      <c r="CA370" s="546"/>
      <c r="CB370" s="546"/>
      <c r="CC370" s="728"/>
      <c r="CD370" s="728"/>
      <c r="CE370" s="170"/>
    </row>
    <row r="371" spans="1:83" customFormat="1">
      <c r="A371" s="701"/>
      <c r="B371" s="447"/>
      <c r="C371" s="161"/>
      <c r="D371" s="162"/>
      <c r="E371" s="1"/>
      <c r="F371" s="811"/>
      <c r="G371" s="440"/>
      <c r="H371" s="1"/>
      <c r="I371" s="55"/>
      <c r="J371" s="170"/>
      <c r="K371" s="1"/>
      <c r="L371" s="170"/>
      <c r="M371" s="1"/>
      <c r="N371" s="166"/>
      <c r="O371" s="170"/>
      <c r="P371" s="441"/>
      <c r="Q371" s="55"/>
      <c r="R371" s="177"/>
      <c r="S371" s="454"/>
      <c r="T371" s="178"/>
      <c r="U371" s="178"/>
      <c r="V371" s="179"/>
      <c r="W371" s="180"/>
      <c r="X371" s="179"/>
      <c r="Y371" s="180"/>
      <c r="Z371" s="178"/>
      <c r="AA371" s="178"/>
      <c r="AB371" s="178"/>
      <c r="AC371" s="178"/>
      <c r="AD371" s="182"/>
      <c r="AE371" s="182"/>
      <c r="AF371" s="182"/>
      <c r="AG371" s="182"/>
      <c r="AH371" s="401"/>
      <c r="AI371" s="401"/>
      <c r="AJ371" s="182"/>
      <c r="AK371" s="401"/>
      <c r="AL371" s="401"/>
      <c r="AM371" s="189"/>
      <c r="AN371" s="829"/>
      <c r="AO371" s="830"/>
      <c r="AP371" s="401"/>
      <c r="AQ371" s="401"/>
      <c r="AR371" s="401"/>
      <c r="AS371" s="401"/>
      <c r="AT371" s="403"/>
      <c r="AU371" s="403"/>
      <c r="AV371" s="170"/>
      <c r="AW371" s="166"/>
      <c r="AX371" s="166"/>
      <c r="AY371" s="189"/>
      <c r="AZ371" s="189"/>
      <c r="BA371" s="196"/>
      <c r="BB371" s="629"/>
      <c r="BC371" s="190"/>
      <c r="BD371" s="510"/>
      <c r="BE371" s="510"/>
      <c r="BF371" s="177"/>
      <c r="BG371" s="177"/>
      <c r="BH371" s="166"/>
      <c r="BI371" s="474"/>
      <c r="BJ371" s="166"/>
      <c r="BK371" s="474"/>
      <c r="BL371" s="474"/>
      <c r="BM371" s="474"/>
      <c r="BN371" s="166"/>
      <c r="BO371" s="166"/>
      <c r="BP371" s="204"/>
      <c r="BQ371" s="475"/>
      <c r="BR371" s="205"/>
      <c r="BS371" s="509"/>
      <c r="BT371" s="509"/>
      <c r="BU371" s="459"/>
      <c r="BV371" s="459"/>
      <c r="BW371" s="1"/>
      <c r="BX371" s="1"/>
      <c r="BY371" s="546"/>
      <c r="BZ371" s="546"/>
      <c r="CA371" s="546"/>
      <c r="CB371" s="546"/>
      <c r="CC371" s="728"/>
      <c r="CD371" s="728"/>
      <c r="CE371" s="170"/>
    </row>
    <row r="372" spans="1:83" customFormat="1">
      <c r="A372" s="701"/>
      <c r="B372" s="447"/>
      <c r="C372" s="161"/>
      <c r="D372" s="162"/>
      <c r="E372" s="1"/>
      <c r="F372" s="811"/>
      <c r="G372" s="440"/>
      <c r="H372" s="1"/>
      <c r="I372" s="55"/>
      <c r="J372" s="457"/>
      <c r="K372" s="1"/>
      <c r="L372" s="170"/>
      <c r="M372" s="1"/>
      <c r="N372" s="458"/>
      <c r="O372" s="170"/>
      <c r="P372" s="441"/>
      <c r="Q372" s="55"/>
      <c r="R372" s="177"/>
      <c r="S372" s="454"/>
      <c r="T372" s="178"/>
      <c r="U372" s="178"/>
      <c r="V372" s="179"/>
      <c r="W372" s="180"/>
      <c r="X372" s="179"/>
      <c r="Y372" s="180"/>
      <c r="Z372" s="178"/>
      <c r="AA372" s="178"/>
      <c r="AB372" s="178"/>
      <c r="AC372" s="178"/>
      <c r="AD372" s="182"/>
      <c r="AE372" s="182"/>
      <c r="AF372" s="182"/>
      <c r="AG372" s="182"/>
      <c r="AH372" s="401"/>
      <c r="AI372" s="401"/>
      <c r="AJ372" s="401"/>
      <c r="AK372" s="401"/>
      <c r="AL372" s="401"/>
      <c r="AM372" s="189"/>
      <c r="AN372" s="829"/>
      <c r="AO372" s="830"/>
      <c r="AP372" s="401"/>
      <c r="AQ372" s="401"/>
      <c r="AR372" s="401"/>
      <c r="AS372" s="401"/>
      <c r="AT372" s="403"/>
      <c r="AU372" s="403"/>
      <c r="AV372" s="170"/>
      <c r="AW372" s="166"/>
      <c r="AX372" s="166"/>
      <c r="AY372" s="189"/>
      <c r="AZ372" s="189"/>
      <c r="BA372" s="196"/>
      <c r="BB372" s="629"/>
      <c r="BC372" s="190"/>
      <c r="BD372" s="510"/>
      <c r="BE372" s="510"/>
      <c r="BF372" s="177"/>
      <c r="BG372" s="177"/>
      <c r="BH372" s="166"/>
      <c r="BI372" s="474"/>
      <c r="BJ372" s="166"/>
      <c r="BK372" s="474"/>
      <c r="BL372" s="474"/>
      <c r="BM372" s="474"/>
      <c r="BN372" s="166"/>
      <c r="BO372" s="166"/>
      <c r="BP372" s="204"/>
      <c r="BQ372" s="475"/>
      <c r="BR372" s="205"/>
      <c r="BS372" s="509"/>
      <c r="BT372" s="509"/>
      <c r="BU372" s="459"/>
      <c r="BV372" s="459"/>
      <c r="BW372" s="1"/>
      <c r="BX372" s="1"/>
      <c r="BY372" s="546"/>
      <c r="BZ372" s="546"/>
      <c r="CA372" s="546"/>
      <c r="CB372" s="546"/>
      <c r="CC372" s="728"/>
      <c r="CD372" s="728"/>
      <c r="CE372" s="170"/>
    </row>
    <row r="373" spans="1:83" customFormat="1">
      <c r="A373" s="701"/>
      <c r="B373" s="447"/>
      <c r="C373" s="161"/>
      <c r="D373" s="162"/>
      <c r="E373" s="1"/>
      <c r="F373" s="811"/>
      <c r="G373" s="440"/>
      <c r="H373" s="1"/>
      <c r="I373" s="55"/>
      <c r="J373" s="170"/>
      <c r="K373" s="1"/>
      <c r="L373" s="170"/>
      <c r="M373" s="1"/>
      <c r="N373" s="458"/>
      <c r="O373" s="170"/>
      <c r="P373" s="441"/>
      <c r="Q373" s="55"/>
      <c r="R373" s="177"/>
      <c r="S373" s="454"/>
      <c r="T373" s="178"/>
      <c r="U373" s="178"/>
      <c r="V373" s="179"/>
      <c r="W373" s="180"/>
      <c r="X373" s="179"/>
      <c r="Y373" s="180"/>
      <c r="Z373" s="178"/>
      <c r="AA373" s="178"/>
      <c r="AB373" s="178"/>
      <c r="AC373" s="178"/>
      <c r="AD373" s="182"/>
      <c r="AE373" s="182"/>
      <c r="AF373" s="182"/>
      <c r="AG373" s="182"/>
      <c r="AH373" s="401"/>
      <c r="AI373" s="401"/>
      <c r="AJ373" s="401"/>
      <c r="AK373" s="401"/>
      <c r="AL373" s="401"/>
      <c r="AM373" s="189"/>
      <c r="AN373" s="829"/>
      <c r="AO373" s="830"/>
      <c r="AP373" s="401"/>
      <c r="AQ373" s="401"/>
      <c r="AR373" s="401"/>
      <c r="AS373" s="401"/>
      <c r="AT373" s="403"/>
      <c r="AU373" s="403"/>
      <c r="AV373" s="170"/>
      <c r="AW373" s="166"/>
      <c r="AX373" s="166"/>
      <c r="AY373" s="189"/>
      <c r="AZ373" s="189"/>
      <c r="BA373" s="196"/>
      <c r="BB373" s="629"/>
      <c r="BC373" s="190"/>
      <c r="BD373" s="510"/>
      <c r="BE373" s="510"/>
      <c r="BF373" s="177"/>
      <c r="BG373" s="177"/>
      <c r="BH373" s="166"/>
      <c r="BI373" s="474"/>
      <c r="BJ373" s="166"/>
      <c r="BK373" s="474"/>
      <c r="BL373" s="474"/>
      <c r="BM373" s="474"/>
      <c r="BN373" s="166"/>
      <c r="BO373" s="166"/>
      <c r="BP373" s="204"/>
      <c r="BQ373" s="475"/>
      <c r="BR373" s="205"/>
      <c r="BS373" s="509"/>
      <c r="BT373" s="509"/>
      <c r="BU373" s="459"/>
      <c r="BV373" s="459"/>
      <c r="BW373" s="1"/>
      <c r="BX373" s="1"/>
      <c r="BY373" s="546"/>
      <c r="BZ373" s="546"/>
      <c r="CA373" s="546"/>
      <c r="CB373" s="546"/>
      <c r="CC373" s="728"/>
      <c r="CD373" s="728"/>
      <c r="CE373" s="170"/>
    </row>
    <row r="374" spans="1:83" customFormat="1">
      <c r="A374" s="701"/>
      <c r="B374" s="447"/>
      <c r="C374" s="161"/>
      <c r="D374" s="162"/>
      <c r="E374" s="1"/>
      <c r="F374" s="811"/>
      <c r="G374" s="440"/>
      <c r="H374" s="1"/>
      <c r="I374" s="55"/>
      <c r="J374" s="170"/>
      <c r="K374" s="1"/>
      <c r="L374" s="170"/>
      <c r="M374" s="1"/>
      <c r="N374" s="458"/>
      <c r="O374" s="170"/>
      <c r="P374" s="441"/>
      <c r="Q374" s="55"/>
      <c r="R374" s="177"/>
      <c r="S374" s="454"/>
      <c r="T374" s="178"/>
      <c r="U374" s="178"/>
      <c r="V374" s="179"/>
      <c r="W374" s="180"/>
      <c r="X374" s="179"/>
      <c r="Y374" s="180"/>
      <c r="Z374" s="178"/>
      <c r="AA374" s="178"/>
      <c r="AB374" s="178"/>
      <c r="AC374" s="178"/>
      <c r="AD374" s="182"/>
      <c r="AE374" s="182"/>
      <c r="AF374" s="182"/>
      <c r="AG374" s="182"/>
      <c r="AH374" s="401"/>
      <c r="AI374" s="401"/>
      <c r="AJ374" s="401"/>
      <c r="AK374" s="401"/>
      <c r="AL374" s="401"/>
      <c r="AM374" s="189"/>
      <c r="AN374" s="829"/>
      <c r="AO374" s="830"/>
      <c r="AP374" s="401"/>
      <c r="AQ374" s="401"/>
      <c r="AR374" s="401"/>
      <c r="AS374" s="401"/>
      <c r="AT374" s="403"/>
      <c r="AU374" s="403"/>
      <c r="AV374" s="170"/>
      <c r="AW374" s="166"/>
      <c r="AX374" s="166"/>
      <c r="AY374" s="189"/>
      <c r="AZ374" s="189"/>
      <c r="BA374" s="196"/>
      <c r="BB374" s="629"/>
      <c r="BC374" s="190"/>
      <c r="BD374" s="510"/>
      <c r="BE374" s="510"/>
      <c r="BF374" s="177"/>
      <c r="BG374" s="177"/>
      <c r="BH374" s="166"/>
      <c r="BI374" s="474"/>
      <c r="BJ374" s="166"/>
      <c r="BK374" s="474"/>
      <c r="BL374" s="474"/>
      <c r="BM374" s="474"/>
      <c r="BN374" s="166"/>
      <c r="BO374" s="166"/>
      <c r="BP374" s="204"/>
      <c r="BQ374" s="475"/>
      <c r="BR374" s="205"/>
      <c r="BS374" s="509"/>
      <c r="BT374" s="509"/>
      <c r="BU374" s="459"/>
      <c r="BV374" s="459"/>
      <c r="BW374" s="1"/>
      <c r="BX374" s="1"/>
      <c r="BY374" s="546"/>
      <c r="BZ374" s="546"/>
      <c r="CA374" s="546"/>
      <c r="CB374" s="546"/>
      <c r="CC374" s="728"/>
      <c r="CD374" s="728"/>
      <c r="CE374" s="170"/>
    </row>
    <row r="375" spans="1:83" customFormat="1">
      <c r="A375" s="701"/>
      <c r="B375" s="447"/>
      <c r="C375" s="161"/>
      <c r="D375" s="162"/>
      <c r="E375" s="1"/>
      <c r="F375" s="811"/>
      <c r="G375" s="440"/>
      <c r="H375" s="1"/>
      <c r="I375" s="55"/>
      <c r="J375" s="170"/>
      <c r="K375" s="1"/>
      <c r="L375" s="170"/>
      <c r="M375" s="1"/>
      <c r="N375" s="458"/>
      <c r="O375" s="170"/>
      <c r="P375" s="441"/>
      <c r="Q375" s="55"/>
      <c r="R375" s="177"/>
      <c r="S375" s="454"/>
      <c r="T375" s="178"/>
      <c r="U375" s="178"/>
      <c r="V375" s="179"/>
      <c r="W375" s="180"/>
      <c r="X375" s="179"/>
      <c r="Y375" s="180"/>
      <c r="Z375" s="178"/>
      <c r="AA375" s="178"/>
      <c r="AB375" s="178"/>
      <c r="AC375" s="178"/>
      <c r="AD375" s="182"/>
      <c r="AE375" s="182"/>
      <c r="AF375" s="182"/>
      <c r="AG375" s="182"/>
      <c r="AH375" s="401"/>
      <c r="AI375" s="401"/>
      <c r="AJ375" s="182"/>
      <c r="AK375" s="401"/>
      <c r="AL375" s="401"/>
      <c r="AM375" s="189"/>
      <c r="AN375" s="829"/>
      <c r="AO375" s="830"/>
      <c r="AP375" s="401"/>
      <c r="AQ375" s="401"/>
      <c r="AR375" s="401"/>
      <c r="AS375" s="401"/>
      <c r="AT375" s="403"/>
      <c r="AU375" s="403"/>
      <c r="AV375" s="170"/>
      <c r="AW375" s="166"/>
      <c r="AX375" s="166"/>
      <c r="AY375" s="189"/>
      <c r="AZ375" s="189"/>
      <c r="BA375" s="196"/>
      <c r="BB375" s="629"/>
      <c r="BC375" s="190"/>
      <c r="BD375" s="510"/>
      <c r="BE375" s="510"/>
      <c r="BF375" s="177"/>
      <c r="BG375" s="177"/>
      <c r="BH375" s="166"/>
      <c r="BI375" s="474"/>
      <c r="BJ375" s="166"/>
      <c r="BK375" s="474"/>
      <c r="BL375" s="474"/>
      <c r="BM375" s="474"/>
      <c r="BN375" s="166"/>
      <c r="BO375" s="166"/>
      <c r="BP375" s="204"/>
      <c r="BQ375" s="475"/>
      <c r="BR375" s="205"/>
      <c r="BS375" s="509"/>
      <c r="BT375" s="509"/>
      <c r="BU375" s="459"/>
      <c r="BV375" s="459"/>
      <c r="BW375" s="1"/>
      <c r="BX375" s="1"/>
      <c r="BY375" s="546"/>
      <c r="BZ375" s="546"/>
      <c r="CA375" s="546"/>
      <c r="CB375" s="546"/>
      <c r="CC375" s="728"/>
      <c r="CD375" s="728"/>
      <c r="CE375" s="170"/>
    </row>
    <row r="376" spans="1:83" customFormat="1">
      <c r="A376" s="701"/>
      <c r="B376" s="447"/>
      <c r="C376" s="161"/>
      <c r="D376" s="162"/>
      <c r="E376" s="1"/>
      <c r="F376" s="811"/>
      <c r="G376" s="440"/>
      <c r="H376" s="1"/>
      <c r="I376" s="55"/>
      <c r="J376" s="170"/>
      <c r="K376" s="1"/>
      <c r="L376" s="170"/>
      <c r="M376" s="1"/>
      <c r="N376" s="458"/>
      <c r="O376" s="170"/>
      <c r="P376" s="441"/>
      <c r="Q376" s="55"/>
      <c r="R376" s="177"/>
      <c r="S376" s="454"/>
      <c r="T376" s="178"/>
      <c r="U376" s="178"/>
      <c r="V376" s="179"/>
      <c r="W376" s="180"/>
      <c r="X376" s="179"/>
      <c r="Y376" s="180"/>
      <c r="Z376" s="178"/>
      <c r="AA376" s="178"/>
      <c r="AB376" s="178"/>
      <c r="AC376" s="178"/>
      <c r="AD376" s="182"/>
      <c r="AE376" s="182"/>
      <c r="AF376" s="182"/>
      <c r="AG376" s="182"/>
      <c r="AH376" s="401"/>
      <c r="AI376" s="401"/>
      <c r="AJ376" s="401"/>
      <c r="AK376" s="401"/>
      <c r="AL376" s="401"/>
      <c r="AM376" s="189"/>
      <c r="AN376" s="829"/>
      <c r="AO376" s="830"/>
      <c r="AP376" s="401"/>
      <c r="AQ376" s="401"/>
      <c r="AR376" s="401"/>
      <c r="AS376" s="401"/>
      <c r="AT376" s="403"/>
      <c r="AU376" s="403"/>
      <c r="AV376" s="170"/>
      <c r="AW376" s="166"/>
      <c r="AX376" s="166"/>
      <c r="AY376" s="189"/>
      <c r="AZ376" s="189"/>
      <c r="BA376" s="196"/>
      <c r="BB376" s="629"/>
      <c r="BC376" s="190"/>
      <c r="BD376" s="510"/>
      <c r="BE376" s="510"/>
      <c r="BF376" s="177"/>
      <c r="BG376" s="177"/>
      <c r="BH376" s="166"/>
      <c r="BI376" s="474"/>
      <c r="BJ376" s="166"/>
      <c r="BK376" s="474"/>
      <c r="BL376" s="474"/>
      <c r="BM376" s="474"/>
      <c r="BN376" s="166"/>
      <c r="BO376" s="166"/>
      <c r="BP376" s="204"/>
      <c r="BQ376" s="475"/>
      <c r="BR376" s="205"/>
      <c r="BS376" s="509"/>
      <c r="BT376" s="509"/>
      <c r="BU376" s="459"/>
      <c r="BV376" s="459"/>
      <c r="BW376" s="1"/>
      <c r="BX376" s="1"/>
      <c r="BY376" s="546"/>
      <c r="BZ376" s="546"/>
      <c r="CA376" s="546"/>
      <c r="CB376" s="546"/>
      <c r="CC376" s="728"/>
      <c r="CD376" s="728"/>
      <c r="CE376" s="170"/>
    </row>
    <row r="377" spans="1:83" customFormat="1">
      <c r="A377" s="701"/>
      <c r="B377" s="447"/>
      <c r="C377" s="161"/>
      <c r="D377" s="162"/>
      <c r="E377" s="1"/>
      <c r="F377" s="811"/>
      <c r="G377" s="440"/>
      <c r="H377" s="1"/>
      <c r="I377" s="55"/>
      <c r="J377" s="457"/>
      <c r="K377" s="1"/>
      <c r="L377" s="170"/>
      <c r="M377" s="1"/>
      <c r="N377" s="458"/>
      <c r="O377" s="170"/>
      <c r="P377" s="441"/>
      <c r="Q377" s="55"/>
      <c r="R377" s="177"/>
      <c r="S377" s="454"/>
      <c r="T377" s="178"/>
      <c r="U377" s="178"/>
      <c r="V377" s="179"/>
      <c r="W377" s="180"/>
      <c r="X377" s="179"/>
      <c r="Y377" s="180"/>
      <c r="Z377" s="178"/>
      <c r="AA377" s="178"/>
      <c r="AB377" s="178"/>
      <c r="AC377" s="178"/>
      <c r="AD377" s="182"/>
      <c r="AE377" s="182"/>
      <c r="AF377" s="182"/>
      <c r="AG377" s="182"/>
      <c r="AH377" s="401"/>
      <c r="AI377" s="401"/>
      <c r="AJ377" s="401"/>
      <c r="AK377" s="401"/>
      <c r="AL377" s="401"/>
      <c r="AM377" s="189"/>
      <c r="AN377" s="829"/>
      <c r="AO377" s="830"/>
      <c r="AP377" s="401"/>
      <c r="AQ377" s="401"/>
      <c r="AR377" s="401"/>
      <c r="AS377" s="401"/>
      <c r="AT377" s="403"/>
      <c r="AU377" s="403"/>
      <c r="AV377" s="170"/>
      <c r="AW377" s="166"/>
      <c r="AX377" s="166"/>
      <c r="AY377" s="189"/>
      <c r="AZ377" s="189"/>
      <c r="BA377" s="196"/>
      <c r="BB377" s="629"/>
      <c r="BC377" s="190"/>
      <c r="BD377" s="510"/>
      <c r="BE377" s="510"/>
      <c r="BF377" s="177"/>
      <c r="BG377" s="177"/>
      <c r="BH377" s="166"/>
      <c r="BI377" s="474"/>
      <c r="BJ377" s="166"/>
      <c r="BK377" s="474"/>
      <c r="BL377" s="474"/>
      <c r="BM377" s="474"/>
      <c r="BN377" s="166"/>
      <c r="BO377" s="166"/>
      <c r="BP377" s="204"/>
      <c r="BQ377" s="475"/>
      <c r="BR377" s="205"/>
      <c r="BS377" s="509"/>
      <c r="BT377" s="509"/>
      <c r="BU377" s="459"/>
      <c r="BV377" s="459"/>
      <c r="BW377" s="1"/>
      <c r="BX377" s="1"/>
      <c r="BY377" s="546"/>
      <c r="BZ377" s="546"/>
      <c r="CA377" s="546"/>
      <c r="CB377" s="546"/>
      <c r="CC377" s="728"/>
      <c r="CD377" s="728"/>
      <c r="CE377" s="170"/>
    </row>
    <row r="378" spans="1:83" customFormat="1">
      <c r="A378" s="701"/>
      <c r="B378" s="447"/>
      <c r="C378" s="161"/>
      <c r="D378" s="162"/>
      <c r="E378" s="1"/>
      <c r="F378" s="811"/>
      <c r="G378" s="440"/>
      <c r="H378" s="1"/>
      <c r="I378" s="55"/>
      <c r="J378" s="170"/>
      <c r="K378" s="1"/>
      <c r="L378" s="170"/>
      <c r="M378" s="1"/>
      <c r="N378" s="458"/>
      <c r="O378" s="170"/>
      <c r="P378" s="441"/>
      <c r="Q378" s="55"/>
      <c r="R378" s="177"/>
      <c r="S378" s="454"/>
      <c r="T378" s="178"/>
      <c r="U378" s="178"/>
      <c r="V378" s="179"/>
      <c r="W378" s="180"/>
      <c r="X378" s="179"/>
      <c r="Y378" s="180"/>
      <c r="Z378" s="178"/>
      <c r="AA378" s="178"/>
      <c r="AB378" s="178"/>
      <c r="AC378" s="178"/>
      <c r="AD378" s="182"/>
      <c r="AE378" s="182"/>
      <c r="AF378" s="182"/>
      <c r="AG378" s="182"/>
      <c r="AH378" s="401"/>
      <c r="AI378" s="401"/>
      <c r="AJ378" s="401"/>
      <c r="AK378" s="401"/>
      <c r="AL378" s="401"/>
      <c r="AM378" s="189"/>
      <c r="AN378" s="829"/>
      <c r="AO378" s="830"/>
      <c r="AP378" s="401"/>
      <c r="AQ378" s="401"/>
      <c r="AR378" s="401"/>
      <c r="AS378" s="401"/>
      <c r="AT378" s="403"/>
      <c r="AU378" s="403"/>
      <c r="AV378" s="170"/>
      <c r="AW378" s="166"/>
      <c r="AX378" s="166"/>
      <c r="AY378" s="189"/>
      <c r="AZ378" s="189"/>
      <c r="BA378" s="196"/>
      <c r="BB378" s="629"/>
      <c r="BC378" s="190"/>
      <c r="BD378" s="510"/>
      <c r="BE378" s="510"/>
      <c r="BF378" s="177"/>
      <c r="BG378" s="177"/>
      <c r="BH378" s="166"/>
      <c r="BI378" s="474"/>
      <c r="BJ378" s="166"/>
      <c r="BK378" s="474"/>
      <c r="BL378" s="474"/>
      <c r="BM378" s="474"/>
      <c r="BN378" s="166"/>
      <c r="BO378" s="166"/>
      <c r="BP378" s="204"/>
      <c r="BQ378" s="475"/>
      <c r="BR378" s="205"/>
      <c r="BS378" s="509"/>
      <c r="BT378" s="509"/>
      <c r="BU378" s="459"/>
      <c r="BV378" s="459"/>
      <c r="BW378" s="1"/>
      <c r="BX378" s="1"/>
      <c r="BY378" s="546"/>
      <c r="BZ378" s="546"/>
      <c r="CA378" s="546"/>
      <c r="CB378" s="546"/>
      <c r="CC378" s="728"/>
      <c r="CD378" s="728"/>
      <c r="CE378" s="170"/>
    </row>
    <row r="379" spans="1:83" customFormat="1">
      <c r="A379" s="701"/>
      <c r="B379" s="447"/>
      <c r="C379" s="161"/>
      <c r="D379" s="162"/>
      <c r="E379" s="1"/>
      <c r="F379" s="811"/>
      <c r="G379" s="440"/>
      <c r="H379" s="1"/>
      <c r="I379" s="55"/>
      <c r="J379" s="170"/>
      <c r="K379" s="1"/>
      <c r="L379" s="170"/>
      <c r="M379" s="1"/>
      <c r="N379" s="458"/>
      <c r="O379" s="170"/>
      <c r="P379" s="441"/>
      <c r="Q379" s="55"/>
      <c r="R379" s="177"/>
      <c r="S379" s="454"/>
      <c r="T379" s="178"/>
      <c r="U379" s="178"/>
      <c r="V379" s="179"/>
      <c r="W379" s="180"/>
      <c r="X379" s="179"/>
      <c r="Y379" s="180"/>
      <c r="Z379" s="178"/>
      <c r="AA379" s="178"/>
      <c r="AB379" s="178"/>
      <c r="AC379" s="178"/>
      <c r="AD379" s="182"/>
      <c r="AE379" s="182"/>
      <c r="AF379" s="182"/>
      <c r="AG379" s="182"/>
      <c r="AH379" s="401"/>
      <c r="AI379" s="401"/>
      <c r="AJ379" s="401"/>
      <c r="AK379" s="401"/>
      <c r="AL379" s="401"/>
      <c r="AM379" s="189"/>
      <c r="AN379" s="829"/>
      <c r="AO379" s="830"/>
      <c r="AP379" s="401"/>
      <c r="AQ379" s="401"/>
      <c r="AR379" s="401"/>
      <c r="AS379" s="401"/>
      <c r="AT379" s="403"/>
      <c r="AU379" s="403"/>
      <c r="AV379" s="170"/>
      <c r="AW379" s="166"/>
      <c r="AX379" s="166"/>
      <c r="AY379" s="189"/>
      <c r="AZ379" s="189"/>
      <c r="BA379" s="196"/>
      <c r="BB379" s="629"/>
      <c r="BC379" s="190"/>
      <c r="BD379" s="510"/>
      <c r="BE379" s="510"/>
      <c r="BF379" s="177"/>
      <c r="BG379" s="177"/>
      <c r="BH379" s="166"/>
      <c r="BI379" s="474"/>
      <c r="BJ379" s="166"/>
      <c r="BK379" s="474"/>
      <c r="BL379" s="474"/>
      <c r="BM379" s="474"/>
      <c r="BN379" s="166"/>
      <c r="BO379" s="166"/>
      <c r="BP379" s="204"/>
      <c r="BQ379" s="475"/>
      <c r="BR379" s="205"/>
      <c r="BS379" s="509"/>
      <c r="BT379" s="509"/>
      <c r="BU379" s="459"/>
      <c r="BV379" s="459"/>
      <c r="BW379" s="1"/>
      <c r="BX379" s="1"/>
      <c r="BY379" s="546"/>
      <c r="BZ379" s="546"/>
      <c r="CA379" s="546"/>
      <c r="CB379" s="546"/>
      <c r="CC379" s="728"/>
      <c r="CD379" s="728"/>
      <c r="CE379" s="170"/>
    </row>
    <row r="380" spans="1:83" customFormat="1">
      <c r="A380" s="701"/>
      <c r="B380" s="447"/>
      <c r="C380" s="161"/>
      <c r="D380" s="162"/>
      <c r="E380" s="1"/>
      <c r="F380" s="811"/>
      <c r="G380" s="440"/>
      <c r="H380" s="1"/>
      <c r="I380" s="55"/>
      <c r="J380" s="170"/>
      <c r="K380" s="1"/>
      <c r="L380" s="170"/>
      <c r="M380" s="1"/>
      <c r="N380" s="458"/>
      <c r="O380" s="170"/>
      <c r="P380" s="441"/>
      <c r="Q380" s="55"/>
      <c r="R380" s="177"/>
      <c r="S380" s="454"/>
      <c r="T380" s="178"/>
      <c r="U380" s="178"/>
      <c r="V380" s="179"/>
      <c r="W380" s="180"/>
      <c r="X380" s="179"/>
      <c r="Y380" s="180"/>
      <c r="Z380" s="178"/>
      <c r="AA380" s="178"/>
      <c r="AB380" s="178"/>
      <c r="AC380" s="178"/>
      <c r="AD380" s="182"/>
      <c r="AE380" s="182"/>
      <c r="AF380" s="182"/>
      <c r="AG380" s="182"/>
      <c r="AH380" s="401"/>
      <c r="AI380" s="401"/>
      <c r="AJ380" s="182"/>
      <c r="AK380" s="401"/>
      <c r="AL380" s="401"/>
      <c r="AM380" s="189"/>
      <c r="AN380" s="829"/>
      <c r="AO380" s="830"/>
      <c r="AP380" s="401"/>
      <c r="AQ380" s="401"/>
      <c r="AR380" s="401"/>
      <c r="AS380" s="401"/>
      <c r="AT380" s="403"/>
      <c r="AU380" s="403"/>
      <c r="AV380" s="170"/>
      <c r="AW380" s="166"/>
      <c r="AX380" s="166"/>
      <c r="AY380" s="189"/>
      <c r="AZ380" s="189"/>
      <c r="BA380" s="196"/>
      <c r="BB380" s="629"/>
      <c r="BC380" s="190"/>
      <c r="BD380" s="510"/>
      <c r="BE380" s="510"/>
      <c r="BF380" s="177"/>
      <c r="BG380" s="177"/>
      <c r="BH380" s="166"/>
      <c r="BI380" s="474"/>
      <c r="BJ380" s="166"/>
      <c r="BK380" s="474"/>
      <c r="BL380" s="474"/>
      <c r="BM380" s="474"/>
      <c r="BN380" s="166"/>
      <c r="BO380" s="166"/>
      <c r="BP380" s="204"/>
      <c r="BQ380" s="475"/>
      <c r="BR380" s="205"/>
      <c r="BS380" s="509"/>
      <c r="BT380" s="509"/>
      <c r="BU380" s="459"/>
      <c r="BV380" s="459"/>
      <c r="BW380" s="1"/>
      <c r="BX380" s="1"/>
      <c r="BY380" s="546"/>
      <c r="BZ380" s="546"/>
      <c r="CA380" s="546"/>
      <c r="CB380" s="546"/>
      <c r="CC380" s="728"/>
      <c r="CD380" s="728"/>
      <c r="CE380" s="170"/>
    </row>
    <row r="381" spans="1:83" customFormat="1">
      <c r="A381" s="701"/>
      <c r="B381" s="447"/>
      <c r="C381" s="161"/>
      <c r="D381" s="162"/>
      <c r="E381" s="1"/>
      <c r="F381" s="811"/>
      <c r="G381" s="440"/>
      <c r="H381" s="1"/>
      <c r="I381" s="55"/>
      <c r="J381" s="170"/>
      <c r="K381" s="1"/>
      <c r="L381" s="170"/>
      <c r="M381" s="1"/>
      <c r="N381" s="458"/>
      <c r="O381" s="170"/>
      <c r="P381" s="441"/>
      <c r="Q381" s="55"/>
      <c r="R381" s="177"/>
      <c r="S381" s="454"/>
      <c r="T381" s="178"/>
      <c r="U381" s="178"/>
      <c r="V381" s="179"/>
      <c r="W381" s="180"/>
      <c r="X381" s="179"/>
      <c r="Y381" s="180"/>
      <c r="Z381" s="178"/>
      <c r="AA381" s="178"/>
      <c r="AB381" s="178"/>
      <c r="AC381" s="178"/>
      <c r="AD381" s="182"/>
      <c r="AE381" s="182"/>
      <c r="AF381" s="182"/>
      <c r="AG381" s="182"/>
      <c r="AH381" s="401"/>
      <c r="AI381" s="401"/>
      <c r="AJ381" s="401"/>
      <c r="AK381" s="401"/>
      <c r="AL381" s="401"/>
      <c r="AM381" s="189"/>
      <c r="AN381" s="829"/>
      <c r="AO381" s="830"/>
      <c r="AP381" s="401"/>
      <c r="AQ381" s="401"/>
      <c r="AR381" s="401"/>
      <c r="AS381" s="401"/>
      <c r="AT381" s="403"/>
      <c r="AU381" s="403"/>
      <c r="AV381" s="170"/>
      <c r="AW381" s="166"/>
      <c r="AX381" s="166"/>
      <c r="AY381" s="189"/>
      <c r="AZ381" s="189"/>
      <c r="BA381" s="196"/>
      <c r="BB381" s="629"/>
      <c r="BC381" s="190"/>
      <c r="BD381" s="510"/>
      <c r="BE381" s="510"/>
      <c r="BF381" s="177"/>
      <c r="BG381" s="177"/>
      <c r="BH381" s="166"/>
      <c r="BI381" s="474"/>
      <c r="BJ381" s="166"/>
      <c r="BK381" s="474"/>
      <c r="BL381" s="474"/>
      <c r="BM381" s="474"/>
      <c r="BN381" s="166"/>
      <c r="BO381" s="166"/>
      <c r="BP381" s="204"/>
      <c r="BQ381" s="475"/>
      <c r="BR381" s="205"/>
      <c r="BS381" s="509"/>
      <c r="BT381" s="509"/>
      <c r="BU381" s="459"/>
      <c r="BV381" s="459"/>
      <c r="BW381" s="1"/>
      <c r="BX381" s="1"/>
      <c r="BY381" s="546"/>
      <c r="BZ381" s="546"/>
      <c r="CA381" s="546"/>
      <c r="CB381" s="546"/>
      <c r="CC381" s="728"/>
      <c r="CD381" s="728"/>
      <c r="CE381" s="170"/>
    </row>
    <row r="382" spans="1:83" customFormat="1">
      <c r="A382" s="701"/>
      <c r="B382" s="447"/>
      <c r="C382" s="161"/>
      <c r="D382" s="162"/>
      <c r="E382" s="1"/>
      <c r="F382" s="811"/>
      <c r="G382" s="440"/>
      <c r="H382" s="1"/>
      <c r="I382" s="55"/>
      <c r="J382" s="170"/>
      <c r="K382" s="1"/>
      <c r="L382" s="170"/>
      <c r="M382" s="1"/>
      <c r="N382" s="458"/>
      <c r="O382" s="170"/>
      <c r="P382" s="441"/>
      <c r="Q382" s="55"/>
      <c r="R382" s="177"/>
      <c r="S382" s="454"/>
      <c r="T382" s="178"/>
      <c r="U382" s="178"/>
      <c r="V382" s="179"/>
      <c r="W382" s="180"/>
      <c r="X382" s="179"/>
      <c r="Y382" s="180"/>
      <c r="Z382" s="178"/>
      <c r="AA382" s="178"/>
      <c r="AB382" s="178"/>
      <c r="AC382" s="178"/>
      <c r="AD382" s="182"/>
      <c r="AE382" s="182"/>
      <c r="AF382" s="182"/>
      <c r="AG382" s="182"/>
      <c r="AH382" s="401"/>
      <c r="AI382" s="401"/>
      <c r="AJ382" s="401"/>
      <c r="AK382" s="401"/>
      <c r="AL382" s="401"/>
      <c r="AM382" s="189"/>
      <c r="AN382" s="829"/>
      <c r="AO382" s="830"/>
      <c r="AP382" s="401"/>
      <c r="AQ382" s="401"/>
      <c r="AR382" s="401"/>
      <c r="AS382" s="401"/>
      <c r="AT382" s="403"/>
      <c r="AU382" s="403"/>
      <c r="AV382" s="170"/>
      <c r="AW382" s="166"/>
      <c r="AX382" s="166"/>
      <c r="AY382" s="189"/>
      <c r="AZ382" s="189"/>
      <c r="BA382" s="196"/>
      <c r="BB382" s="629"/>
      <c r="BC382" s="190"/>
      <c r="BD382" s="510"/>
      <c r="BE382" s="510"/>
      <c r="BF382" s="177"/>
      <c r="BG382" s="177"/>
      <c r="BH382" s="166"/>
      <c r="BI382" s="474"/>
      <c r="BJ382" s="166"/>
      <c r="BK382" s="474"/>
      <c r="BL382" s="474"/>
      <c r="BM382" s="474"/>
      <c r="BN382" s="166"/>
      <c r="BO382" s="166"/>
      <c r="BP382" s="204"/>
      <c r="BQ382" s="475"/>
      <c r="BR382" s="205"/>
      <c r="BS382" s="509"/>
      <c r="BT382" s="509"/>
      <c r="BU382" s="459"/>
      <c r="BV382" s="459"/>
      <c r="BW382" s="1"/>
      <c r="BX382" s="1"/>
      <c r="BY382" s="546"/>
      <c r="BZ382" s="546"/>
      <c r="CA382" s="546"/>
      <c r="CB382" s="546"/>
      <c r="CC382" s="728"/>
      <c r="CD382" s="728"/>
      <c r="CE382" s="170"/>
    </row>
    <row r="383" spans="1:83" customFormat="1">
      <c r="A383" s="701"/>
      <c r="B383" s="447"/>
      <c r="C383" s="1"/>
      <c r="D383" s="538"/>
      <c r="E383" s="1"/>
      <c r="F383" s="811"/>
      <c r="G383" s="440"/>
      <c r="H383" s="1"/>
      <c r="I383" s="55"/>
      <c r="J383" s="171"/>
      <c r="K383" s="55"/>
      <c r="L383" s="171"/>
      <c r="M383" s="55"/>
      <c r="N383" s="172"/>
      <c r="O383" s="170"/>
      <c r="P383" s="139"/>
      <c r="Q383" s="172"/>
      <c r="R383" s="181"/>
      <c r="S383" s="455"/>
      <c r="T383" s="170"/>
      <c r="U383" s="170"/>
      <c r="V383" s="1"/>
      <c r="W383" s="173"/>
      <c r="X383" s="1"/>
      <c r="Y383" s="166"/>
      <c r="Z383" s="170"/>
      <c r="AA383" s="170"/>
      <c r="AB383" s="170"/>
      <c r="AC383" s="170"/>
      <c r="AD383" s="182"/>
      <c r="AE383" s="182"/>
      <c r="AF383" s="182"/>
      <c r="AG383" s="182"/>
      <c r="AH383" s="189"/>
      <c r="AI383" s="401"/>
      <c r="AJ383" s="189"/>
      <c r="AK383" s="401"/>
      <c r="AL383" s="401"/>
      <c r="AM383" s="189"/>
      <c r="AN383" s="782"/>
      <c r="AO383" s="189"/>
      <c r="AP383" s="401"/>
      <c r="AQ383" s="401"/>
      <c r="AR383" s="401"/>
      <c r="AS383" s="188"/>
      <c r="AT383" s="1"/>
      <c r="AU383" s="403"/>
      <c r="AV383" s="1"/>
      <c r="AW383" s="166"/>
      <c r="AX383" s="166"/>
      <c r="AY383" s="189"/>
      <c r="AZ383" s="189"/>
      <c r="BA383" s="196"/>
      <c r="BB383" s="629"/>
      <c r="BC383" s="197"/>
      <c r="BD383" s="510"/>
      <c r="BE383" s="510"/>
      <c r="BF383" s="177"/>
      <c r="BG383" s="177"/>
      <c r="BH383" s="166"/>
      <c r="BI383" s="474"/>
      <c r="BJ383" s="166"/>
      <c r="BK383" s="474"/>
      <c r="BL383" s="474"/>
      <c r="BM383" s="474"/>
      <c r="BN383" s="166"/>
      <c r="BO383" s="166"/>
      <c r="BP383" s="204"/>
      <c r="BQ383" s="475"/>
      <c r="BR383" s="205"/>
      <c r="BS383" s="509"/>
      <c r="BT383" s="509"/>
      <c r="BU383" s="459"/>
      <c r="BV383" s="459"/>
      <c r="BW383" s="1"/>
      <c r="BX383" s="1"/>
      <c r="BY383" s="546"/>
      <c r="BZ383" s="546"/>
      <c r="CA383" s="546"/>
      <c r="CB383" s="546"/>
      <c r="CC383" s="728"/>
      <c r="CD383" s="728"/>
      <c r="CE383" s="170"/>
    </row>
    <row r="384" spans="1:83" customFormat="1">
      <c r="A384" s="701"/>
      <c r="B384" s="447"/>
      <c r="C384" s="161"/>
      <c r="D384" s="162"/>
      <c r="E384" s="1"/>
      <c r="F384" s="811"/>
      <c r="G384" s="440"/>
      <c r="H384" s="1"/>
      <c r="I384" s="55"/>
      <c r="J384" s="170"/>
      <c r="K384" s="1"/>
      <c r="L384" s="170"/>
      <c r="M384" s="1"/>
      <c r="N384" s="458"/>
      <c r="O384" s="170"/>
      <c r="P384" s="441"/>
      <c r="Q384" s="55"/>
      <c r="R384" s="177"/>
      <c r="S384" s="454"/>
      <c r="T384" s="178"/>
      <c r="U384" s="178"/>
      <c r="V384" s="179"/>
      <c r="W384" s="180"/>
      <c r="X384" s="179"/>
      <c r="Y384" s="180"/>
      <c r="Z384" s="178"/>
      <c r="AA384" s="178"/>
      <c r="AB384" s="178"/>
      <c r="AC384" s="178"/>
      <c r="AD384" s="182"/>
      <c r="AE384" s="182"/>
      <c r="AF384" s="182"/>
      <c r="AG384" s="182"/>
      <c r="AH384" s="401"/>
      <c r="AI384" s="401"/>
      <c r="AJ384" s="401"/>
      <c r="AK384" s="401"/>
      <c r="AL384" s="401"/>
      <c r="AM384" s="189"/>
      <c r="AN384" s="829"/>
      <c r="AO384" s="830"/>
      <c r="AP384" s="401"/>
      <c r="AQ384" s="401"/>
      <c r="AR384" s="401"/>
      <c r="AS384" s="401"/>
      <c r="AT384" s="403"/>
      <c r="AU384" s="403"/>
      <c r="AV384" s="170"/>
      <c r="AW384" s="166"/>
      <c r="AX384" s="166"/>
      <c r="AY384" s="189"/>
      <c r="AZ384" s="189"/>
      <c r="BA384" s="196"/>
      <c r="BB384" s="629"/>
      <c r="BC384" s="190"/>
      <c r="BD384" s="510"/>
      <c r="BE384" s="510"/>
      <c r="BF384" s="177"/>
      <c r="BG384" s="177"/>
      <c r="BH384" s="166"/>
      <c r="BI384" s="474"/>
      <c r="BJ384" s="166"/>
      <c r="BK384" s="474"/>
      <c r="BL384" s="474"/>
      <c r="BM384" s="474"/>
      <c r="BN384" s="166"/>
      <c r="BO384" s="166"/>
      <c r="BP384" s="204"/>
      <c r="BQ384" s="475"/>
      <c r="BR384" s="205"/>
      <c r="BS384" s="509"/>
      <c r="BT384" s="509"/>
      <c r="BU384" s="459"/>
      <c r="BV384" s="459"/>
      <c r="BW384" s="1"/>
      <c r="BX384" s="1"/>
      <c r="BY384" s="546"/>
      <c r="BZ384" s="546"/>
      <c r="CA384" s="546"/>
      <c r="CB384" s="546"/>
      <c r="CC384" s="728"/>
      <c r="CD384" s="728"/>
      <c r="CE384" s="170"/>
    </row>
    <row r="385" spans="1:83" customFormat="1">
      <c r="A385" s="701"/>
      <c r="B385" s="447"/>
      <c r="C385" s="161"/>
      <c r="D385" s="162"/>
      <c r="E385" s="1"/>
      <c r="F385" s="811"/>
      <c r="G385" s="440"/>
      <c r="H385" s="1"/>
      <c r="I385" s="55"/>
      <c r="J385" s="170"/>
      <c r="K385" s="1"/>
      <c r="L385" s="170"/>
      <c r="M385" s="1"/>
      <c r="N385" s="458"/>
      <c r="O385" s="170"/>
      <c r="P385" s="441"/>
      <c r="Q385" s="55"/>
      <c r="R385" s="177"/>
      <c r="S385" s="454"/>
      <c r="T385" s="178"/>
      <c r="U385" s="178"/>
      <c r="V385" s="179"/>
      <c r="W385" s="180"/>
      <c r="X385" s="179"/>
      <c r="Y385" s="180"/>
      <c r="Z385" s="178"/>
      <c r="AA385" s="178"/>
      <c r="AB385" s="178"/>
      <c r="AC385" s="178"/>
      <c r="AD385" s="182"/>
      <c r="AE385" s="182"/>
      <c r="AF385" s="182"/>
      <c r="AG385" s="182"/>
      <c r="AH385" s="401"/>
      <c r="AI385" s="401"/>
      <c r="AJ385" s="401"/>
      <c r="AK385" s="401"/>
      <c r="AL385" s="401"/>
      <c r="AM385" s="189"/>
      <c r="AN385" s="829"/>
      <c r="AO385" s="830"/>
      <c r="AP385" s="401"/>
      <c r="AQ385" s="401"/>
      <c r="AR385" s="401"/>
      <c r="AS385" s="401"/>
      <c r="AT385" s="403"/>
      <c r="AU385" s="403"/>
      <c r="AV385" s="170"/>
      <c r="AW385" s="166"/>
      <c r="AX385" s="166"/>
      <c r="AY385" s="189"/>
      <c r="AZ385" s="189"/>
      <c r="BA385" s="196"/>
      <c r="BB385" s="629"/>
      <c r="BC385" s="190"/>
      <c r="BD385" s="510"/>
      <c r="BE385" s="510"/>
      <c r="BF385" s="177"/>
      <c r="BG385" s="177"/>
      <c r="BH385" s="166"/>
      <c r="BI385" s="474"/>
      <c r="BJ385" s="166"/>
      <c r="BK385" s="474"/>
      <c r="BL385" s="474"/>
      <c r="BM385" s="474"/>
      <c r="BN385" s="166"/>
      <c r="BO385" s="166"/>
      <c r="BP385" s="204"/>
      <c r="BQ385" s="475"/>
      <c r="BR385" s="205"/>
      <c r="BS385" s="509"/>
      <c r="BT385" s="509"/>
      <c r="BU385" s="459"/>
      <c r="BV385" s="459"/>
      <c r="BW385" s="1"/>
      <c r="BX385" s="1"/>
      <c r="BY385" s="546"/>
      <c r="BZ385" s="546"/>
      <c r="CA385" s="546"/>
      <c r="CB385" s="546"/>
      <c r="CC385" s="728"/>
      <c r="CD385" s="728"/>
      <c r="CE385" s="170"/>
    </row>
    <row r="386" spans="1:83" customFormat="1">
      <c r="A386" s="701"/>
      <c r="B386" s="447"/>
      <c r="C386" s="161"/>
      <c r="D386" s="162"/>
      <c r="E386" s="1"/>
      <c r="F386" s="811"/>
      <c r="G386" s="440"/>
      <c r="H386" s="1"/>
      <c r="I386" s="55"/>
      <c r="J386" s="457"/>
      <c r="K386" s="1"/>
      <c r="L386" s="170"/>
      <c r="M386" s="1"/>
      <c r="N386" s="458"/>
      <c r="O386" s="170"/>
      <c r="P386" s="441"/>
      <c r="Q386" s="55"/>
      <c r="R386" s="177"/>
      <c r="S386" s="454"/>
      <c r="T386" s="178"/>
      <c r="U386" s="178"/>
      <c r="V386" s="179"/>
      <c r="W386" s="180"/>
      <c r="X386" s="179"/>
      <c r="Y386" s="180"/>
      <c r="Z386" s="178"/>
      <c r="AA386" s="178"/>
      <c r="AB386" s="178"/>
      <c r="AC386" s="178"/>
      <c r="AD386" s="182"/>
      <c r="AE386" s="182"/>
      <c r="AF386" s="182"/>
      <c r="AG386" s="182"/>
      <c r="AH386" s="401"/>
      <c r="AI386" s="401"/>
      <c r="AJ386" s="401"/>
      <c r="AK386" s="401"/>
      <c r="AL386" s="401"/>
      <c r="AM386" s="189"/>
      <c r="AN386" s="829"/>
      <c r="AO386" s="830"/>
      <c r="AP386" s="401"/>
      <c r="AQ386" s="401"/>
      <c r="AR386" s="401"/>
      <c r="AS386" s="401"/>
      <c r="AT386" s="403"/>
      <c r="AU386" s="403"/>
      <c r="AV386" s="170"/>
      <c r="AW386" s="166"/>
      <c r="AX386" s="166"/>
      <c r="AY386" s="189"/>
      <c r="AZ386" s="189"/>
      <c r="BA386" s="196"/>
      <c r="BB386" s="629"/>
      <c r="BC386" s="190"/>
      <c r="BD386" s="510"/>
      <c r="BE386" s="510"/>
      <c r="BF386" s="177"/>
      <c r="BG386" s="177"/>
      <c r="BH386" s="166"/>
      <c r="BI386" s="474"/>
      <c r="BJ386" s="166"/>
      <c r="BK386" s="474"/>
      <c r="BL386" s="474"/>
      <c r="BM386" s="474"/>
      <c r="BN386" s="166"/>
      <c r="BO386" s="166"/>
      <c r="BP386" s="204"/>
      <c r="BQ386" s="475"/>
      <c r="BR386" s="205"/>
      <c r="BS386" s="509"/>
      <c r="BT386" s="509"/>
      <c r="BU386" s="459"/>
      <c r="BV386" s="459"/>
      <c r="BW386" s="1"/>
      <c r="BX386" s="1"/>
      <c r="BY386" s="546"/>
      <c r="BZ386" s="546"/>
      <c r="CA386" s="546"/>
      <c r="CB386" s="546"/>
      <c r="CC386" s="728"/>
      <c r="CD386" s="728"/>
      <c r="CE386" s="170"/>
    </row>
    <row r="387" spans="1:83" customFormat="1">
      <c r="A387" s="701"/>
      <c r="B387" s="447"/>
      <c r="C387" s="161"/>
      <c r="D387" s="162"/>
      <c r="E387" s="1"/>
      <c r="F387" s="811"/>
      <c r="G387" s="440"/>
      <c r="H387" s="1"/>
      <c r="I387" s="55"/>
      <c r="J387" s="170"/>
      <c r="K387" s="1"/>
      <c r="L387" s="170"/>
      <c r="M387" s="1"/>
      <c r="N387" s="458"/>
      <c r="O387" s="170"/>
      <c r="P387" s="441"/>
      <c r="Q387" s="55"/>
      <c r="R387" s="177"/>
      <c r="S387" s="454"/>
      <c r="T387" s="178"/>
      <c r="U387" s="178"/>
      <c r="V387" s="179"/>
      <c r="W387" s="180"/>
      <c r="X387" s="179"/>
      <c r="Y387" s="180"/>
      <c r="Z387" s="178"/>
      <c r="AA387" s="178"/>
      <c r="AB387" s="178"/>
      <c r="AC387" s="178"/>
      <c r="AD387" s="182"/>
      <c r="AE387" s="182"/>
      <c r="AF387" s="182"/>
      <c r="AG387" s="182"/>
      <c r="AH387" s="401"/>
      <c r="AI387" s="401"/>
      <c r="AJ387" s="401"/>
      <c r="AK387" s="401"/>
      <c r="AL387" s="401"/>
      <c r="AM387" s="189"/>
      <c r="AN387" s="829"/>
      <c r="AO387" s="830"/>
      <c r="AP387" s="401"/>
      <c r="AQ387" s="401"/>
      <c r="AR387" s="401"/>
      <c r="AS387" s="401"/>
      <c r="AT387" s="403"/>
      <c r="AU387" s="403"/>
      <c r="AV387" s="170"/>
      <c r="AW387" s="166"/>
      <c r="AX387" s="166"/>
      <c r="AY387" s="189"/>
      <c r="AZ387" s="189"/>
      <c r="BA387" s="196"/>
      <c r="BB387" s="629"/>
      <c r="BC387" s="190"/>
      <c r="BD387" s="510"/>
      <c r="BE387" s="510"/>
      <c r="BF387" s="177"/>
      <c r="BG387" s="177"/>
      <c r="BH387" s="166"/>
      <c r="BI387" s="474"/>
      <c r="BJ387" s="166"/>
      <c r="BK387" s="474"/>
      <c r="BL387" s="474"/>
      <c r="BM387" s="474"/>
      <c r="BN387" s="166"/>
      <c r="BO387" s="166"/>
      <c r="BP387" s="204"/>
      <c r="BQ387" s="475"/>
      <c r="BR387" s="205"/>
      <c r="BS387" s="509"/>
      <c r="BT387" s="509"/>
      <c r="BU387" s="459"/>
      <c r="BV387" s="459"/>
      <c r="BW387" s="1"/>
      <c r="BX387" s="1"/>
      <c r="BY387" s="546"/>
      <c r="BZ387" s="546"/>
      <c r="CA387" s="546"/>
      <c r="CB387" s="546"/>
      <c r="CC387" s="728"/>
      <c r="CD387" s="728"/>
      <c r="CE387" s="170"/>
    </row>
    <row r="388" spans="1:83" customFormat="1">
      <c r="A388" s="701"/>
      <c r="B388" s="447"/>
      <c r="C388" s="161"/>
      <c r="D388" s="162"/>
      <c r="E388" s="1"/>
      <c r="F388" s="811"/>
      <c r="G388" s="440"/>
      <c r="H388" s="1"/>
      <c r="I388" s="55"/>
      <c r="J388" s="170"/>
      <c r="K388" s="1"/>
      <c r="L388" s="170"/>
      <c r="M388" s="1"/>
      <c r="N388" s="458"/>
      <c r="O388" s="170"/>
      <c r="P388" s="441"/>
      <c r="Q388" s="55"/>
      <c r="R388" s="177"/>
      <c r="S388" s="454"/>
      <c r="T388" s="178"/>
      <c r="U388" s="178"/>
      <c r="V388" s="179"/>
      <c r="W388" s="180"/>
      <c r="X388" s="179"/>
      <c r="Y388" s="180"/>
      <c r="Z388" s="178"/>
      <c r="AA388" s="178"/>
      <c r="AB388" s="178"/>
      <c r="AC388" s="178"/>
      <c r="AD388" s="182"/>
      <c r="AE388" s="182"/>
      <c r="AF388" s="182"/>
      <c r="AG388" s="182"/>
      <c r="AH388" s="401"/>
      <c r="AI388" s="401"/>
      <c r="AJ388" s="401"/>
      <c r="AK388" s="401"/>
      <c r="AL388" s="401"/>
      <c r="AM388" s="189"/>
      <c r="AN388" s="829"/>
      <c r="AO388" s="830"/>
      <c r="AP388" s="401"/>
      <c r="AQ388" s="401"/>
      <c r="AR388" s="401"/>
      <c r="AS388" s="401"/>
      <c r="AT388" s="403"/>
      <c r="AU388" s="403"/>
      <c r="AV388" s="170"/>
      <c r="AW388" s="166"/>
      <c r="AX388" s="166"/>
      <c r="AY388" s="189"/>
      <c r="AZ388" s="189"/>
      <c r="BA388" s="196"/>
      <c r="BB388" s="629"/>
      <c r="BC388" s="190"/>
      <c r="BD388" s="510"/>
      <c r="BE388" s="510"/>
      <c r="BF388" s="177"/>
      <c r="BG388" s="177"/>
      <c r="BH388" s="166"/>
      <c r="BI388" s="474"/>
      <c r="BJ388" s="166"/>
      <c r="BK388" s="474"/>
      <c r="BL388" s="474"/>
      <c r="BM388" s="474"/>
      <c r="BN388" s="166"/>
      <c r="BO388" s="166"/>
      <c r="BP388" s="204"/>
      <c r="BQ388" s="475"/>
      <c r="BR388" s="205"/>
      <c r="BS388" s="509"/>
      <c r="BT388" s="509"/>
      <c r="BU388" s="459"/>
      <c r="BV388" s="459"/>
      <c r="BW388" s="1"/>
      <c r="BX388" s="1"/>
      <c r="BY388" s="546"/>
      <c r="BZ388" s="546"/>
      <c r="CA388" s="546"/>
      <c r="CB388" s="546"/>
      <c r="CC388" s="728"/>
      <c r="CD388" s="728"/>
      <c r="CE388" s="170"/>
    </row>
    <row r="389" spans="1:83" customFormat="1">
      <c r="A389" s="701"/>
      <c r="B389" s="447"/>
      <c r="C389" s="161"/>
      <c r="D389" s="162"/>
      <c r="E389" s="1"/>
      <c r="F389" s="811"/>
      <c r="G389" s="440"/>
      <c r="H389" s="1"/>
      <c r="I389" s="55"/>
      <c r="J389" s="170"/>
      <c r="K389" s="1"/>
      <c r="L389" s="170"/>
      <c r="M389" s="1"/>
      <c r="N389" s="166"/>
      <c r="O389" s="170"/>
      <c r="P389" s="441"/>
      <c r="Q389" s="55"/>
      <c r="R389" s="177"/>
      <c r="S389" s="454"/>
      <c r="T389" s="178"/>
      <c r="U389" s="178"/>
      <c r="V389" s="179"/>
      <c r="W389" s="180"/>
      <c r="X389" s="179"/>
      <c r="Y389" s="180"/>
      <c r="Z389" s="178"/>
      <c r="AA389" s="178"/>
      <c r="AB389" s="178"/>
      <c r="AC389" s="178"/>
      <c r="AD389" s="182"/>
      <c r="AE389" s="182"/>
      <c r="AF389" s="182"/>
      <c r="AG389" s="182"/>
      <c r="AH389" s="401"/>
      <c r="AI389" s="401"/>
      <c r="AJ389" s="182"/>
      <c r="AK389" s="401"/>
      <c r="AL389" s="401"/>
      <c r="AM389" s="189"/>
      <c r="AN389" s="829"/>
      <c r="AO389" s="830"/>
      <c r="AP389" s="401"/>
      <c r="AQ389" s="401"/>
      <c r="AR389" s="401"/>
      <c r="AS389" s="401"/>
      <c r="AT389" s="403"/>
      <c r="AU389" s="403"/>
      <c r="AV389" s="170"/>
      <c r="AW389" s="166"/>
      <c r="AX389" s="166"/>
      <c r="AY389" s="189"/>
      <c r="AZ389" s="189"/>
      <c r="BA389" s="196"/>
      <c r="BB389" s="629"/>
      <c r="BC389" s="190"/>
      <c r="BD389" s="510"/>
      <c r="BE389" s="510"/>
      <c r="BF389" s="177"/>
      <c r="BG389" s="177"/>
      <c r="BH389" s="166"/>
      <c r="BI389" s="474"/>
      <c r="BJ389" s="166"/>
      <c r="BK389" s="474"/>
      <c r="BL389" s="474"/>
      <c r="BM389" s="474"/>
      <c r="BN389" s="166"/>
      <c r="BO389" s="166"/>
      <c r="BP389" s="204"/>
      <c r="BQ389" s="475"/>
      <c r="BR389" s="205"/>
      <c r="BS389" s="509"/>
      <c r="BT389" s="509"/>
      <c r="BU389" s="459"/>
      <c r="BV389" s="459"/>
      <c r="BW389" s="1"/>
      <c r="BX389" s="1"/>
      <c r="BY389" s="546"/>
      <c r="BZ389" s="546"/>
      <c r="CA389" s="546"/>
      <c r="CB389" s="546"/>
      <c r="CC389" s="728"/>
      <c r="CD389" s="728"/>
      <c r="CE389" s="170"/>
    </row>
    <row r="390" spans="1:83" customFormat="1">
      <c r="A390" s="701"/>
      <c r="B390" s="447"/>
      <c r="C390" s="161"/>
      <c r="D390" s="162"/>
      <c r="E390" s="1"/>
      <c r="F390" s="811"/>
      <c r="G390" s="440"/>
      <c r="H390" s="1"/>
      <c r="I390" s="55"/>
      <c r="J390" s="170"/>
      <c r="K390" s="1"/>
      <c r="L390" s="170"/>
      <c r="M390" s="1"/>
      <c r="N390" s="458"/>
      <c r="O390" s="170"/>
      <c r="P390" s="441"/>
      <c r="Q390" s="55"/>
      <c r="R390" s="177"/>
      <c r="S390" s="454"/>
      <c r="T390" s="178"/>
      <c r="U390" s="178"/>
      <c r="V390" s="179"/>
      <c r="W390" s="180"/>
      <c r="X390" s="179"/>
      <c r="Y390" s="180"/>
      <c r="Z390" s="178"/>
      <c r="AA390" s="178"/>
      <c r="AB390" s="178"/>
      <c r="AC390" s="178"/>
      <c r="AD390" s="182"/>
      <c r="AE390" s="182"/>
      <c r="AF390" s="182"/>
      <c r="AG390" s="182"/>
      <c r="AH390" s="401"/>
      <c r="AI390" s="401"/>
      <c r="AJ390" s="401"/>
      <c r="AK390" s="401"/>
      <c r="AL390" s="401"/>
      <c r="AM390" s="189"/>
      <c r="AN390" s="829"/>
      <c r="AO390" s="830"/>
      <c r="AP390" s="401"/>
      <c r="AQ390" s="401"/>
      <c r="AR390" s="401"/>
      <c r="AS390" s="401"/>
      <c r="AT390" s="403"/>
      <c r="AU390" s="403"/>
      <c r="AV390" s="170"/>
      <c r="AW390" s="166"/>
      <c r="AX390" s="166"/>
      <c r="AY390" s="189"/>
      <c r="AZ390" s="189"/>
      <c r="BA390" s="196"/>
      <c r="BB390" s="629"/>
      <c r="BC390" s="190"/>
      <c r="BD390" s="510"/>
      <c r="BE390" s="510"/>
      <c r="BF390" s="177"/>
      <c r="BG390" s="177"/>
      <c r="BH390" s="166"/>
      <c r="BI390" s="474"/>
      <c r="BJ390" s="166"/>
      <c r="BK390" s="474"/>
      <c r="BL390" s="474"/>
      <c r="BM390" s="474"/>
      <c r="BN390" s="166"/>
      <c r="BO390" s="166"/>
      <c r="BP390" s="204"/>
      <c r="BQ390" s="475"/>
      <c r="BR390" s="205"/>
      <c r="BS390" s="509"/>
      <c r="BT390" s="509"/>
      <c r="BU390" s="459"/>
      <c r="BV390" s="459"/>
      <c r="BW390" s="1"/>
      <c r="BX390" s="1"/>
      <c r="BY390" s="546"/>
      <c r="BZ390" s="546"/>
      <c r="CA390" s="546"/>
      <c r="CB390" s="546"/>
      <c r="CC390" s="728"/>
      <c r="CD390" s="728"/>
      <c r="CE390" s="170"/>
    </row>
    <row r="391" spans="1:83" customFormat="1">
      <c r="A391" s="701"/>
      <c r="B391" s="447"/>
      <c r="C391" s="161"/>
      <c r="D391" s="162"/>
      <c r="E391" s="1"/>
      <c r="F391" s="811"/>
      <c r="G391" s="440"/>
      <c r="H391" s="1"/>
      <c r="I391" s="55"/>
      <c r="J391" s="170"/>
      <c r="K391" s="1"/>
      <c r="L391" s="170"/>
      <c r="M391" s="1"/>
      <c r="N391" s="458"/>
      <c r="O391" s="170"/>
      <c r="P391" s="441"/>
      <c r="Q391" s="55"/>
      <c r="R391" s="177"/>
      <c r="S391" s="454"/>
      <c r="T391" s="178"/>
      <c r="U391" s="178"/>
      <c r="V391" s="179"/>
      <c r="W391" s="180"/>
      <c r="X391" s="179"/>
      <c r="Y391" s="180"/>
      <c r="Z391" s="178"/>
      <c r="AA391" s="178"/>
      <c r="AB391" s="178"/>
      <c r="AC391" s="178"/>
      <c r="AD391" s="182"/>
      <c r="AE391" s="182"/>
      <c r="AF391" s="182"/>
      <c r="AG391" s="182"/>
      <c r="AH391" s="401"/>
      <c r="AI391" s="401"/>
      <c r="AJ391" s="401"/>
      <c r="AK391" s="401"/>
      <c r="AL391" s="401"/>
      <c r="AM391" s="189"/>
      <c r="AN391" s="829"/>
      <c r="AO391" s="830"/>
      <c r="AP391" s="401"/>
      <c r="AQ391" s="401"/>
      <c r="AR391" s="401"/>
      <c r="AS391" s="401"/>
      <c r="AT391" s="403"/>
      <c r="AU391" s="403"/>
      <c r="AV391" s="170"/>
      <c r="AW391" s="166"/>
      <c r="AX391" s="166"/>
      <c r="AY391" s="189"/>
      <c r="AZ391" s="189"/>
      <c r="BA391" s="196"/>
      <c r="BB391" s="629"/>
      <c r="BC391" s="190"/>
      <c r="BD391" s="510"/>
      <c r="BE391" s="510"/>
      <c r="BF391" s="177"/>
      <c r="BG391" s="177"/>
      <c r="BH391" s="166"/>
      <c r="BI391" s="474"/>
      <c r="BJ391" s="166"/>
      <c r="BK391" s="474"/>
      <c r="BL391" s="474"/>
      <c r="BM391" s="474"/>
      <c r="BN391" s="166"/>
      <c r="BO391" s="166"/>
      <c r="BP391" s="204"/>
      <c r="BQ391" s="475"/>
      <c r="BR391" s="205"/>
      <c r="BS391" s="509"/>
      <c r="BT391" s="509"/>
      <c r="BU391" s="459"/>
      <c r="BV391" s="459"/>
      <c r="BW391" s="1"/>
      <c r="BX391" s="1"/>
      <c r="BY391" s="546"/>
      <c r="BZ391" s="546"/>
      <c r="CA391" s="546"/>
      <c r="CB391" s="546"/>
      <c r="CC391" s="728"/>
      <c r="CD391" s="728"/>
      <c r="CE391" s="170"/>
    </row>
    <row r="392" spans="1:83" customFormat="1">
      <c r="A392" s="701"/>
      <c r="B392" s="447"/>
      <c r="C392" s="161"/>
      <c r="D392" s="162"/>
      <c r="E392" s="1"/>
      <c r="F392" s="811"/>
      <c r="G392" s="440"/>
      <c r="H392" s="1"/>
      <c r="I392" s="55"/>
      <c r="J392" s="170"/>
      <c r="K392" s="1"/>
      <c r="L392" s="170"/>
      <c r="M392" s="1"/>
      <c r="N392" s="458"/>
      <c r="O392" s="170"/>
      <c r="P392" s="441"/>
      <c r="Q392" s="55"/>
      <c r="R392" s="177"/>
      <c r="S392" s="454"/>
      <c r="T392" s="178"/>
      <c r="U392" s="178"/>
      <c r="V392" s="179"/>
      <c r="W392" s="180"/>
      <c r="X392" s="179"/>
      <c r="Y392" s="180"/>
      <c r="Z392" s="178"/>
      <c r="AA392" s="178"/>
      <c r="AB392" s="178"/>
      <c r="AC392" s="178"/>
      <c r="AD392" s="182"/>
      <c r="AE392" s="182"/>
      <c r="AF392" s="182"/>
      <c r="AG392" s="182"/>
      <c r="AH392" s="401"/>
      <c r="AI392" s="401"/>
      <c r="AJ392" s="401"/>
      <c r="AK392" s="401"/>
      <c r="AL392" s="401"/>
      <c r="AM392" s="189"/>
      <c r="AN392" s="829"/>
      <c r="AO392" s="830"/>
      <c r="AP392" s="401"/>
      <c r="AQ392" s="401"/>
      <c r="AR392" s="401"/>
      <c r="AS392" s="401"/>
      <c r="AT392" s="403"/>
      <c r="AU392" s="403"/>
      <c r="AV392" s="170"/>
      <c r="AW392" s="166"/>
      <c r="AX392" s="166"/>
      <c r="AY392" s="189"/>
      <c r="AZ392" s="189"/>
      <c r="BA392" s="196"/>
      <c r="BB392" s="629"/>
      <c r="BC392" s="190"/>
      <c r="BD392" s="510"/>
      <c r="BE392" s="510"/>
      <c r="BF392" s="177"/>
      <c r="BG392" s="177"/>
      <c r="BH392" s="166"/>
      <c r="BI392" s="474"/>
      <c r="BJ392" s="166"/>
      <c r="BK392" s="474"/>
      <c r="BL392" s="474"/>
      <c r="BM392" s="474"/>
      <c r="BN392" s="166"/>
      <c r="BO392" s="166"/>
      <c r="BP392" s="204"/>
      <c r="BQ392" s="475"/>
      <c r="BR392" s="205"/>
      <c r="BS392" s="509"/>
      <c r="BT392" s="509"/>
      <c r="BU392" s="459"/>
      <c r="BV392" s="459"/>
      <c r="BW392" s="1"/>
      <c r="BX392" s="1"/>
      <c r="BY392" s="546"/>
      <c r="BZ392" s="546"/>
      <c r="CA392" s="546"/>
      <c r="CB392" s="546"/>
      <c r="CC392" s="728"/>
      <c r="CD392" s="728"/>
      <c r="CE392" s="170"/>
    </row>
    <row r="393" spans="1:83" customFormat="1">
      <c r="A393" s="701"/>
      <c r="B393" s="447"/>
      <c r="C393" s="1"/>
      <c r="D393" s="538"/>
      <c r="E393" s="1"/>
      <c r="F393" s="811"/>
      <c r="G393" s="440"/>
      <c r="H393" s="1"/>
      <c r="I393" s="55"/>
      <c r="J393" s="171"/>
      <c r="K393" s="55"/>
      <c r="L393" s="171"/>
      <c r="M393" s="55"/>
      <c r="N393" s="172"/>
      <c r="O393" s="170"/>
      <c r="P393" s="139"/>
      <c r="Q393" s="172"/>
      <c r="R393" s="181"/>
      <c r="S393" s="455"/>
      <c r="T393" s="170"/>
      <c r="U393" s="170"/>
      <c r="V393" s="1"/>
      <c r="W393" s="173"/>
      <c r="X393" s="1"/>
      <c r="Y393" s="166"/>
      <c r="Z393" s="170"/>
      <c r="AA393" s="170"/>
      <c r="AB393" s="170"/>
      <c r="AC393" s="170"/>
      <c r="AD393" s="182"/>
      <c r="AE393" s="182"/>
      <c r="AF393" s="182"/>
      <c r="AG393" s="182"/>
      <c r="AH393" s="189"/>
      <c r="AI393" s="401"/>
      <c r="AJ393" s="189"/>
      <c r="AK393" s="401"/>
      <c r="AL393" s="401"/>
      <c r="AM393" s="189"/>
      <c r="AN393" s="782"/>
      <c r="AO393" s="189"/>
      <c r="AP393" s="401"/>
      <c r="AQ393" s="401"/>
      <c r="AR393" s="401"/>
      <c r="AS393" s="188"/>
      <c r="AT393" s="1"/>
      <c r="AU393" s="403"/>
      <c r="AV393" s="1"/>
      <c r="AW393" s="166"/>
      <c r="AX393" s="166"/>
      <c r="AY393" s="189"/>
      <c r="AZ393" s="189"/>
      <c r="BA393" s="196"/>
      <c r="BB393" s="629"/>
      <c r="BC393" s="197"/>
      <c r="BD393" s="510"/>
      <c r="BE393" s="510"/>
      <c r="BF393" s="177"/>
      <c r="BG393" s="177"/>
      <c r="BH393" s="166"/>
      <c r="BI393" s="474"/>
      <c r="BJ393" s="166"/>
      <c r="BK393" s="474"/>
      <c r="BL393" s="474"/>
      <c r="BM393" s="474"/>
      <c r="BN393" s="166"/>
      <c r="BO393" s="166"/>
      <c r="BP393" s="204"/>
      <c r="BQ393" s="475"/>
      <c r="BR393" s="205"/>
      <c r="BS393" s="509"/>
      <c r="BT393" s="509"/>
      <c r="BU393" s="459"/>
      <c r="BV393" s="459"/>
      <c r="BW393" s="1"/>
      <c r="BX393" s="1"/>
      <c r="BY393" s="546"/>
      <c r="BZ393" s="546"/>
      <c r="CA393" s="546"/>
      <c r="CB393" s="546"/>
      <c r="CC393" s="728"/>
      <c r="CD393" s="728"/>
      <c r="CE393" s="170"/>
    </row>
    <row r="394" spans="1:83" customFormat="1">
      <c r="A394" s="701"/>
      <c r="B394" s="447"/>
      <c r="C394" s="161"/>
      <c r="D394" s="162"/>
      <c r="E394" s="1"/>
      <c r="F394" s="811"/>
      <c r="G394" s="440"/>
      <c r="H394" s="1"/>
      <c r="I394" s="55"/>
      <c r="J394" s="170"/>
      <c r="K394" s="1"/>
      <c r="L394" s="170"/>
      <c r="M394" s="1"/>
      <c r="N394" s="458"/>
      <c r="O394" s="170"/>
      <c r="P394" s="441"/>
      <c r="Q394" s="55"/>
      <c r="R394" s="177"/>
      <c r="S394" s="454"/>
      <c r="T394" s="178"/>
      <c r="U394" s="178"/>
      <c r="V394" s="179"/>
      <c r="W394" s="180"/>
      <c r="X394" s="179"/>
      <c r="Y394" s="180"/>
      <c r="Z394" s="178"/>
      <c r="AA394" s="178"/>
      <c r="AB394" s="178"/>
      <c r="AC394" s="178"/>
      <c r="AD394" s="182"/>
      <c r="AE394" s="182"/>
      <c r="AF394" s="182"/>
      <c r="AG394" s="182"/>
      <c r="AH394" s="401"/>
      <c r="AI394" s="401"/>
      <c r="AJ394" s="401"/>
      <c r="AK394" s="401"/>
      <c r="AL394" s="401"/>
      <c r="AM394" s="189"/>
      <c r="AN394" s="829"/>
      <c r="AO394" s="830"/>
      <c r="AP394" s="401"/>
      <c r="AQ394" s="401"/>
      <c r="AR394" s="401"/>
      <c r="AS394" s="401"/>
      <c r="AT394" s="403"/>
      <c r="AU394" s="403"/>
      <c r="AV394" s="170"/>
      <c r="AW394" s="166"/>
      <c r="AX394" s="166"/>
      <c r="AY394" s="189"/>
      <c r="AZ394" s="189"/>
      <c r="BA394" s="196"/>
      <c r="BB394" s="629"/>
      <c r="BC394" s="190"/>
      <c r="BD394" s="510"/>
      <c r="BE394" s="510"/>
      <c r="BF394" s="177"/>
      <c r="BG394" s="177"/>
      <c r="BH394" s="166"/>
      <c r="BI394" s="474"/>
      <c r="BJ394" s="166"/>
      <c r="BK394" s="474"/>
      <c r="BL394" s="474"/>
      <c r="BM394" s="474"/>
      <c r="BN394" s="166"/>
      <c r="BO394" s="166"/>
      <c r="BP394" s="204"/>
      <c r="BQ394" s="475"/>
      <c r="BR394" s="205"/>
      <c r="BS394" s="509"/>
      <c r="BT394" s="509"/>
      <c r="BU394" s="459"/>
      <c r="BV394" s="459"/>
      <c r="BW394" s="1"/>
      <c r="BX394" s="1"/>
      <c r="BY394" s="546"/>
      <c r="BZ394" s="546"/>
      <c r="CA394" s="546"/>
      <c r="CB394" s="546"/>
      <c r="CC394" s="728"/>
      <c r="CD394" s="728"/>
      <c r="CE394" s="170"/>
    </row>
    <row r="395" spans="1:83" customFormat="1">
      <c r="A395" s="701"/>
      <c r="B395" s="447"/>
      <c r="C395" s="161"/>
      <c r="D395" s="162"/>
      <c r="E395" s="1"/>
      <c r="F395" s="811"/>
      <c r="G395" s="440"/>
      <c r="H395" s="1"/>
      <c r="I395" s="55"/>
      <c r="J395" s="170"/>
      <c r="K395" s="1"/>
      <c r="L395" s="170"/>
      <c r="M395" s="1"/>
      <c r="N395" s="458"/>
      <c r="O395" s="170"/>
      <c r="P395" s="441"/>
      <c r="Q395" s="55"/>
      <c r="R395" s="177"/>
      <c r="S395" s="454"/>
      <c r="T395" s="178"/>
      <c r="U395" s="178"/>
      <c r="V395" s="179"/>
      <c r="W395" s="180"/>
      <c r="X395" s="179"/>
      <c r="Y395" s="180"/>
      <c r="Z395" s="178"/>
      <c r="AA395" s="178"/>
      <c r="AB395" s="178"/>
      <c r="AC395" s="178"/>
      <c r="AD395" s="182"/>
      <c r="AE395" s="182"/>
      <c r="AF395" s="182"/>
      <c r="AG395" s="182"/>
      <c r="AH395" s="401"/>
      <c r="AI395" s="401"/>
      <c r="AJ395" s="401"/>
      <c r="AK395" s="401"/>
      <c r="AL395" s="401"/>
      <c r="AM395" s="189"/>
      <c r="AN395" s="829"/>
      <c r="AO395" s="830"/>
      <c r="AP395" s="401"/>
      <c r="AQ395" s="401"/>
      <c r="AR395" s="401"/>
      <c r="AS395" s="401"/>
      <c r="AT395" s="403"/>
      <c r="AU395" s="403"/>
      <c r="AV395" s="170"/>
      <c r="AW395" s="166"/>
      <c r="AX395" s="166"/>
      <c r="AY395" s="189"/>
      <c r="AZ395" s="189"/>
      <c r="BA395" s="196"/>
      <c r="BB395" s="629"/>
      <c r="BC395" s="190"/>
      <c r="BD395" s="510"/>
      <c r="BE395" s="510"/>
      <c r="BF395" s="177"/>
      <c r="BG395" s="177"/>
      <c r="BH395" s="166"/>
      <c r="BI395" s="474"/>
      <c r="BJ395" s="166"/>
      <c r="BK395" s="474"/>
      <c r="BL395" s="474"/>
      <c r="BM395" s="474"/>
      <c r="BN395" s="166"/>
      <c r="BO395" s="166"/>
      <c r="BP395" s="204"/>
      <c r="BQ395" s="475"/>
      <c r="BR395" s="205"/>
      <c r="BS395" s="509"/>
      <c r="BT395" s="509"/>
      <c r="BU395" s="459"/>
      <c r="BV395" s="459"/>
      <c r="BW395" s="1"/>
      <c r="BX395" s="1"/>
      <c r="BY395" s="546"/>
      <c r="BZ395" s="546"/>
      <c r="CA395" s="546"/>
      <c r="CB395" s="546"/>
      <c r="CC395" s="728"/>
      <c r="CD395" s="728"/>
      <c r="CE395" s="170"/>
    </row>
    <row r="396" spans="1:83" customFormat="1">
      <c r="A396" s="701"/>
      <c r="B396" s="447"/>
      <c r="C396" s="161"/>
      <c r="D396" s="162"/>
      <c r="E396" s="1"/>
      <c r="F396" s="811"/>
      <c r="G396" s="440"/>
      <c r="H396" s="1"/>
      <c r="I396" s="55"/>
      <c r="J396" s="457"/>
      <c r="K396" s="1"/>
      <c r="L396" s="170"/>
      <c r="M396" s="1"/>
      <c r="N396" s="458"/>
      <c r="O396" s="170"/>
      <c r="P396" s="441"/>
      <c r="Q396" s="55"/>
      <c r="R396" s="177"/>
      <c r="S396" s="454"/>
      <c r="T396" s="178"/>
      <c r="U396" s="178"/>
      <c r="V396" s="179"/>
      <c r="W396" s="180"/>
      <c r="X396" s="179"/>
      <c r="Y396" s="180"/>
      <c r="Z396" s="178"/>
      <c r="AA396" s="178"/>
      <c r="AB396" s="178"/>
      <c r="AC396" s="178"/>
      <c r="AD396" s="182"/>
      <c r="AE396" s="182"/>
      <c r="AF396" s="182"/>
      <c r="AG396" s="182"/>
      <c r="AH396" s="401"/>
      <c r="AI396" s="401"/>
      <c r="AJ396" s="401"/>
      <c r="AK396" s="401"/>
      <c r="AL396" s="401"/>
      <c r="AM396" s="189"/>
      <c r="AN396" s="829"/>
      <c r="AO396" s="830"/>
      <c r="AP396" s="401"/>
      <c r="AQ396" s="401"/>
      <c r="AR396" s="401"/>
      <c r="AS396" s="401"/>
      <c r="AT396" s="403"/>
      <c r="AU396" s="403"/>
      <c r="AV396" s="170"/>
      <c r="AW396" s="166"/>
      <c r="AX396" s="166"/>
      <c r="AY396" s="189"/>
      <c r="AZ396" s="189"/>
      <c r="BA396" s="196"/>
      <c r="BB396" s="629"/>
      <c r="BC396" s="190"/>
      <c r="BD396" s="510"/>
      <c r="BE396" s="510"/>
      <c r="BF396" s="177"/>
      <c r="BG396" s="177"/>
      <c r="BH396" s="166"/>
      <c r="BI396" s="474"/>
      <c r="BJ396" s="166"/>
      <c r="BK396" s="474"/>
      <c r="BL396" s="474"/>
      <c r="BM396" s="474"/>
      <c r="BN396" s="166"/>
      <c r="BO396" s="166"/>
      <c r="BP396" s="204"/>
      <c r="BQ396" s="475"/>
      <c r="BR396" s="205"/>
      <c r="BS396" s="509"/>
      <c r="BT396" s="509"/>
      <c r="BU396" s="459"/>
      <c r="BV396" s="459"/>
      <c r="BW396" s="1"/>
      <c r="BX396" s="1"/>
      <c r="BY396" s="546"/>
      <c r="BZ396" s="546"/>
      <c r="CA396" s="546"/>
      <c r="CB396" s="546"/>
      <c r="CC396" s="728"/>
      <c r="CD396" s="728"/>
      <c r="CE396" s="170"/>
    </row>
    <row r="397" spans="1:83" customFormat="1">
      <c r="A397" s="701"/>
      <c r="B397" s="447"/>
      <c r="C397" s="161"/>
      <c r="D397" s="162"/>
      <c r="E397" s="1"/>
      <c r="F397" s="811"/>
      <c r="G397" s="440"/>
      <c r="H397" s="1"/>
      <c r="I397" s="55"/>
      <c r="J397" s="170"/>
      <c r="K397" s="1"/>
      <c r="L397" s="170"/>
      <c r="M397" s="1"/>
      <c r="N397" s="458"/>
      <c r="O397" s="170"/>
      <c r="P397" s="441"/>
      <c r="Q397" s="55"/>
      <c r="R397" s="177"/>
      <c r="S397" s="454"/>
      <c r="T397" s="178"/>
      <c r="U397" s="178"/>
      <c r="V397" s="179"/>
      <c r="W397" s="180"/>
      <c r="X397" s="179"/>
      <c r="Y397" s="180"/>
      <c r="Z397" s="178"/>
      <c r="AA397" s="178"/>
      <c r="AB397" s="178"/>
      <c r="AC397" s="178"/>
      <c r="AD397" s="182"/>
      <c r="AE397" s="182"/>
      <c r="AF397" s="182"/>
      <c r="AG397" s="182"/>
      <c r="AH397" s="401"/>
      <c r="AI397" s="401"/>
      <c r="AJ397" s="401"/>
      <c r="AK397" s="401"/>
      <c r="AL397" s="401"/>
      <c r="AM397" s="189"/>
      <c r="AN397" s="829"/>
      <c r="AO397" s="830"/>
      <c r="AP397" s="401"/>
      <c r="AQ397" s="401"/>
      <c r="AR397" s="401"/>
      <c r="AS397" s="401"/>
      <c r="AT397" s="403"/>
      <c r="AU397" s="403"/>
      <c r="AV397" s="170"/>
      <c r="AW397" s="166"/>
      <c r="AX397" s="166"/>
      <c r="AY397" s="189"/>
      <c r="AZ397" s="189"/>
      <c r="BA397" s="196"/>
      <c r="BB397" s="629"/>
      <c r="BC397" s="190"/>
      <c r="BD397" s="510"/>
      <c r="BE397" s="510"/>
      <c r="BF397" s="177"/>
      <c r="BG397" s="177"/>
      <c r="BH397" s="166"/>
      <c r="BI397" s="474"/>
      <c r="BJ397" s="166"/>
      <c r="BK397" s="474"/>
      <c r="BL397" s="474"/>
      <c r="BM397" s="474"/>
      <c r="BN397" s="166"/>
      <c r="BO397" s="166"/>
      <c r="BP397" s="204"/>
      <c r="BQ397" s="475"/>
      <c r="BR397" s="205"/>
      <c r="BS397" s="509"/>
      <c r="BT397" s="509"/>
      <c r="BU397" s="459"/>
      <c r="BV397" s="459"/>
      <c r="BW397" s="1"/>
      <c r="BX397" s="1"/>
      <c r="BY397" s="546"/>
      <c r="BZ397" s="546"/>
      <c r="CA397" s="546"/>
      <c r="CB397" s="546"/>
      <c r="CC397" s="728"/>
      <c r="CD397" s="728"/>
      <c r="CE397" s="170"/>
    </row>
    <row r="398" spans="1:83" customFormat="1">
      <c r="A398" s="701"/>
      <c r="B398" s="447"/>
      <c r="C398" s="161"/>
      <c r="D398" s="162"/>
      <c r="E398" s="1"/>
      <c r="F398" s="811"/>
      <c r="G398" s="440"/>
      <c r="H398" s="1"/>
      <c r="I398" s="55"/>
      <c r="J398" s="170"/>
      <c r="K398" s="1"/>
      <c r="L398" s="170"/>
      <c r="M398" s="1"/>
      <c r="N398" s="458"/>
      <c r="O398" s="170"/>
      <c r="P398" s="441"/>
      <c r="Q398" s="55"/>
      <c r="R398" s="177"/>
      <c r="S398" s="454"/>
      <c r="T398" s="178"/>
      <c r="U398" s="178"/>
      <c r="V398" s="179"/>
      <c r="W398" s="180"/>
      <c r="X398" s="179"/>
      <c r="Y398" s="180"/>
      <c r="Z398" s="178"/>
      <c r="AA398" s="178"/>
      <c r="AB398" s="178"/>
      <c r="AC398" s="178"/>
      <c r="AD398" s="182"/>
      <c r="AE398" s="182"/>
      <c r="AF398" s="182"/>
      <c r="AG398" s="182"/>
      <c r="AH398" s="401"/>
      <c r="AI398" s="401"/>
      <c r="AJ398" s="401"/>
      <c r="AK398" s="401"/>
      <c r="AL398" s="401"/>
      <c r="AM398" s="189"/>
      <c r="AN398" s="829"/>
      <c r="AO398" s="830"/>
      <c r="AP398" s="401"/>
      <c r="AQ398" s="401"/>
      <c r="AR398" s="401"/>
      <c r="AS398" s="401"/>
      <c r="AT398" s="403"/>
      <c r="AU398" s="403"/>
      <c r="AV398" s="170"/>
      <c r="AW398" s="166"/>
      <c r="AX398" s="166"/>
      <c r="AY398" s="189"/>
      <c r="AZ398" s="189"/>
      <c r="BA398" s="196"/>
      <c r="BB398" s="629"/>
      <c r="BC398" s="190"/>
      <c r="BD398" s="510"/>
      <c r="BE398" s="510"/>
      <c r="BF398" s="177"/>
      <c r="BG398" s="177"/>
      <c r="BH398" s="166"/>
      <c r="BI398" s="474"/>
      <c r="BJ398" s="166"/>
      <c r="BK398" s="474"/>
      <c r="BL398" s="474"/>
      <c r="BM398" s="474"/>
      <c r="BN398" s="166"/>
      <c r="BO398" s="166"/>
      <c r="BP398" s="204"/>
      <c r="BQ398" s="475"/>
      <c r="BR398" s="205"/>
      <c r="BS398" s="509"/>
      <c r="BT398" s="509"/>
      <c r="BU398" s="459"/>
      <c r="BV398" s="459"/>
      <c r="BW398" s="1"/>
      <c r="BX398" s="1"/>
      <c r="BY398" s="546"/>
      <c r="BZ398" s="546"/>
      <c r="CA398" s="546"/>
      <c r="CB398" s="546"/>
      <c r="CC398" s="728"/>
      <c r="CD398" s="728"/>
      <c r="CE398" s="170"/>
    </row>
    <row r="399" spans="1:83" customFormat="1">
      <c r="A399" s="701"/>
      <c r="B399" s="447"/>
      <c r="C399" s="161"/>
      <c r="D399" s="162"/>
      <c r="E399" s="1"/>
      <c r="F399" s="811"/>
      <c r="G399" s="440"/>
      <c r="H399" s="1"/>
      <c r="I399" s="55"/>
      <c r="J399" s="170"/>
      <c r="K399" s="1"/>
      <c r="L399" s="170"/>
      <c r="M399" s="1"/>
      <c r="N399" s="166"/>
      <c r="O399" s="170"/>
      <c r="P399" s="441"/>
      <c r="Q399" s="55"/>
      <c r="R399" s="177"/>
      <c r="S399" s="454"/>
      <c r="T399" s="178"/>
      <c r="U399" s="178"/>
      <c r="V399" s="179"/>
      <c r="W399" s="180"/>
      <c r="X399" s="179"/>
      <c r="Y399" s="180"/>
      <c r="Z399" s="178"/>
      <c r="AA399" s="178"/>
      <c r="AB399" s="178"/>
      <c r="AC399" s="178"/>
      <c r="AD399" s="182"/>
      <c r="AE399" s="182"/>
      <c r="AF399" s="182"/>
      <c r="AG399" s="182"/>
      <c r="AH399" s="401"/>
      <c r="AI399" s="401"/>
      <c r="AJ399" s="182"/>
      <c r="AK399" s="401"/>
      <c r="AL399" s="401"/>
      <c r="AM399" s="189"/>
      <c r="AN399" s="829"/>
      <c r="AO399" s="830"/>
      <c r="AP399" s="401"/>
      <c r="AQ399" s="401"/>
      <c r="AR399" s="401"/>
      <c r="AS399" s="401"/>
      <c r="AT399" s="403"/>
      <c r="AU399" s="403"/>
      <c r="AV399" s="170"/>
      <c r="AW399" s="166"/>
      <c r="AX399" s="166"/>
      <c r="AY399" s="189"/>
      <c r="AZ399" s="189"/>
      <c r="BA399" s="196"/>
      <c r="BB399" s="629"/>
      <c r="BC399" s="190"/>
      <c r="BD399" s="510"/>
      <c r="BE399" s="510"/>
      <c r="BF399" s="177"/>
      <c r="BG399" s="177"/>
      <c r="BH399" s="166"/>
      <c r="BI399" s="474"/>
      <c r="BJ399" s="166"/>
      <c r="BK399" s="474"/>
      <c r="BL399" s="474"/>
      <c r="BM399" s="474"/>
      <c r="BN399" s="166"/>
      <c r="BO399" s="166"/>
      <c r="BP399" s="204"/>
      <c r="BQ399" s="475"/>
      <c r="BR399" s="205"/>
      <c r="BS399" s="509"/>
      <c r="BT399" s="509"/>
      <c r="BU399" s="459"/>
      <c r="BV399" s="459"/>
      <c r="BW399" s="1"/>
      <c r="BX399" s="1"/>
      <c r="BY399" s="546"/>
      <c r="BZ399" s="546"/>
      <c r="CA399" s="546"/>
      <c r="CB399" s="546"/>
      <c r="CC399" s="728"/>
      <c r="CD399" s="728"/>
      <c r="CE399" s="170"/>
    </row>
    <row r="400" spans="1:83" customFormat="1">
      <c r="A400" s="701"/>
      <c r="B400" s="447"/>
      <c r="C400" s="161"/>
      <c r="D400" s="162"/>
      <c r="E400" s="1"/>
      <c r="F400" s="811"/>
      <c r="G400" s="440"/>
      <c r="H400" s="1"/>
      <c r="I400" s="55"/>
      <c r="J400" s="170"/>
      <c r="K400" s="1"/>
      <c r="L400" s="170"/>
      <c r="M400" s="1"/>
      <c r="N400" s="166"/>
      <c r="O400" s="170"/>
      <c r="P400" s="441"/>
      <c r="Q400" s="55"/>
      <c r="R400" s="177"/>
      <c r="S400" s="454"/>
      <c r="T400" s="178"/>
      <c r="U400" s="178"/>
      <c r="V400" s="179"/>
      <c r="W400" s="180"/>
      <c r="X400" s="179"/>
      <c r="Y400" s="180"/>
      <c r="Z400" s="178"/>
      <c r="AA400" s="178"/>
      <c r="AB400" s="178"/>
      <c r="AC400" s="178"/>
      <c r="AD400" s="182"/>
      <c r="AE400" s="182"/>
      <c r="AF400" s="182"/>
      <c r="AG400" s="182"/>
      <c r="AH400" s="401"/>
      <c r="AI400" s="401"/>
      <c r="AJ400" s="182"/>
      <c r="AK400" s="401"/>
      <c r="AL400" s="401"/>
      <c r="AM400" s="189"/>
      <c r="AN400" s="829"/>
      <c r="AO400" s="830"/>
      <c r="AP400" s="401"/>
      <c r="AQ400" s="401"/>
      <c r="AR400" s="401"/>
      <c r="AS400" s="401"/>
      <c r="AT400" s="403"/>
      <c r="AU400" s="403"/>
      <c r="AV400" s="170"/>
      <c r="AW400" s="166"/>
      <c r="AX400" s="166"/>
      <c r="AY400" s="189"/>
      <c r="AZ400" s="189"/>
      <c r="BA400" s="196"/>
      <c r="BB400" s="629"/>
      <c r="BC400" s="190"/>
      <c r="BD400" s="510"/>
      <c r="BE400" s="510"/>
      <c r="BF400" s="177"/>
      <c r="BG400" s="177"/>
      <c r="BH400" s="166"/>
      <c r="BI400" s="474"/>
      <c r="BJ400" s="166"/>
      <c r="BK400" s="474"/>
      <c r="BL400" s="474"/>
      <c r="BM400" s="474"/>
      <c r="BN400" s="166"/>
      <c r="BO400" s="166"/>
      <c r="BP400" s="204"/>
      <c r="BQ400" s="475"/>
      <c r="BR400" s="205"/>
      <c r="BS400" s="509"/>
      <c r="BT400" s="509"/>
      <c r="BU400" s="459"/>
      <c r="BV400" s="459"/>
      <c r="BW400" s="1"/>
      <c r="BX400" s="1"/>
      <c r="BY400" s="546"/>
      <c r="BZ400" s="546"/>
      <c r="CA400" s="546"/>
      <c r="CB400" s="546"/>
      <c r="CC400" s="728"/>
      <c r="CD400" s="728"/>
      <c r="CE400" s="170"/>
    </row>
    <row r="401" spans="1:83" customFormat="1">
      <c r="A401" s="701"/>
      <c r="B401" s="447"/>
      <c r="C401" s="161"/>
      <c r="D401" s="162"/>
      <c r="E401" s="1"/>
      <c r="F401" s="811"/>
      <c r="G401" s="440"/>
      <c r="H401" s="1"/>
      <c r="I401" s="55"/>
      <c r="J401" s="170"/>
      <c r="K401" s="1"/>
      <c r="L401" s="170"/>
      <c r="M401" s="1"/>
      <c r="N401" s="458"/>
      <c r="O401" s="170"/>
      <c r="P401" s="441"/>
      <c r="Q401" s="55"/>
      <c r="R401" s="177"/>
      <c r="S401" s="454"/>
      <c r="T401" s="178"/>
      <c r="U401" s="178"/>
      <c r="V401" s="179"/>
      <c r="W401" s="180"/>
      <c r="X401" s="179"/>
      <c r="Y401" s="180"/>
      <c r="Z401" s="178"/>
      <c r="AA401" s="178"/>
      <c r="AB401" s="178"/>
      <c r="AC401" s="178"/>
      <c r="AD401" s="182"/>
      <c r="AE401" s="182"/>
      <c r="AF401" s="182"/>
      <c r="AG401" s="182"/>
      <c r="AH401" s="401"/>
      <c r="AI401" s="401"/>
      <c r="AJ401" s="401"/>
      <c r="AK401" s="401"/>
      <c r="AL401" s="401"/>
      <c r="AM401" s="189"/>
      <c r="AN401" s="829"/>
      <c r="AO401" s="830"/>
      <c r="AP401" s="401"/>
      <c r="AQ401" s="401"/>
      <c r="AR401" s="401"/>
      <c r="AS401" s="401"/>
      <c r="AT401" s="403"/>
      <c r="AU401" s="403"/>
      <c r="AV401" s="170"/>
      <c r="AW401" s="166"/>
      <c r="AX401" s="166"/>
      <c r="AY401" s="189"/>
      <c r="AZ401" s="189"/>
      <c r="BA401" s="196"/>
      <c r="BB401" s="629"/>
      <c r="BC401" s="190"/>
      <c r="BD401" s="510"/>
      <c r="BE401" s="510"/>
      <c r="BF401" s="177"/>
      <c r="BG401" s="177"/>
      <c r="BH401" s="166"/>
      <c r="BI401" s="474"/>
      <c r="BJ401" s="166"/>
      <c r="BK401" s="474"/>
      <c r="BL401" s="474"/>
      <c r="BM401" s="474"/>
      <c r="BN401" s="166"/>
      <c r="BO401" s="166"/>
      <c r="BP401" s="204"/>
      <c r="BQ401" s="475"/>
      <c r="BR401" s="205"/>
      <c r="BS401" s="509"/>
      <c r="BT401" s="509"/>
      <c r="BU401" s="459"/>
      <c r="BV401" s="459"/>
      <c r="BW401" s="1"/>
      <c r="BX401" s="1"/>
      <c r="BY401" s="546"/>
      <c r="BZ401" s="546"/>
      <c r="CA401" s="546"/>
      <c r="CB401" s="546"/>
      <c r="CC401" s="728"/>
      <c r="CD401" s="728"/>
      <c r="CE401" s="170"/>
    </row>
    <row r="402" spans="1:83" customFormat="1">
      <c r="A402" s="701"/>
      <c r="B402" s="447"/>
      <c r="C402" s="161"/>
      <c r="D402" s="162"/>
      <c r="E402" s="1"/>
      <c r="F402" s="811"/>
      <c r="G402" s="440"/>
      <c r="H402" s="1"/>
      <c r="I402" s="55"/>
      <c r="J402" s="170"/>
      <c r="K402" s="1"/>
      <c r="L402" s="170"/>
      <c r="M402" s="1"/>
      <c r="N402" s="458"/>
      <c r="O402" s="170"/>
      <c r="P402" s="441"/>
      <c r="Q402" s="55"/>
      <c r="R402" s="177"/>
      <c r="S402" s="454"/>
      <c r="T402" s="178"/>
      <c r="U402" s="178"/>
      <c r="V402" s="179"/>
      <c r="W402" s="180"/>
      <c r="X402" s="179"/>
      <c r="Y402" s="180"/>
      <c r="Z402" s="178"/>
      <c r="AA402" s="178"/>
      <c r="AB402" s="178"/>
      <c r="AC402" s="178"/>
      <c r="AD402" s="182"/>
      <c r="AE402" s="182"/>
      <c r="AF402" s="182"/>
      <c r="AG402" s="182"/>
      <c r="AH402" s="401"/>
      <c r="AI402" s="401"/>
      <c r="AJ402" s="401"/>
      <c r="AK402" s="401"/>
      <c r="AL402" s="401"/>
      <c r="AM402" s="189"/>
      <c r="AN402" s="829"/>
      <c r="AO402" s="830"/>
      <c r="AP402" s="401"/>
      <c r="AQ402" s="401"/>
      <c r="AR402" s="401"/>
      <c r="AS402" s="401"/>
      <c r="AT402" s="403"/>
      <c r="AU402" s="403"/>
      <c r="AV402" s="170"/>
      <c r="AW402" s="166"/>
      <c r="AX402" s="166"/>
      <c r="AY402" s="189"/>
      <c r="AZ402" s="189"/>
      <c r="BA402" s="196"/>
      <c r="BB402" s="629"/>
      <c r="BC402" s="190"/>
      <c r="BD402" s="510"/>
      <c r="BE402" s="510"/>
      <c r="BF402" s="177"/>
      <c r="BG402" s="177"/>
      <c r="BH402" s="166"/>
      <c r="BI402" s="474"/>
      <c r="BJ402" s="166"/>
      <c r="BK402" s="474"/>
      <c r="BL402" s="474"/>
      <c r="BM402" s="474"/>
      <c r="BN402" s="166"/>
      <c r="BO402" s="166"/>
      <c r="BP402" s="204"/>
      <c r="BQ402" s="475"/>
      <c r="BR402" s="205"/>
      <c r="BS402" s="509"/>
      <c r="BT402" s="509"/>
      <c r="BU402" s="459"/>
      <c r="BV402" s="459"/>
      <c r="BW402" s="1"/>
      <c r="BX402" s="1"/>
      <c r="BY402" s="546"/>
      <c r="BZ402" s="546"/>
      <c r="CA402" s="546"/>
      <c r="CB402" s="546"/>
      <c r="CC402" s="728"/>
      <c r="CD402" s="728"/>
      <c r="CE402" s="170"/>
    </row>
    <row r="403" spans="1:83" customFormat="1">
      <c r="A403" s="701"/>
      <c r="B403" s="447"/>
      <c r="C403" s="161"/>
      <c r="D403" s="162"/>
      <c r="E403" s="1"/>
      <c r="F403" s="811"/>
      <c r="G403" s="440"/>
      <c r="H403" s="1"/>
      <c r="I403" s="55"/>
      <c r="J403" s="170"/>
      <c r="K403" s="1"/>
      <c r="L403" s="170"/>
      <c r="M403" s="1"/>
      <c r="N403" s="458"/>
      <c r="O403" s="170"/>
      <c r="P403" s="441"/>
      <c r="Q403" s="55"/>
      <c r="R403" s="177"/>
      <c r="S403" s="454"/>
      <c r="T403" s="178"/>
      <c r="U403" s="178"/>
      <c r="V403" s="179"/>
      <c r="W403" s="180"/>
      <c r="X403" s="179"/>
      <c r="Y403" s="180"/>
      <c r="Z403" s="178"/>
      <c r="AA403" s="178"/>
      <c r="AB403" s="178"/>
      <c r="AC403" s="178"/>
      <c r="AD403" s="182"/>
      <c r="AE403" s="182"/>
      <c r="AF403" s="182"/>
      <c r="AG403" s="182"/>
      <c r="AH403" s="401"/>
      <c r="AI403" s="401"/>
      <c r="AJ403" s="401"/>
      <c r="AK403" s="401"/>
      <c r="AL403" s="401"/>
      <c r="AM403" s="189"/>
      <c r="AN403" s="829"/>
      <c r="AO403" s="830"/>
      <c r="AP403" s="401"/>
      <c r="AQ403" s="401"/>
      <c r="AR403" s="401"/>
      <c r="AS403" s="401"/>
      <c r="AT403" s="403"/>
      <c r="AU403" s="403"/>
      <c r="AV403" s="170"/>
      <c r="AW403" s="166"/>
      <c r="AX403" s="166"/>
      <c r="AY403" s="189"/>
      <c r="AZ403" s="189"/>
      <c r="BA403" s="196"/>
      <c r="BB403" s="629"/>
      <c r="BC403" s="190"/>
      <c r="BD403" s="510"/>
      <c r="BE403" s="510"/>
      <c r="BF403" s="177"/>
      <c r="BG403" s="177"/>
      <c r="BH403" s="166"/>
      <c r="BI403" s="474"/>
      <c r="BJ403" s="166"/>
      <c r="BK403" s="474"/>
      <c r="BL403" s="474"/>
      <c r="BM403" s="474"/>
      <c r="BN403" s="166"/>
      <c r="BO403" s="166"/>
      <c r="BP403" s="204"/>
      <c r="BQ403" s="475"/>
      <c r="BR403" s="205"/>
      <c r="BS403" s="509"/>
      <c r="BT403" s="509"/>
      <c r="BU403" s="459"/>
      <c r="BV403" s="459"/>
      <c r="BW403" s="1"/>
      <c r="BX403" s="1"/>
      <c r="BY403" s="546"/>
      <c r="BZ403" s="546"/>
      <c r="CA403" s="546"/>
      <c r="CB403" s="546"/>
      <c r="CC403" s="728"/>
      <c r="CD403" s="728"/>
      <c r="CE403" s="170"/>
    </row>
    <row r="404" spans="1:83" customFormat="1">
      <c r="A404" s="701"/>
      <c r="B404" s="447"/>
      <c r="C404" s="1"/>
      <c r="D404" s="538"/>
      <c r="E404" s="1"/>
      <c r="F404" s="811"/>
      <c r="G404" s="440"/>
      <c r="H404" s="1"/>
      <c r="I404" s="55"/>
      <c r="J404" s="171"/>
      <c r="K404" s="55"/>
      <c r="L404" s="171"/>
      <c r="M404" s="55"/>
      <c r="N404" s="172"/>
      <c r="O404" s="170"/>
      <c r="P404" s="139"/>
      <c r="Q404" s="172"/>
      <c r="R404" s="181"/>
      <c r="S404" s="455"/>
      <c r="T404" s="170"/>
      <c r="U404" s="170"/>
      <c r="V404" s="1"/>
      <c r="W404" s="173"/>
      <c r="X404" s="1"/>
      <c r="Y404" s="166"/>
      <c r="Z404" s="170"/>
      <c r="AA404" s="170"/>
      <c r="AB404" s="170"/>
      <c r="AC404" s="170"/>
      <c r="AD404" s="182"/>
      <c r="AE404" s="182"/>
      <c r="AF404" s="182"/>
      <c r="AG404" s="182"/>
      <c r="AH404" s="189"/>
      <c r="AI404" s="401"/>
      <c r="AJ404" s="189"/>
      <c r="AK404" s="401"/>
      <c r="AL404" s="401"/>
      <c r="AM404" s="189"/>
      <c r="AN404" s="782"/>
      <c r="AO404" s="189"/>
      <c r="AP404" s="401"/>
      <c r="AQ404" s="401"/>
      <c r="AR404" s="401"/>
      <c r="AS404" s="188"/>
      <c r="AT404" s="1"/>
      <c r="AU404" s="403"/>
      <c r="AV404" s="1"/>
      <c r="AW404" s="166"/>
      <c r="AX404" s="166"/>
      <c r="AY404" s="189"/>
      <c r="AZ404" s="189"/>
      <c r="BA404" s="196"/>
      <c r="BB404" s="629"/>
      <c r="BC404" s="197"/>
      <c r="BD404" s="510"/>
      <c r="BE404" s="510"/>
      <c r="BF404" s="177"/>
      <c r="BG404" s="177"/>
      <c r="BH404" s="166"/>
      <c r="BI404" s="474"/>
      <c r="BJ404" s="166"/>
      <c r="BK404" s="474"/>
      <c r="BL404" s="474"/>
      <c r="BM404" s="474"/>
      <c r="BN404" s="166"/>
      <c r="BO404" s="166"/>
      <c r="BP404" s="204"/>
      <c r="BQ404" s="475"/>
      <c r="BR404" s="205"/>
      <c r="BS404" s="509"/>
      <c r="BT404" s="509"/>
      <c r="BU404" s="459"/>
      <c r="BV404" s="459"/>
      <c r="BW404" s="1"/>
      <c r="BX404" s="1"/>
      <c r="BY404" s="546"/>
      <c r="BZ404" s="546"/>
      <c r="CA404" s="546"/>
      <c r="CB404" s="546"/>
      <c r="CC404" s="728"/>
      <c r="CD404" s="728"/>
      <c r="CE404" s="170"/>
    </row>
    <row r="405" spans="1:83" customFormat="1">
      <c r="A405" s="701"/>
      <c r="B405" s="447"/>
      <c r="C405" s="161"/>
      <c r="D405" s="162"/>
      <c r="E405" s="1"/>
      <c r="F405" s="811"/>
      <c r="G405" s="440"/>
      <c r="H405" s="1"/>
      <c r="I405" s="55"/>
      <c r="J405" s="170"/>
      <c r="K405" s="1"/>
      <c r="L405" s="170"/>
      <c r="M405" s="1"/>
      <c r="N405" s="458"/>
      <c r="O405" s="170"/>
      <c r="P405" s="441"/>
      <c r="Q405" s="55"/>
      <c r="R405" s="177"/>
      <c r="S405" s="454"/>
      <c r="T405" s="178"/>
      <c r="U405" s="178"/>
      <c r="V405" s="179"/>
      <c r="W405" s="180"/>
      <c r="X405" s="179"/>
      <c r="Y405" s="180"/>
      <c r="Z405" s="178"/>
      <c r="AA405" s="178"/>
      <c r="AB405" s="178"/>
      <c r="AC405" s="178"/>
      <c r="AD405" s="182"/>
      <c r="AE405" s="182"/>
      <c r="AF405" s="182"/>
      <c r="AG405" s="182"/>
      <c r="AH405" s="401"/>
      <c r="AI405" s="401"/>
      <c r="AJ405" s="401"/>
      <c r="AK405" s="401"/>
      <c r="AL405" s="401"/>
      <c r="AM405" s="189"/>
      <c r="AN405" s="829"/>
      <c r="AO405" s="830"/>
      <c r="AP405" s="401"/>
      <c r="AQ405" s="401"/>
      <c r="AR405" s="401"/>
      <c r="AS405" s="401"/>
      <c r="AT405" s="403"/>
      <c r="AU405" s="403"/>
      <c r="AV405" s="170"/>
      <c r="AW405" s="166"/>
      <c r="AX405" s="166"/>
      <c r="AY405" s="189"/>
      <c r="AZ405" s="189"/>
      <c r="BA405" s="196"/>
      <c r="BB405" s="629"/>
      <c r="BC405" s="190"/>
      <c r="BD405" s="510"/>
      <c r="BE405" s="510"/>
      <c r="BF405" s="177"/>
      <c r="BG405" s="177"/>
      <c r="BH405" s="166"/>
      <c r="BI405" s="474"/>
      <c r="BJ405" s="166"/>
      <c r="BK405" s="474"/>
      <c r="BL405" s="474"/>
      <c r="BM405" s="474"/>
      <c r="BN405" s="166"/>
      <c r="BO405" s="166"/>
      <c r="BP405" s="204"/>
      <c r="BQ405" s="475"/>
      <c r="BR405" s="205"/>
      <c r="BS405" s="509"/>
      <c r="BT405" s="509"/>
      <c r="BU405" s="459"/>
      <c r="BV405" s="459"/>
      <c r="BW405" s="1"/>
      <c r="BX405" s="1"/>
      <c r="BY405" s="546"/>
      <c r="BZ405" s="546"/>
      <c r="CA405" s="546"/>
      <c r="CB405" s="546"/>
      <c r="CC405" s="728"/>
      <c r="CD405" s="728"/>
      <c r="CE405" s="170"/>
    </row>
    <row r="406" spans="1:83" customFormat="1">
      <c r="A406" s="701"/>
      <c r="B406" s="447"/>
      <c r="C406" s="161"/>
      <c r="D406" s="162"/>
      <c r="E406" s="1"/>
      <c r="F406" s="811"/>
      <c r="G406" s="440"/>
      <c r="H406" s="1"/>
      <c r="I406" s="55"/>
      <c r="J406" s="170"/>
      <c r="K406" s="1"/>
      <c r="L406" s="170"/>
      <c r="M406" s="1"/>
      <c r="N406" s="458"/>
      <c r="O406" s="170"/>
      <c r="P406" s="441"/>
      <c r="Q406" s="55"/>
      <c r="R406" s="177"/>
      <c r="S406" s="454"/>
      <c r="T406" s="178"/>
      <c r="U406" s="178"/>
      <c r="V406" s="179"/>
      <c r="W406" s="180"/>
      <c r="X406" s="179"/>
      <c r="Y406" s="180"/>
      <c r="Z406" s="178"/>
      <c r="AA406" s="178"/>
      <c r="AB406" s="178"/>
      <c r="AC406" s="178"/>
      <c r="AD406" s="182"/>
      <c r="AE406" s="182"/>
      <c r="AF406" s="182"/>
      <c r="AG406" s="182"/>
      <c r="AH406" s="401"/>
      <c r="AI406" s="401"/>
      <c r="AJ406" s="401"/>
      <c r="AK406" s="401"/>
      <c r="AL406" s="401"/>
      <c r="AM406" s="189"/>
      <c r="AN406" s="829"/>
      <c r="AO406" s="830"/>
      <c r="AP406" s="401"/>
      <c r="AQ406" s="401"/>
      <c r="AR406" s="401"/>
      <c r="AS406" s="401"/>
      <c r="AT406" s="403"/>
      <c r="AU406" s="403"/>
      <c r="AV406" s="170"/>
      <c r="AW406" s="166"/>
      <c r="AX406" s="166"/>
      <c r="AY406" s="189"/>
      <c r="AZ406" s="189"/>
      <c r="BA406" s="196"/>
      <c r="BB406" s="629"/>
      <c r="BC406" s="190"/>
      <c r="BD406" s="510"/>
      <c r="BE406" s="510"/>
      <c r="BF406" s="177"/>
      <c r="BG406" s="177"/>
      <c r="BH406" s="166"/>
      <c r="BI406" s="474"/>
      <c r="BJ406" s="166"/>
      <c r="BK406" s="474"/>
      <c r="BL406" s="474"/>
      <c r="BM406" s="474"/>
      <c r="BN406" s="166"/>
      <c r="BO406" s="166"/>
      <c r="BP406" s="204"/>
      <c r="BQ406" s="475"/>
      <c r="BR406" s="205"/>
      <c r="BS406" s="509"/>
      <c r="BT406" s="509"/>
      <c r="BU406" s="459"/>
      <c r="BV406" s="459"/>
      <c r="BW406" s="1"/>
      <c r="BX406" s="1"/>
      <c r="BY406" s="546"/>
      <c r="BZ406" s="546"/>
      <c r="CA406" s="546"/>
      <c r="CB406" s="546"/>
      <c r="CC406" s="728"/>
      <c r="CD406" s="728"/>
      <c r="CE406" s="170"/>
    </row>
    <row r="407" spans="1:83" customFormat="1">
      <c r="A407" s="701"/>
      <c r="B407" s="447"/>
      <c r="C407" s="161"/>
      <c r="D407" s="162"/>
      <c r="E407" s="1"/>
      <c r="F407" s="811"/>
      <c r="G407" s="440"/>
      <c r="H407" s="1"/>
      <c r="I407" s="55"/>
      <c r="J407" s="457"/>
      <c r="K407" s="1"/>
      <c r="L407" s="170"/>
      <c r="M407" s="1"/>
      <c r="N407" s="458"/>
      <c r="O407" s="170"/>
      <c r="P407" s="441"/>
      <c r="Q407" s="55"/>
      <c r="R407" s="177"/>
      <c r="S407" s="454"/>
      <c r="T407" s="178"/>
      <c r="U407" s="178"/>
      <c r="V407" s="179"/>
      <c r="W407" s="180"/>
      <c r="X407" s="179"/>
      <c r="Y407" s="180"/>
      <c r="Z407" s="178"/>
      <c r="AA407" s="178"/>
      <c r="AB407" s="178"/>
      <c r="AC407" s="178"/>
      <c r="AD407" s="182"/>
      <c r="AE407" s="182"/>
      <c r="AF407" s="182"/>
      <c r="AG407" s="182"/>
      <c r="AH407" s="401"/>
      <c r="AI407" s="401"/>
      <c r="AJ407" s="401"/>
      <c r="AK407" s="401"/>
      <c r="AL407" s="401"/>
      <c r="AM407" s="189"/>
      <c r="AN407" s="829"/>
      <c r="AO407" s="830"/>
      <c r="AP407" s="401"/>
      <c r="AQ407" s="401"/>
      <c r="AR407" s="401"/>
      <c r="AS407" s="401"/>
      <c r="AT407" s="403"/>
      <c r="AU407" s="403"/>
      <c r="AV407" s="170"/>
      <c r="AW407" s="166"/>
      <c r="AX407" s="166"/>
      <c r="AY407" s="189"/>
      <c r="AZ407" s="189"/>
      <c r="BA407" s="196"/>
      <c r="BB407" s="629"/>
      <c r="BC407" s="190"/>
      <c r="BD407" s="510"/>
      <c r="BE407" s="510"/>
      <c r="BF407" s="177"/>
      <c r="BG407" s="177"/>
      <c r="BH407" s="166"/>
      <c r="BI407" s="474"/>
      <c r="BJ407" s="166"/>
      <c r="BK407" s="474"/>
      <c r="BL407" s="474"/>
      <c r="BM407" s="474"/>
      <c r="BN407" s="166"/>
      <c r="BO407" s="166"/>
      <c r="BP407" s="204"/>
      <c r="BQ407" s="475"/>
      <c r="BR407" s="205"/>
      <c r="BS407" s="509"/>
      <c r="BT407" s="509"/>
      <c r="BU407" s="459"/>
      <c r="BV407" s="459"/>
      <c r="BW407" s="1"/>
      <c r="BX407" s="1"/>
      <c r="BY407" s="546"/>
      <c r="BZ407" s="546"/>
      <c r="CA407" s="546"/>
      <c r="CB407" s="546"/>
      <c r="CC407" s="728"/>
      <c r="CD407" s="728"/>
      <c r="CE407" s="170"/>
    </row>
    <row r="408" spans="1:83" customFormat="1">
      <c r="A408" s="701"/>
      <c r="B408" s="447"/>
      <c r="C408" s="161"/>
      <c r="D408" s="162"/>
      <c r="E408" s="1"/>
      <c r="F408" s="811"/>
      <c r="G408" s="440"/>
      <c r="H408" s="1"/>
      <c r="I408" s="55"/>
      <c r="J408" s="170"/>
      <c r="K408" s="1"/>
      <c r="L408" s="170"/>
      <c r="M408" s="1"/>
      <c r="N408" s="458"/>
      <c r="O408" s="170"/>
      <c r="P408" s="441"/>
      <c r="Q408" s="55"/>
      <c r="R408" s="177"/>
      <c r="S408" s="454"/>
      <c r="T408" s="178"/>
      <c r="U408" s="178"/>
      <c r="V408" s="179"/>
      <c r="W408" s="180"/>
      <c r="X408" s="179"/>
      <c r="Y408" s="180"/>
      <c r="Z408" s="178"/>
      <c r="AA408" s="178"/>
      <c r="AB408" s="178"/>
      <c r="AC408" s="178"/>
      <c r="AD408" s="182"/>
      <c r="AE408" s="182"/>
      <c r="AF408" s="182"/>
      <c r="AG408" s="182"/>
      <c r="AH408" s="401"/>
      <c r="AI408" s="401"/>
      <c r="AJ408" s="401"/>
      <c r="AK408" s="401"/>
      <c r="AL408" s="401"/>
      <c r="AM408" s="189"/>
      <c r="AN408" s="829"/>
      <c r="AO408" s="830"/>
      <c r="AP408" s="401"/>
      <c r="AQ408" s="401"/>
      <c r="AR408" s="401"/>
      <c r="AS408" s="401"/>
      <c r="AT408" s="403"/>
      <c r="AU408" s="403"/>
      <c r="AV408" s="170"/>
      <c r="AW408" s="166"/>
      <c r="AX408" s="166"/>
      <c r="AY408" s="189"/>
      <c r="AZ408" s="189"/>
      <c r="BA408" s="196"/>
      <c r="BB408" s="629"/>
      <c r="BC408" s="190"/>
      <c r="BD408" s="510"/>
      <c r="BE408" s="510"/>
      <c r="BF408" s="177"/>
      <c r="BG408" s="177"/>
      <c r="BH408" s="166"/>
      <c r="BI408" s="474"/>
      <c r="BJ408" s="166"/>
      <c r="BK408" s="474"/>
      <c r="BL408" s="474"/>
      <c r="BM408" s="474"/>
      <c r="BN408" s="166"/>
      <c r="BO408" s="166"/>
      <c r="BP408" s="204"/>
      <c r="BQ408" s="475"/>
      <c r="BR408" s="205"/>
      <c r="BS408" s="509"/>
      <c r="BT408" s="509"/>
      <c r="BU408" s="459"/>
      <c r="BV408" s="459"/>
      <c r="BW408" s="1"/>
      <c r="BX408" s="1"/>
      <c r="BY408" s="546"/>
      <c r="BZ408" s="546"/>
      <c r="CA408" s="546"/>
      <c r="CB408" s="546"/>
      <c r="CC408" s="728"/>
      <c r="CD408" s="728"/>
      <c r="CE408" s="170"/>
    </row>
    <row r="409" spans="1:83" customFormat="1">
      <c r="A409" s="701"/>
      <c r="B409" s="447"/>
      <c r="C409" s="161"/>
      <c r="D409" s="162"/>
      <c r="E409" s="1"/>
      <c r="F409" s="811"/>
      <c r="G409" s="440"/>
      <c r="H409" s="1"/>
      <c r="I409" s="55"/>
      <c r="J409" s="170"/>
      <c r="K409" s="1"/>
      <c r="L409" s="170"/>
      <c r="M409" s="1"/>
      <c r="N409" s="458"/>
      <c r="O409" s="170"/>
      <c r="P409" s="441"/>
      <c r="Q409" s="55"/>
      <c r="R409" s="177"/>
      <c r="S409" s="454"/>
      <c r="T409" s="178"/>
      <c r="U409" s="178"/>
      <c r="V409" s="179"/>
      <c r="W409" s="180"/>
      <c r="X409" s="179"/>
      <c r="Y409" s="180"/>
      <c r="Z409" s="178"/>
      <c r="AA409" s="178"/>
      <c r="AB409" s="178"/>
      <c r="AC409" s="178"/>
      <c r="AD409" s="182"/>
      <c r="AE409" s="182"/>
      <c r="AF409" s="182"/>
      <c r="AG409" s="182"/>
      <c r="AH409" s="401"/>
      <c r="AI409" s="401"/>
      <c r="AJ409" s="401"/>
      <c r="AK409" s="401"/>
      <c r="AL409" s="401"/>
      <c r="AM409" s="189"/>
      <c r="AN409" s="829"/>
      <c r="AO409" s="830"/>
      <c r="AP409" s="401"/>
      <c r="AQ409" s="401"/>
      <c r="AR409" s="401"/>
      <c r="AS409" s="401"/>
      <c r="AT409" s="403"/>
      <c r="AU409" s="403"/>
      <c r="AV409" s="170"/>
      <c r="AW409" s="166"/>
      <c r="AX409" s="166"/>
      <c r="AY409" s="189"/>
      <c r="AZ409" s="189"/>
      <c r="BA409" s="196"/>
      <c r="BB409" s="629"/>
      <c r="BC409" s="190"/>
      <c r="BD409" s="510"/>
      <c r="BE409" s="510"/>
      <c r="BF409" s="177"/>
      <c r="BG409" s="177"/>
      <c r="BH409" s="166"/>
      <c r="BI409" s="474"/>
      <c r="BJ409" s="166"/>
      <c r="BK409" s="474"/>
      <c r="BL409" s="474"/>
      <c r="BM409" s="474"/>
      <c r="BN409" s="166"/>
      <c r="BO409" s="166"/>
      <c r="BP409" s="204"/>
      <c r="BQ409" s="475"/>
      <c r="BR409" s="205"/>
      <c r="BS409" s="509"/>
      <c r="BT409" s="509"/>
      <c r="BU409" s="459"/>
      <c r="BV409" s="459"/>
      <c r="BW409" s="1"/>
      <c r="BX409" s="1"/>
      <c r="BY409" s="546"/>
      <c r="BZ409" s="546"/>
      <c r="CA409" s="546"/>
      <c r="CB409" s="546"/>
      <c r="CC409" s="728"/>
      <c r="CD409" s="728"/>
      <c r="CE409" s="170"/>
    </row>
    <row r="410" spans="1:83" customFormat="1">
      <c r="A410" s="701"/>
      <c r="B410" s="447"/>
      <c r="C410" s="161"/>
      <c r="D410" s="162"/>
      <c r="E410" s="1"/>
      <c r="F410" s="811"/>
      <c r="G410" s="440"/>
      <c r="H410" s="1"/>
      <c r="I410" s="55"/>
      <c r="J410" s="170"/>
      <c r="K410" s="1"/>
      <c r="L410" s="170"/>
      <c r="M410" s="1"/>
      <c r="N410" s="458"/>
      <c r="O410" s="170"/>
      <c r="P410" s="441"/>
      <c r="Q410" s="55"/>
      <c r="R410" s="177"/>
      <c r="S410" s="454"/>
      <c r="T410" s="178"/>
      <c r="U410" s="178"/>
      <c r="V410" s="179"/>
      <c r="W410" s="180"/>
      <c r="X410" s="179"/>
      <c r="Y410" s="180"/>
      <c r="Z410" s="178"/>
      <c r="AA410" s="178"/>
      <c r="AB410" s="178"/>
      <c r="AC410" s="178"/>
      <c r="AD410" s="182"/>
      <c r="AE410" s="182"/>
      <c r="AF410" s="182"/>
      <c r="AG410" s="182"/>
      <c r="AH410" s="401"/>
      <c r="AI410" s="401"/>
      <c r="AJ410" s="401"/>
      <c r="AK410" s="401"/>
      <c r="AL410" s="401"/>
      <c r="AM410" s="189"/>
      <c r="AN410" s="829"/>
      <c r="AO410" s="830"/>
      <c r="AP410" s="401"/>
      <c r="AQ410" s="401"/>
      <c r="AR410" s="401"/>
      <c r="AS410" s="401"/>
      <c r="AT410" s="403"/>
      <c r="AU410" s="403"/>
      <c r="AV410" s="170"/>
      <c r="AW410" s="166"/>
      <c r="AX410" s="166"/>
      <c r="AY410" s="189"/>
      <c r="AZ410" s="189"/>
      <c r="BA410" s="196"/>
      <c r="BB410" s="629"/>
      <c r="BC410" s="190"/>
      <c r="BD410" s="510"/>
      <c r="BE410" s="510"/>
      <c r="BF410" s="177"/>
      <c r="BG410" s="177"/>
      <c r="BH410" s="166"/>
      <c r="BI410" s="474"/>
      <c r="BJ410" s="166"/>
      <c r="BK410" s="474"/>
      <c r="BL410" s="474"/>
      <c r="BM410" s="474"/>
      <c r="BN410" s="166"/>
      <c r="BO410" s="166"/>
      <c r="BP410" s="204"/>
      <c r="BQ410" s="475"/>
      <c r="BR410" s="205"/>
      <c r="BS410" s="509"/>
      <c r="BT410" s="509"/>
      <c r="BU410" s="459"/>
      <c r="BV410" s="459"/>
      <c r="BW410" s="1"/>
      <c r="BX410" s="1"/>
      <c r="BY410" s="546"/>
      <c r="BZ410" s="546"/>
      <c r="CA410" s="546"/>
      <c r="CB410" s="546"/>
      <c r="CC410" s="728"/>
      <c r="CD410" s="728"/>
      <c r="CE410" s="170"/>
    </row>
    <row r="411" spans="1:83" customFormat="1">
      <c r="A411" s="701"/>
      <c r="B411" s="447"/>
      <c r="C411" s="161"/>
      <c r="D411" s="162"/>
      <c r="E411" s="1"/>
      <c r="F411" s="811"/>
      <c r="G411" s="440"/>
      <c r="H411" s="1"/>
      <c r="I411" s="55"/>
      <c r="J411" s="170"/>
      <c r="K411" s="1"/>
      <c r="L411" s="170"/>
      <c r="M411" s="1"/>
      <c r="N411" s="458"/>
      <c r="O411" s="170"/>
      <c r="P411" s="441"/>
      <c r="Q411" s="55"/>
      <c r="R411" s="177"/>
      <c r="S411" s="454"/>
      <c r="T411" s="178"/>
      <c r="U411" s="178"/>
      <c r="V411" s="179"/>
      <c r="W411" s="180"/>
      <c r="X411" s="179"/>
      <c r="Y411" s="180"/>
      <c r="Z411" s="178"/>
      <c r="AA411" s="178"/>
      <c r="AB411" s="178"/>
      <c r="AC411" s="178"/>
      <c r="AD411" s="182"/>
      <c r="AE411" s="182"/>
      <c r="AF411" s="182"/>
      <c r="AG411" s="182"/>
      <c r="AH411" s="401"/>
      <c r="AI411" s="401"/>
      <c r="AJ411" s="401"/>
      <c r="AK411" s="401"/>
      <c r="AL411" s="401"/>
      <c r="AM411" s="189"/>
      <c r="AN411" s="829"/>
      <c r="AO411" s="830"/>
      <c r="AP411" s="401"/>
      <c r="AQ411" s="401"/>
      <c r="AR411" s="401"/>
      <c r="AS411" s="401"/>
      <c r="AT411" s="403"/>
      <c r="AU411" s="403"/>
      <c r="AV411" s="170"/>
      <c r="AW411" s="166"/>
      <c r="AX411" s="166"/>
      <c r="AY411" s="189"/>
      <c r="AZ411" s="189"/>
      <c r="BA411" s="196"/>
      <c r="BB411" s="629"/>
      <c r="BC411" s="190"/>
      <c r="BD411" s="510"/>
      <c r="BE411" s="510"/>
      <c r="BF411" s="177"/>
      <c r="BG411" s="177"/>
      <c r="BH411" s="166"/>
      <c r="BI411" s="474"/>
      <c r="BJ411" s="166"/>
      <c r="BK411" s="474"/>
      <c r="BL411" s="474"/>
      <c r="BM411" s="474"/>
      <c r="BN411" s="166"/>
      <c r="BO411" s="166"/>
      <c r="BP411" s="204"/>
      <c r="BQ411" s="475"/>
      <c r="BR411" s="205"/>
      <c r="BS411" s="509"/>
      <c r="BT411" s="509"/>
      <c r="BU411" s="459"/>
      <c r="BV411" s="459"/>
      <c r="BW411" s="1"/>
      <c r="BX411" s="1"/>
      <c r="BY411" s="546"/>
      <c r="BZ411" s="546"/>
      <c r="CA411" s="546"/>
      <c r="CB411" s="546"/>
      <c r="CC411" s="728"/>
      <c r="CD411" s="728"/>
      <c r="CE411" s="170"/>
    </row>
    <row r="412" spans="1:83" customFormat="1">
      <c r="A412" s="701"/>
      <c r="B412" s="447"/>
      <c r="C412" s="161"/>
      <c r="D412" s="162"/>
      <c r="E412" s="1"/>
      <c r="F412" s="811"/>
      <c r="G412" s="440"/>
      <c r="H412" s="1"/>
      <c r="I412" s="55"/>
      <c r="J412" s="170"/>
      <c r="K412" s="1"/>
      <c r="L412" s="170"/>
      <c r="M412" s="1"/>
      <c r="N412" s="166"/>
      <c r="O412" s="170"/>
      <c r="P412" s="441"/>
      <c r="Q412" s="55"/>
      <c r="R412" s="177"/>
      <c r="S412" s="454"/>
      <c r="T412" s="178"/>
      <c r="U412" s="178"/>
      <c r="V412" s="179"/>
      <c r="W412" s="180"/>
      <c r="X412" s="179"/>
      <c r="Y412" s="180"/>
      <c r="Z412" s="178"/>
      <c r="AA412" s="178"/>
      <c r="AB412" s="178"/>
      <c r="AC412" s="178"/>
      <c r="AD412" s="182"/>
      <c r="AE412" s="182"/>
      <c r="AF412" s="182"/>
      <c r="AG412" s="182"/>
      <c r="AH412" s="401"/>
      <c r="AI412" s="401"/>
      <c r="AJ412" s="182"/>
      <c r="AK412" s="401"/>
      <c r="AL412" s="401"/>
      <c r="AM412" s="189"/>
      <c r="AN412" s="829"/>
      <c r="AO412" s="830"/>
      <c r="AP412" s="401"/>
      <c r="AQ412" s="401"/>
      <c r="AR412" s="401"/>
      <c r="AS412" s="401"/>
      <c r="AT412" s="403"/>
      <c r="AU412" s="403"/>
      <c r="AV412" s="170"/>
      <c r="AW412" s="166"/>
      <c r="AX412" s="166"/>
      <c r="AY412" s="189"/>
      <c r="AZ412" s="189"/>
      <c r="BA412" s="196"/>
      <c r="BB412" s="629"/>
      <c r="BC412" s="190"/>
      <c r="BD412" s="510"/>
      <c r="BE412" s="510"/>
      <c r="BF412" s="177"/>
      <c r="BG412" s="177"/>
      <c r="BH412" s="166"/>
      <c r="BI412" s="474"/>
      <c r="BJ412" s="166"/>
      <c r="BK412" s="474"/>
      <c r="BL412" s="474"/>
      <c r="BM412" s="474"/>
      <c r="BN412" s="166"/>
      <c r="BO412" s="166"/>
      <c r="BP412" s="204"/>
      <c r="BQ412" s="475"/>
      <c r="BR412" s="205"/>
      <c r="BS412" s="509"/>
      <c r="BT412" s="509"/>
      <c r="BU412" s="459"/>
      <c r="BV412" s="459"/>
      <c r="BW412" s="1"/>
      <c r="BX412" s="1"/>
      <c r="BY412" s="546"/>
      <c r="BZ412" s="546"/>
      <c r="CA412" s="546"/>
      <c r="CB412" s="546"/>
      <c r="CC412" s="728"/>
      <c r="CD412" s="728"/>
      <c r="CE412" s="170"/>
    </row>
    <row r="413" spans="1:83" customFormat="1">
      <c r="A413" s="701"/>
      <c r="B413" s="447"/>
      <c r="C413" s="161"/>
      <c r="D413" s="162"/>
      <c r="E413" s="1"/>
      <c r="F413" s="811"/>
      <c r="G413" s="440"/>
      <c r="H413" s="1"/>
      <c r="I413" s="55"/>
      <c r="J413" s="170"/>
      <c r="K413" s="1"/>
      <c r="L413" s="170"/>
      <c r="M413" s="1"/>
      <c r="N413" s="458"/>
      <c r="O413" s="170"/>
      <c r="P413" s="441"/>
      <c r="Q413" s="55"/>
      <c r="R413" s="177"/>
      <c r="S413" s="454"/>
      <c r="T413" s="178"/>
      <c r="U413" s="178"/>
      <c r="V413" s="179"/>
      <c r="W413" s="180"/>
      <c r="X413" s="179"/>
      <c r="Y413" s="180"/>
      <c r="Z413" s="178"/>
      <c r="AA413" s="178"/>
      <c r="AB413" s="178"/>
      <c r="AC413" s="178"/>
      <c r="AD413" s="182"/>
      <c r="AE413" s="182"/>
      <c r="AF413" s="182"/>
      <c r="AG413" s="182"/>
      <c r="AH413" s="401"/>
      <c r="AI413" s="401"/>
      <c r="AJ413" s="401"/>
      <c r="AK413" s="401"/>
      <c r="AL413" s="401"/>
      <c r="AM413" s="189"/>
      <c r="AN413" s="829"/>
      <c r="AO413" s="830"/>
      <c r="AP413" s="401"/>
      <c r="AQ413" s="401"/>
      <c r="AR413" s="401"/>
      <c r="AS413" s="401"/>
      <c r="AT413" s="403"/>
      <c r="AU413" s="403"/>
      <c r="AV413" s="170"/>
      <c r="AW413" s="166"/>
      <c r="AX413" s="166"/>
      <c r="AY413" s="189"/>
      <c r="AZ413" s="189"/>
      <c r="BA413" s="196"/>
      <c r="BB413" s="629"/>
      <c r="BC413" s="190"/>
      <c r="BD413" s="510"/>
      <c r="BE413" s="510"/>
      <c r="BF413" s="177"/>
      <c r="BG413" s="177"/>
      <c r="BH413" s="166"/>
      <c r="BI413" s="474"/>
      <c r="BJ413" s="166"/>
      <c r="BK413" s="474"/>
      <c r="BL413" s="474"/>
      <c r="BM413" s="474"/>
      <c r="BN413" s="166"/>
      <c r="BO413" s="166"/>
      <c r="BP413" s="204"/>
      <c r="BQ413" s="475"/>
      <c r="BR413" s="205"/>
      <c r="BS413" s="509"/>
      <c r="BT413" s="509"/>
      <c r="BU413" s="459"/>
      <c r="BV413" s="459"/>
      <c r="BW413" s="1"/>
      <c r="BX413" s="1"/>
      <c r="BY413" s="546"/>
      <c r="BZ413" s="546"/>
      <c r="CA413" s="546"/>
      <c r="CB413" s="546"/>
      <c r="CC413" s="728"/>
      <c r="CD413" s="728"/>
      <c r="CE413" s="170"/>
    </row>
    <row r="414" spans="1:83" customFormat="1">
      <c r="A414" s="701"/>
      <c r="B414" s="447"/>
      <c r="C414" s="161"/>
      <c r="D414" s="162"/>
      <c r="E414" s="1"/>
      <c r="F414" s="811"/>
      <c r="G414" s="440"/>
      <c r="H414" s="1"/>
      <c r="I414" s="55"/>
      <c r="J414" s="170"/>
      <c r="K414" s="1"/>
      <c r="L414" s="170"/>
      <c r="M414" s="1"/>
      <c r="N414" s="458"/>
      <c r="O414" s="170"/>
      <c r="P414" s="441"/>
      <c r="Q414" s="55"/>
      <c r="R414" s="177"/>
      <c r="S414" s="454"/>
      <c r="T414" s="178"/>
      <c r="U414" s="178"/>
      <c r="V414" s="179"/>
      <c r="W414" s="180"/>
      <c r="X414" s="179"/>
      <c r="Y414" s="180"/>
      <c r="Z414" s="178"/>
      <c r="AA414" s="178"/>
      <c r="AB414" s="178"/>
      <c r="AC414" s="178"/>
      <c r="AD414" s="182"/>
      <c r="AE414" s="182"/>
      <c r="AF414" s="182"/>
      <c r="AG414" s="182"/>
      <c r="AH414" s="401"/>
      <c r="AI414" s="401"/>
      <c r="AJ414" s="401"/>
      <c r="AK414" s="401"/>
      <c r="AL414" s="401"/>
      <c r="AM414" s="189"/>
      <c r="AN414" s="829"/>
      <c r="AO414" s="830"/>
      <c r="AP414" s="401"/>
      <c r="AQ414" s="401"/>
      <c r="AR414" s="401"/>
      <c r="AS414" s="401"/>
      <c r="AT414" s="403"/>
      <c r="AU414" s="403"/>
      <c r="AV414" s="170"/>
      <c r="AW414" s="166"/>
      <c r="AX414" s="166"/>
      <c r="AY414" s="189"/>
      <c r="AZ414" s="189"/>
      <c r="BA414" s="196"/>
      <c r="BB414" s="629"/>
      <c r="BC414" s="190"/>
      <c r="BD414" s="510"/>
      <c r="BE414" s="510"/>
      <c r="BF414" s="177"/>
      <c r="BG414" s="177"/>
      <c r="BH414" s="166"/>
      <c r="BI414" s="474"/>
      <c r="BJ414" s="166"/>
      <c r="BK414" s="474"/>
      <c r="BL414" s="474"/>
      <c r="BM414" s="474"/>
      <c r="BN414" s="166"/>
      <c r="BO414" s="166"/>
      <c r="BP414" s="204"/>
      <c r="BQ414" s="475"/>
      <c r="BR414" s="205"/>
      <c r="BS414" s="509"/>
      <c r="BT414" s="509"/>
      <c r="BU414" s="459"/>
      <c r="BV414" s="459"/>
      <c r="BW414" s="1"/>
      <c r="BX414" s="1"/>
      <c r="BY414" s="546"/>
      <c r="BZ414" s="546"/>
      <c r="CA414" s="546"/>
      <c r="CB414" s="546"/>
      <c r="CC414" s="728"/>
      <c r="CD414" s="728"/>
      <c r="CE414" s="170"/>
    </row>
    <row r="415" spans="1:83" customFormat="1">
      <c r="A415" s="701"/>
      <c r="B415" s="447"/>
      <c r="C415" s="161"/>
      <c r="D415" s="162"/>
      <c r="E415" s="1"/>
      <c r="F415" s="811"/>
      <c r="G415" s="440"/>
      <c r="H415" s="1"/>
      <c r="I415" s="55"/>
      <c r="J415" s="170"/>
      <c r="K415" s="1"/>
      <c r="L415" s="170"/>
      <c r="M415" s="1"/>
      <c r="N415" s="458"/>
      <c r="O415" s="170"/>
      <c r="P415" s="441"/>
      <c r="Q415" s="55"/>
      <c r="R415" s="177"/>
      <c r="S415" s="454"/>
      <c r="T415" s="178"/>
      <c r="U415" s="178"/>
      <c r="V415" s="179"/>
      <c r="W415" s="180"/>
      <c r="X415" s="179"/>
      <c r="Y415" s="180"/>
      <c r="Z415" s="178"/>
      <c r="AA415" s="178"/>
      <c r="AB415" s="178"/>
      <c r="AC415" s="178"/>
      <c r="AD415" s="182"/>
      <c r="AE415" s="182"/>
      <c r="AF415" s="182"/>
      <c r="AG415" s="182"/>
      <c r="AH415" s="401"/>
      <c r="AI415" s="401"/>
      <c r="AJ415" s="401"/>
      <c r="AK415" s="401"/>
      <c r="AL415" s="401"/>
      <c r="AM415" s="189"/>
      <c r="AN415" s="829"/>
      <c r="AO415" s="830"/>
      <c r="AP415" s="401"/>
      <c r="AQ415" s="401"/>
      <c r="AR415" s="401"/>
      <c r="AS415" s="401"/>
      <c r="AT415" s="403"/>
      <c r="AU415" s="403"/>
      <c r="AV415" s="170"/>
      <c r="AW415" s="166"/>
      <c r="AX415" s="166"/>
      <c r="AY415" s="189"/>
      <c r="AZ415" s="189"/>
      <c r="BA415" s="196"/>
      <c r="BB415" s="629"/>
      <c r="BC415" s="190"/>
      <c r="BD415" s="510"/>
      <c r="BE415" s="510"/>
      <c r="BF415" s="177"/>
      <c r="BG415" s="177"/>
      <c r="BH415" s="166"/>
      <c r="BI415" s="474"/>
      <c r="BJ415" s="166"/>
      <c r="BK415" s="474"/>
      <c r="BL415" s="474"/>
      <c r="BM415" s="474"/>
      <c r="BN415" s="166"/>
      <c r="BO415" s="166"/>
      <c r="BP415" s="204"/>
      <c r="BQ415" s="475"/>
      <c r="BR415" s="205"/>
      <c r="BS415" s="509"/>
      <c r="BT415" s="509"/>
      <c r="BU415" s="459"/>
      <c r="BV415" s="459"/>
      <c r="BW415" s="1"/>
      <c r="BX415" s="1"/>
      <c r="BY415" s="546"/>
      <c r="BZ415" s="546"/>
      <c r="CA415" s="546"/>
      <c r="CB415" s="546"/>
      <c r="CC415" s="728"/>
      <c r="CD415" s="728"/>
      <c r="CE415" s="170"/>
    </row>
    <row r="416" spans="1:83" customFormat="1">
      <c r="A416" s="701"/>
      <c r="B416" s="447"/>
      <c r="C416" s="1"/>
      <c r="D416" s="538"/>
      <c r="E416" s="1"/>
      <c r="F416" s="811"/>
      <c r="G416" s="440"/>
      <c r="H416" s="1"/>
      <c r="I416" s="55"/>
      <c r="J416" s="171"/>
      <c r="K416" s="55"/>
      <c r="L416" s="171"/>
      <c r="M416" s="55"/>
      <c r="N416" s="172"/>
      <c r="O416" s="170"/>
      <c r="P416" s="139"/>
      <c r="Q416" s="172"/>
      <c r="R416" s="181"/>
      <c r="S416" s="455"/>
      <c r="T416" s="170"/>
      <c r="U416" s="170"/>
      <c r="V416" s="1"/>
      <c r="W416" s="173"/>
      <c r="X416" s="1"/>
      <c r="Y416" s="166"/>
      <c r="Z416" s="170"/>
      <c r="AA416" s="170"/>
      <c r="AB416" s="170"/>
      <c r="AC416" s="170"/>
      <c r="AD416" s="182"/>
      <c r="AE416" s="182"/>
      <c r="AF416" s="182"/>
      <c r="AG416" s="182"/>
      <c r="AH416" s="189"/>
      <c r="AI416" s="401"/>
      <c r="AJ416" s="189"/>
      <c r="AK416" s="401"/>
      <c r="AL416" s="401"/>
      <c r="AM416" s="189"/>
      <c r="AN416" s="782"/>
      <c r="AO416" s="189"/>
      <c r="AP416" s="401"/>
      <c r="AQ416" s="401"/>
      <c r="AR416" s="401"/>
      <c r="AS416" s="188"/>
      <c r="AT416" s="1"/>
      <c r="AU416" s="403"/>
      <c r="AV416" s="1"/>
      <c r="AW416" s="166"/>
      <c r="AX416" s="166"/>
      <c r="AY416" s="189"/>
      <c r="AZ416" s="189"/>
      <c r="BA416" s="196"/>
      <c r="BB416" s="629"/>
      <c r="BC416" s="197"/>
      <c r="BD416" s="510"/>
      <c r="BE416" s="510"/>
      <c r="BF416" s="177"/>
      <c r="BG416" s="177"/>
      <c r="BH416" s="166"/>
      <c r="BI416" s="474"/>
      <c r="BJ416" s="166"/>
      <c r="BK416" s="474"/>
      <c r="BL416" s="474"/>
      <c r="BM416" s="474"/>
      <c r="BN416" s="166"/>
      <c r="BO416" s="166"/>
      <c r="BP416" s="204"/>
      <c r="BQ416" s="475"/>
      <c r="BR416" s="205"/>
      <c r="BS416" s="509"/>
      <c r="BT416" s="509"/>
      <c r="BU416" s="459"/>
      <c r="BV416" s="459"/>
      <c r="BW416" s="1"/>
      <c r="BX416" s="1"/>
      <c r="BY416" s="546"/>
      <c r="BZ416" s="546"/>
      <c r="CA416" s="546"/>
      <c r="CB416" s="546"/>
      <c r="CC416" s="728"/>
      <c r="CD416" s="728"/>
      <c r="CE416" s="170"/>
    </row>
    <row r="417" spans="1:83" customFormat="1">
      <c r="A417" s="701"/>
      <c r="B417" s="447"/>
      <c r="C417" s="161"/>
      <c r="D417" s="162"/>
      <c r="E417" s="1"/>
      <c r="F417" s="811"/>
      <c r="G417" s="440"/>
      <c r="H417" s="1"/>
      <c r="I417" s="55"/>
      <c r="J417" s="170"/>
      <c r="K417" s="1"/>
      <c r="L417" s="170"/>
      <c r="M417" s="1"/>
      <c r="N417" s="458"/>
      <c r="O417" s="170"/>
      <c r="P417" s="441"/>
      <c r="Q417" s="55"/>
      <c r="R417" s="177"/>
      <c r="S417" s="454"/>
      <c r="T417" s="178"/>
      <c r="U417" s="178"/>
      <c r="V417" s="179"/>
      <c r="W417" s="180"/>
      <c r="X417" s="179"/>
      <c r="Y417" s="180"/>
      <c r="Z417" s="178"/>
      <c r="AA417" s="178"/>
      <c r="AB417" s="178"/>
      <c r="AC417" s="178"/>
      <c r="AD417" s="182"/>
      <c r="AE417" s="182"/>
      <c r="AF417" s="182"/>
      <c r="AG417" s="182"/>
      <c r="AH417" s="401"/>
      <c r="AI417" s="401"/>
      <c r="AJ417" s="401"/>
      <c r="AK417" s="401"/>
      <c r="AL417" s="401"/>
      <c r="AM417" s="189"/>
      <c r="AN417" s="829"/>
      <c r="AO417" s="830"/>
      <c r="AP417" s="401"/>
      <c r="AQ417" s="401"/>
      <c r="AR417" s="401"/>
      <c r="AS417" s="401"/>
      <c r="AT417" s="403"/>
      <c r="AU417" s="403"/>
      <c r="AV417" s="170"/>
      <c r="AW417" s="166"/>
      <c r="AX417" s="166"/>
      <c r="AY417" s="189"/>
      <c r="AZ417" s="189"/>
      <c r="BA417" s="196"/>
      <c r="BB417" s="629"/>
      <c r="BC417" s="190"/>
      <c r="BD417" s="510"/>
      <c r="BE417" s="510"/>
      <c r="BF417" s="177"/>
      <c r="BG417" s="177"/>
      <c r="BH417" s="166"/>
      <c r="BI417" s="474"/>
      <c r="BJ417" s="166"/>
      <c r="BK417" s="474"/>
      <c r="BL417" s="474"/>
      <c r="BM417" s="474"/>
      <c r="BN417" s="166"/>
      <c r="BO417" s="166"/>
      <c r="BP417" s="204"/>
      <c r="BQ417" s="475"/>
      <c r="BR417" s="205"/>
      <c r="BS417" s="509"/>
      <c r="BT417" s="509"/>
      <c r="BU417" s="459"/>
      <c r="BV417" s="459"/>
      <c r="BW417" s="1"/>
      <c r="BX417" s="1"/>
      <c r="BY417" s="546"/>
      <c r="BZ417" s="546"/>
      <c r="CA417" s="546"/>
      <c r="CB417" s="546"/>
      <c r="CC417" s="728"/>
      <c r="CD417" s="728"/>
      <c r="CE417" s="170"/>
    </row>
    <row r="418" spans="1:83" customFormat="1">
      <c r="A418" s="701"/>
      <c r="B418" s="447"/>
      <c r="C418" s="161"/>
      <c r="D418" s="162"/>
      <c r="E418" s="1"/>
      <c r="F418" s="811"/>
      <c r="G418" s="440"/>
      <c r="H418" s="1"/>
      <c r="I418" s="55"/>
      <c r="J418" s="170"/>
      <c r="K418" s="1"/>
      <c r="L418" s="170"/>
      <c r="M418" s="1"/>
      <c r="N418" s="458"/>
      <c r="O418" s="170"/>
      <c r="P418" s="441"/>
      <c r="Q418" s="55"/>
      <c r="R418" s="177"/>
      <c r="S418" s="454"/>
      <c r="T418" s="178"/>
      <c r="U418" s="178"/>
      <c r="V418" s="179"/>
      <c r="W418" s="180"/>
      <c r="X418" s="179"/>
      <c r="Y418" s="180"/>
      <c r="Z418" s="178"/>
      <c r="AA418" s="178"/>
      <c r="AB418" s="178"/>
      <c r="AC418" s="178"/>
      <c r="AD418" s="182"/>
      <c r="AE418" s="182"/>
      <c r="AF418" s="182"/>
      <c r="AG418" s="182"/>
      <c r="AH418" s="401"/>
      <c r="AI418" s="401"/>
      <c r="AJ418" s="401"/>
      <c r="AK418" s="401"/>
      <c r="AL418" s="401"/>
      <c r="AM418" s="189"/>
      <c r="AN418" s="829"/>
      <c r="AO418" s="830"/>
      <c r="AP418" s="401"/>
      <c r="AQ418" s="401"/>
      <c r="AR418" s="401"/>
      <c r="AS418" s="401"/>
      <c r="AT418" s="403"/>
      <c r="AU418" s="403"/>
      <c r="AV418" s="170"/>
      <c r="AW418" s="166"/>
      <c r="AX418" s="166"/>
      <c r="AY418" s="189"/>
      <c r="AZ418" s="189"/>
      <c r="BA418" s="196"/>
      <c r="BB418" s="629"/>
      <c r="BC418" s="190"/>
      <c r="BD418" s="510"/>
      <c r="BE418" s="510"/>
      <c r="BF418" s="177"/>
      <c r="BG418" s="177"/>
      <c r="BH418" s="166"/>
      <c r="BI418" s="474"/>
      <c r="BJ418" s="166"/>
      <c r="BK418" s="474"/>
      <c r="BL418" s="474"/>
      <c r="BM418" s="474"/>
      <c r="BN418" s="166"/>
      <c r="BO418" s="166"/>
      <c r="BP418" s="204"/>
      <c r="BQ418" s="475"/>
      <c r="BR418" s="205"/>
      <c r="BS418" s="509"/>
      <c r="BT418" s="509"/>
      <c r="BU418" s="459"/>
      <c r="BV418" s="459"/>
      <c r="BW418" s="1"/>
      <c r="BX418" s="1"/>
      <c r="BY418" s="546"/>
      <c r="BZ418" s="546"/>
      <c r="CA418" s="546"/>
      <c r="CB418" s="546"/>
      <c r="CC418" s="728"/>
      <c r="CD418" s="728"/>
      <c r="CE418" s="170"/>
    </row>
    <row r="419" spans="1:83" customFormat="1">
      <c r="A419" s="701"/>
      <c r="B419" s="447"/>
      <c r="C419" s="161"/>
      <c r="D419" s="162"/>
      <c r="E419" s="1"/>
      <c r="F419" s="811"/>
      <c r="G419" s="440"/>
      <c r="H419" s="1"/>
      <c r="I419" s="55"/>
      <c r="J419" s="457"/>
      <c r="K419" s="1"/>
      <c r="L419" s="170"/>
      <c r="M419" s="1"/>
      <c r="N419" s="458"/>
      <c r="O419" s="170"/>
      <c r="P419" s="441"/>
      <c r="Q419" s="55"/>
      <c r="R419" s="177"/>
      <c r="S419" s="454"/>
      <c r="T419" s="178"/>
      <c r="U419" s="178"/>
      <c r="V419" s="179"/>
      <c r="W419" s="180"/>
      <c r="X419" s="179"/>
      <c r="Y419" s="180"/>
      <c r="Z419" s="178"/>
      <c r="AA419" s="178"/>
      <c r="AB419" s="178"/>
      <c r="AC419" s="178"/>
      <c r="AD419" s="182"/>
      <c r="AE419" s="182"/>
      <c r="AF419" s="182"/>
      <c r="AG419" s="182"/>
      <c r="AH419" s="401"/>
      <c r="AI419" s="401"/>
      <c r="AJ419" s="401"/>
      <c r="AK419" s="401"/>
      <c r="AL419" s="401"/>
      <c r="AM419" s="189"/>
      <c r="AN419" s="829"/>
      <c r="AO419" s="830"/>
      <c r="AP419" s="401"/>
      <c r="AQ419" s="401"/>
      <c r="AR419" s="401"/>
      <c r="AS419" s="401"/>
      <c r="AT419" s="403"/>
      <c r="AU419" s="403"/>
      <c r="AV419" s="170"/>
      <c r="AW419" s="166"/>
      <c r="AX419" s="166"/>
      <c r="AY419" s="189"/>
      <c r="AZ419" s="189"/>
      <c r="BA419" s="196"/>
      <c r="BB419" s="629"/>
      <c r="BC419" s="190"/>
      <c r="BD419" s="510"/>
      <c r="BE419" s="510"/>
      <c r="BF419" s="177"/>
      <c r="BG419" s="177"/>
      <c r="BH419" s="166"/>
      <c r="BI419" s="474"/>
      <c r="BJ419" s="166"/>
      <c r="BK419" s="474"/>
      <c r="BL419" s="474"/>
      <c r="BM419" s="474"/>
      <c r="BN419" s="166"/>
      <c r="BO419" s="166"/>
      <c r="BP419" s="204"/>
      <c r="BQ419" s="475"/>
      <c r="BR419" s="205"/>
      <c r="BS419" s="509"/>
      <c r="BT419" s="509"/>
      <c r="BU419" s="459"/>
      <c r="BV419" s="459"/>
      <c r="BW419" s="1"/>
      <c r="BX419" s="1"/>
      <c r="BY419" s="546"/>
      <c r="BZ419" s="546"/>
      <c r="CA419" s="546"/>
      <c r="CB419" s="546"/>
      <c r="CC419" s="728"/>
      <c r="CD419" s="728"/>
      <c r="CE419" s="170"/>
    </row>
    <row r="420" spans="1:83" customFormat="1">
      <c r="A420" s="701"/>
      <c r="B420" s="447"/>
      <c r="C420" s="161"/>
      <c r="D420" s="162"/>
      <c r="E420" s="1"/>
      <c r="F420" s="811"/>
      <c r="G420" s="440"/>
      <c r="H420" s="1"/>
      <c r="I420" s="55"/>
      <c r="J420" s="170"/>
      <c r="K420" s="1"/>
      <c r="L420" s="170"/>
      <c r="M420" s="1"/>
      <c r="N420" s="458"/>
      <c r="O420" s="170"/>
      <c r="P420" s="441"/>
      <c r="Q420" s="55"/>
      <c r="R420" s="177"/>
      <c r="S420" s="454"/>
      <c r="T420" s="178"/>
      <c r="U420" s="178"/>
      <c r="V420" s="179"/>
      <c r="W420" s="180"/>
      <c r="X420" s="179"/>
      <c r="Y420" s="180"/>
      <c r="Z420" s="178"/>
      <c r="AA420" s="178"/>
      <c r="AB420" s="178"/>
      <c r="AC420" s="178"/>
      <c r="AD420" s="182"/>
      <c r="AE420" s="182"/>
      <c r="AF420" s="182"/>
      <c r="AG420" s="182"/>
      <c r="AH420" s="401"/>
      <c r="AI420" s="401"/>
      <c r="AJ420" s="401"/>
      <c r="AK420" s="401"/>
      <c r="AL420" s="401"/>
      <c r="AM420" s="189"/>
      <c r="AN420" s="829"/>
      <c r="AO420" s="830"/>
      <c r="AP420" s="401"/>
      <c r="AQ420" s="401"/>
      <c r="AR420" s="401"/>
      <c r="AS420" s="401"/>
      <c r="AT420" s="403"/>
      <c r="AU420" s="403"/>
      <c r="AV420" s="170"/>
      <c r="AW420" s="166"/>
      <c r="AX420" s="166"/>
      <c r="AY420" s="189"/>
      <c r="AZ420" s="189"/>
      <c r="BA420" s="196"/>
      <c r="BB420" s="629"/>
      <c r="BC420" s="190"/>
      <c r="BD420" s="510"/>
      <c r="BE420" s="510"/>
      <c r="BF420" s="177"/>
      <c r="BG420" s="177"/>
      <c r="BH420" s="166"/>
      <c r="BI420" s="474"/>
      <c r="BJ420" s="166"/>
      <c r="BK420" s="474"/>
      <c r="BL420" s="474"/>
      <c r="BM420" s="474"/>
      <c r="BN420" s="166"/>
      <c r="BO420" s="166"/>
      <c r="BP420" s="204"/>
      <c r="BQ420" s="475"/>
      <c r="BR420" s="205"/>
      <c r="BS420" s="509"/>
      <c r="BT420" s="509"/>
      <c r="BU420" s="459"/>
      <c r="BV420" s="459"/>
      <c r="BW420" s="1"/>
      <c r="BX420" s="1"/>
      <c r="BY420" s="546"/>
      <c r="BZ420" s="546"/>
      <c r="CA420" s="546"/>
      <c r="CB420" s="546"/>
      <c r="CC420" s="728"/>
      <c r="CD420" s="728"/>
      <c r="CE420" s="170"/>
    </row>
    <row r="421" spans="1:83" customFormat="1">
      <c r="A421" s="701"/>
      <c r="B421" s="447"/>
      <c r="C421" s="161"/>
      <c r="D421" s="162"/>
      <c r="E421" s="1"/>
      <c r="F421" s="811"/>
      <c r="G421" s="440"/>
      <c r="H421" s="1"/>
      <c r="I421" s="55"/>
      <c r="J421" s="170"/>
      <c r="K421" s="1"/>
      <c r="L421" s="170"/>
      <c r="M421" s="1"/>
      <c r="N421" s="458"/>
      <c r="O421" s="170"/>
      <c r="P421" s="441"/>
      <c r="Q421" s="55"/>
      <c r="R421" s="177"/>
      <c r="S421" s="454"/>
      <c r="T421" s="178"/>
      <c r="U421" s="178"/>
      <c r="V421" s="179"/>
      <c r="W421" s="180"/>
      <c r="X421" s="179"/>
      <c r="Y421" s="180"/>
      <c r="Z421" s="178"/>
      <c r="AA421" s="178"/>
      <c r="AB421" s="178"/>
      <c r="AC421" s="178"/>
      <c r="AD421" s="182"/>
      <c r="AE421" s="182"/>
      <c r="AF421" s="182"/>
      <c r="AG421" s="182"/>
      <c r="AH421" s="401"/>
      <c r="AI421" s="401"/>
      <c r="AJ421" s="401"/>
      <c r="AK421" s="401"/>
      <c r="AL421" s="401"/>
      <c r="AM421" s="189"/>
      <c r="AN421" s="829"/>
      <c r="AO421" s="830"/>
      <c r="AP421" s="401"/>
      <c r="AQ421" s="401"/>
      <c r="AR421" s="401"/>
      <c r="AS421" s="401"/>
      <c r="AT421" s="403"/>
      <c r="AU421" s="403"/>
      <c r="AV421" s="170"/>
      <c r="AW421" s="166"/>
      <c r="AX421" s="166"/>
      <c r="AY421" s="189"/>
      <c r="AZ421" s="189"/>
      <c r="BA421" s="196"/>
      <c r="BB421" s="629"/>
      <c r="BC421" s="190"/>
      <c r="BD421" s="510"/>
      <c r="BE421" s="510"/>
      <c r="BF421" s="177"/>
      <c r="BG421" s="177"/>
      <c r="BH421" s="166"/>
      <c r="BI421" s="474"/>
      <c r="BJ421" s="166"/>
      <c r="BK421" s="474"/>
      <c r="BL421" s="474"/>
      <c r="BM421" s="474"/>
      <c r="BN421" s="166"/>
      <c r="BO421" s="166"/>
      <c r="BP421" s="204"/>
      <c r="BQ421" s="475"/>
      <c r="BR421" s="205"/>
      <c r="BS421" s="509"/>
      <c r="BT421" s="509"/>
      <c r="BU421" s="459"/>
      <c r="BV421" s="459"/>
      <c r="BW421" s="1"/>
      <c r="BX421" s="1"/>
      <c r="BY421" s="546"/>
      <c r="BZ421" s="546"/>
      <c r="CA421" s="546"/>
      <c r="CB421" s="546"/>
      <c r="CC421" s="728"/>
      <c r="CD421" s="728"/>
      <c r="CE421" s="170"/>
    </row>
    <row r="422" spans="1:83" customFormat="1">
      <c r="A422" s="701"/>
      <c r="B422" s="447"/>
      <c r="C422" s="161"/>
      <c r="D422" s="162"/>
      <c r="E422" s="1"/>
      <c r="F422" s="811"/>
      <c r="G422" s="440"/>
      <c r="H422" s="1"/>
      <c r="I422" s="55"/>
      <c r="J422" s="170"/>
      <c r="K422" s="1"/>
      <c r="L422" s="170"/>
      <c r="M422" s="1"/>
      <c r="N422" s="458"/>
      <c r="O422" s="170"/>
      <c r="P422" s="441"/>
      <c r="Q422" s="55"/>
      <c r="R422" s="177"/>
      <c r="S422" s="454"/>
      <c r="T422" s="178"/>
      <c r="U422" s="178"/>
      <c r="V422" s="179"/>
      <c r="W422" s="180"/>
      <c r="X422" s="179"/>
      <c r="Y422" s="180"/>
      <c r="Z422" s="178"/>
      <c r="AA422" s="178"/>
      <c r="AB422" s="178"/>
      <c r="AC422" s="178"/>
      <c r="AD422" s="182"/>
      <c r="AE422" s="182"/>
      <c r="AF422" s="182"/>
      <c r="AG422" s="182"/>
      <c r="AH422" s="401"/>
      <c r="AI422" s="401"/>
      <c r="AJ422" s="401"/>
      <c r="AK422" s="401"/>
      <c r="AL422" s="401"/>
      <c r="AM422" s="189"/>
      <c r="AN422" s="829"/>
      <c r="AO422" s="830"/>
      <c r="AP422" s="401"/>
      <c r="AQ422" s="401"/>
      <c r="AR422" s="401"/>
      <c r="AS422" s="401"/>
      <c r="AT422" s="403"/>
      <c r="AU422" s="403"/>
      <c r="AV422" s="170"/>
      <c r="AW422" s="166"/>
      <c r="AX422" s="166"/>
      <c r="AY422" s="189"/>
      <c r="AZ422" s="189"/>
      <c r="BA422" s="196"/>
      <c r="BB422" s="629"/>
      <c r="BC422" s="190"/>
      <c r="BD422" s="510"/>
      <c r="BE422" s="510"/>
      <c r="BF422" s="177"/>
      <c r="BG422" s="177"/>
      <c r="BH422" s="166"/>
      <c r="BI422" s="474"/>
      <c r="BJ422" s="166"/>
      <c r="BK422" s="474"/>
      <c r="BL422" s="474"/>
      <c r="BM422" s="474"/>
      <c r="BN422" s="166"/>
      <c r="BO422" s="166"/>
      <c r="BP422" s="204"/>
      <c r="BQ422" s="475"/>
      <c r="BR422" s="205"/>
      <c r="BS422" s="509"/>
      <c r="BT422" s="509"/>
      <c r="BU422" s="459"/>
      <c r="BV422" s="459"/>
      <c r="BW422" s="1"/>
      <c r="BX422" s="1"/>
      <c r="BY422" s="546"/>
      <c r="BZ422" s="546"/>
      <c r="CA422" s="546"/>
      <c r="CB422" s="546"/>
      <c r="CC422" s="728"/>
      <c r="CD422" s="728"/>
      <c r="CE422" s="170"/>
    </row>
    <row r="423" spans="1:83" customFormat="1">
      <c r="A423" s="701"/>
      <c r="B423" s="447"/>
      <c r="C423" s="161"/>
      <c r="D423" s="162"/>
      <c r="E423" s="1"/>
      <c r="F423" s="811"/>
      <c r="G423" s="440"/>
      <c r="H423" s="1"/>
      <c r="I423" s="55"/>
      <c r="J423" s="457"/>
      <c r="K423" s="1"/>
      <c r="L423" s="170"/>
      <c r="M423" s="1"/>
      <c r="N423" s="458"/>
      <c r="O423" s="170"/>
      <c r="P423" s="441"/>
      <c r="Q423" s="55"/>
      <c r="R423" s="177"/>
      <c r="S423" s="454"/>
      <c r="T423" s="178"/>
      <c r="U423" s="178"/>
      <c r="V423" s="179"/>
      <c r="W423" s="180"/>
      <c r="X423" s="179"/>
      <c r="Y423" s="180"/>
      <c r="Z423" s="178"/>
      <c r="AA423" s="178"/>
      <c r="AB423" s="178"/>
      <c r="AC423" s="178"/>
      <c r="AD423" s="182"/>
      <c r="AE423" s="182"/>
      <c r="AF423" s="182"/>
      <c r="AG423" s="182"/>
      <c r="AH423" s="401"/>
      <c r="AI423" s="401"/>
      <c r="AJ423" s="401"/>
      <c r="AK423" s="401"/>
      <c r="AL423" s="401"/>
      <c r="AM423" s="189"/>
      <c r="AN423" s="829"/>
      <c r="AO423" s="830"/>
      <c r="AP423" s="401"/>
      <c r="AQ423" s="401"/>
      <c r="AR423" s="401"/>
      <c r="AS423" s="401"/>
      <c r="AT423" s="403"/>
      <c r="AU423" s="403"/>
      <c r="AV423" s="170"/>
      <c r="AW423" s="166"/>
      <c r="AX423" s="166"/>
      <c r="AY423" s="189"/>
      <c r="AZ423" s="189"/>
      <c r="BA423" s="196"/>
      <c r="BB423" s="629"/>
      <c r="BC423" s="190"/>
      <c r="BD423" s="510"/>
      <c r="BE423" s="510"/>
      <c r="BF423" s="177"/>
      <c r="BG423" s="177"/>
      <c r="BH423" s="166"/>
      <c r="BI423" s="474"/>
      <c r="BJ423" s="166"/>
      <c r="BK423" s="474"/>
      <c r="BL423" s="474"/>
      <c r="BM423" s="474"/>
      <c r="BN423" s="166"/>
      <c r="BO423" s="166"/>
      <c r="BP423" s="204"/>
      <c r="BQ423" s="475"/>
      <c r="BR423" s="205"/>
      <c r="BS423" s="509"/>
      <c r="BT423" s="509"/>
      <c r="BU423" s="459"/>
      <c r="BV423" s="459"/>
      <c r="BW423" s="1"/>
      <c r="BX423" s="1"/>
      <c r="BY423" s="546"/>
      <c r="BZ423" s="546"/>
      <c r="CA423" s="546"/>
      <c r="CB423" s="546"/>
      <c r="CC423" s="728"/>
      <c r="CD423" s="728"/>
      <c r="CE423" s="170"/>
    </row>
    <row r="424" spans="1:83" customFormat="1">
      <c r="A424" s="701"/>
      <c r="B424" s="447"/>
      <c r="C424" s="161"/>
      <c r="D424" s="162"/>
      <c r="E424" s="1"/>
      <c r="F424" s="811"/>
      <c r="G424" s="440"/>
      <c r="H424" s="1"/>
      <c r="I424" s="55"/>
      <c r="J424" s="170"/>
      <c r="K424" s="1"/>
      <c r="L424" s="170"/>
      <c r="M424" s="1"/>
      <c r="N424" s="458"/>
      <c r="O424" s="170"/>
      <c r="P424" s="441"/>
      <c r="Q424" s="55"/>
      <c r="R424" s="177"/>
      <c r="S424" s="454"/>
      <c r="T424" s="178"/>
      <c r="U424" s="178"/>
      <c r="V424" s="179"/>
      <c r="W424" s="180"/>
      <c r="X424" s="179"/>
      <c r="Y424" s="180"/>
      <c r="Z424" s="178"/>
      <c r="AA424" s="178"/>
      <c r="AB424" s="178"/>
      <c r="AC424" s="178"/>
      <c r="AD424" s="182"/>
      <c r="AE424" s="182"/>
      <c r="AF424" s="182"/>
      <c r="AG424" s="182"/>
      <c r="AH424" s="401"/>
      <c r="AI424" s="401"/>
      <c r="AJ424" s="401"/>
      <c r="AK424" s="401"/>
      <c r="AL424" s="401"/>
      <c r="AM424" s="189"/>
      <c r="AN424" s="829"/>
      <c r="AO424" s="830"/>
      <c r="AP424" s="401"/>
      <c r="AQ424" s="401"/>
      <c r="AR424" s="401"/>
      <c r="AS424" s="401"/>
      <c r="AT424" s="403"/>
      <c r="AU424" s="403"/>
      <c r="AV424" s="170"/>
      <c r="AW424" s="166"/>
      <c r="AX424" s="166"/>
      <c r="AY424" s="189"/>
      <c r="AZ424" s="189"/>
      <c r="BA424" s="196"/>
      <c r="BB424" s="629"/>
      <c r="BC424" s="190"/>
      <c r="BD424" s="510"/>
      <c r="BE424" s="510"/>
      <c r="BF424" s="177"/>
      <c r="BG424" s="177"/>
      <c r="BH424" s="166"/>
      <c r="BI424" s="474"/>
      <c r="BJ424" s="166"/>
      <c r="BK424" s="474"/>
      <c r="BL424" s="474"/>
      <c r="BM424" s="474"/>
      <c r="BN424" s="166"/>
      <c r="BO424" s="166"/>
      <c r="BP424" s="204"/>
      <c r="BQ424" s="475"/>
      <c r="BR424" s="205"/>
      <c r="BS424" s="509"/>
      <c r="BT424" s="509"/>
      <c r="BU424" s="459"/>
      <c r="BV424" s="459"/>
      <c r="BW424" s="1"/>
      <c r="BX424" s="1"/>
      <c r="BY424" s="546"/>
      <c r="BZ424" s="546"/>
      <c r="CA424" s="546"/>
      <c r="CB424" s="546"/>
      <c r="CC424" s="728"/>
      <c r="CD424" s="728"/>
      <c r="CE424" s="170"/>
    </row>
    <row r="425" spans="1:83" customFormat="1">
      <c r="A425" s="701"/>
      <c r="B425" s="447"/>
      <c r="C425" s="161"/>
      <c r="D425" s="162"/>
      <c r="E425" s="1"/>
      <c r="F425" s="811"/>
      <c r="G425" s="440"/>
      <c r="H425" s="1"/>
      <c r="I425" s="55"/>
      <c r="J425" s="170"/>
      <c r="K425" s="1"/>
      <c r="L425" s="170"/>
      <c r="M425" s="1"/>
      <c r="N425" s="166"/>
      <c r="O425" s="170"/>
      <c r="P425" s="441"/>
      <c r="Q425" s="55"/>
      <c r="R425" s="177"/>
      <c r="S425" s="454"/>
      <c r="T425" s="178"/>
      <c r="U425" s="178"/>
      <c r="V425" s="179"/>
      <c r="W425" s="180"/>
      <c r="X425" s="179"/>
      <c r="Y425" s="180"/>
      <c r="Z425" s="178"/>
      <c r="AA425" s="178"/>
      <c r="AB425" s="178"/>
      <c r="AC425" s="178"/>
      <c r="AD425" s="182"/>
      <c r="AE425" s="182"/>
      <c r="AF425" s="182"/>
      <c r="AG425" s="182"/>
      <c r="AH425" s="401"/>
      <c r="AI425" s="401"/>
      <c r="AJ425" s="182"/>
      <c r="AK425" s="401"/>
      <c r="AL425" s="401"/>
      <c r="AM425" s="189"/>
      <c r="AN425" s="829"/>
      <c r="AO425" s="830"/>
      <c r="AP425" s="401"/>
      <c r="AQ425" s="401"/>
      <c r="AR425" s="401"/>
      <c r="AS425" s="401"/>
      <c r="AT425" s="403"/>
      <c r="AU425" s="403"/>
      <c r="AV425" s="170"/>
      <c r="AW425" s="166"/>
      <c r="AX425" s="166"/>
      <c r="AY425" s="189"/>
      <c r="AZ425" s="189"/>
      <c r="BA425" s="196"/>
      <c r="BB425" s="629"/>
      <c r="BC425" s="190"/>
      <c r="BD425" s="510"/>
      <c r="BE425" s="510"/>
      <c r="BF425" s="177"/>
      <c r="BG425" s="177"/>
      <c r="BH425" s="166"/>
      <c r="BI425" s="474"/>
      <c r="BJ425" s="166"/>
      <c r="BK425" s="474"/>
      <c r="BL425" s="474"/>
      <c r="BM425" s="474"/>
      <c r="BN425" s="166"/>
      <c r="BO425" s="166"/>
      <c r="BP425" s="204"/>
      <c r="BQ425" s="475"/>
      <c r="BR425" s="205"/>
      <c r="BS425" s="509"/>
      <c r="BT425" s="509"/>
      <c r="BU425" s="459"/>
      <c r="BV425" s="459"/>
      <c r="BW425" s="1"/>
      <c r="BX425" s="1"/>
      <c r="BY425" s="546"/>
      <c r="BZ425" s="546"/>
      <c r="CA425" s="546"/>
      <c r="CB425" s="546"/>
      <c r="CC425" s="728"/>
      <c r="CD425" s="728"/>
      <c r="CE425" s="170"/>
    </row>
    <row r="426" spans="1:83" customFormat="1">
      <c r="A426" s="701"/>
      <c r="B426" s="447"/>
      <c r="C426" s="161"/>
      <c r="D426" s="162"/>
      <c r="E426" s="1"/>
      <c r="F426" s="811"/>
      <c r="G426" s="440"/>
      <c r="H426" s="1"/>
      <c r="I426" s="55"/>
      <c r="J426" s="170"/>
      <c r="K426" s="1"/>
      <c r="L426" s="170"/>
      <c r="M426" s="1"/>
      <c r="N426" s="458"/>
      <c r="O426" s="170"/>
      <c r="P426" s="441"/>
      <c r="Q426" s="55"/>
      <c r="R426" s="177"/>
      <c r="S426" s="454"/>
      <c r="T426" s="178"/>
      <c r="U426" s="178"/>
      <c r="V426" s="179"/>
      <c r="W426" s="180"/>
      <c r="X426" s="179"/>
      <c r="Y426" s="180"/>
      <c r="Z426" s="178"/>
      <c r="AA426" s="178"/>
      <c r="AB426" s="178"/>
      <c r="AC426" s="178"/>
      <c r="AD426" s="182"/>
      <c r="AE426" s="182"/>
      <c r="AF426" s="182"/>
      <c r="AG426" s="182"/>
      <c r="AH426" s="401"/>
      <c r="AI426" s="401"/>
      <c r="AJ426" s="401"/>
      <c r="AK426" s="401"/>
      <c r="AL426" s="401"/>
      <c r="AM426" s="189"/>
      <c r="AN426" s="829"/>
      <c r="AO426" s="830"/>
      <c r="AP426" s="401"/>
      <c r="AQ426" s="401"/>
      <c r="AR426" s="401"/>
      <c r="AS426" s="401"/>
      <c r="AT426" s="403"/>
      <c r="AU426" s="403"/>
      <c r="AV426" s="170"/>
      <c r="AW426" s="166"/>
      <c r="AX426" s="166"/>
      <c r="AY426" s="189"/>
      <c r="AZ426" s="189"/>
      <c r="BA426" s="196"/>
      <c r="BB426" s="629"/>
      <c r="BC426" s="190"/>
      <c r="BD426" s="510"/>
      <c r="BE426" s="510"/>
      <c r="BF426" s="177"/>
      <c r="BG426" s="177"/>
      <c r="BH426" s="166"/>
      <c r="BI426" s="474"/>
      <c r="BJ426" s="166"/>
      <c r="BK426" s="474"/>
      <c r="BL426" s="474"/>
      <c r="BM426" s="474"/>
      <c r="BN426" s="166"/>
      <c r="BO426" s="166"/>
      <c r="BP426" s="204"/>
      <c r="BQ426" s="475"/>
      <c r="BR426" s="205"/>
      <c r="BS426" s="509"/>
      <c r="BT426" s="509"/>
      <c r="BU426" s="459"/>
      <c r="BV426" s="459"/>
      <c r="BW426" s="1"/>
      <c r="BX426" s="1"/>
      <c r="BY426" s="546"/>
      <c r="BZ426" s="546"/>
      <c r="CA426" s="546"/>
      <c r="CB426" s="546"/>
      <c r="CC426" s="728"/>
      <c r="CD426" s="728"/>
      <c r="CE426" s="170"/>
    </row>
    <row r="427" spans="1:83" customFormat="1">
      <c r="A427" s="701"/>
      <c r="B427" s="447"/>
      <c r="C427" s="161"/>
      <c r="D427" s="162"/>
      <c r="E427" s="1"/>
      <c r="F427" s="811"/>
      <c r="G427" s="440"/>
      <c r="H427" s="1"/>
      <c r="I427" s="55"/>
      <c r="J427" s="170"/>
      <c r="K427" s="1"/>
      <c r="L427" s="170"/>
      <c r="M427" s="1"/>
      <c r="N427" s="458"/>
      <c r="O427" s="170"/>
      <c r="P427" s="441"/>
      <c r="Q427" s="55"/>
      <c r="R427" s="177"/>
      <c r="S427" s="454"/>
      <c r="T427" s="178"/>
      <c r="U427" s="178"/>
      <c r="V427" s="179"/>
      <c r="W427" s="180"/>
      <c r="X427" s="179"/>
      <c r="Y427" s="180"/>
      <c r="Z427" s="178"/>
      <c r="AA427" s="178"/>
      <c r="AB427" s="178"/>
      <c r="AC427" s="178"/>
      <c r="AD427" s="182"/>
      <c r="AE427" s="182"/>
      <c r="AF427" s="182"/>
      <c r="AG427" s="182"/>
      <c r="AH427" s="401"/>
      <c r="AI427" s="401"/>
      <c r="AJ427" s="401"/>
      <c r="AK427" s="401"/>
      <c r="AL427" s="401"/>
      <c r="AM427" s="189"/>
      <c r="AN427" s="829"/>
      <c r="AO427" s="830"/>
      <c r="AP427" s="401"/>
      <c r="AQ427" s="401"/>
      <c r="AR427" s="401"/>
      <c r="AS427" s="401"/>
      <c r="AT427" s="403"/>
      <c r="AU427" s="403"/>
      <c r="AV427" s="170"/>
      <c r="AW427" s="166"/>
      <c r="AX427" s="166"/>
      <c r="AY427" s="189"/>
      <c r="AZ427" s="189"/>
      <c r="BA427" s="196"/>
      <c r="BB427" s="629"/>
      <c r="BC427" s="190"/>
      <c r="BD427" s="510"/>
      <c r="BE427" s="510"/>
      <c r="BF427" s="177"/>
      <c r="BG427" s="177"/>
      <c r="BH427" s="166"/>
      <c r="BI427" s="474"/>
      <c r="BJ427" s="166"/>
      <c r="BK427" s="474"/>
      <c r="BL427" s="474"/>
      <c r="BM427" s="474"/>
      <c r="BN427" s="166"/>
      <c r="BO427" s="166"/>
      <c r="BP427" s="204"/>
      <c r="BQ427" s="475"/>
      <c r="BR427" s="205"/>
      <c r="BS427" s="509"/>
      <c r="BT427" s="509"/>
      <c r="BU427" s="459"/>
      <c r="BV427" s="459"/>
      <c r="BW427" s="1"/>
      <c r="BX427" s="1"/>
      <c r="BY427" s="546"/>
      <c r="BZ427" s="546"/>
      <c r="CA427" s="546"/>
      <c r="CB427" s="546"/>
      <c r="CC427" s="728"/>
      <c r="CD427" s="728"/>
      <c r="CE427" s="170"/>
    </row>
    <row r="428" spans="1:83" customFormat="1">
      <c r="A428" s="701"/>
      <c r="B428" s="447"/>
      <c r="C428" s="161"/>
      <c r="D428" s="162"/>
      <c r="E428" s="1"/>
      <c r="F428" s="811"/>
      <c r="G428" s="440"/>
      <c r="H428" s="1"/>
      <c r="I428" s="55"/>
      <c r="J428" s="170"/>
      <c r="K428" s="1"/>
      <c r="L428" s="170"/>
      <c r="M428" s="1"/>
      <c r="N428" s="458"/>
      <c r="O428" s="170"/>
      <c r="P428" s="441"/>
      <c r="Q428" s="55"/>
      <c r="R428" s="177"/>
      <c r="S428" s="454"/>
      <c r="T428" s="178"/>
      <c r="U428" s="178"/>
      <c r="V428" s="179"/>
      <c r="W428" s="180"/>
      <c r="X428" s="179"/>
      <c r="Y428" s="180"/>
      <c r="Z428" s="178"/>
      <c r="AA428" s="178"/>
      <c r="AB428" s="178"/>
      <c r="AC428" s="178"/>
      <c r="AD428" s="182"/>
      <c r="AE428" s="182"/>
      <c r="AF428" s="182"/>
      <c r="AG428" s="182"/>
      <c r="AH428" s="401"/>
      <c r="AI428" s="401"/>
      <c r="AJ428" s="401"/>
      <c r="AK428" s="401"/>
      <c r="AL428" s="401"/>
      <c r="AM428" s="189"/>
      <c r="AN428" s="829"/>
      <c r="AO428" s="830"/>
      <c r="AP428" s="401"/>
      <c r="AQ428" s="401"/>
      <c r="AR428" s="401"/>
      <c r="AS428" s="401"/>
      <c r="AT428" s="403"/>
      <c r="AU428" s="403"/>
      <c r="AV428" s="170"/>
      <c r="AW428" s="166"/>
      <c r="AX428" s="166"/>
      <c r="AY428" s="189"/>
      <c r="AZ428" s="189"/>
      <c r="BA428" s="196"/>
      <c r="BB428" s="629"/>
      <c r="BC428" s="190"/>
      <c r="BD428" s="510"/>
      <c r="BE428" s="510"/>
      <c r="BF428" s="177"/>
      <c r="BG428" s="177"/>
      <c r="BH428" s="166"/>
      <c r="BI428" s="474"/>
      <c r="BJ428" s="166"/>
      <c r="BK428" s="474"/>
      <c r="BL428" s="474"/>
      <c r="BM428" s="474"/>
      <c r="BN428" s="166"/>
      <c r="BO428" s="166"/>
      <c r="BP428" s="204"/>
      <c r="BQ428" s="475"/>
      <c r="BR428" s="205"/>
      <c r="BS428" s="509"/>
      <c r="BT428" s="509"/>
      <c r="BU428" s="459"/>
      <c r="BV428" s="459"/>
      <c r="BW428" s="1"/>
      <c r="BX428" s="1"/>
      <c r="BY428" s="546"/>
      <c r="BZ428" s="546"/>
      <c r="CA428" s="546"/>
      <c r="CB428" s="546"/>
      <c r="CC428" s="728"/>
      <c r="CD428" s="728"/>
      <c r="CE428" s="170"/>
    </row>
    <row r="429" spans="1:83" customFormat="1">
      <c r="A429" s="701"/>
      <c r="B429" s="447"/>
      <c r="C429" s="161"/>
      <c r="D429" s="162"/>
      <c r="E429" s="1"/>
      <c r="F429" s="811"/>
      <c r="G429" s="440"/>
      <c r="H429" s="1"/>
      <c r="I429" s="55"/>
      <c r="J429" s="170"/>
      <c r="K429" s="1"/>
      <c r="L429" s="170"/>
      <c r="M429" s="1"/>
      <c r="N429" s="458"/>
      <c r="O429" s="170"/>
      <c r="P429" s="441"/>
      <c r="Q429" s="55"/>
      <c r="R429" s="177"/>
      <c r="S429" s="454"/>
      <c r="T429" s="178"/>
      <c r="U429" s="178"/>
      <c r="V429" s="179"/>
      <c r="W429" s="180"/>
      <c r="X429" s="179"/>
      <c r="Y429" s="180"/>
      <c r="Z429" s="178"/>
      <c r="AA429" s="178"/>
      <c r="AB429" s="178"/>
      <c r="AC429" s="178"/>
      <c r="AD429" s="182"/>
      <c r="AE429" s="182"/>
      <c r="AF429" s="182"/>
      <c r="AG429" s="182"/>
      <c r="AH429" s="401"/>
      <c r="AI429" s="401"/>
      <c r="AJ429" s="401"/>
      <c r="AK429" s="401"/>
      <c r="AL429" s="401"/>
      <c r="AM429" s="189"/>
      <c r="AN429" s="829"/>
      <c r="AO429" s="830"/>
      <c r="AP429" s="401"/>
      <c r="AQ429" s="401"/>
      <c r="AR429" s="401"/>
      <c r="AS429" s="401"/>
      <c r="AT429" s="403"/>
      <c r="AU429" s="403"/>
      <c r="AV429" s="170"/>
      <c r="AW429" s="166"/>
      <c r="AX429" s="166"/>
      <c r="AY429" s="189"/>
      <c r="AZ429" s="189"/>
      <c r="BA429" s="196"/>
      <c r="BB429" s="629"/>
      <c r="BC429" s="190"/>
      <c r="BD429" s="510"/>
      <c r="BE429" s="510"/>
      <c r="BF429" s="177"/>
      <c r="BG429" s="177"/>
      <c r="BH429" s="166"/>
      <c r="BI429" s="474"/>
      <c r="BJ429" s="166"/>
      <c r="BK429" s="474"/>
      <c r="BL429" s="474"/>
      <c r="BM429" s="474"/>
      <c r="BN429" s="166"/>
      <c r="BO429" s="166"/>
      <c r="BP429" s="204"/>
      <c r="BQ429" s="475"/>
      <c r="BR429" s="205"/>
      <c r="BS429" s="509"/>
      <c r="BT429" s="509"/>
      <c r="BU429" s="459"/>
      <c r="BV429" s="459"/>
      <c r="BW429" s="1"/>
      <c r="BX429" s="1"/>
      <c r="BY429" s="546"/>
      <c r="BZ429" s="546"/>
      <c r="CA429" s="546"/>
      <c r="CB429" s="546"/>
      <c r="CC429" s="728"/>
      <c r="CD429" s="728"/>
      <c r="CE429" s="170"/>
    </row>
    <row r="430" spans="1:83" customFormat="1">
      <c r="A430" s="701"/>
      <c r="B430" s="447"/>
      <c r="C430" s="1"/>
      <c r="D430" s="538"/>
      <c r="E430" s="1"/>
      <c r="F430" s="811"/>
      <c r="G430" s="440"/>
      <c r="H430" s="1"/>
      <c r="I430" s="55"/>
      <c r="J430" s="171"/>
      <c r="K430" s="55"/>
      <c r="L430" s="171"/>
      <c r="M430" s="55"/>
      <c r="N430" s="172"/>
      <c r="O430" s="170"/>
      <c r="P430" s="139"/>
      <c r="Q430" s="172"/>
      <c r="R430" s="181"/>
      <c r="S430" s="455"/>
      <c r="T430" s="170"/>
      <c r="U430" s="170"/>
      <c r="V430" s="1"/>
      <c r="W430" s="173"/>
      <c r="X430" s="1"/>
      <c r="Y430" s="166"/>
      <c r="Z430" s="170"/>
      <c r="AA430" s="170"/>
      <c r="AB430" s="170"/>
      <c r="AC430" s="170"/>
      <c r="AD430" s="182"/>
      <c r="AE430" s="182"/>
      <c r="AF430" s="182"/>
      <c r="AG430" s="182"/>
      <c r="AH430" s="189"/>
      <c r="AI430" s="401"/>
      <c r="AJ430" s="189"/>
      <c r="AK430" s="401"/>
      <c r="AL430" s="401"/>
      <c r="AM430" s="189"/>
      <c r="AN430" s="782"/>
      <c r="AO430" s="189"/>
      <c r="AP430" s="401"/>
      <c r="AQ430" s="401"/>
      <c r="AR430" s="401"/>
      <c r="AS430" s="188"/>
      <c r="AT430" s="1"/>
      <c r="AU430" s="403"/>
      <c r="AV430" s="1"/>
      <c r="AW430" s="166"/>
      <c r="AX430" s="166"/>
      <c r="AY430" s="189"/>
      <c r="AZ430" s="189"/>
      <c r="BA430" s="196"/>
      <c r="BB430" s="629"/>
      <c r="BC430" s="197"/>
      <c r="BD430" s="510"/>
      <c r="BE430" s="510"/>
      <c r="BF430" s="177"/>
      <c r="BG430" s="177"/>
      <c r="BH430" s="166"/>
      <c r="BI430" s="474"/>
      <c r="BJ430" s="166"/>
      <c r="BK430" s="474"/>
      <c r="BL430" s="474"/>
      <c r="BM430" s="474"/>
      <c r="BN430" s="166"/>
      <c r="BO430" s="166"/>
      <c r="BP430" s="204"/>
      <c r="BQ430" s="475"/>
      <c r="BR430" s="205"/>
      <c r="BS430" s="509"/>
      <c r="BT430" s="509"/>
      <c r="BU430" s="459"/>
      <c r="BV430" s="459"/>
      <c r="BW430" s="1"/>
      <c r="BX430" s="1"/>
      <c r="BY430" s="546"/>
      <c r="BZ430" s="546"/>
      <c r="CA430" s="546"/>
      <c r="CB430" s="546"/>
      <c r="CC430" s="728"/>
      <c r="CD430" s="728"/>
      <c r="CE430" s="170"/>
    </row>
    <row r="431" spans="1:83" customFormat="1">
      <c r="A431" s="701"/>
      <c r="B431" s="447"/>
      <c r="C431" s="161"/>
      <c r="D431" s="162"/>
      <c r="E431" s="1"/>
      <c r="F431" s="811"/>
      <c r="G431" s="440"/>
      <c r="H431" s="1"/>
      <c r="I431" s="55"/>
      <c r="J431" s="170"/>
      <c r="K431" s="1"/>
      <c r="L431" s="170"/>
      <c r="M431" s="1"/>
      <c r="N431" s="458"/>
      <c r="O431" s="170"/>
      <c r="P431" s="441"/>
      <c r="Q431" s="55"/>
      <c r="R431" s="177"/>
      <c r="S431" s="454"/>
      <c r="T431" s="178"/>
      <c r="U431" s="178"/>
      <c r="V431" s="179"/>
      <c r="W431" s="180"/>
      <c r="X431" s="179"/>
      <c r="Y431" s="180"/>
      <c r="Z431" s="178"/>
      <c r="AA431" s="178"/>
      <c r="AB431" s="178"/>
      <c r="AC431" s="178"/>
      <c r="AD431" s="182"/>
      <c r="AE431" s="182"/>
      <c r="AF431" s="182"/>
      <c r="AG431" s="182"/>
      <c r="AH431" s="401"/>
      <c r="AI431" s="401"/>
      <c r="AJ431" s="401"/>
      <c r="AK431" s="401"/>
      <c r="AL431" s="401"/>
      <c r="AM431" s="189"/>
      <c r="AN431" s="829"/>
      <c r="AO431" s="830"/>
      <c r="AP431" s="401"/>
      <c r="AQ431" s="401"/>
      <c r="AR431" s="401"/>
      <c r="AS431" s="401"/>
      <c r="AT431" s="403"/>
      <c r="AU431" s="403"/>
      <c r="AV431" s="170"/>
      <c r="AW431" s="166"/>
      <c r="AX431" s="166"/>
      <c r="AY431" s="189"/>
      <c r="AZ431" s="189"/>
      <c r="BA431" s="196"/>
      <c r="BB431" s="629"/>
      <c r="BC431" s="190"/>
      <c r="BD431" s="510"/>
      <c r="BE431" s="510"/>
      <c r="BF431" s="177"/>
      <c r="BG431" s="177"/>
      <c r="BH431" s="166"/>
      <c r="BI431" s="474"/>
      <c r="BJ431" s="166"/>
      <c r="BK431" s="474"/>
      <c r="BL431" s="474"/>
      <c r="BM431" s="474"/>
      <c r="BN431" s="166"/>
      <c r="BO431" s="166"/>
      <c r="BP431" s="204"/>
      <c r="BQ431" s="475"/>
      <c r="BR431" s="205"/>
      <c r="BS431" s="509"/>
      <c r="BT431" s="509"/>
      <c r="BU431" s="459"/>
      <c r="BV431" s="459"/>
      <c r="BW431" s="1"/>
      <c r="BX431" s="1"/>
      <c r="BY431" s="546"/>
      <c r="BZ431" s="546"/>
      <c r="CA431" s="546"/>
      <c r="CB431" s="546"/>
      <c r="CC431" s="728"/>
      <c r="CD431" s="728"/>
      <c r="CE431" s="170"/>
    </row>
    <row r="432" spans="1:83" customFormat="1">
      <c r="A432" s="701"/>
      <c r="B432" s="447"/>
      <c r="C432" s="161"/>
      <c r="D432" s="162"/>
      <c r="E432" s="1"/>
      <c r="F432" s="811"/>
      <c r="G432" s="440"/>
      <c r="H432" s="1"/>
      <c r="I432" s="55"/>
      <c r="J432" s="170"/>
      <c r="K432" s="1"/>
      <c r="L432" s="170"/>
      <c r="M432" s="1"/>
      <c r="N432" s="458"/>
      <c r="O432" s="170"/>
      <c r="P432" s="441"/>
      <c r="Q432" s="55"/>
      <c r="R432" s="177"/>
      <c r="S432" s="454"/>
      <c r="T432" s="178"/>
      <c r="U432" s="178"/>
      <c r="V432" s="179"/>
      <c r="W432" s="180"/>
      <c r="X432" s="179"/>
      <c r="Y432" s="180"/>
      <c r="Z432" s="178"/>
      <c r="AA432" s="178"/>
      <c r="AB432" s="178"/>
      <c r="AC432" s="178"/>
      <c r="AD432" s="182"/>
      <c r="AE432" s="182"/>
      <c r="AF432" s="182"/>
      <c r="AG432" s="182"/>
      <c r="AH432" s="401"/>
      <c r="AI432" s="401"/>
      <c r="AJ432" s="401"/>
      <c r="AK432" s="401"/>
      <c r="AL432" s="401"/>
      <c r="AM432" s="189"/>
      <c r="AN432" s="829"/>
      <c r="AO432" s="830"/>
      <c r="AP432" s="401"/>
      <c r="AQ432" s="401"/>
      <c r="AR432" s="401"/>
      <c r="AS432" s="401"/>
      <c r="AT432" s="403"/>
      <c r="AU432" s="403"/>
      <c r="AV432" s="170"/>
      <c r="AW432" s="166"/>
      <c r="AX432" s="166"/>
      <c r="AY432" s="189"/>
      <c r="AZ432" s="189"/>
      <c r="BA432" s="196"/>
      <c r="BB432" s="629"/>
      <c r="BC432" s="190"/>
      <c r="BD432" s="510"/>
      <c r="BE432" s="510"/>
      <c r="BF432" s="177"/>
      <c r="BG432" s="177"/>
      <c r="BH432" s="166"/>
      <c r="BI432" s="474"/>
      <c r="BJ432" s="166"/>
      <c r="BK432" s="474"/>
      <c r="BL432" s="474"/>
      <c r="BM432" s="474"/>
      <c r="BN432" s="166"/>
      <c r="BO432" s="166"/>
      <c r="BP432" s="204"/>
      <c r="BQ432" s="475"/>
      <c r="BR432" s="205"/>
      <c r="BS432" s="509"/>
      <c r="BT432" s="509"/>
      <c r="BU432" s="459"/>
      <c r="BV432" s="459"/>
      <c r="BW432" s="1"/>
      <c r="BX432" s="1"/>
      <c r="BY432" s="546"/>
      <c r="BZ432" s="546"/>
      <c r="CA432" s="546"/>
      <c r="CB432" s="546"/>
      <c r="CC432" s="728"/>
      <c r="CD432" s="728"/>
      <c r="CE432" s="170"/>
    </row>
    <row r="433" spans="1:83" customFormat="1">
      <c r="A433" s="701"/>
      <c r="B433" s="447"/>
      <c r="C433" s="161"/>
      <c r="D433" s="162"/>
      <c r="E433" s="1"/>
      <c r="F433" s="811"/>
      <c r="G433" s="440"/>
      <c r="H433" s="1"/>
      <c r="I433" s="55"/>
      <c r="J433" s="457"/>
      <c r="K433" s="1"/>
      <c r="L433" s="170"/>
      <c r="M433" s="1"/>
      <c r="N433" s="458"/>
      <c r="O433" s="170"/>
      <c r="P433" s="441"/>
      <c r="Q433" s="55"/>
      <c r="R433" s="177"/>
      <c r="S433" s="454"/>
      <c r="T433" s="178"/>
      <c r="U433" s="178"/>
      <c r="V433" s="179"/>
      <c r="W433" s="180"/>
      <c r="X433" s="179"/>
      <c r="Y433" s="180"/>
      <c r="Z433" s="178"/>
      <c r="AA433" s="178"/>
      <c r="AB433" s="178"/>
      <c r="AC433" s="178"/>
      <c r="AD433" s="182"/>
      <c r="AE433" s="182"/>
      <c r="AF433" s="182"/>
      <c r="AG433" s="182"/>
      <c r="AH433" s="401"/>
      <c r="AI433" s="401"/>
      <c r="AJ433" s="401"/>
      <c r="AK433" s="401"/>
      <c r="AL433" s="401"/>
      <c r="AM433" s="189"/>
      <c r="AN433" s="829"/>
      <c r="AO433" s="830"/>
      <c r="AP433" s="401"/>
      <c r="AQ433" s="401"/>
      <c r="AR433" s="401"/>
      <c r="AS433" s="401"/>
      <c r="AT433" s="403"/>
      <c r="AU433" s="403"/>
      <c r="AV433" s="170"/>
      <c r="AW433" s="166"/>
      <c r="AX433" s="166"/>
      <c r="AY433" s="189"/>
      <c r="AZ433" s="189"/>
      <c r="BA433" s="196"/>
      <c r="BB433" s="629"/>
      <c r="BC433" s="190"/>
      <c r="BD433" s="510"/>
      <c r="BE433" s="510"/>
      <c r="BF433" s="177"/>
      <c r="BG433" s="177"/>
      <c r="BH433" s="166"/>
      <c r="BI433" s="474"/>
      <c r="BJ433" s="166"/>
      <c r="BK433" s="474"/>
      <c r="BL433" s="474"/>
      <c r="BM433" s="474"/>
      <c r="BN433" s="166"/>
      <c r="BO433" s="166"/>
      <c r="BP433" s="204"/>
      <c r="BQ433" s="475"/>
      <c r="BR433" s="205"/>
      <c r="BS433" s="509"/>
      <c r="BT433" s="509"/>
      <c r="BU433" s="459"/>
      <c r="BV433" s="459"/>
      <c r="BW433" s="1"/>
      <c r="BX433" s="1"/>
      <c r="BY433" s="546"/>
      <c r="BZ433" s="546"/>
      <c r="CA433" s="546"/>
      <c r="CB433" s="546"/>
      <c r="CC433" s="728"/>
      <c r="CD433" s="728"/>
      <c r="CE433" s="170"/>
    </row>
    <row r="434" spans="1:83" customFormat="1">
      <c r="A434" s="701"/>
      <c r="B434" s="447"/>
      <c r="C434" s="161"/>
      <c r="D434" s="162"/>
      <c r="E434" s="1"/>
      <c r="F434" s="811"/>
      <c r="G434" s="440"/>
      <c r="H434" s="1"/>
      <c r="I434" s="55"/>
      <c r="J434" s="170"/>
      <c r="K434" s="1"/>
      <c r="L434" s="170"/>
      <c r="M434" s="1"/>
      <c r="N434" s="458"/>
      <c r="O434" s="170"/>
      <c r="P434" s="441"/>
      <c r="Q434" s="55"/>
      <c r="R434" s="177"/>
      <c r="S434" s="454"/>
      <c r="T434" s="178"/>
      <c r="U434" s="178"/>
      <c r="V434" s="179"/>
      <c r="W434" s="180"/>
      <c r="X434" s="179"/>
      <c r="Y434" s="180"/>
      <c r="Z434" s="178"/>
      <c r="AA434" s="178"/>
      <c r="AB434" s="178"/>
      <c r="AC434" s="178"/>
      <c r="AD434" s="182"/>
      <c r="AE434" s="182"/>
      <c r="AF434" s="182"/>
      <c r="AG434" s="182"/>
      <c r="AH434" s="401"/>
      <c r="AI434" s="401"/>
      <c r="AJ434" s="401"/>
      <c r="AK434" s="401"/>
      <c r="AL434" s="401"/>
      <c r="AM434" s="189"/>
      <c r="AN434" s="829"/>
      <c r="AO434" s="830"/>
      <c r="AP434" s="401"/>
      <c r="AQ434" s="401"/>
      <c r="AR434" s="401"/>
      <c r="AS434" s="401"/>
      <c r="AT434" s="403"/>
      <c r="AU434" s="403"/>
      <c r="AV434" s="170"/>
      <c r="AW434" s="166"/>
      <c r="AX434" s="166"/>
      <c r="AY434" s="189"/>
      <c r="AZ434" s="189"/>
      <c r="BA434" s="196"/>
      <c r="BB434" s="629"/>
      <c r="BC434" s="190"/>
      <c r="BD434" s="510"/>
      <c r="BE434" s="510"/>
      <c r="BF434" s="177"/>
      <c r="BG434" s="177"/>
      <c r="BH434" s="166"/>
      <c r="BI434" s="474"/>
      <c r="BJ434" s="166"/>
      <c r="BK434" s="474"/>
      <c r="BL434" s="474"/>
      <c r="BM434" s="474"/>
      <c r="BN434" s="166"/>
      <c r="BO434" s="166"/>
      <c r="BP434" s="204"/>
      <c r="BQ434" s="475"/>
      <c r="BR434" s="205"/>
      <c r="BS434" s="509"/>
      <c r="BT434" s="509"/>
      <c r="BU434" s="459"/>
      <c r="BV434" s="459"/>
      <c r="BW434" s="1"/>
      <c r="BX434" s="1"/>
      <c r="BY434" s="546"/>
      <c r="BZ434" s="546"/>
      <c r="CA434" s="546"/>
      <c r="CB434" s="546"/>
      <c r="CC434" s="728"/>
      <c r="CD434" s="728"/>
      <c r="CE434" s="170"/>
    </row>
    <row r="435" spans="1:83" customFormat="1">
      <c r="A435" s="701"/>
      <c r="B435" s="447"/>
      <c r="C435" s="161"/>
      <c r="D435" s="162"/>
      <c r="E435" s="1"/>
      <c r="F435" s="811"/>
      <c r="G435" s="440"/>
      <c r="H435" s="1"/>
      <c r="I435" s="55"/>
      <c r="J435" s="170"/>
      <c r="K435" s="1"/>
      <c r="L435" s="170"/>
      <c r="M435" s="1"/>
      <c r="N435" s="458"/>
      <c r="O435" s="170"/>
      <c r="P435" s="441"/>
      <c r="Q435" s="55"/>
      <c r="R435" s="177"/>
      <c r="S435" s="454"/>
      <c r="T435" s="178"/>
      <c r="U435" s="178"/>
      <c r="V435" s="179"/>
      <c r="W435" s="180"/>
      <c r="X435" s="179"/>
      <c r="Y435" s="180"/>
      <c r="Z435" s="178"/>
      <c r="AA435" s="178"/>
      <c r="AB435" s="178"/>
      <c r="AC435" s="178"/>
      <c r="AD435" s="182"/>
      <c r="AE435" s="182"/>
      <c r="AF435" s="182"/>
      <c r="AG435" s="182"/>
      <c r="AH435" s="401"/>
      <c r="AI435" s="401"/>
      <c r="AJ435" s="401"/>
      <c r="AK435" s="401"/>
      <c r="AL435" s="401"/>
      <c r="AM435" s="189"/>
      <c r="AN435" s="829"/>
      <c r="AO435" s="830"/>
      <c r="AP435" s="401"/>
      <c r="AQ435" s="401"/>
      <c r="AR435" s="401"/>
      <c r="AS435" s="401"/>
      <c r="AT435" s="403"/>
      <c r="AU435" s="403"/>
      <c r="AV435" s="170"/>
      <c r="AW435" s="166"/>
      <c r="AX435" s="166"/>
      <c r="AY435" s="189"/>
      <c r="AZ435" s="189"/>
      <c r="BA435" s="196"/>
      <c r="BB435" s="629"/>
      <c r="BC435" s="190"/>
      <c r="BD435" s="510"/>
      <c r="BE435" s="510"/>
      <c r="BF435" s="177"/>
      <c r="BG435" s="177"/>
      <c r="BH435" s="166"/>
      <c r="BI435" s="474"/>
      <c r="BJ435" s="166"/>
      <c r="BK435" s="474"/>
      <c r="BL435" s="474"/>
      <c r="BM435" s="474"/>
      <c r="BN435" s="166"/>
      <c r="BO435" s="166"/>
      <c r="BP435" s="204"/>
      <c r="BQ435" s="475"/>
      <c r="BR435" s="205"/>
      <c r="BS435" s="509"/>
      <c r="BT435" s="509"/>
      <c r="BU435" s="459"/>
      <c r="BV435" s="459"/>
      <c r="BW435" s="1"/>
      <c r="BX435" s="1"/>
      <c r="BY435" s="546"/>
      <c r="BZ435" s="546"/>
      <c r="CA435" s="546"/>
      <c r="CB435" s="546"/>
      <c r="CC435" s="728"/>
      <c r="CD435" s="728"/>
      <c r="CE435" s="170"/>
    </row>
    <row r="436" spans="1:83" customFormat="1">
      <c r="A436" s="701"/>
      <c r="B436" s="447"/>
      <c r="C436" s="161"/>
      <c r="D436" s="162"/>
      <c r="E436" s="1"/>
      <c r="F436" s="811"/>
      <c r="G436" s="440"/>
      <c r="H436" s="1"/>
      <c r="I436" s="55"/>
      <c r="J436" s="457"/>
      <c r="K436" s="1"/>
      <c r="L436" s="170"/>
      <c r="M436" s="1"/>
      <c r="N436" s="458"/>
      <c r="O436" s="170"/>
      <c r="P436" s="441"/>
      <c r="Q436" s="55"/>
      <c r="R436" s="177"/>
      <c r="S436" s="454"/>
      <c r="T436" s="178"/>
      <c r="U436" s="178"/>
      <c r="V436" s="179"/>
      <c r="W436" s="180"/>
      <c r="X436" s="179"/>
      <c r="Y436" s="180"/>
      <c r="Z436" s="178"/>
      <c r="AA436" s="178"/>
      <c r="AB436" s="178"/>
      <c r="AC436" s="178"/>
      <c r="AD436" s="182"/>
      <c r="AE436" s="182"/>
      <c r="AF436" s="182"/>
      <c r="AG436" s="182"/>
      <c r="AH436" s="401"/>
      <c r="AI436" s="401"/>
      <c r="AJ436" s="401"/>
      <c r="AK436" s="401"/>
      <c r="AL436" s="401"/>
      <c r="AM436" s="189"/>
      <c r="AN436" s="829"/>
      <c r="AO436" s="830"/>
      <c r="AP436" s="401"/>
      <c r="AQ436" s="401"/>
      <c r="AR436" s="401"/>
      <c r="AS436" s="401"/>
      <c r="AT436" s="403"/>
      <c r="AU436" s="403"/>
      <c r="AV436" s="170"/>
      <c r="AW436" s="166"/>
      <c r="AX436" s="166"/>
      <c r="AY436" s="189"/>
      <c r="AZ436" s="189"/>
      <c r="BA436" s="196"/>
      <c r="BB436" s="629"/>
      <c r="BC436" s="190"/>
      <c r="BD436" s="510"/>
      <c r="BE436" s="510"/>
      <c r="BF436" s="177"/>
      <c r="BG436" s="177"/>
      <c r="BH436" s="166"/>
      <c r="BI436" s="474"/>
      <c r="BJ436" s="166"/>
      <c r="BK436" s="474"/>
      <c r="BL436" s="474"/>
      <c r="BM436" s="474"/>
      <c r="BN436" s="166"/>
      <c r="BO436" s="166"/>
      <c r="BP436" s="204"/>
      <c r="BQ436" s="475"/>
      <c r="BR436" s="205"/>
      <c r="BS436" s="509"/>
      <c r="BT436" s="509"/>
      <c r="BU436" s="459"/>
      <c r="BV436" s="459"/>
      <c r="BW436" s="1"/>
      <c r="BX436" s="1"/>
      <c r="BY436" s="546"/>
      <c r="BZ436" s="546"/>
      <c r="CA436" s="546"/>
      <c r="CB436" s="546"/>
      <c r="CC436" s="728"/>
      <c r="CD436" s="728"/>
      <c r="CE436" s="170"/>
    </row>
    <row r="437" spans="1:83" customFormat="1">
      <c r="A437" s="701"/>
      <c r="B437" s="447"/>
      <c r="C437" s="161"/>
      <c r="D437" s="162"/>
      <c r="E437" s="1"/>
      <c r="F437" s="811"/>
      <c r="G437" s="440"/>
      <c r="H437" s="1"/>
      <c r="I437" s="55"/>
      <c r="J437" s="170"/>
      <c r="K437" s="1"/>
      <c r="L437" s="170"/>
      <c r="M437" s="1"/>
      <c r="N437" s="458"/>
      <c r="O437" s="170"/>
      <c r="P437" s="441"/>
      <c r="Q437" s="55"/>
      <c r="R437" s="177"/>
      <c r="S437" s="454"/>
      <c r="T437" s="178"/>
      <c r="U437" s="178"/>
      <c r="V437" s="179"/>
      <c r="W437" s="180"/>
      <c r="X437" s="179"/>
      <c r="Y437" s="180"/>
      <c r="Z437" s="178"/>
      <c r="AA437" s="178"/>
      <c r="AB437" s="178"/>
      <c r="AC437" s="178"/>
      <c r="AD437" s="182"/>
      <c r="AE437" s="182"/>
      <c r="AF437" s="182"/>
      <c r="AG437" s="182"/>
      <c r="AH437" s="401"/>
      <c r="AI437" s="401"/>
      <c r="AJ437" s="401"/>
      <c r="AK437" s="401"/>
      <c r="AL437" s="401"/>
      <c r="AM437" s="189"/>
      <c r="AN437" s="829"/>
      <c r="AO437" s="830"/>
      <c r="AP437" s="401"/>
      <c r="AQ437" s="401"/>
      <c r="AR437" s="401"/>
      <c r="AS437" s="401"/>
      <c r="AT437" s="403"/>
      <c r="AU437" s="403"/>
      <c r="AV437" s="170"/>
      <c r="AW437" s="166"/>
      <c r="AX437" s="166"/>
      <c r="AY437" s="189"/>
      <c r="AZ437" s="189"/>
      <c r="BA437" s="196"/>
      <c r="BB437" s="629"/>
      <c r="BC437" s="190"/>
      <c r="BD437" s="510"/>
      <c r="BE437" s="510"/>
      <c r="BF437" s="177"/>
      <c r="BG437" s="177"/>
      <c r="BH437" s="166"/>
      <c r="BI437" s="474"/>
      <c r="BJ437" s="166"/>
      <c r="BK437" s="474"/>
      <c r="BL437" s="474"/>
      <c r="BM437" s="474"/>
      <c r="BN437" s="166"/>
      <c r="BO437" s="166"/>
      <c r="BP437" s="204"/>
      <c r="BQ437" s="475"/>
      <c r="BR437" s="205"/>
      <c r="BS437" s="509"/>
      <c r="BT437" s="509"/>
      <c r="BU437" s="459"/>
      <c r="BV437" s="459"/>
      <c r="BW437" s="1"/>
      <c r="BX437" s="1"/>
      <c r="BY437" s="546"/>
      <c r="BZ437" s="546"/>
      <c r="CA437" s="546"/>
      <c r="CB437" s="546"/>
      <c r="CC437" s="728"/>
      <c r="CD437" s="728"/>
      <c r="CE437" s="170"/>
    </row>
    <row r="438" spans="1:83" customFormat="1">
      <c r="A438" s="701"/>
      <c r="B438" s="447"/>
      <c r="C438" s="161"/>
      <c r="D438" s="162"/>
      <c r="E438" s="1"/>
      <c r="F438" s="811"/>
      <c r="G438" s="440"/>
      <c r="H438" s="1"/>
      <c r="I438" s="55"/>
      <c r="J438" s="170"/>
      <c r="K438" s="1"/>
      <c r="L438" s="170"/>
      <c r="M438" s="1"/>
      <c r="N438" s="458"/>
      <c r="O438" s="170"/>
      <c r="P438" s="441"/>
      <c r="Q438" s="55"/>
      <c r="R438" s="177"/>
      <c r="S438" s="454"/>
      <c r="T438" s="178"/>
      <c r="U438" s="178"/>
      <c r="V438" s="179"/>
      <c r="W438" s="180"/>
      <c r="X438" s="179"/>
      <c r="Y438" s="180"/>
      <c r="Z438" s="178"/>
      <c r="AA438" s="178"/>
      <c r="AB438" s="178"/>
      <c r="AC438" s="178"/>
      <c r="AD438" s="182"/>
      <c r="AE438" s="182"/>
      <c r="AF438" s="182"/>
      <c r="AG438" s="182"/>
      <c r="AH438" s="401"/>
      <c r="AI438" s="401"/>
      <c r="AJ438" s="401"/>
      <c r="AK438" s="401"/>
      <c r="AL438" s="401"/>
      <c r="AM438" s="189"/>
      <c r="AN438" s="829"/>
      <c r="AO438" s="830"/>
      <c r="AP438" s="401"/>
      <c r="AQ438" s="401"/>
      <c r="AR438" s="401"/>
      <c r="AS438" s="401"/>
      <c r="AT438" s="403"/>
      <c r="AU438" s="403"/>
      <c r="AV438" s="170"/>
      <c r="AW438" s="166"/>
      <c r="AX438" s="166"/>
      <c r="AY438" s="189"/>
      <c r="AZ438" s="189"/>
      <c r="BA438" s="196"/>
      <c r="BB438" s="629"/>
      <c r="BC438" s="190"/>
      <c r="BD438" s="510"/>
      <c r="BE438" s="510"/>
      <c r="BF438" s="177"/>
      <c r="BG438" s="177"/>
      <c r="BH438" s="166"/>
      <c r="BI438" s="474"/>
      <c r="BJ438" s="166"/>
      <c r="BK438" s="474"/>
      <c r="BL438" s="474"/>
      <c r="BM438" s="474"/>
      <c r="BN438" s="166"/>
      <c r="BO438" s="166"/>
      <c r="BP438" s="204"/>
      <c r="BQ438" s="475"/>
      <c r="BR438" s="205"/>
      <c r="BS438" s="509"/>
      <c r="BT438" s="509"/>
      <c r="BU438" s="459"/>
      <c r="BV438" s="459"/>
      <c r="BW438" s="1"/>
      <c r="BX438" s="1"/>
      <c r="BY438" s="546"/>
      <c r="BZ438" s="546"/>
      <c r="CA438" s="546"/>
      <c r="CB438" s="546"/>
      <c r="CC438" s="728"/>
      <c r="CD438" s="728"/>
      <c r="CE438" s="170"/>
    </row>
    <row r="439" spans="1:83" customFormat="1">
      <c r="A439" s="701"/>
      <c r="C439" s="148"/>
      <c r="D439" s="149"/>
      <c r="E439" s="148"/>
      <c r="F439" s="811"/>
      <c r="G439" s="439"/>
      <c r="H439" s="148"/>
      <c r="I439" s="148"/>
      <c r="J439" s="148"/>
      <c r="K439" s="148"/>
      <c r="L439" s="148"/>
      <c r="M439" s="148"/>
      <c r="N439" s="148"/>
      <c r="O439" s="148"/>
      <c r="P439" s="151"/>
      <c r="Q439" s="152"/>
      <c r="R439" s="450"/>
      <c r="S439" s="153"/>
      <c r="T439" s="153"/>
      <c r="U439" s="153"/>
      <c r="V439" s="153"/>
      <c r="W439" s="153"/>
      <c r="X439" s="153"/>
      <c r="Y439" s="148"/>
      <c r="Z439" s="267"/>
      <c r="AA439" s="148"/>
      <c r="AB439" s="152"/>
      <c r="AC439" s="152"/>
      <c r="AD439" s="152"/>
      <c r="AE439" s="148"/>
      <c r="AF439" s="148"/>
      <c r="AG439" s="148"/>
      <c r="AH439" s="148"/>
      <c r="AI439" s="401"/>
      <c r="AJ439" s="148"/>
      <c r="AK439" s="400"/>
      <c r="AL439" s="152"/>
      <c r="AM439" s="148"/>
      <c r="AN439" s="269"/>
      <c r="AO439" s="269"/>
      <c r="AP439" s="148"/>
      <c r="AQ439" s="149"/>
      <c r="AR439" s="149"/>
      <c r="AS439" s="149"/>
      <c r="AT439" s="482"/>
      <c r="AU439" s="482"/>
      <c r="AV439" s="148"/>
      <c r="AW439" s="148"/>
      <c r="AX439" s="148"/>
      <c r="AY439" s="148"/>
      <c r="AZ439" s="148"/>
      <c r="BA439" s="148"/>
      <c r="BB439" s="148"/>
      <c r="BC439" s="148"/>
      <c r="BD439" s="148"/>
      <c r="BE439" s="148"/>
      <c r="BF439" s="148"/>
      <c r="BG439" s="148"/>
      <c r="BH439" s="148"/>
      <c r="BI439" s="148"/>
      <c r="BJ439" s="148"/>
      <c r="BK439" s="148"/>
      <c r="BL439" s="148"/>
      <c r="BM439" s="148"/>
      <c r="BN439" s="148"/>
      <c r="BO439" s="148"/>
      <c r="BP439" s="148"/>
      <c r="BQ439" s="148"/>
      <c r="BR439" s="148"/>
      <c r="BS439" s="148"/>
      <c r="BT439" s="148"/>
      <c r="BU439" s="148"/>
      <c r="BV439" s="148"/>
      <c r="BW439" s="1"/>
      <c r="BX439" s="1"/>
      <c r="BY439" s="546"/>
      <c r="BZ439" s="546"/>
      <c r="CA439" s="546"/>
      <c r="CB439" s="546"/>
      <c r="CC439" s="728"/>
      <c r="CD439" s="728"/>
      <c r="CE439" s="170"/>
    </row>
    <row r="440" spans="1:83" customFormat="1">
      <c r="A440" s="701"/>
      <c r="B440" s="447"/>
      <c r="C440" s="161"/>
      <c r="D440" s="162"/>
      <c r="E440" s="1"/>
      <c r="F440" s="811"/>
      <c r="G440" s="440"/>
      <c r="H440" s="1"/>
      <c r="I440" s="55"/>
      <c r="J440" s="170"/>
      <c r="K440" s="1"/>
      <c r="L440" s="170"/>
      <c r="M440" s="1"/>
      <c r="N440" s="458"/>
      <c r="O440" s="170"/>
      <c r="P440" s="441"/>
      <c r="Q440" s="55"/>
      <c r="R440" s="177"/>
      <c r="S440" s="454"/>
      <c r="T440" s="178"/>
      <c r="U440" s="178"/>
      <c r="V440" s="179"/>
      <c r="W440" s="180"/>
      <c r="X440" s="179"/>
      <c r="Y440" s="180"/>
      <c r="Z440" s="178"/>
      <c r="AA440" s="178"/>
      <c r="AB440" s="178"/>
      <c r="AC440" s="178"/>
      <c r="AD440" s="182"/>
      <c r="AE440" s="182"/>
      <c r="AF440" s="182"/>
      <c r="AG440" s="182"/>
      <c r="AH440" s="401"/>
      <c r="AI440" s="401"/>
      <c r="AJ440" s="401"/>
      <c r="AK440" s="401"/>
      <c r="AL440" s="401"/>
      <c r="AM440" s="189"/>
      <c r="AN440" s="829"/>
      <c r="AO440" s="830"/>
      <c r="AP440" s="401"/>
      <c r="AQ440" s="401"/>
      <c r="AR440" s="401"/>
      <c r="AS440" s="401"/>
      <c r="AT440" s="403"/>
      <c r="AU440" s="403"/>
      <c r="AV440" s="170"/>
      <c r="AW440" s="166"/>
      <c r="AX440" s="166"/>
      <c r="AY440" s="189"/>
      <c r="AZ440" s="189"/>
      <c r="BA440" s="196"/>
      <c r="BB440" s="629"/>
      <c r="BC440" s="190"/>
      <c r="BD440" s="510"/>
      <c r="BE440" s="510"/>
      <c r="BF440" s="177"/>
      <c r="BG440" s="177"/>
      <c r="BH440" s="166"/>
      <c r="BI440" s="474"/>
      <c r="BJ440" s="166"/>
      <c r="BK440" s="474"/>
      <c r="BL440" s="474"/>
      <c r="BM440" s="474"/>
      <c r="BN440" s="166"/>
      <c r="BO440" s="166"/>
      <c r="BP440" s="204"/>
      <c r="BQ440" s="475"/>
      <c r="BR440" s="205"/>
      <c r="BS440" s="509"/>
      <c r="BT440" s="509"/>
      <c r="BU440" s="459"/>
      <c r="BV440" s="459"/>
      <c r="BW440" s="1"/>
      <c r="BX440" s="1"/>
      <c r="BY440" s="546"/>
      <c r="BZ440" s="546"/>
      <c r="CA440" s="546"/>
      <c r="CB440" s="546"/>
      <c r="CC440" s="728"/>
      <c r="CD440" s="728"/>
      <c r="CE440" s="170"/>
    </row>
    <row r="441" spans="1:83" customFormat="1">
      <c r="A441" s="701"/>
      <c r="B441" s="447"/>
      <c r="C441" s="161"/>
      <c r="D441" s="162"/>
      <c r="E441" s="1"/>
      <c r="F441" s="811"/>
      <c r="G441" s="440"/>
      <c r="H441" s="1"/>
      <c r="I441" s="55"/>
      <c r="J441" s="170"/>
      <c r="K441" s="1"/>
      <c r="L441" s="170"/>
      <c r="M441" s="1"/>
      <c r="N441" s="458"/>
      <c r="O441" s="170"/>
      <c r="P441" s="441"/>
      <c r="Q441" s="55"/>
      <c r="R441" s="177"/>
      <c r="S441" s="454"/>
      <c r="T441" s="178"/>
      <c r="U441" s="178"/>
      <c r="V441" s="179"/>
      <c r="W441" s="180"/>
      <c r="X441" s="179"/>
      <c r="Y441" s="180"/>
      <c r="Z441" s="178"/>
      <c r="AA441" s="178"/>
      <c r="AB441" s="178"/>
      <c r="AC441" s="178"/>
      <c r="AD441" s="182"/>
      <c r="AE441" s="182"/>
      <c r="AF441" s="182"/>
      <c r="AG441" s="182"/>
      <c r="AH441" s="401"/>
      <c r="AI441" s="401"/>
      <c r="AJ441" s="401"/>
      <c r="AK441" s="401"/>
      <c r="AL441" s="401"/>
      <c r="AM441" s="189"/>
      <c r="AN441" s="829"/>
      <c r="AO441" s="830"/>
      <c r="AP441" s="401"/>
      <c r="AQ441" s="401"/>
      <c r="AR441" s="401"/>
      <c r="AS441" s="401"/>
      <c r="AT441" s="403"/>
      <c r="AU441" s="403"/>
      <c r="AV441" s="170"/>
      <c r="AW441" s="166"/>
      <c r="AX441" s="166"/>
      <c r="AY441" s="189"/>
      <c r="AZ441" s="189"/>
      <c r="BA441" s="196"/>
      <c r="BB441" s="629"/>
      <c r="BC441" s="190"/>
      <c r="BD441" s="510"/>
      <c r="BE441" s="510"/>
      <c r="BF441" s="177"/>
      <c r="BG441" s="177"/>
      <c r="BH441" s="166"/>
      <c r="BI441" s="474"/>
      <c r="BJ441" s="166"/>
      <c r="BK441" s="474"/>
      <c r="BL441" s="474"/>
      <c r="BM441" s="474"/>
      <c r="BN441" s="166"/>
      <c r="BO441" s="166"/>
      <c r="BP441" s="204"/>
      <c r="BQ441" s="475"/>
      <c r="BR441" s="205"/>
      <c r="BS441" s="509"/>
      <c r="BT441" s="509"/>
      <c r="BU441" s="459"/>
      <c r="BV441" s="459"/>
      <c r="BW441" s="1"/>
      <c r="BX441" s="1"/>
      <c r="BY441" s="546"/>
      <c r="BZ441" s="546"/>
      <c r="CA441" s="546"/>
      <c r="CB441" s="546"/>
      <c r="CC441" s="728"/>
      <c r="CD441" s="728"/>
      <c r="CE441" s="170"/>
    </row>
    <row r="442" spans="1:83" customFormat="1">
      <c r="A442" s="701"/>
      <c r="B442" s="447"/>
      <c r="C442" s="161"/>
      <c r="D442" s="162"/>
      <c r="E442" s="1"/>
      <c r="F442" s="811"/>
      <c r="G442" s="440"/>
      <c r="H442" s="1"/>
      <c r="I442" s="55"/>
      <c r="J442" s="170"/>
      <c r="K442" s="1"/>
      <c r="L442" s="170"/>
      <c r="M442" s="1"/>
      <c r="N442" s="458"/>
      <c r="O442" s="170"/>
      <c r="P442" s="441"/>
      <c r="Q442" s="55"/>
      <c r="R442" s="177"/>
      <c r="S442" s="454"/>
      <c r="T442" s="178"/>
      <c r="U442" s="178"/>
      <c r="V442" s="179"/>
      <c r="W442" s="180"/>
      <c r="X442" s="179"/>
      <c r="Y442" s="180"/>
      <c r="Z442" s="178"/>
      <c r="AA442" s="178"/>
      <c r="AB442" s="178"/>
      <c r="AC442" s="178"/>
      <c r="AD442" s="182"/>
      <c r="AE442" s="182"/>
      <c r="AF442" s="182"/>
      <c r="AG442" s="182"/>
      <c r="AH442" s="401"/>
      <c r="AI442" s="401"/>
      <c r="AJ442" s="401"/>
      <c r="AK442" s="401"/>
      <c r="AL442" s="401"/>
      <c r="AM442" s="189"/>
      <c r="AN442" s="829"/>
      <c r="AO442" s="830"/>
      <c r="AP442" s="401"/>
      <c r="AQ442" s="401"/>
      <c r="AR442" s="401"/>
      <c r="AS442" s="401"/>
      <c r="AT442" s="403"/>
      <c r="AU442" s="403"/>
      <c r="AV442" s="170"/>
      <c r="AW442" s="166"/>
      <c r="AX442" s="166"/>
      <c r="AY442" s="189"/>
      <c r="AZ442" s="189"/>
      <c r="BA442" s="196"/>
      <c r="BB442" s="629"/>
      <c r="BC442" s="190"/>
      <c r="BD442" s="510"/>
      <c r="BE442" s="510"/>
      <c r="BF442" s="177"/>
      <c r="BG442" s="177"/>
      <c r="BH442" s="166"/>
      <c r="BI442" s="474"/>
      <c r="BJ442" s="166"/>
      <c r="BK442" s="474"/>
      <c r="BL442" s="474"/>
      <c r="BM442" s="474"/>
      <c r="BN442" s="166"/>
      <c r="BO442" s="166"/>
      <c r="BP442" s="204"/>
      <c r="BQ442" s="475"/>
      <c r="BR442" s="205"/>
      <c r="BS442" s="509"/>
      <c r="BT442" s="509"/>
      <c r="BU442" s="459"/>
      <c r="BV442" s="459"/>
      <c r="BW442" s="1"/>
      <c r="BX442" s="1"/>
      <c r="BY442" s="546"/>
      <c r="BZ442" s="546"/>
      <c r="CA442" s="546"/>
      <c r="CB442" s="546"/>
      <c r="CC442" s="728"/>
      <c r="CD442" s="728"/>
      <c r="CE442" s="170"/>
    </row>
    <row r="443" spans="1:83" customFormat="1">
      <c r="A443" s="701"/>
      <c r="B443" s="447"/>
      <c r="C443" s="1"/>
      <c r="D443" s="538"/>
      <c r="E443" s="1"/>
      <c r="F443" s="811"/>
      <c r="G443" s="440"/>
      <c r="H443" s="1"/>
      <c r="I443" s="55"/>
      <c r="J443" s="171"/>
      <c r="K443" s="55"/>
      <c r="L443" s="171"/>
      <c r="M443" s="55"/>
      <c r="N443" s="172"/>
      <c r="O443" s="170"/>
      <c r="P443" s="139"/>
      <c r="Q443" s="172"/>
      <c r="R443" s="181"/>
      <c r="S443" s="455"/>
      <c r="T443" s="170"/>
      <c r="U443" s="170"/>
      <c r="V443" s="1"/>
      <c r="W443" s="173"/>
      <c r="X443" s="1"/>
      <c r="Y443" s="166"/>
      <c r="Z443" s="170"/>
      <c r="AA443" s="170"/>
      <c r="AB443" s="170"/>
      <c r="AC443" s="170"/>
      <c r="AD443" s="182"/>
      <c r="AE443" s="182"/>
      <c r="AF443" s="182"/>
      <c r="AG443" s="182"/>
      <c r="AH443" s="189"/>
      <c r="AI443" s="401"/>
      <c r="AJ443" s="189"/>
      <c r="AK443" s="401"/>
      <c r="AL443" s="401"/>
      <c r="AM443" s="189"/>
      <c r="AN443" s="782"/>
      <c r="AO443" s="189"/>
      <c r="AP443" s="401"/>
      <c r="AQ443" s="401"/>
      <c r="AR443" s="401"/>
      <c r="AS443" s="188"/>
      <c r="AT443" s="1"/>
      <c r="AU443" s="403"/>
      <c r="AV443" s="1"/>
      <c r="AW443" s="166"/>
      <c r="AX443" s="166"/>
      <c r="AY443" s="189"/>
      <c r="AZ443" s="189"/>
      <c r="BA443" s="196"/>
      <c r="BB443" s="629"/>
      <c r="BC443" s="197"/>
      <c r="BD443" s="510"/>
      <c r="BE443" s="510"/>
      <c r="BF443" s="177"/>
      <c r="BG443" s="177"/>
      <c r="BH443" s="166"/>
      <c r="BI443" s="474"/>
      <c r="BJ443" s="166"/>
      <c r="BK443" s="474"/>
      <c r="BL443" s="474"/>
      <c r="BM443" s="474"/>
      <c r="BN443" s="166"/>
      <c r="BO443" s="166"/>
      <c r="BP443" s="204"/>
      <c r="BQ443" s="475"/>
      <c r="BR443" s="205"/>
      <c r="BS443" s="509"/>
      <c r="BT443" s="509"/>
      <c r="BU443" s="459"/>
      <c r="BV443" s="459"/>
      <c r="BW443" s="1"/>
      <c r="BX443" s="1"/>
      <c r="BY443" s="546"/>
      <c r="BZ443" s="546"/>
      <c r="CA443" s="546"/>
      <c r="CB443" s="546"/>
      <c r="CC443" s="728"/>
      <c r="CD443" s="728"/>
      <c r="CE443" s="170"/>
    </row>
    <row r="444" spans="1:83" customFormat="1">
      <c r="A444" s="701"/>
      <c r="B444" s="447"/>
      <c r="C444" s="161"/>
      <c r="D444" s="162"/>
      <c r="E444" s="1"/>
      <c r="F444" s="811"/>
      <c r="G444" s="440"/>
      <c r="H444" s="1"/>
      <c r="I444" s="55"/>
      <c r="J444" s="170"/>
      <c r="K444" s="1"/>
      <c r="L444" s="170"/>
      <c r="M444" s="1"/>
      <c r="N444" s="458"/>
      <c r="O444" s="170"/>
      <c r="P444" s="441"/>
      <c r="Q444" s="55"/>
      <c r="R444" s="177"/>
      <c r="S444" s="454"/>
      <c r="T444" s="178"/>
      <c r="U444" s="178"/>
      <c r="V444" s="179"/>
      <c r="W444" s="180"/>
      <c r="X444" s="179"/>
      <c r="Y444" s="180"/>
      <c r="Z444" s="178"/>
      <c r="AA444" s="178"/>
      <c r="AB444" s="178"/>
      <c r="AC444" s="178"/>
      <c r="AD444" s="182"/>
      <c r="AE444" s="182"/>
      <c r="AF444" s="182"/>
      <c r="AG444" s="182"/>
      <c r="AH444" s="401"/>
      <c r="AI444" s="401"/>
      <c r="AJ444" s="401"/>
      <c r="AK444" s="401"/>
      <c r="AL444" s="401"/>
      <c r="AM444" s="189"/>
      <c r="AN444" s="829"/>
      <c r="AO444" s="830"/>
      <c r="AP444" s="401"/>
      <c r="AQ444" s="401"/>
      <c r="AR444" s="401"/>
      <c r="AS444" s="401"/>
      <c r="AT444" s="403"/>
      <c r="AU444" s="403"/>
      <c r="AV444" s="170"/>
      <c r="AW444" s="166"/>
      <c r="AX444" s="166"/>
      <c r="AY444" s="189"/>
      <c r="AZ444" s="189"/>
      <c r="BA444" s="196"/>
      <c r="BB444" s="629"/>
      <c r="BC444" s="190"/>
      <c r="BD444" s="510"/>
      <c r="BE444" s="510"/>
      <c r="BF444" s="177"/>
      <c r="BG444" s="177"/>
      <c r="BH444" s="166"/>
      <c r="BI444" s="474"/>
      <c r="BJ444" s="166"/>
      <c r="BK444" s="474"/>
      <c r="BL444" s="474"/>
      <c r="BM444" s="474"/>
      <c r="BN444" s="166"/>
      <c r="BO444" s="166"/>
      <c r="BP444" s="204"/>
      <c r="BQ444" s="475"/>
      <c r="BR444" s="205"/>
      <c r="BS444" s="509"/>
      <c r="BT444" s="509"/>
      <c r="BU444" s="459"/>
      <c r="BV444" s="459"/>
      <c r="BW444" s="1"/>
      <c r="BX444" s="1"/>
      <c r="BY444" s="546"/>
      <c r="BZ444" s="546"/>
      <c r="CA444" s="546"/>
      <c r="CB444" s="546"/>
      <c r="CC444" s="728"/>
      <c r="CD444" s="728"/>
      <c r="CE444" s="170"/>
    </row>
    <row r="445" spans="1:83" customFormat="1">
      <c r="A445" s="701"/>
      <c r="B445" s="447"/>
      <c r="C445" s="161"/>
      <c r="D445" s="162"/>
      <c r="E445" s="1"/>
      <c r="F445" s="811"/>
      <c r="G445" s="440"/>
      <c r="H445" s="1"/>
      <c r="I445" s="55"/>
      <c r="J445" s="170"/>
      <c r="K445" s="1"/>
      <c r="L445" s="170"/>
      <c r="M445" s="1"/>
      <c r="N445" s="458"/>
      <c r="O445" s="170"/>
      <c r="P445" s="441"/>
      <c r="Q445" s="55"/>
      <c r="R445" s="177"/>
      <c r="S445" s="454"/>
      <c r="T445" s="178"/>
      <c r="U445" s="178"/>
      <c r="V445" s="179"/>
      <c r="W445" s="180"/>
      <c r="X445" s="179"/>
      <c r="Y445" s="180"/>
      <c r="Z445" s="178"/>
      <c r="AA445" s="178"/>
      <c r="AB445" s="178"/>
      <c r="AC445" s="178"/>
      <c r="AD445" s="182"/>
      <c r="AE445" s="182"/>
      <c r="AF445" s="182"/>
      <c r="AG445" s="182"/>
      <c r="AH445" s="401"/>
      <c r="AI445" s="401"/>
      <c r="AJ445" s="401"/>
      <c r="AK445" s="401"/>
      <c r="AL445" s="401"/>
      <c r="AM445" s="189"/>
      <c r="AN445" s="829"/>
      <c r="AO445" s="830"/>
      <c r="AP445" s="401"/>
      <c r="AQ445" s="401"/>
      <c r="AR445" s="401"/>
      <c r="AS445" s="401"/>
      <c r="AT445" s="403"/>
      <c r="AU445" s="403"/>
      <c r="AV445" s="170"/>
      <c r="AW445" s="166"/>
      <c r="AX445" s="166"/>
      <c r="AY445" s="189"/>
      <c r="AZ445" s="189"/>
      <c r="BA445" s="196"/>
      <c r="BB445" s="629"/>
      <c r="BC445" s="190"/>
      <c r="BD445" s="510"/>
      <c r="BE445" s="510"/>
      <c r="BF445" s="177"/>
      <c r="BG445" s="177"/>
      <c r="BH445" s="166"/>
      <c r="BI445" s="474"/>
      <c r="BJ445" s="166"/>
      <c r="BK445" s="474"/>
      <c r="BL445" s="474"/>
      <c r="BM445" s="474"/>
      <c r="BN445" s="166"/>
      <c r="BO445" s="166"/>
      <c r="BP445" s="204"/>
      <c r="BQ445" s="475"/>
      <c r="BR445" s="205"/>
      <c r="BS445" s="509"/>
      <c r="BT445" s="509"/>
      <c r="BU445" s="459"/>
      <c r="BV445" s="459"/>
      <c r="BW445" s="1"/>
      <c r="BX445" s="1"/>
      <c r="BY445" s="546"/>
      <c r="BZ445" s="546"/>
      <c r="CA445" s="546"/>
      <c r="CB445" s="546"/>
      <c r="CC445" s="728"/>
      <c r="CD445" s="728"/>
      <c r="CE445" s="170"/>
    </row>
    <row r="446" spans="1:83" customFormat="1">
      <c r="A446" s="701"/>
      <c r="B446" s="447"/>
      <c r="C446" s="161"/>
      <c r="D446" s="162"/>
      <c r="E446" s="1"/>
      <c r="F446" s="811"/>
      <c r="G446" s="440"/>
      <c r="H446" s="1"/>
      <c r="I446" s="55"/>
      <c r="J446" s="457"/>
      <c r="K446" s="1"/>
      <c r="L446" s="170"/>
      <c r="M446" s="1"/>
      <c r="N446" s="458"/>
      <c r="O446" s="170"/>
      <c r="P446" s="441"/>
      <c r="Q446" s="55"/>
      <c r="R446" s="177"/>
      <c r="S446" s="454"/>
      <c r="T446" s="178"/>
      <c r="U446" s="178"/>
      <c r="V446" s="179"/>
      <c r="W446" s="180"/>
      <c r="X446" s="179"/>
      <c r="Y446" s="180"/>
      <c r="Z446" s="178"/>
      <c r="AA446" s="178"/>
      <c r="AB446" s="178"/>
      <c r="AC446" s="178"/>
      <c r="AD446" s="182"/>
      <c r="AE446" s="182"/>
      <c r="AF446" s="182"/>
      <c r="AG446" s="182"/>
      <c r="AH446" s="401"/>
      <c r="AI446" s="401"/>
      <c r="AJ446" s="401"/>
      <c r="AK446" s="401"/>
      <c r="AL446" s="401"/>
      <c r="AM446" s="189"/>
      <c r="AN446" s="829"/>
      <c r="AO446" s="830"/>
      <c r="AP446" s="401"/>
      <c r="AQ446" s="401"/>
      <c r="AR446" s="401"/>
      <c r="AS446" s="401"/>
      <c r="AT446" s="403"/>
      <c r="AU446" s="403"/>
      <c r="AV446" s="170"/>
      <c r="AW446" s="166"/>
      <c r="AX446" s="166"/>
      <c r="AY446" s="189"/>
      <c r="AZ446" s="189"/>
      <c r="BA446" s="196"/>
      <c r="BB446" s="629"/>
      <c r="BC446" s="190"/>
      <c r="BD446" s="510"/>
      <c r="BE446" s="510"/>
      <c r="BF446" s="177"/>
      <c r="BG446" s="177"/>
      <c r="BH446" s="166"/>
      <c r="BI446" s="474"/>
      <c r="BJ446" s="166"/>
      <c r="BK446" s="474"/>
      <c r="BL446" s="474"/>
      <c r="BM446" s="474"/>
      <c r="BN446" s="166"/>
      <c r="BO446" s="166"/>
      <c r="BP446" s="204"/>
      <c r="BQ446" s="475"/>
      <c r="BR446" s="205"/>
      <c r="BS446" s="509"/>
      <c r="BT446" s="509"/>
      <c r="BU446" s="459"/>
      <c r="BV446" s="459"/>
      <c r="BW446" s="1"/>
      <c r="BX446" s="1"/>
      <c r="BY446" s="546"/>
      <c r="BZ446" s="546"/>
      <c r="CA446" s="546"/>
      <c r="CB446" s="546"/>
      <c r="CC446" s="728"/>
      <c r="CD446" s="728"/>
      <c r="CE446" s="170"/>
    </row>
    <row r="447" spans="1:83" customFormat="1">
      <c r="A447" s="701"/>
      <c r="B447" s="447"/>
      <c r="C447" s="161"/>
      <c r="D447" s="162"/>
      <c r="E447" s="1"/>
      <c r="F447" s="811"/>
      <c r="G447" s="440"/>
      <c r="H447" s="1"/>
      <c r="I447" s="55"/>
      <c r="J447" s="170"/>
      <c r="K447" s="1"/>
      <c r="L447" s="170"/>
      <c r="M447" s="1"/>
      <c r="N447" s="458"/>
      <c r="O447" s="170"/>
      <c r="P447" s="441"/>
      <c r="Q447" s="55"/>
      <c r="R447" s="177"/>
      <c r="S447" s="454"/>
      <c r="T447" s="178"/>
      <c r="U447" s="178"/>
      <c r="V447" s="179"/>
      <c r="W447" s="180"/>
      <c r="X447" s="179"/>
      <c r="Y447" s="180"/>
      <c r="Z447" s="178"/>
      <c r="AA447" s="178"/>
      <c r="AB447" s="178"/>
      <c r="AC447" s="178"/>
      <c r="AD447" s="182"/>
      <c r="AE447" s="182"/>
      <c r="AF447" s="182"/>
      <c r="AG447" s="182"/>
      <c r="AH447" s="401"/>
      <c r="AI447" s="401"/>
      <c r="AJ447" s="401"/>
      <c r="AK447" s="401"/>
      <c r="AL447" s="401"/>
      <c r="AM447" s="189"/>
      <c r="AN447" s="829"/>
      <c r="AO447" s="830"/>
      <c r="AP447" s="401"/>
      <c r="AQ447" s="401"/>
      <c r="AR447" s="401"/>
      <c r="AS447" s="401"/>
      <c r="AT447" s="403"/>
      <c r="AU447" s="403"/>
      <c r="AV447" s="170"/>
      <c r="AW447" s="166"/>
      <c r="AX447" s="166"/>
      <c r="AY447" s="189"/>
      <c r="AZ447" s="189"/>
      <c r="BA447" s="196"/>
      <c r="BB447" s="629"/>
      <c r="BC447" s="190"/>
      <c r="BD447" s="510"/>
      <c r="BE447" s="510"/>
      <c r="BF447" s="177"/>
      <c r="BG447" s="177"/>
      <c r="BH447" s="166"/>
      <c r="BI447" s="474"/>
      <c r="BJ447" s="166"/>
      <c r="BK447" s="474"/>
      <c r="BL447" s="474"/>
      <c r="BM447" s="474"/>
      <c r="BN447" s="166"/>
      <c r="BO447" s="166"/>
      <c r="BP447" s="204"/>
      <c r="BQ447" s="475"/>
      <c r="BR447" s="205"/>
      <c r="BS447" s="509"/>
      <c r="BT447" s="509"/>
      <c r="BU447" s="459"/>
      <c r="BV447" s="459"/>
      <c r="BW447" s="1"/>
      <c r="BX447" s="1"/>
      <c r="BY447" s="546"/>
      <c r="BZ447" s="546"/>
      <c r="CA447" s="546"/>
      <c r="CB447" s="546"/>
      <c r="CC447" s="728"/>
      <c r="CD447" s="728"/>
      <c r="CE447" s="170"/>
    </row>
    <row r="448" spans="1:83" customFormat="1">
      <c r="A448" s="701"/>
      <c r="B448" s="447"/>
      <c r="C448" s="161"/>
      <c r="D448" s="162"/>
      <c r="E448" s="1"/>
      <c r="F448" s="811"/>
      <c r="G448" s="440"/>
      <c r="H448" s="1"/>
      <c r="I448" s="55"/>
      <c r="J448" s="170"/>
      <c r="K448" s="1"/>
      <c r="L448" s="170"/>
      <c r="M448" s="1"/>
      <c r="N448" s="458"/>
      <c r="O448" s="170"/>
      <c r="P448" s="441"/>
      <c r="Q448" s="55"/>
      <c r="R448" s="177"/>
      <c r="S448" s="454"/>
      <c r="T448" s="178"/>
      <c r="U448" s="178"/>
      <c r="V448" s="179"/>
      <c r="W448" s="180"/>
      <c r="X448" s="179"/>
      <c r="Y448" s="180"/>
      <c r="Z448" s="178"/>
      <c r="AA448" s="178"/>
      <c r="AB448" s="178"/>
      <c r="AC448" s="178"/>
      <c r="AD448" s="182"/>
      <c r="AE448" s="182"/>
      <c r="AF448" s="182"/>
      <c r="AG448" s="182"/>
      <c r="AH448" s="401"/>
      <c r="AI448" s="401"/>
      <c r="AJ448" s="401"/>
      <c r="AK448" s="401"/>
      <c r="AL448" s="401"/>
      <c r="AM448" s="189"/>
      <c r="AN448" s="829"/>
      <c r="AO448" s="830"/>
      <c r="AP448" s="401"/>
      <c r="AQ448" s="401"/>
      <c r="AR448" s="401"/>
      <c r="AS448" s="401"/>
      <c r="AT448" s="403"/>
      <c r="AU448" s="403"/>
      <c r="AV448" s="170"/>
      <c r="AW448" s="166"/>
      <c r="AX448" s="166"/>
      <c r="AY448" s="189"/>
      <c r="AZ448" s="189"/>
      <c r="BA448" s="196"/>
      <c r="BB448" s="629"/>
      <c r="BC448" s="190"/>
      <c r="BD448" s="510"/>
      <c r="BE448" s="510"/>
      <c r="BF448" s="177"/>
      <c r="BG448" s="177"/>
      <c r="BH448" s="166"/>
      <c r="BI448" s="474"/>
      <c r="BJ448" s="166"/>
      <c r="BK448" s="474"/>
      <c r="BL448" s="474"/>
      <c r="BM448" s="474"/>
      <c r="BN448" s="166"/>
      <c r="BO448" s="166"/>
      <c r="BP448" s="204"/>
      <c r="BQ448" s="475"/>
      <c r="BR448" s="205"/>
      <c r="BS448" s="509"/>
      <c r="BT448" s="509"/>
      <c r="BU448" s="459"/>
      <c r="BV448" s="459"/>
      <c r="BW448" s="1"/>
      <c r="BX448" s="1"/>
      <c r="BY448" s="546"/>
      <c r="BZ448" s="546"/>
      <c r="CA448" s="546"/>
      <c r="CB448" s="546"/>
      <c r="CC448" s="728"/>
      <c r="CD448" s="728"/>
      <c r="CE448" s="170"/>
    </row>
    <row r="449" spans="1:83" customFormat="1">
      <c r="A449" s="701"/>
      <c r="B449" s="447"/>
      <c r="C449" s="161"/>
      <c r="D449" s="162"/>
      <c r="E449" s="1"/>
      <c r="F449" s="811"/>
      <c r="G449" s="440"/>
      <c r="H449" s="1"/>
      <c r="I449" s="55"/>
      <c r="J449" s="170"/>
      <c r="K449" s="1"/>
      <c r="L449" s="170"/>
      <c r="M449" s="1"/>
      <c r="N449" s="458"/>
      <c r="O449" s="170"/>
      <c r="P449" s="441"/>
      <c r="Q449" s="55"/>
      <c r="R449" s="177"/>
      <c r="S449" s="454"/>
      <c r="T449" s="178"/>
      <c r="U449" s="178"/>
      <c r="V449" s="179"/>
      <c r="W449" s="180"/>
      <c r="X449" s="179"/>
      <c r="Y449" s="180"/>
      <c r="Z449" s="178"/>
      <c r="AA449" s="178"/>
      <c r="AB449" s="178"/>
      <c r="AC449" s="178"/>
      <c r="AD449" s="182"/>
      <c r="AE449" s="182"/>
      <c r="AF449" s="182"/>
      <c r="AG449" s="182"/>
      <c r="AH449" s="401"/>
      <c r="AI449" s="401"/>
      <c r="AJ449" s="401"/>
      <c r="AK449" s="401"/>
      <c r="AL449" s="401"/>
      <c r="AM449" s="189"/>
      <c r="AN449" s="829"/>
      <c r="AO449" s="830"/>
      <c r="AP449" s="401"/>
      <c r="AQ449" s="401"/>
      <c r="AR449" s="401"/>
      <c r="AS449" s="401"/>
      <c r="AT449" s="403"/>
      <c r="AU449" s="403"/>
      <c r="AV449" s="170"/>
      <c r="AW449" s="166"/>
      <c r="AX449" s="166"/>
      <c r="AY449" s="189"/>
      <c r="AZ449" s="189"/>
      <c r="BA449" s="196"/>
      <c r="BB449" s="629"/>
      <c r="BC449" s="190"/>
      <c r="BD449" s="510"/>
      <c r="BE449" s="510"/>
      <c r="BF449" s="177"/>
      <c r="BG449" s="177"/>
      <c r="BH449" s="166"/>
      <c r="BI449" s="474"/>
      <c r="BJ449" s="166"/>
      <c r="BK449" s="474"/>
      <c r="BL449" s="474"/>
      <c r="BM449" s="474"/>
      <c r="BN449" s="166"/>
      <c r="BO449" s="166"/>
      <c r="BP449" s="204"/>
      <c r="BQ449" s="475"/>
      <c r="BR449" s="205"/>
      <c r="BS449" s="509"/>
      <c r="BT449" s="509"/>
      <c r="BU449" s="459"/>
      <c r="BV449" s="459"/>
      <c r="BW449" s="1"/>
      <c r="BX449" s="1"/>
      <c r="BY449" s="546"/>
      <c r="BZ449" s="546"/>
      <c r="CA449" s="546"/>
      <c r="CB449" s="546"/>
      <c r="CC449" s="728"/>
      <c r="CD449" s="728"/>
      <c r="CE449" s="170"/>
    </row>
    <row r="450" spans="1:83" customFormat="1">
      <c r="A450" s="701"/>
      <c r="B450" s="447"/>
      <c r="C450" s="161"/>
      <c r="D450" s="162"/>
      <c r="E450" s="1"/>
      <c r="F450" s="811"/>
      <c r="G450" s="440"/>
      <c r="H450" s="1"/>
      <c r="I450" s="55"/>
      <c r="J450" s="170"/>
      <c r="K450" s="1"/>
      <c r="L450" s="170"/>
      <c r="M450" s="1"/>
      <c r="N450" s="166"/>
      <c r="O450" s="170"/>
      <c r="P450" s="441"/>
      <c r="Q450" s="55"/>
      <c r="R450" s="177"/>
      <c r="S450" s="454"/>
      <c r="T450" s="178"/>
      <c r="U450" s="178"/>
      <c r="V450" s="179"/>
      <c r="W450" s="180"/>
      <c r="X450" s="179"/>
      <c r="Y450" s="180"/>
      <c r="Z450" s="178"/>
      <c r="AA450" s="178"/>
      <c r="AB450" s="178"/>
      <c r="AC450" s="178"/>
      <c r="AD450" s="182"/>
      <c r="AE450" s="182"/>
      <c r="AF450" s="182"/>
      <c r="AG450" s="182"/>
      <c r="AH450" s="401"/>
      <c r="AI450" s="401"/>
      <c r="AJ450" s="182"/>
      <c r="AK450" s="401"/>
      <c r="AL450" s="401"/>
      <c r="AM450" s="189"/>
      <c r="AN450" s="829"/>
      <c r="AO450" s="830"/>
      <c r="AP450" s="401"/>
      <c r="AQ450" s="401"/>
      <c r="AR450" s="401"/>
      <c r="AS450" s="401"/>
      <c r="AT450" s="403"/>
      <c r="AU450" s="403"/>
      <c r="AV450" s="170"/>
      <c r="AW450" s="166"/>
      <c r="AX450" s="166"/>
      <c r="AY450" s="189"/>
      <c r="AZ450" s="189"/>
      <c r="BA450" s="196"/>
      <c r="BB450" s="629"/>
      <c r="BC450" s="190"/>
      <c r="BD450" s="510"/>
      <c r="BE450" s="510"/>
      <c r="BF450" s="177"/>
      <c r="BG450" s="177"/>
      <c r="BH450" s="166"/>
      <c r="BI450" s="474"/>
      <c r="BJ450" s="166"/>
      <c r="BK450" s="474"/>
      <c r="BL450" s="474"/>
      <c r="BM450" s="474"/>
      <c r="BN450" s="166"/>
      <c r="BO450" s="166"/>
      <c r="BP450" s="204"/>
      <c r="BQ450" s="475"/>
      <c r="BR450" s="205"/>
      <c r="BS450" s="509"/>
      <c r="BT450" s="509"/>
      <c r="BU450" s="459"/>
      <c r="BV450" s="459"/>
      <c r="BW450" s="1"/>
      <c r="BX450" s="1"/>
      <c r="BY450" s="546"/>
      <c r="BZ450" s="546"/>
      <c r="CA450" s="546"/>
      <c r="CB450" s="546"/>
      <c r="CC450" s="728"/>
      <c r="CD450" s="728"/>
      <c r="CE450" s="170"/>
    </row>
    <row r="451" spans="1:83" customFormat="1">
      <c r="A451" s="701"/>
      <c r="B451" s="447"/>
      <c r="C451" s="161"/>
      <c r="D451" s="162"/>
      <c r="E451" s="1"/>
      <c r="F451" s="811"/>
      <c r="G451" s="440"/>
      <c r="H451" s="1"/>
      <c r="I451" s="55"/>
      <c r="J451" s="170"/>
      <c r="K451" s="1"/>
      <c r="L451" s="170"/>
      <c r="M451" s="1"/>
      <c r="N451" s="458"/>
      <c r="O451" s="170"/>
      <c r="P451" s="441"/>
      <c r="Q451" s="55"/>
      <c r="R451" s="177"/>
      <c r="S451" s="454"/>
      <c r="T451" s="178"/>
      <c r="U451" s="178"/>
      <c r="V451" s="179"/>
      <c r="W451" s="180"/>
      <c r="X451" s="179"/>
      <c r="Y451" s="180"/>
      <c r="Z451" s="178"/>
      <c r="AA451" s="178"/>
      <c r="AB451" s="178"/>
      <c r="AC451" s="178"/>
      <c r="AD451" s="182"/>
      <c r="AE451" s="182"/>
      <c r="AF451" s="182"/>
      <c r="AG451" s="182"/>
      <c r="AH451" s="401"/>
      <c r="AI451" s="401"/>
      <c r="AJ451" s="401"/>
      <c r="AK451" s="401"/>
      <c r="AL451" s="401"/>
      <c r="AM451" s="189"/>
      <c r="AN451" s="829"/>
      <c r="AO451" s="830"/>
      <c r="AP451" s="401"/>
      <c r="AQ451" s="401"/>
      <c r="AR451" s="401"/>
      <c r="AS451" s="401"/>
      <c r="AT451" s="403"/>
      <c r="AU451" s="403"/>
      <c r="AV451" s="170"/>
      <c r="AW451" s="166"/>
      <c r="AX451" s="166"/>
      <c r="AY451" s="189"/>
      <c r="AZ451" s="189"/>
      <c r="BA451" s="196"/>
      <c r="BB451" s="629"/>
      <c r="BC451" s="190"/>
      <c r="BD451" s="510"/>
      <c r="BE451" s="510"/>
      <c r="BF451" s="177"/>
      <c r="BG451" s="177"/>
      <c r="BH451" s="166"/>
      <c r="BI451" s="474"/>
      <c r="BJ451" s="166"/>
      <c r="BK451" s="474"/>
      <c r="BL451" s="474"/>
      <c r="BM451" s="474"/>
      <c r="BN451" s="166"/>
      <c r="BO451" s="166"/>
      <c r="BP451" s="204"/>
      <c r="BQ451" s="475"/>
      <c r="BR451" s="205"/>
      <c r="BS451" s="509"/>
      <c r="BT451" s="509"/>
      <c r="BU451" s="459"/>
      <c r="BV451" s="459"/>
      <c r="BW451" s="1"/>
      <c r="BX451" s="1"/>
      <c r="BY451" s="546"/>
      <c r="BZ451" s="546"/>
      <c r="CA451" s="546"/>
      <c r="CB451" s="546"/>
      <c r="CC451" s="728"/>
      <c r="CD451" s="728"/>
      <c r="CE451" s="170"/>
    </row>
    <row r="452" spans="1:83" customFormat="1">
      <c r="A452" s="701"/>
      <c r="B452" s="447"/>
      <c r="C452" s="161"/>
      <c r="D452" s="162"/>
      <c r="E452" s="1"/>
      <c r="F452" s="811"/>
      <c r="G452" s="440"/>
      <c r="H452" s="1"/>
      <c r="I452" s="55"/>
      <c r="J452" s="170"/>
      <c r="K452" s="1"/>
      <c r="L452" s="170"/>
      <c r="M452" s="1"/>
      <c r="N452" s="458"/>
      <c r="O452" s="170"/>
      <c r="P452" s="441"/>
      <c r="Q452" s="55"/>
      <c r="R452" s="177"/>
      <c r="S452" s="454"/>
      <c r="T452" s="178"/>
      <c r="U452" s="178"/>
      <c r="V452" s="179"/>
      <c r="W452" s="180"/>
      <c r="X452" s="179"/>
      <c r="Y452" s="180"/>
      <c r="Z452" s="178"/>
      <c r="AA452" s="178"/>
      <c r="AB452" s="178"/>
      <c r="AC452" s="178"/>
      <c r="AD452" s="182"/>
      <c r="AE452" s="182"/>
      <c r="AF452" s="182"/>
      <c r="AG452" s="182"/>
      <c r="AH452" s="401"/>
      <c r="AI452" s="401"/>
      <c r="AJ452" s="401"/>
      <c r="AK452" s="401"/>
      <c r="AL452" s="401"/>
      <c r="AM452" s="189"/>
      <c r="AN452" s="829"/>
      <c r="AO452" s="830"/>
      <c r="AP452" s="401"/>
      <c r="AQ452" s="401"/>
      <c r="AR452" s="401"/>
      <c r="AS452" s="401"/>
      <c r="AT452" s="403"/>
      <c r="AU452" s="403"/>
      <c r="AV452" s="170"/>
      <c r="AW452" s="166"/>
      <c r="AX452" s="166"/>
      <c r="AY452" s="189"/>
      <c r="AZ452" s="189"/>
      <c r="BA452" s="196"/>
      <c r="BB452" s="629"/>
      <c r="BC452" s="190"/>
      <c r="BD452" s="510"/>
      <c r="BE452" s="510"/>
      <c r="BF452" s="177"/>
      <c r="BG452" s="177"/>
      <c r="BH452" s="166"/>
      <c r="BI452" s="474"/>
      <c r="BJ452" s="166"/>
      <c r="BK452" s="474"/>
      <c r="BL452" s="474"/>
      <c r="BM452" s="474"/>
      <c r="BN452" s="166"/>
      <c r="BO452" s="166"/>
      <c r="BP452" s="204"/>
      <c r="BQ452" s="475"/>
      <c r="BR452" s="205"/>
      <c r="BS452" s="509"/>
      <c r="BT452" s="509"/>
      <c r="BU452" s="459"/>
      <c r="BV452" s="459"/>
      <c r="BW452" s="1"/>
      <c r="BX452" s="1"/>
      <c r="BY452" s="546"/>
      <c r="BZ452" s="546"/>
      <c r="CA452" s="546"/>
      <c r="CB452" s="546"/>
      <c r="CC452" s="728"/>
      <c r="CD452" s="728"/>
      <c r="CE452" s="170"/>
    </row>
    <row r="453" spans="1:83" customFormat="1">
      <c r="A453" s="701"/>
      <c r="B453" s="447"/>
      <c r="C453" s="161"/>
      <c r="D453" s="162"/>
      <c r="E453" s="1"/>
      <c r="F453" s="811"/>
      <c r="G453" s="440"/>
      <c r="H453" s="1"/>
      <c r="I453" s="55"/>
      <c r="J453" s="170"/>
      <c r="K453" s="1"/>
      <c r="L453" s="170"/>
      <c r="M453" s="1"/>
      <c r="N453" s="458"/>
      <c r="O453" s="170"/>
      <c r="P453" s="441"/>
      <c r="Q453" s="55"/>
      <c r="R453" s="177"/>
      <c r="S453" s="454"/>
      <c r="T453" s="178"/>
      <c r="U453" s="178"/>
      <c r="V453" s="179"/>
      <c r="W453" s="180"/>
      <c r="X453" s="179"/>
      <c r="Y453" s="180"/>
      <c r="Z453" s="178"/>
      <c r="AA453" s="178"/>
      <c r="AB453" s="178"/>
      <c r="AC453" s="178"/>
      <c r="AD453" s="182"/>
      <c r="AE453" s="182"/>
      <c r="AF453" s="182"/>
      <c r="AG453" s="182"/>
      <c r="AH453" s="401"/>
      <c r="AI453" s="401"/>
      <c r="AJ453" s="401"/>
      <c r="AK453" s="401"/>
      <c r="AL453" s="401"/>
      <c r="AM453" s="189"/>
      <c r="AN453" s="829"/>
      <c r="AO453" s="830"/>
      <c r="AP453" s="401"/>
      <c r="AQ453" s="401"/>
      <c r="AR453" s="401"/>
      <c r="AS453" s="401"/>
      <c r="AT453" s="403"/>
      <c r="AU453" s="403"/>
      <c r="AV453" s="170"/>
      <c r="AW453" s="166"/>
      <c r="AX453" s="166"/>
      <c r="AY453" s="189"/>
      <c r="AZ453" s="189"/>
      <c r="BA453" s="196"/>
      <c r="BB453" s="629"/>
      <c r="BC453" s="190"/>
      <c r="BD453" s="510"/>
      <c r="BE453" s="510"/>
      <c r="BF453" s="177"/>
      <c r="BG453" s="177"/>
      <c r="BH453" s="166"/>
      <c r="BI453" s="474"/>
      <c r="BJ453" s="166"/>
      <c r="BK453" s="474"/>
      <c r="BL453" s="474"/>
      <c r="BM453" s="474"/>
      <c r="BN453" s="166"/>
      <c r="BO453" s="166"/>
      <c r="BP453" s="204"/>
      <c r="BQ453" s="475"/>
      <c r="BR453" s="205"/>
      <c r="BS453" s="509"/>
      <c r="BT453" s="509"/>
      <c r="BU453" s="459"/>
      <c r="BV453" s="459"/>
      <c r="BW453" s="1"/>
      <c r="BX453" s="1"/>
      <c r="BY453" s="546"/>
      <c r="BZ453" s="546"/>
      <c r="CA453" s="546"/>
      <c r="CB453" s="546"/>
      <c r="CC453" s="728"/>
      <c r="CD453" s="728"/>
      <c r="CE453" s="170"/>
    </row>
    <row r="454" spans="1:83" customFormat="1">
      <c r="A454" s="701"/>
      <c r="B454" s="447"/>
      <c r="C454" s="1"/>
      <c r="D454" s="538"/>
      <c r="E454" s="1"/>
      <c r="F454" s="811"/>
      <c r="G454" s="440"/>
      <c r="H454" s="1"/>
      <c r="I454" s="55"/>
      <c r="J454" s="171"/>
      <c r="K454" s="55"/>
      <c r="L454" s="171"/>
      <c r="M454" s="55"/>
      <c r="N454" s="172"/>
      <c r="O454" s="170"/>
      <c r="P454" s="139"/>
      <c r="Q454" s="172"/>
      <c r="R454" s="181"/>
      <c r="S454" s="455"/>
      <c r="T454" s="170"/>
      <c r="U454" s="170"/>
      <c r="V454" s="1"/>
      <c r="W454" s="173"/>
      <c r="X454" s="1"/>
      <c r="Y454" s="166"/>
      <c r="Z454" s="170"/>
      <c r="AA454" s="170"/>
      <c r="AB454" s="170"/>
      <c r="AC454" s="170"/>
      <c r="AD454" s="182"/>
      <c r="AE454" s="182"/>
      <c r="AF454" s="182"/>
      <c r="AG454" s="182"/>
      <c r="AH454" s="189"/>
      <c r="AI454" s="401"/>
      <c r="AJ454" s="189"/>
      <c r="AK454" s="401"/>
      <c r="AL454" s="401"/>
      <c r="AM454" s="189"/>
      <c r="AN454" s="782"/>
      <c r="AO454" s="189"/>
      <c r="AP454" s="401"/>
      <c r="AQ454" s="401"/>
      <c r="AR454" s="401"/>
      <c r="AS454" s="188"/>
      <c r="AT454" s="1"/>
      <c r="AU454" s="403"/>
      <c r="AV454" s="1"/>
      <c r="AW454" s="166"/>
      <c r="AX454" s="166"/>
      <c r="AY454" s="189"/>
      <c r="AZ454" s="189"/>
      <c r="BA454" s="196"/>
      <c r="BB454" s="629"/>
      <c r="BC454" s="197"/>
      <c r="BD454" s="510"/>
      <c r="BE454" s="510"/>
      <c r="BF454" s="177"/>
      <c r="BG454" s="177"/>
      <c r="BH454" s="166"/>
      <c r="BI454" s="474"/>
      <c r="BJ454" s="166"/>
      <c r="BK454" s="474"/>
      <c r="BL454" s="474"/>
      <c r="BM454" s="474"/>
      <c r="BN454" s="166"/>
      <c r="BO454" s="166"/>
      <c r="BP454" s="204"/>
      <c r="BQ454" s="475"/>
      <c r="BR454" s="205"/>
      <c r="BS454" s="509"/>
      <c r="BT454" s="509"/>
      <c r="BU454" s="459"/>
      <c r="BV454" s="459"/>
      <c r="BW454" s="1"/>
      <c r="BX454" s="1"/>
      <c r="BY454" s="546"/>
      <c r="BZ454" s="546"/>
      <c r="CA454" s="546"/>
      <c r="CB454" s="546"/>
      <c r="CC454" s="728"/>
      <c r="CD454" s="728"/>
      <c r="CE454" s="170"/>
    </row>
    <row r="455" spans="1:83" customFormat="1">
      <c r="A455" s="701"/>
      <c r="B455" s="447"/>
      <c r="C455" s="161"/>
      <c r="D455" s="162"/>
      <c r="E455" s="1"/>
      <c r="F455" s="811"/>
      <c r="G455" s="440"/>
      <c r="H455" s="1"/>
      <c r="I455" s="55"/>
      <c r="J455" s="170"/>
      <c r="K455" s="1"/>
      <c r="L455" s="170"/>
      <c r="M455" s="1"/>
      <c r="N455" s="458"/>
      <c r="O455" s="170"/>
      <c r="P455" s="441"/>
      <c r="Q455" s="55"/>
      <c r="R455" s="177"/>
      <c r="S455" s="454"/>
      <c r="T455" s="178"/>
      <c r="U455" s="178"/>
      <c r="V455" s="179"/>
      <c r="W455" s="180"/>
      <c r="X455" s="179"/>
      <c r="Y455" s="180"/>
      <c r="Z455" s="178"/>
      <c r="AA455" s="178"/>
      <c r="AB455" s="178"/>
      <c r="AC455" s="178"/>
      <c r="AD455" s="182"/>
      <c r="AE455" s="182"/>
      <c r="AF455" s="182"/>
      <c r="AG455" s="182"/>
      <c r="AH455" s="401"/>
      <c r="AI455" s="401"/>
      <c r="AJ455" s="401"/>
      <c r="AK455" s="401"/>
      <c r="AL455" s="401"/>
      <c r="AM455" s="189"/>
      <c r="AN455" s="829"/>
      <c r="AO455" s="830"/>
      <c r="AP455" s="401"/>
      <c r="AQ455" s="401"/>
      <c r="AR455" s="401"/>
      <c r="AS455" s="401"/>
      <c r="AT455" s="403"/>
      <c r="AU455" s="403"/>
      <c r="AV455" s="170"/>
      <c r="AW455" s="166"/>
      <c r="AX455" s="166"/>
      <c r="AY455" s="189"/>
      <c r="AZ455" s="189"/>
      <c r="BA455" s="196"/>
      <c r="BB455" s="629"/>
      <c r="BC455" s="190"/>
      <c r="BD455" s="510"/>
      <c r="BE455" s="510"/>
      <c r="BF455" s="177"/>
      <c r="BG455" s="177"/>
      <c r="BH455" s="166"/>
      <c r="BI455" s="474"/>
      <c r="BJ455" s="166"/>
      <c r="BK455" s="474"/>
      <c r="BL455" s="474"/>
      <c r="BM455" s="474"/>
      <c r="BN455" s="166"/>
      <c r="BO455" s="166"/>
      <c r="BP455" s="204"/>
      <c r="BQ455" s="475"/>
      <c r="BR455" s="205"/>
      <c r="BS455" s="509"/>
      <c r="BT455" s="509"/>
      <c r="BU455" s="459"/>
      <c r="BV455" s="459"/>
      <c r="BW455" s="1"/>
      <c r="BX455" s="1"/>
      <c r="BY455" s="546"/>
      <c r="BZ455" s="546"/>
      <c r="CA455" s="546"/>
      <c r="CB455" s="546"/>
      <c r="CC455" s="728"/>
      <c r="CD455" s="728"/>
      <c r="CE455" s="170"/>
    </row>
    <row r="456" spans="1:83" customFormat="1">
      <c r="A456" s="701"/>
      <c r="B456" s="447"/>
      <c r="C456" s="161"/>
      <c r="D456" s="162"/>
      <c r="E456" s="1"/>
      <c r="F456" s="811"/>
      <c r="G456" s="440"/>
      <c r="H456" s="1"/>
      <c r="I456" s="55"/>
      <c r="J456" s="170"/>
      <c r="K456" s="1"/>
      <c r="L456" s="170"/>
      <c r="M456" s="1"/>
      <c r="N456" s="458"/>
      <c r="O456" s="170"/>
      <c r="P456" s="441"/>
      <c r="Q456" s="55"/>
      <c r="R456" s="177"/>
      <c r="S456" s="454"/>
      <c r="T456" s="178"/>
      <c r="U456" s="178"/>
      <c r="V456" s="179"/>
      <c r="W456" s="180"/>
      <c r="X456" s="179"/>
      <c r="Y456" s="180"/>
      <c r="Z456" s="178"/>
      <c r="AA456" s="178"/>
      <c r="AB456" s="178"/>
      <c r="AC456" s="178"/>
      <c r="AD456" s="182"/>
      <c r="AE456" s="182"/>
      <c r="AF456" s="182"/>
      <c r="AG456" s="182"/>
      <c r="AH456" s="401"/>
      <c r="AI456" s="401"/>
      <c r="AJ456" s="401"/>
      <c r="AK456" s="401"/>
      <c r="AL456" s="401"/>
      <c r="AM456" s="189"/>
      <c r="AN456" s="829"/>
      <c r="AO456" s="830"/>
      <c r="AP456" s="401"/>
      <c r="AQ456" s="401"/>
      <c r="AR456" s="401"/>
      <c r="AS456" s="401"/>
      <c r="AT456" s="403"/>
      <c r="AU456" s="403"/>
      <c r="AV456" s="170"/>
      <c r="AW456" s="166"/>
      <c r="AX456" s="166"/>
      <c r="AY456" s="189"/>
      <c r="AZ456" s="189"/>
      <c r="BA456" s="196"/>
      <c r="BB456" s="629"/>
      <c r="BC456" s="190"/>
      <c r="BD456" s="510"/>
      <c r="BE456" s="510"/>
      <c r="BF456" s="177"/>
      <c r="BG456" s="177"/>
      <c r="BH456" s="166"/>
      <c r="BI456" s="474"/>
      <c r="BJ456" s="166"/>
      <c r="BK456" s="474"/>
      <c r="BL456" s="474"/>
      <c r="BM456" s="474"/>
      <c r="BN456" s="166"/>
      <c r="BO456" s="166"/>
      <c r="BP456" s="204"/>
      <c r="BQ456" s="475"/>
      <c r="BR456" s="205"/>
      <c r="BS456" s="509"/>
      <c r="BT456" s="509"/>
      <c r="BU456" s="459"/>
      <c r="BV456" s="459"/>
      <c r="BW456" s="1"/>
      <c r="BX456" s="1"/>
      <c r="BY456" s="546"/>
      <c r="BZ456" s="546"/>
      <c r="CA456" s="546"/>
      <c r="CB456" s="546"/>
      <c r="CC456" s="728"/>
      <c r="CD456" s="728"/>
      <c r="CE456" s="170"/>
    </row>
    <row r="457" spans="1:83" customFormat="1">
      <c r="A457" s="701"/>
      <c r="B457" s="447"/>
      <c r="C457" s="161"/>
      <c r="D457" s="162"/>
      <c r="E457" s="1"/>
      <c r="F457" s="811"/>
      <c r="G457" s="440"/>
      <c r="H457" s="1"/>
      <c r="I457" s="55"/>
      <c r="J457" s="457"/>
      <c r="K457" s="1"/>
      <c r="L457" s="170"/>
      <c r="M457" s="1"/>
      <c r="N457" s="458"/>
      <c r="O457" s="170"/>
      <c r="P457" s="441"/>
      <c r="Q457" s="55"/>
      <c r="R457" s="177"/>
      <c r="S457" s="454"/>
      <c r="T457" s="178"/>
      <c r="U457" s="178"/>
      <c r="V457" s="179"/>
      <c r="W457" s="180"/>
      <c r="X457" s="179"/>
      <c r="Y457" s="180"/>
      <c r="Z457" s="178"/>
      <c r="AA457" s="178"/>
      <c r="AB457" s="178"/>
      <c r="AC457" s="178"/>
      <c r="AD457" s="182"/>
      <c r="AE457" s="182"/>
      <c r="AF457" s="182"/>
      <c r="AG457" s="182"/>
      <c r="AH457" s="401"/>
      <c r="AI457" s="401"/>
      <c r="AJ457" s="401"/>
      <c r="AK457" s="401"/>
      <c r="AL457" s="401"/>
      <c r="AM457" s="189"/>
      <c r="AN457" s="829"/>
      <c r="AO457" s="830"/>
      <c r="AP457" s="401"/>
      <c r="AQ457" s="401"/>
      <c r="AR457" s="401"/>
      <c r="AS457" s="401"/>
      <c r="AT457" s="403"/>
      <c r="AU457" s="403"/>
      <c r="AV457" s="170"/>
      <c r="AW457" s="166"/>
      <c r="AX457" s="166"/>
      <c r="AY457" s="189"/>
      <c r="AZ457" s="189"/>
      <c r="BA457" s="196"/>
      <c r="BB457" s="629"/>
      <c r="BC457" s="190"/>
      <c r="BD457" s="510"/>
      <c r="BE457" s="510"/>
      <c r="BF457" s="177"/>
      <c r="BG457" s="177"/>
      <c r="BH457" s="166"/>
      <c r="BI457" s="474"/>
      <c r="BJ457" s="166"/>
      <c r="BK457" s="474"/>
      <c r="BL457" s="474"/>
      <c r="BM457" s="474"/>
      <c r="BN457" s="166"/>
      <c r="BO457" s="166"/>
      <c r="BP457" s="204"/>
      <c r="BQ457" s="475"/>
      <c r="BR457" s="205"/>
      <c r="BS457" s="509"/>
      <c r="BT457" s="509"/>
      <c r="BU457" s="459"/>
      <c r="BV457" s="459"/>
      <c r="BW457" s="1"/>
      <c r="BX457" s="1"/>
      <c r="BY457" s="546"/>
      <c r="BZ457" s="546"/>
      <c r="CA457" s="546"/>
      <c r="CB457" s="546"/>
      <c r="CC457" s="728"/>
      <c r="CD457" s="728"/>
      <c r="CE457" s="170"/>
    </row>
    <row r="458" spans="1:83" customFormat="1">
      <c r="A458" s="701"/>
      <c r="B458" s="447"/>
      <c r="C458" s="161"/>
      <c r="D458" s="162"/>
      <c r="E458" s="1"/>
      <c r="F458" s="811"/>
      <c r="G458" s="440"/>
      <c r="H458" s="1"/>
      <c r="I458" s="55"/>
      <c r="J458" s="170"/>
      <c r="K458" s="1"/>
      <c r="L458" s="170"/>
      <c r="M458" s="1"/>
      <c r="N458" s="458"/>
      <c r="O458" s="170"/>
      <c r="P458" s="441"/>
      <c r="Q458" s="55"/>
      <c r="R458" s="177"/>
      <c r="S458" s="454"/>
      <c r="T458" s="178"/>
      <c r="U458" s="178"/>
      <c r="V458" s="179"/>
      <c r="W458" s="180"/>
      <c r="X458" s="179"/>
      <c r="Y458" s="180"/>
      <c r="Z458" s="178"/>
      <c r="AA458" s="178"/>
      <c r="AB458" s="178"/>
      <c r="AC458" s="178"/>
      <c r="AD458" s="182"/>
      <c r="AE458" s="182"/>
      <c r="AF458" s="182"/>
      <c r="AG458" s="182"/>
      <c r="AH458" s="401"/>
      <c r="AI458" s="401"/>
      <c r="AJ458" s="401"/>
      <c r="AK458" s="401"/>
      <c r="AL458" s="401"/>
      <c r="AM458" s="189"/>
      <c r="AN458" s="829"/>
      <c r="AO458" s="830"/>
      <c r="AP458" s="401"/>
      <c r="AQ458" s="401"/>
      <c r="AR458" s="401"/>
      <c r="AS458" s="401"/>
      <c r="AT458" s="403"/>
      <c r="AU458" s="403"/>
      <c r="AV458" s="170"/>
      <c r="AW458" s="166"/>
      <c r="AX458" s="166"/>
      <c r="AY458" s="189"/>
      <c r="AZ458" s="189"/>
      <c r="BA458" s="196"/>
      <c r="BB458" s="629"/>
      <c r="BC458" s="190"/>
      <c r="BD458" s="510"/>
      <c r="BE458" s="510"/>
      <c r="BF458" s="177"/>
      <c r="BG458" s="177"/>
      <c r="BH458" s="166"/>
      <c r="BI458" s="474"/>
      <c r="BJ458" s="166"/>
      <c r="BK458" s="474"/>
      <c r="BL458" s="474"/>
      <c r="BM458" s="474"/>
      <c r="BN458" s="166"/>
      <c r="BO458" s="166"/>
      <c r="BP458" s="204"/>
      <c r="BQ458" s="475"/>
      <c r="BR458" s="205"/>
      <c r="BS458" s="509"/>
      <c r="BT458" s="509"/>
      <c r="BU458" s="459"/>
      <c r="BV458" s="459"/>
      <c r="BW458" s="1"/>
      <c r="BX458" s="1"/>
      <c r="BY458" s="546"/>
      <c r="BZ458" s="546"/>
      <c r="CA458" s="546"/>
      <c r="CB458" s="546"/>
      <c r="CC458" s="728"/>
      <c r="CD458" s="728"/>
      <c r="CE458" s="170"/>
    </row>
    <row r="459" spans="1:83" customFormat="1">
      <c r="A459" s="701"/>
      <c r="B459" s="447"/>
      <c r="C459" s="161"/>
      <c r="D459" s="162"/>
      <c r="E459" s="1"/>
      <c r="F459" s="811"/>
      <c r="G459" s="440"/>
      <c r="H459" s="1"/>
      <c r="I459" s="55"/>
      <c r="J459" s="170"/>
      <c r="K459" s="1"/>
      <c r="L459" s="170"/>
      <c r="M459" s="1"/>
      <c r="N459" s="458"/>
      <c r="O459" s="170"/>
      <c r="P459" s="441"/>
      <c r="Q459" s="55"/>
      <c r="R459" s="177"/>
      <c r="S459" s="454"/>
      <c r="T459" s="178"/>
      <c r="U459" s="178"/>
      <c r="V459" s="179"/>
      <c r="W459" s="180"/>
      <c r="X459" s="179"/>
      <c r="Y459" s="180"/>
      <c r="Z459" s="178"/>
      <c r="AA459" s="178"/>
      <c r="AB459" s="178"/>
      <c r="AC459" s="178"/>
      <c r="AD459" s="182"/>
      <c r="AE459" s="182"/>
      <c r="AF459" s="182"/>
      <c r="AG459" s="182"/>
      <c r="AH459" s="401"/>
      <c r="AI459" s="401"/>
      <c r="AJ459" s="401"/>
      <c r="AK459" s="401"/>
      <c r="AL459" s="401"/>
      <c r="AM459" s="189"/>
      <c r="AN459" s="829"/>
      <c r="AO459" s="830"/>
      <c r="AP459" s="401"/>
      <c r="AQ459" s="401"/>
      <c r="AR459" s="401"/>
      <c r="AS459" s="401"/>
      <c r="AT459" s="403"/>
      <c r="AU459" s="403"/>
      <c r="AV459" s="170"/>
      <c r="AW459" s="166"/>
      <c r="AX459" s="166"/>
      <c r="AY459" s="189"/>
      <c r="AZ459" s="189"/>
      <c r="BA459" s="196"/>
      <c r="BB459" s="629"/>
      <c r="BC459" s="190"/>
      <c r="BD459" s="510"/>
      <c r="BE459" s="510"/>
      <c r="BF459" s="177"/>
      <c r="BG459" s="177"/>
      <c r="BH459" s="166"/>
      <c r="BI459" s="474"/>
      <c r="BJ459" s="166"/>
      <c r="BK459" s="474"/>
      <c r="BL459" s="474"/>
      <c r="BM459" s="474"/>
      <c r="BN459" s="166"/>
      <c r="BO459" s="166"/>
      <c r="BP459" s="204"/>
      <c r="BQ459" s="475"/>
      <c r="BR459" s="205"/>
      <c r="BS459" s="509"/>
      <c r="BT459" s="509"/>
      <c r="BU459" s="459"/>
      <c r="BV459" s="459"/>
      <c r="BW459" s="1"/>
      <c r="BX459" s="1"/>
      <c r="BY459" s="546"/>
      <c r="BZ459" s="546"/>
      <c r="CA459" s="546"/>
      <c r="CB459" s="546"/>
      <c r="CC459" s="728"/>
      <c r="CD459" s="728"/>
      <c r="CE459" s="170"/>
    </row>
    <row r="460" spans="1:83" customFormat="1">
      <c r="A460" s="701"/>
      <c r="B460" s="447"/>
      <c r="C460" s="161"/>
      <c r="D460" s="162"/>
      <c r="E460" s="1"/>
      <c r="F460" s="811"/>
      <c r="G460" s="440"/>
      <c r="H460" s="1"/>
      <c r="I460" s="55"/>
      <c r="J460" s="170"/>
      <c r="K460" s="1"/>
      <c r="L460" s="170"/>
      <c r="M460" s="1"/>
      <c r="N460" s="458"/>
      <c r="O460" s="170"/>
      <c r="P460" s="441"/>
      <c r="Q460" s="55"/>
      <c r="R460" s="177"/>
      <c r="S460" s="454"/>
      <c r="T460" s="178"/>
      <c r="U460" s="178"/>
      <c r="V460" s="179"/>
      <c r="W460" s="180"/>
      <c r="X460" s="179"/>
      <c r="Y460" s="180"/>
      <c r="Z460" s="178"/>
      <c r="AA460" s="178"/>
      <c r="AB460" s="178"/>
      <c r="AC460" s="178"/>
      <c r="AD460" s="182"/>
      <c r="AE460" s="182"/>
      <c r="AF460" s="182"/>
      <c r="AG460" s="182"/>
      <c r="AH460" s="401"/>
      <c r="AI460" s="401"/>
      <c r="AJ460" s="401"/>
      <c r="AK460" s="401"/>
      <c r="AL460" s="401"/>
      <c r="AM460" s="189"/>
      <c r="AN460" s="829"/>
      <c r="AO460" s="830"/>
      <c r="AP460" s="401"/>
      <c r="AQ460" s="401"/>
      <c r="AR460" s="401"/>
      <c r="AS460" s="401"/>
      <c r="AT460" s="403"/>
      <c r="AU460" s="403"/>
      <c r="AV460" s="170"/>
      <c r="AW460" s="166"/>
      <c r="AX460" s="166"/>
      <c r="AY460" s="189"/>
      <c r="AZ460" s="189"/>
      <c r="BA460" s="196"/>
      <c r="BB460" s="629"/>
      <c r="BC460" s="190"/>
      <c r="BD460" s="510"/>
      <c r="BE460" s="510"/>
      <c r="BF460" s="177"/>
      <c r="BG460" s="177"/>
      <c r="BH460" s="166"/>
      <c r="BI460" s="474"/>
      <c r="BJ460" s="166"/>
      <c r="BK460" s="474"/>
      <c r="BL460" s="474"/>
      <c r="BM460" s="474"/>
      <c r="BN460" s="166"/>
      <c r="BO460" s="166"/>
      <c r="BP460" s="204"/>
      <c r="BQ460" s="475"/>
      <c r="BR460" s="205"/>
      <c r="BS460" s="509"/>
      <c r="BT460" s="509"/>
      <c r="BU460" s="459"/>
      <c r="BV460" s="459"/>
      <c r="BW460" s="1"/>
      <c r="BX460" s="1"/>
      <c r="BY460" s="546"/>
      <c r="BZ460" s="546"/>
      <c r="CA460" s="546"/>
      <c r="CB460" s="546"/>
      <c r="CC460" s="728"/>
      <c r="CD460" s="728"/>
      <c r="CE460" s="170"/>
    </row>
    <row r="461" spans="1:83" customFormat="1">
      <c r="A461" s="701"/>
      <c r="B461" s="447"/>
      <c r="C461" s="161"/>
      <c r="D461" s="162"/>
      <c r="E461" s="1"/>
      <c r="F461" s="811"/>
      <c r="G461" s="440"/>
      <c r="H461" s="1"/>
      <c r="I461" s="55"/>
      <c r="J461" s="170"/>
      <c r="K461" s="1"/>
      <c r="L461" s="170"/>
      <c r="M461" s="1"/>
      <c r="N461" s="166"/>
      <c r="O461" s="170"/>
      <c r="P461" s="441"/>
      <c r="Q461" s="55"/>
      <c r="R461" s="177"/>
      <c r="S461" s="454"/>
      <c r="T461" s="178"/>
      <c r="U461" s="178"/>
      <c r="V461" s="179"/>
      <c r="W461" s="180"/>
      <c r="X461" s="179"/>
      <c r="Y461" s="180"/>
      <c r="Z461" s="178"/>
      <c r="AA461" s="178"/>
      <c r="AB461" s="178"/>
      <c r="AC461" s="178"/>
      <c r="AD461" s="182"/>
      <c r="AE461" s="182"/>
      <c r="AF461" s="182"/>
      <c r="AG461" s="182"/>
      <c r="AH461" s="401"/>
      <c r="AI461" s="401"/>
      <c r="AJ461" s="182"/>
      <c r="AK461" s="401"/>
      <c r="AL461" s="401"/>
      <c r="AM461" s="189"/>
      <c r="AN461" s="829"/>
      <c r="AO461" s="830"/>
      <c r="AP461" s="401"/>
      <c r="AQ461" s="401"/>
      <c r="AR461" s="401"/>
      <c r="AS461" s="401"/>
      <c r="AT461" s="403"/>
      <c r="AU461" s="403"/>
      <c r="AV461" s="170"/>
      <c r="AW461" s="166"/>
      <c r="AX461" s="166"/>
      <c r="AY461" s="189"/>
      <c r="AZ461" s="189"/>
      <c r="BA461" s="196"/>
      <c r="BB461" s="629"/>
      <c r="BC461" s="190"/>
      <c r="BD461" s="510"/>
      <c r="BE461" s="510"/>
      <c r="BF461" s="177"/>
      <c r="BG461" s="177"/>
      <c r="BH461" s="166"/>
      <c r="BI461" s="474"/>
      <c r="BJ461" s="166"/>
      <c r="BK461" s="474"/>
      <c r="BL461" s="474"/>
      <c r="BM461" s="474"/>
      <c r="BN461" s="166"/>
      <c r="BO461" s="166"/>
      <c r="BP461" s="204"/>
      <c r="BQ461" s="475"/>
      <c r="BR461" s="205"/>
      <c r="BS461" s="509"/>
      <c r="BT461" s="509"/>
      <c r="BU461" s="459"/>
      <c r="BV461" s="459"/>
      <c r="BW461" s="1"/>
      <c r="BX461" s="1"/>
      <c r="BY461" s="546"/>
      <c r="BZ461" s="546"/>
      <c r="CA461" s="546"/>
      <c r="CB461" s="546"/>
      <c r="CC461" s="728"/>
      <c r="CD461" s="728"/>
      <c r="CE461" s="170"/>
    </row>
    <row r="462" spans="1:83" customFormat="1">
      <c r="A462" s="701"/>
      <c r="B462" s="447"/>
      <c r="C462" s="161"/>
      <c r="D462" s="162"/>
      <c r="E462" s="1"/>
      <c r="F462" s="811"/>
      <c r="G462" s="440"/>
      <c r="H462" s="1"/>
      <c r="I462" s="55"/>
      <c r="J462" s="170"/>
      <c r="K462" s="1"/>
      <c r="L462" s="170"/>
      <c r="M462" s="1"/>
      <c r="N462" s="458"/>
      <c r="O462" s="170"/>
      <c r="P462" s="441"/>
      <c r="Q462" s="55"/>
      <c r="R462" s="177"/>
      <c r="S462" s="454"/>
      <c r="T462" s="178"/>
      <c r="U462" s="178"/>
      <c r="V462" s="179"/>
      <c r="W462" s="180"/>
      <c r="X462" s="179"/>
      <c r="Y462" s="180"/>
      <c r="Z462" s="178"/>
      <c r="AA462" s="178"/>
      <c r="AB462" s="178"/>
      <c r="AC462" s="178"/>
      <c r="AD462" s="182"/>
      <c r="AE462" s="182"/>
      <c r="AF462" s="182"/>
      <c r="AG462" s="182"/>
      <c r="AH462" s="401"/>
      <c r="AI462" s="401"/>
      <c r="AJ462" s="401"/>
      <c r="AK462" s="401"/>
      <c r="AL462" s="401"/>
      <c r="AM462" s="189"/>
      <c r="AN462" s="829"/>
      <c r="AO462" s="830"/>
      <c r="AP462" s="401"/>
      <c r="AQ462" s="401"/>
      <c r="AR462" s="401"/>
      <c r="AS462" s="401"/>
      <c r="AT462" s="403"/>
      <c r="AU462" s="403"/>
      <c r="AV462" s="170"/>
      <c r="AW462" s="166"/>
      <c r="AX462" s="166"/>
      <c r="AY462" s="189"/>
      <c r="AZ462" s="189"/>
      <c r="BA462" s="196"/>
      <c r="BB462" s="629"/>
      <c r="BC462" s="190"/>
      <c r="BD462" s="510"/>
      <c r="BE462" s="510"/>
      <c r="BF462" s="177"/>
      <c r="BG462" s="177"/>
      <c r="BH462" s="166"/>
      <c r="BI462" s="474"/>
      <c r="BJ462" s="166"/>
      <c r="BK462" s="474"/>
      <c r="BL462" s="474"/>
      <c r="BM462" s="474"/>
      <c r="BN462" s="166"/>
      <c r="BO462" s="166"/>
      <c r="BP462" s="204"/>
      <c r="BQ462" s="475"/>
      <c r="BR462" s="205"/>
      <c r="BS462" s="509"/>
      <c r="BT462" s="509"/>
      <c r="BU462" s="459"/>
      <c r="BV462" s="459"/>
      <c r="BW462" s="1"/>
      <c r="BX462" s="1"/>
      <c r="BY462" s="546"/>
      <c r="BZ462" s="546"/>
      <c r="CA462" s="546"/>
      <c r="CB462" s="546"/>
      <c r="CC462" s="728"/>
      <c r="CD462" s="728"/>
      <c r="CE462" s="170"/>
    </row>
    <row r="463" spans="1:83" customFormat="1">
      <c r="A463" s="701"/>
      <c r="B463" s="447"/>
      <c r="C463" s="161"/>
      <c r="D463" s="162"/>
      <c r="E463" s="1"/>
      <c r="F463" s="811"/>
      <c r="G463" s="440"/>
      <c r="H463" s="1"/>
      <c r="I463" s="55"/>
      <c r="J463" s="170"/>
      <c r="K463" s="1"/>
      <c r="L463" s="170"/>
      <c r="M463" s="1"/>
      <c r="N463" s="458"/>
      <c r="O463" s="170"/>
      <c r="P463" s="441"/>
      <c r="Q463" s="55"/>
      <c r="R463" s="177"/>
      <c r="S463" s="454"/>
      <c r="T463" s="178"/>
      <c r="U463" s="178"/>
      <c r="V463" s="179"/>
      <c r="W463" s="180"/>
      <c r="X463" s="179"/>
      <c r="Y463" s="180"/>
      <c r="Z463" s="178"/>
      <c r="AA463" s="178"/>
      <c r="AB463" s="178"/>
      <c r="AC463" s="178"/>
      <c r="AD463" s="182"/>
      <c r="AE463" s="182"/>
      <c r="AF463" s="182"/>
      <c r="AG463" s="182"/>
      <c r="AH463" s="401"/>
      <c r="AI463" s="401"/>
      <c r="AJ463" s="401"/>
      <c r="AK463" s="401"/>
      <c r="AL463" s="401"/>
      <c r="AM463" s="189"/>
      <c r="AN463" s="829"/>
      <c r="AO463" s="830"/>
      <c r="AP463" s="401"/>
      <c r="AQ463" s="401"/>
      <c r="AR463" s="401"/>
      <c r="AS463" s="401"/>
      <c r="AT463" s="403"/>
      <c r="AU463" s="403"/>
      <c r="AV463" s="170"/>
      <c r="AW463" s="166"/>
      <c r="AX463" s="166"/>
      <c r="AY463" s="189"/>
      <c r="AZ463" s="189"/>
      <c r="BA463" s="196"/>
      <c r="BB463" s="629"/>
      <c r="BC463" s="190"/>
      <c r="BD463" s="510"/>
      <c r="BE463" s="510"/>
      <c r="BF463" s="177"/>
      <c r="BG463" s="177"/>
      <c r="BH463" s="166"/>
      <c r="BI463" s="474"/>
      <c r="BJ463" s="166"/>
      <c r="BK463" s="474"/>
      <c r="BL463" s="474"/>
      <c r="BM463" s="474"/>
      <c r="BN463" s="166"/>
      <c r="BO463" s="166"/>
      <c r="BP463" s="204"/>
      <c r="BQ463" s="475"/>
      <c r="BR463" s="205"/>
      <c r="BS463" s="509"/>
      <c r="BT463" s="509"/>
      <c r="BU463" s="459"/>
      <c r="BV463" s="459"/>
      <c r="BW463" s="1"/>
      <c r="BX463" s="1"/>
      <c r="BY463" s="546"/>
      <c r="BZ463" s="546"/>
      <c r="CA463" s="546"/>
      <c r="CB463" s="546"/>
      <c r="CC463" s="728"/>
      <c r="CD463" s="728"/>
      <c r="CE463" s="170"/>
    </row>
    <row r="464" spans="1:83" customFormat="1">
      <c r="A464" s="701"/>
      <c r="B464" s="447"/>
      <c r="C464" s="161"/>
      <c r="D464" s="162"/>
      <c r="E464" s="1"/>
      <c r="F464" s="811"/>
      <c r="G464" s="440"/>
      <c r="H464" s="1"/>
      <c r="I464" s="55"/>
      <c r="J464" s="170"/>
      <c r="K464" s="1"/>
      <c r="L464" s="170"/>
      <c r="M464" s="1"/>
      <c r="N464" s="458"/>
      <c r="O464" s="170"/>
      <c r="P464" s="441"/>
      <c r="Q464" s="55"/>
      <c r="R464" s="177"/>
      <c r="S464" s="454"/>
      <c r="T464" s="178"/>
      <c r="U464" s="178"/>
      <c r="V464" s="179"/>
      <c r="W464" s="180"/>
      <c r="X464" s="179"/>
      <c r="Y464" s="180"/>
      <c r="Z464" s="178"/>
      <c r="AA464" s="178"/>
      <c r="AB464" s="178"/>
      <c r="AC464" s="178"/>
      <c r="AD464" s="182"/>
      <c r="AE464" s="182"/>
      <c r="AF464" s="182"/>
      <c r="AG464" s="182"/>
      <c r="AH464" s="401"/>
      <c r="AI464" s="401"/>
      <c r="AJ464" s="401"/>
      <c r="AK464" s="401"/>
      <c r="AL464" s="401"/>
      <c r="AM464" s="189"/>
      <c r="AN464" s="829"/>
      <c r="AO464" s="830"/>
      <c r="AP464" s="401"/>
      <c r="AQ464" s="401"/>
      <c r="AR464" s="401"/>
      <c r="AS464" s="401"/>
      <c r="AT464" s="403"/>
      <c r="AU464" s="403"/>
      <c r="AV464" s="170"/>
      <c r="AW464" s="166"/>
      <c r="AX464" s="166"/>
      <c r="AY464" s="189"/>
      <c r="AZ464" s="189"/>
      <c r="BA464" s="196"/>
      <c r="BB464" s="629"/>
      <c r="BC464" s="190"/>
      <c r="BD464" s="510"/>
      <c r="BE464" s="510"/>
      <c r="BF464" s="177"/>
      <c r="BG464" s="177"/>
      <c r="BH464" s="166"/>
      <c r="BI464" s="474"/>
      <c r="BJ464" s="166"/>
      <c r="BK464" s="474"/>
      <c r="BL464" s="474"/>
      <c r="BM464" s="474"/>
      <c r="BN464" s="166"/>
      <c r="BO464" s="166"/>
      <c r="BP464" s="204"/>
      <c r="BQ464" s="475"/>
      <c r="BR464" s="205"/>
      <c r="BS464" s="509"/>
      <c r="BT464" s="509"/>
      <c r="BU464" s="459"/>
      <c r="BV464" s="459"/>
      <c r="BW464" s="1"/>
      <c r="BX464" s="1"/>
      <c r="BY464" s="546"/>
      <c r="BZ464" s="546"/>
      <c r="CA464" s="546"/>
      <c r="CB464" s="546"/>
      <c r="CC464" s="728"/>
      <c r="CD464" s="728"/>
      <c r="CE464" s="170"/>
    </row>
    <row r="465" spans="1:83" customFormat="1">
      <c r="A465" s="701"/>
      <c r="B465" s="447"/>
      <c r="C465" s="1"/>
      <c r="D465" s="538"/>
      <c r="E465" s="1"/>
      <c r="F465" s="811"/>
      <c r="G465" s="440"/>
      <c r="H465" s="1"/>
      <c r="I465" s="55"/>
      <c r="J465" s="171"/>
      <c r="K465" s="55"/>
      <c r="L465" s="171"/>
      <c r="M465" s="55"/>
      <c r="N465" s="172"/>
      <c r="O465" s="170"/>
      <c r="P465" s="139"/>
      <c r="Q465" s="172"/>
      <c r="R465" s="181"/>
      <c r="S465" s="455"/>
      <c r="T465" s="170"/>
      <c r="U465" s="170"/>
      <c r="V465" s="1"/>
      <c r="W465" s="173"/>
      <c r="X465" s="1"/>
      <c r="Y465" s="166"/>
      <c r="Z465" s="170"/>
      <c r="AA465" s="170"/>
      <c r="AB465" s="170"/>
      <c r="AC465" s="170"/>
      <c r="AD465" s="182"/>
      <c r="AE465" s="182"/>
      <c r="AF465" s="182"/>
      <c r="AG465" s="182"/>
      <c r="AH465" s="189"/>
      <c r="AI465" s="401"/>
      <c r="AJ465" s="189"/>
      <c r="AK465" s="401"/>
      <c r="AL465" s="401"/>
      <c r="AM465" s="189"/>
      <c r="AN465" s="782"/>
      <c r="AO465" s="189"/>
      <c r="AP465" s="401"/>
      <c r="AQ465" s="401"/>
      <c r="AR465" s="401"/>
      <c r="AS465" s="188"/>
      <c r="AT465" s="1"/>
      <c r="AU465" s="403"/>
      <c r="AV465" s="1"/>
      <c r="AW465" s="166"/>
      <c r="AX465" s="166"/>
      <c r="AY465" s="189"/>
      <c r="AZ465" s="189"/>
      <c r="BA465" s="196"/>
      <c r="BB465" s="629"/>
      <c r="BC465" s="197"/>
      <c r="BD465" s="510"/>
      <c r="BE465" s="510"/>
      <c r="BF465" s="177"/>
      <c r="BG465" s="177"/>
      <c r="BH465" s="166"/>
      <c r="BI465" s="474"/>
      <c r="BJ465" s="166"/>
      <c r="BK465" s="474"/>
      <c r="BL465" s="474"/>
      <c r="BM465" s="474"/>
      <c r="BN465" s="166"/>
      <c r="BO465" s="166"/>
      <c r="BP465" s="204"/>
      <c r="BQ465" s="475"/>
      <c r="BR465" s="205"/>
      <c r="BS465" s="509"/>
      <c r="BT465" s="509"/>
      <c r="BU465" s="459"/>
      <c r="BV465" s="459"/>
      <c r="BW465" s="1"/>
      <c r="BX465" s="1"/>
      <c r="BY465" s="546"/>
      <c r="BZ465" s="546"/>
      <c r="CA465" s="546"/>
      <c r="CB465" s="546"/>
      <c r="CC465" s="728"/>
      <c r="CD465" s="728"/>
      <c r="CE465" s="170"/>
    </row>
    <row r="466" spans="1:83" customFormat="1">
      <c r="A466" s="701"/>
      <c r="B466" s="447"/>
      <c r="C466" s="161"/>
      <c r="D466" s="162"/>
      <c r="E466" s="1"/>
      <c r="F466" s="811"/>
      <c r="G466" s="440"/>
      <c r="H466" s="1"/>
      <c r="I466" s="55"/>
      <c r="J466" s="170"/>
      <c r="K466" s="1"/>
      <c r="L466" s="170"/>
      <c r="M466" s="1"/>
      <c r="N466" s="458"/>
      <c r="O466" s="170"/>
      <c r="P466" s="441"/>
      <c r="Q466" s="55"/>
      <c r="R466" s="177"/>
      <c r="S466" s="454"/>
      <c r="T466" s="178"/>
      <c r="U466" s="178"/>
      <c r="V466" s="179"/>
      <c r="W466" s="180"/>
      <c r="X466" s="179"/>
      <c r="Y466" s="180"/>
      <c r="Z466" s="178"/>
      <c r="AA466" s="178"/>
      <c r="AB466" s="178"/>
      <c r="AC466" s="178"/>
      <c r="AD466" s="182"/>
      <c r="AE466" s="182"/>
      <c r="AF466" s="182"/>
      <c r="AG466" s="182"/>
      <c r="AH466" s="401"/>
      <c r="AI466" s="401"/>
      <c r="AJ466" s="401"/>
      <c r="AK466" s="401"/>
      <c r="AL466" s="401"/>
      <c r="AM466" s="189"/>
      <c r="AN466" s="829"/>
      <c r="AO466" s="830"/>
      <c r="AP466" s="401"/>
      <c r="AQ466" s="401"/>
      <c r="AR466" s="401"/>
      <c r="AS466" s="401"/>
      <c r="AT466" s="403"/>
      <c r="AU466" s="403"/>
      <c r="AV466" s="170"/>
      <c r="AW466" s="166"/>
      <c r="AX466" s="166"/>
      <c r="AY466" s="189"/>
      <c r="AZ466" s="189"/>
      <c r="BA466" s="196"/>
      <c r="BB466" s="629"/>
      <c r="BC466" s="190"/>
      <c r="BD466" s="510"/>
      <c r="BE466" s="510"/>
      <c r="BF466" s="177"/>
      <c r="BG466" s="177"/>
      <c r="BH466" s="166"/>
      <c r="BI466" s="474"/>
      <c r="BJ466" s="166"/>
      <c r="BK466" s="474"/>
      <c r="BL466" s="474"/>
      <c r="BM466" s="474"/>
      <c r="BN466" s="166"/>
      <c r="BO466" s="166"/>
      <c r="BP466" s="204"/>
      <c r="BQ466" s="475"/>
      <c r="BR466" s="205"/>
      <c r="BS466" s="509"/>
      <c r="BT466" s="509"/>
      <c r="BU466" s="459"/>
      <c r="BV466" s="459"/>
      <c r="BW466" s="1"/>
      <c r="BX466" s="1"/>
      <c r="BY466" s="546"/>
      <c r="BZ466" s="546"/>
      <c r="CA466" s="546"/>
      <c r="CB466" s="546"/>
      <c r="CC466" s="728"/>
      <c r="CD466" s="728"/>
      <c r="CE466" s="170"/>
    </row>
    <row r="467" spans="1:83" customFormat="1">
      <c r="A467" s="701"/>
      <c r="B467" s="447"/>
      <c r="C467" s="161"/>
      <c r="D467" s="162"/>
      <c r="E467" s="1"/>
      <c r="F467" s="811"/>
      <c r="G467" s="440"/>
      <c r="H467" s="1"/>
      <c r="I467" s="55"/>
      <c r="J467" s="170"/>
      <c r="K467" s="1"/>
      <c r="L467" s="170"/>
      <c r="M467" s="1"/>
      <c r="N467" s="458"/>
      <c r="O467" s="170"/>
      <c r="P467" s="441"/>
      <c r="Q467" s="55"/>
      <c r="R467" s="177"/>
      <c r="S467" s="454"/>
      <c r="T467" s="178"/>
      <c r="U467" s="178"/>
      <c r="V467" s="179"/>
      <c r="W467" s="180"/>
      <c r="X467" s="179"/>
      <c r="Y467" s="180"/>
      <c r="Z467" s="178"/>
      <c r="AA467" s="178"/>
      <c r="AB467" s="178"/>
      <c r="AC467" s="178"/>
      <c r="AD467" s="182"/>
      <c r="AE467" s="182"/>
      <c r="AF467" s="182"/>
      <c r="AG467" s="182"/>
      <c r="AH467" s="401"/>
      <c r="AI467" s="401"/>
      <c r="AJ467" s="401"/>
      <c r="AK467" s="401"/>
      <c r="AL467" s="401"/>
      <c r="AM467" s="189"/>
      <c r="AN467" s="829"/>
      <c r="AO467" s="830"/>
      <c r="AP467" s="401"/>
      <c r="AQ467" s="401"/>
      <c r="AR467" s="401"/>
      <c r="AS467" s="401"/>
      <c r="AT467" s="403"/>
      <c r="AU467" s="403"/>
      <c r="AV467" s="170"/>
      <c r="AW467" s="166"/>
      <c r="AX467" s="166"/>
      <c r="AY467" s="189"/>
      <c r="AZ467" s="189"/>
      <c r="BA467" s="196"/>
      <c r="BB467" s="629"/>
      <c r="BC467" s="190"/>
      <c r="BD467" s="510"/>
      <c r="BE467" s="510"/>
      <c r="BF467" s="177"/>
      <c r="BG467" s="177"/>
      <c r="BH467" s="166"/>
      <c r="BI467" s="474"/>
      <c r="BJ467" s="166"/>
      <c r="BK467" s="474"/>
      <c r="BL467" s="474"/>
      <c r="BM467" s="474"/>
      <c r="BN467" s="166"/>
      <c r="BO467" s="166"/>
      <c r="BP467" s="204"/>
      <c r="BQ467" s="475"/>
      <c r="BR467" s="205"/>
      <c r="BS467" s="509"/>
      <c r="BT467" s="509"/>
      <c r="BU467" s="459"/>
      <c r="BV467" s="459"/>
      <c r="BW467" s="1"/>
      <c r="BX467" s="1"/>
      <c r="BY467" s="546"/>
      <c r="BZ467" s="546"/>
      <c r="CA467" s="546"/>
      <c r="CB467" s="546"/>
      <c r="CC467" s="728"/>
      <c r="CD467" s="728"/>
      <c r="CE467" s="170"/>
    </row>
    <row r="468" spans="1:83" customFormat="1">
      <c r="A468" s="701"/>
      <c r="B468" s="447"/>
      <c r="C468" s="161"/>
      <c r="D468" s="162"/>
      <c r="E468" s="1"/>
      <c r="F468" s="811"/>
      <c r="G468" s="440"/>
      <c r="H468" s="1"/>
      <c r="I468" s="55"/>
      <c r="J468" s="457"/>
      <c r="K468" s="1"/>
      <c r="L468" s="170"/>
      <c r="M468" s="1"/>
      <c r="N468" s="458"/>
      <c r="O468" s="170"/>
      <c r="P468" s="441"/>
      <c r="Q468" s="55"/>
      <c r="R468" s="177"/>
      <c r="S468" s="454"/>
      <c r="T468" s="178"/>
      <c r="U468" s="178"/>
      <c r="V468" s="179"/>
      <c r="W468" s="180"/>
      <c r="X468" s="179"/>
      <c r="Y468" s="180"/>
      <c r="Z468" s="178"/>
      <c r="AA468" s="178"/>
      <c r="AB468" s="178"/>
      <c r="AC468" s="178"/>
      <c r="AD468" s="182"/>
      <c r="AE468" s="182"/>
      <c r="AF468" s="182"/>
      <c r="AG468" s="182"/>
      <c r="AH468" s="401"/>
      <c r="AI468" s="401"/>
      <c r="AJ468" s="401"/>
      <c r="AK468" s="401"/>
      <c r="AL468" s="401"/>
      <c r="AM468" s="189"/>
      <c r="AN468" s="829"/>
      <c r="AO468" s="830"/>
      <c r="AP468" s="401"/>
      <c r="AQ468" s="401"/>
      <c r="AR468" s="401"/>
      <c r="AS468" s="401"/>
      <c r="AT468" s="403"/>
      <c r="AU468" s="403"/>
      <c r="AV468" s="170"/>
      <c r="AW468" s="166"/>
      <c r="AX468" s="166"/>
      <c r="AY468" s="189"/>
      <c r="AZ468" s="189"/>
      <c r="BA468" s="196"/>
      <c r="BB468" s="629"/>
      <c r="BC468" s="190"/>
      <c r="BD468" s="510"/>
      <c r="BE468" s="510"/>
      <c r="BF468" s="177"/>
      <c r="BG468" s="177"/>
      <c r="BH468" s="166"/>
      <c r="BI468" s="474"/>
      <c r="BJ468" s="166"/>
      <c r="BK468" s="474"/>
      <c r="BL468" s="474"/>
      <c r="BM468" s="474"/>
      <c r="BN468" s="166"/>
      <c r="BO468" s="166"/>
      <c r="BP468" s="204"/>
      <c r="BQ468" s="475"/>
      <c r="BR468" s="205"/>
      <c r="BS468" s="509"/>
      <c r="BT468" s="509"/>
      <c r="BU468" s="459"/>
      <c r="BV468" s="459"/>
      <c r="BW468" s="1"/>
      <c r="BX468" s="1"/>
      <c r="BY468" s="546"/>
      <c r="BZ468" s="546"/>
      <c r="CA468" s="546"/>
      <c r="CB468" s="546"/>
      <c r="CC468" s="728"/>
      <c r="CD468" s="728"/>
      <c r="CE468" s="170"/>
    </row>
    <row r="469" spans="1:83" customFormat="1">
      <c r="A469" s="701"/>
      <c r="B469" s="447"/>
      <c r="C469" s="161"/>
      <c r="D469" s="162"/>
      <c r="E469" s="1"/>
      <c r="F469" s="811"/>
      <c r="G469" s="440"/>
      <c r="H469" s="1"/>
      <c r="I469" s="55"/>
      <c r="J469" s="170"/>
      <c r="K469" s="1"/>
      <c r="L469" s="170"/>
      <c r="M469" s="1"/>
      <c r="N469" s="458"/>
      <c r="O469" s="170"/>
      <c r="P469" s="441"/>
      <c r="Q469" s="55"/>
      <c r="R469" s="177"/>
      <c r="S469" s="454"/>
      <c r="T469" s="178"/>
      <c r="U469" s="178"/>
      <c r="V469" s="179"/>
      <c r="W469" s="180"/>
      <c r="X469" s="179"/>
      <c r="Y469" s="180"/>
      <c r="Z469" s="178"/>
      <c r="AA469" s="178"/>
      <c r="AB469" s="178"/>
      <c r="AC469" s="178"/>
      <c r="AD469" s="182"/>
      <c r="AE469" s="182"/>
      <c r="AF469" s="182"/>
      <c r="AG469" s="182"/>
      <c r="AH469" s="401"/>
      <c r="AI469" s="401"/>
      <c r="AJ469" s="401"/>
      <c r="AK469" s="401"/>
      <c r="AL469" s="401"/>
      <c r="AM469" s="189"/>
      <c r="AN469" s="829"/>
      <c r="AO469" s="830"/>
      <c r="AP469" s="401"/>
      <c r="AQ469" s="401"/>
      <c r="AR469" s="401"/>
      <c r="AS469" s="401"/>
      <c r="AT469" s="403"/>
      <c r="AU469" s="403"/>
      <c r="AV469" s="170"/>
      <c r="AW469" s="166"/>
      <c r="AX469" s="166"/>
      <c r="AY469" s="189"/>
      <c r="AZ469" s="189"/>
      <c r="BA469" s="196"/>
      <c r="BB469" s="629"/>
      <c r="BC469" s="190"/>
      <c r="BD469" s="510"/>
      <c r="BE469" s="510"/>
      <c r="BF469" s="177"/>
      <c r="BG469" s="177"/>
      <c r="BH469" s="166"/>
      <c r="BI469" s="474"/>
      <c r="BJ469" s="166"/>
      <c r="BK469" s="474"/>
      <c r="BL469" s="474"/>
      <c r="BM469" s="474"/>
      <c r="BN469" s="166"/>
      <c r="BO469" s="166"/>
      <c r="BP469" s="204"/>
      <c r="BQ469" s="475"/>
      <c r="BR469" s="205"/>
      <c r="BS469" s="509"/>
      <c r="BT469" s="509"/>
      <c r="BU469" s="459"/>
      <c r="BV469" s="459"/>
      <c r="BW469" s="1"/>
      <c r="BX469" s="1"/>
      <c r="BY469" s="546"/>
      <c r="BZ469" s="546"/>
      <c r="CA469" s="546"/>
      <c r="CB469" s="546"/>
      <c r="CC469" s="728"/>
      <c r="CD469" s="728"/>
      <c r="CE469" s="170"/>
    </row>
    <row r="470" spans="1:83" customFormat="1">
      <c r="A470" s="701"/>
      <c r="B470" s="447"/>
      <c r="C470" s="161"/>
      <c r="D470" s="162"/>
      <c r="E470" s="1"/>
      <c r="F470" s="811"/>
      <c r="G470" s="440"/>
      <c r="H470" s="1"/>
      <c r="I470" s="55"/>
      <c r="J470" s="170"/>
      <c r="K470" s="1"/>
      <c r="L470" s="170"/>
      <c r="M470" s="1"/>
      <c r="N470" s="458"/>
      <c r="O470" s="170"/>
      <c r="P470" s="441"/>
      <c r="Q470" s="55"/>
      <c r="R470" s="177"/>
      <c r="S470" s="454"/>
      <c r="T470" s="178"/>
      <c r="U470" s="178"/>
      <c r="V470" s="179"/>
      <c r="W470" s="180"/>
      <c r="X470" s="179"/>
      <c r="Y470" s="180"/>
      <c r="Z470" s="178"/>
      <c r="AA470" s="178"/>
      <c r="AB470" s="178"/>
      <c r="AC470" s="178"/>
      <c r="AD470" s="182"/>
      <c r="AE470" s="182"/>
      <c r="AF470" s="182"/>
      <c r="AG470" s="182"/>
      <c r="AH470" s="401"/>
      <c r="AI470" s="401"/>
      <c r="AJ470" s="401"/>
      <c r="AK470" s="401"/>
      <c r="AL470" s="401"/>
      <c r="AM470" s="189"/>
      <c r="AN470" s="829"/>
      <c r="AO470" s="830"/>
      <c r="AP470" s="401"/>
      <c r="AQ470" s="401"/>
      <c r="AR470" s="401"/>
      <c r="AS470" s="401"/>
      <c r="AT470" s="403"/>
      <c r="AU470" s="403"/>
      <c r="AV470" s="170"/>
      <c r="AW470" s="166"/>
      <c r="AX470" s="166"/>
      <c r="AY470" s="189"/>
      <c r="AZ470" s="189"/>
      <c r="BA470" s="196"/>
      <c r="BB470" s="629"/>
      <c r="BC470" s="190"/>
      <c r="BD470" s="510"/>
      <c r="BE470" s="510"/>
      <c r="BF470" s="177"/>
      <c r="BG470" s="177"/>
      <c r="BH470" s="166"/>
      <c r="BI470" s="474"/>
      <c r="BJ470" s="166"/>
      <c r="BK470" s="474"/>
      <c r="BL470" s="474"/>
      <c r="BM470" s="474"/>
      <c r="BN470" s="166"/>
      <c r="BO470" s="166"/>
      <c r="BP470" s="204"/>
      <c r="BQ470" s="475"/>
      <c r="BR470" s="205"/>
      <c r="BS470" s="509"/>
      <c r="BT470" s="509"/>
      <c r="BU470" s="459"/>
      <c r="BV470" s="459"/>
      <c r="BW470" s="1"/>
      <c r="BX470" s="1"/>
      <c r="BY470" s="546"/>
      <c r="BZ470" s="546"/>
      <c r="CA470" s="546"/>
      <c r="CB470" s="546"/>
      <c r="CC470" s="728"/>
      <c r="CD470" s="728"/>
      <c r="CE470" s="170"/>
    </row>
    <row r="471" spans="1:83" customFormat="1">
      <c r="A471" s="701"/>
      <c r="B471" s="447"/>
      <c r="C471" s="161"/>
      <c r="D471" s="162"/>
      <c r="E471" s="1"/>
      <c r="F471" s="811"/>
      <c r="G471" s="440"/>
      <c r="H471" s="1"/>
      <c r="I471" s="55"/>
      <c r="J471" s="170"/>
      <c r="K471" s="1"/>
      <c r="L471" s="170"/>
      <c r="M471" s="1"/>
      <c r="N471" s="458"/>
      <c r="O471" s="170"/>
      <c r="P471" s="441"/>
      <c r="Q471" s="55"/>
      <c r="R471" s="177"/>
      <c r="S471" s="454"/>
      <c r="T471" s="178"/>
      <c r="U471" s="178"/>
      <c r="V471" s="179"/>
      <c r="W471" s="180"/>
      <c r="X471" s="179"/>
      <c r="Y471" s="180"/>
      <c r="Z471" s="178"/>
      <c r="AA471" s="178"/>
      <c r="AB471" s="178"/>
      <c r="AC471" s="178"/>
      <c r="AD471" s="182"/>
      <c r="AE471" s="182"/>
      <c r="AF471" s="182"/>
      <c r="AG471" s="182"/>
      <c r="AH471" s="401"/>
      <c r="AI471" s="401"/>
      <c r="AJ471" s="401"/>
      <c r="AK471" s="401"/>
      <c r="AL471" s="401"/>
      <c r="AM471" s="189"/>
      <c r="AN471" s="829"/>
      <c r="AO471" s="830"/>
      <c r="AP471" s="401"/>
      <c r="AQ471" s="401"/>
      <c r="AR471" s="401"/>
      <c r="AS471" s="401"/>
      <c r="AT471" s="403"/>
      <c r="AU471" s="403"/>
      <c r="AV471" s="170"/>
      <c r="AW471" s="166"/>
      <c r="AX471" s="166"/>
      <c r="AY471" s="189"/>
      <c r="AZ471" s="189"/>
      <c r="BA471" s="196"/>
      <c r="BB471" s="629"/>
      <c r="BC471" s="190"/>
      <c r="BD471" s="510"/>
      <c r="BE471" s="510"/>
      <c r="BF471" s="177"/>
      <c r="BG471" s="177"/>
      <c r="BH471" s="166"/>
      <c r="BI471" s="474"/>
      <c r="BJ471" s="166"/>
      <c r="BK471" s="474"/>
      <c r="BL471" s="474"/>
      <c r="BM471" s="474"/>
      <c r="BN471" s="166"/>
      <c r="BO471" s="166"/>
      <c r="BP471" s="204"/>
      <c r="BQ471" s="475"/>
      <c r="BR471" s="205"/>
      <c r="BS471" s="509"/>
      <c r="BT471" s="509"/>
      <c r="BU471" s="459"/>
      <c r="BV471" s="459"/>
      <c r="BW471" s="1"/>
      <c r="BX471" s="1"/>
      <c r="BY471" s="546"/>
      <c r="BZ471" s="546"/>
      <c r="CA471" s="546"/>
      <c r="CB471" s="546"/>
      <c r="CC471" s="728"/>
      <c r="CD471" s="728"/>
      <c r="CE471" s="170"/>
    </row>
    <row r="472" spans="1:83" customFormat="1">
      <c r="A472" s="701"/>
      <c r="B472" s="447"/>
      <c r="C472" s="161"/>
      <c r="D472" s="162"/>
      <c r="E472" s="1"/>
      <c r="F472" s="811"/>
      <c r="G472" s="440"/>
      <c r="H472" s="1"/>
      <c r="I472" s="55"/>
      <c r="J472" s="170"/>
      <c r="K472" s="1"/>
      <c r="L472" s="170"/>
      <c r="M472" s="1"/>
      <c r="N472" s="166"/>
      <c r="O472" s="170"/>
      <c r="P472" s="441"/>
      <c r="Q472" s="55"/>
      <c r="R472" s="177"/>
      <c r="S472" s="454"/>
      <c r="T472" s="178"/>
      <c r="U472" s="178"/>
      <c r="V472" s="179"/>
      <c r="W472" s="180"/>
      <c r="X472" s="179"/>
      <c r="Y472" s="180"/>
      <c r="Z472" s="178"/>
      <c r="AA472" s="178"/>
      <c r="AB472" s="178"/>
      <c r="AC472" s="178"/>
      <c r="AD472" s="182"/>
      <c r="AE472" s="182"/>
      <c r="AF472" s="182"/>
      <c r="AG472" s="182"/>
      <c r="AH472" s="401"/>
      <c r="AI472" s="401"/>
      <c r="AJ472" s="182"/>
      <c r="AK472" s="401"/>
      <c r="AL472" s="401"/>
      <c r="AM472" s="189"/>
      <c r="AN472" s="829"/>
      <c r="AO472" s="830"/>
      <c r="AP472" s="401"/>
      <c r="AQ472" s="401"/>
      <c r="AR472" s="401"/>
      <c r="AS472" s="401"/>
      <c r="AT472" s="403"/>
      <c r="AU472" s="403"/>
      <c r="AV472" s="170"/>
      <c r="AW472" s="166"/>
      <c r="AX472" s="166"/>
      <c r="AY472" s="189"/>
      <c r="AZ472" s="189"/>
      <c r="BA472" s="196"/>
      <c r="BB472" s="629"/>
      <c r="BC472" s="190"/>
      <c r="BD472" s="510"/>
      <c r="BE472" s="510"/>
      <c r="BF472" s="177"/>
      <c r="BG472" s="177"/>
      <c r="BH472" s="166"/>
      <c r="BI472" s="474"/>
      <c r="BJ472" s="166"/>
      <c r="BK472" s="474"/>
      <c r="BL472" s="474"/>
      <c r="BM472" s="474"/>
      <c r="BN472" s="166"/>
      <c r="BO472" s="166"/>
      <c r="BP472" s="204"/>
      <c r="BQ472" s="475"/>
      <c r="BR472" s="205"/>
      <c r="BS472" s="509"/>
      <c r="BT472" s="509"/>
      <c r="BU472" s="459"/>
      <c r="BV472" s="459"/>
      <c r="BW472" s="1"/>
      <c r="BX472" s="1"/>
      <c r="BY472" s="546"/>
      <c r="BZ472" s="546"/>
      <c r="CA472" s="546"/>
      <c r="CB472" s="546"/>
      <c r="CC472" s="728"/>
      <c r="CD472" s="728"/>
      <c r="CE472" s="170"/>
    </row>
    <row r="473" spans="1:83" customFormat="1">
      <c r="A473" s="701"/>
      <c r="B473" s="447"/>
      <c r="C473" s="161"/>
      <c r="D473" s="162"/>
      <c r="E473" s="1"/>
      <c r="F473" s="811"/>
      <c r="G473" s="440"/>
      <c r="H473" s="1"/>
      <c r="I473" s="55"/>
      <c r="J473" s="170"/>
      <c r="K473" s="1"/>
      <c r="L473" s="170"/>
      <c r="M473" s="1"/>
      <c r="N473" s="458"/>
      <c r="O473" s="170"/>
      <c r="P473" s="441"/>
      <c r="Q473" s="55"/>
      <c r="R473" s="177"/>
      <c r="S473" s="454"/>
      <c r="T473" s="178"/>
      <c r="U473" s="178"/>
      <c r="V473" s="179"/>
      <c r="W473" s="180"/>
      <c r="X473" s="179"/>
      <c r="Y473" s="180"/>
      <c r="Z473" s="178"/>
      <c r="AA473" s="178"/>
      <c r="AB473" s="178"/>
      <c r="AC473" s="178"/>
      <c r="AD473" s="182"/>
      <c r="AE473" s="182"/>
      <c r="AF473" s="182"/>
      <c r="AG473" s="182"/>
      <c r="AH473" s="401"/>
      <c r="AI473" s="401"/>
      <c r="AJ473" s="401"/>
      <c r="AK473" s="401"/>
      <c r="AL473" s="401"/>
      <c r="AM473" s="189"/>
      <c r="AN473" s="829"/>
      <c r="AO473" s="830"/>
      <c r="AP473" s="401"/>
      <c r="AQ473" s="401"/>
      <c r="AR473" s="401"/>
      <c r="AS473" s="401"/>
      <c r="AT473" s="403"/>
      <c r="AU473" s="403"/>
      <c r="AV473" s="170"/>
      <c r="AW473" s="166"/>
      <c r="AX473" s="166"/>
      <c r="AY473" s="189"/>
      <c r="AZ473" s="189"/>
      <c r="BA473" s="196"/>
      <c r="BB473" s="629"/>
      <c r="BC473" s="190"/>
      <c r="BD473" s="510"/>
      <c r="BE473" s="510"/>
      <c r="BF473" s="177"/>
      <c r="BG473" s="177"/>
      <c r="BH473" s="166"/>
      <c r="BI473" s="474"/>
      <c r="BJ473" s="166"/>
      <c r="BK473" s="474"/>
      <c r="BL473" s="474"/>
      <c r="BM473" s="474"/>
      <c r="BN473" s="166"/>
      <c r="BO473" s="166"/>
      <c r="BP473" s="204"/>
      <c r="BQ473" s="475"/>
      <c r="BR473" s="205"/>
      <c r="BS473" s="509"/>
      <c r="BT473" s="509"/>
      <c r="BU473" s="459"/>
      <c r="BV473" s="459"/>
      <c r="BW473" s="1"/>
      <c r="BX473" s="1"/>
      <c r="BY473" s="546"/>
      <c r="BZ473" s="546"/>
      <c r="CA473" s="546"/>
      <c r="CB473" s="546"/>
      <c r="CC473" s="728"/>
      <c r="CD473" s="728"/>
      <c r="CE473" s="170"/>
    </row>
    <row r="474" spans="1:83" customFormat="1">
      <c r="A474" s="701"/>
      <c r="B474" s="447"/>
      <c r="C474" s="161"/>
      <c r="D474" s="162"/>
      <c r="E474" s="1"/>
      <c r="F474" s="811"/>
      <c r="G474" s="440"/>
      <c r="H474" s="1"/>
      <c r="I474" s="55"/>
      <c r="J474" s="170"/>
      <c r="K474" s="1"/>
      <c r="L474" s="170"/>
      <c r="M474" s="1"/>
      <c r="N474" s="458"/>
      <c r="O474" s="170"/>
      <c r="P474" s="723"/>
      <c r="Q474" s="55"/>
      <c r="R474" s="177"/>
      <c r="S474" s="454"/>
      <c r="T474" s="178"/>
      <c r="U474" s="178"/>
      <c r="V474" s="179"/>
      <c r="W474" s="180"/>
      <c r="X474" s="179"/>
      <c r="Y474" s="180"/>
      <c r="Z474" s="178"/>
      <c r="AA474" s="178"/>
      <c r="AB474" s="178"/>
      <c r="AC474" s="178"/>
      <c r="AD474" s="182"/>
      <c r="AE474" s="182"/>
      <c r="AF474" s="182"/>
      <c r="AG474" s="182"/>
      <c r="AH474" s="401"/>
      <c r="AI474" s="401"/>
      <c r="AJ474" s="401"/>
      <c r="AK474" s="401"/>
      <c r="AL474" s="401"/>
      <c r="AM474" s="189"/>
      <c r="AN474" s="829"/>
      <c r="AO474" s="830"/>
      <c r="AP474" s="401"/>
      <c r="AQ474" s="401"/>
      <c r="AR474" s="401"/>
      <c r="AS474" s="401"/>
      <c r="AT474" s="403"/>
      <c r="AU474" s="403"/>
      <c r="AV474" s="170"/>
      <c r="AW474" s="166"/>
      <c r="AX474" s="166"/>
      <c r="AY474" s="189"/>
      <c r="AZ474" s="189"/>
      <c r="BA474" s="196"/>
      <c r="BB474" s="629"/>
      <c r="BC474" s="190"/>
      <c r="BD474" s="510"/>
      <c r="BE474" s="510"/>
      <c r="BF474" s="177"/>
      <c r="BG474" s="177"/>
      <c r="BH474" s="166"/>
      <c r="BI474" s="474"/>
      <c r="BJ474" s="166"/>
      <c r="BK474" s="474"/>
      <c r="BL474" s="474"/>
      <c r="BM474" s="474"/>
      <c r="BN474" s="166"/>
      <c r="BO474" s="166"/>
      <c r="BP474" s="204"/>
      <c r="BQ474" s="475"/>
      <c r="BR474" s="205"/>
      <c r="BS474" s="509"/>
      <c r="BT474" s="509"/>
      <c r="BU474" s="459"/>
      <c r="BV474" s="459"/>
      <c r="BW474" s="1"/>
      <c r="BX474" s="1"/>
      <c r="BY474" s="546"/>
      <c r="BZ474" s="546"/>
      <c r="CA474" s="546"/>
      <c r="CB474" s="546"/>
      <c r="CC474" s="728"/>
      <c r="CD474" s="728"/>
      <c r="CE474" s="170"/>
    </row>
    <row r="475" spans="1:83" customFormat="1">
      <c r="A475" s="701"/>
      <c r="B475" s="447"/>
      <c r="C475" s="1"/>
      <c r="D475" s="538"/>
      <c r="E475" s="1"/>
      <c r="F475" s="811"/>
      <c r="G475" s="440"/>
      <c r="H475" s="1"/>
      <c r="I475" s="55"/>
      <c r="J475" s="171"/>
      <c r="K475" s="55"/>
      <c r="L475" s="171"/>
      <c r="M475" s="55"/>
      <c r="N475" s="172"/>
      <c r="O475" s="170"/>
      <c r="P475" s="139"/>
      <c r="Q475" s="172"/>
      <c r="R475" s="181"/>
      <c r="S475" s="455"/>
      <c r="T475" s="170"/>
      <c r="U475" s="170"/>
      <c r="V475" s="1"/>
      <c r="W475" s="173"/>
      <c r="X475" s="1"/>
      <c r="Y475" s="166"/>
      <c r="Z475" s="170"/>
      <c r="AA475" s="170"/>
      <c r="AB475" s="170"/>
      <c r="AC475" s="170"/>
      <c r="AD475" s="182"/>
      <c r="AE475" s="182"/>
      <c r="AF475" s="182"/>
      <c r="AG475" s="182"/>
      <c r="AH475" s="189"/>
      <c r="AI475" s="401"/>
      <c r="AJ475" s="189"/>
      <c r="AK475" s="401"/>
      <c r="AL475" s="401"/>
      <c r="AM475" s="189"/>
      <c r="AN475" s="782"/>
      <c r="AO475" s="189"/>
      <c r="AP475" s="401"/>
      <c r="AQ475" s="401"/>
      <c r="AR475" s="401"/>
      <c r="AS475" s="188"/>
      <c r="AT475" s="1"/>
      <c r="AU475" s="403"/>
      <c r="AV475" s="1"/>
      <c r="AW475" s="166"/>
      <c r="AX475" s="166"/>
      <c r="AY475" s="189"/>
      <c r="AZ475" s="189"/>
      <c r="BA475" s="196"/>
      <c r="BB475" s="629"/>
      <c r="BC475" s="197"/>
      <c r="BD475" s="510"/>
      <c r="BE475" s="510"/>
      <c r="BF475" s="177"/>
      <c r="BG475" s="177"/>
      <c r="BH475" s="166"/>
      <c r="BI475" s="474"/>
      <c r="BJ475" s="166"/>
      <c r="BK475" s="474"/>
      <c r="BL475" s="474"/>
      <c r="BM475" s="474"/>
      <c r="BN475" s="166"/>
      <c r="BO475" s="166"/>
      <c r="BP475" s="204"/>
      <c r="BQ475" s="475"/>
      <c r="BR475" s="205"/>
      <c r="BS475" s="509"/>
      <c r="BT475" s="509"/>
      <c r="BU475" s="459"/>
      <c r="BV475" s="459"/>
      <c r="BW475" s="1"/>
      <c r="BX475" s="1"/>
      <c r="BY475" s="546"/>
      <c r="BZ475" s="546"/>
      <c r="CA475" s="546"/>
      <c r="CB475" s="546"/>
      <c r="CC475" s="728"/>
      <c r="CD475" s="728"/>
      <c r="CE475" s="170"/>
    </row>
    <row r="476" spans="1:83" customFormat="1">
      <c r="A476" s="701"/>
      <c r="B476" s="447"/>
      <c r="C476" s="161"/>
      <c r="D476" s="162"/>
      <c r="E476" s="1"/>
      <c r="F476" s="811"/>
      <c r="G476" s="440"/>
      <c r="H476" s="1"/>
      <c r="I476" s="55"/>
      <c r="J476" s="170"/>
      <c r="K476" s="1"/>
      <c r="L476" s="170"/>
      <c r="M476" s="1"/>
      <c r="N476" s="458"/>
      <c r="O476" s="170"/>
      <c r="P476" s="441"/>
      <c r="Q476" s="55"/>
      <c r="R476" s="177"/>
      <c r="S476" s="454"/>
      <c r="T476" s="178"/>
      <c r="U476" s="178"/>
      <c r="V476" s="179"/>
      <c r="W476" s="180"/>
      <c r="X476" s="179"/>
      <c r="Y476" s="180"/>
      <c r="Z476" s="178"/>
      <c r="AA476" s="178"/>
      <c r="AB476" s="178"/>
      <c r="AC476" s="178"/>
      <c r="AD476" s="182"/>
      <c r="AE476" s="182"/>
      <c r="AF476" s="182"/>
      <c r="AG476" s="182"/>
      <c r="AH476" s="401"/>
      <c r="AI476" s="401"/>
      <c r="AJ476" s="401"/>
      <c r="AK476" s="401"/>
      <c r="AL476" s="401"/>
      <c r="AM476" s="189"/>
      <c r="AN476" s="829"/>
      <c r="AO476" s="830"/>
      <c r="AP476" s="401"/>
      <c r="AQ476" s="401"/>
      <c r="AR476" s="401"/>
      <c r="AS476" s="401"/>
      <c r="AT476" s="403"/>
      <c r="AU476" s="403"/>
      <c r="AV476" s="170"/>
      <c r="AW476" s="166"/>
      <c r="AX476" s="166"/>
      <c r="AY476" s="189"/>
      <c r="AZ476" s="189"/>
      <c r="BA476" s="196"/>
      <c r="BB476" s="629"/>
      <c r="BC476" s="190"/>
      <c r="BD476" s="510"/>
      <c r="BE476" s="510"/>
      <c r="BF476" s="177"/>
      <c r="BG476" s="177"/>
      <c r="BH476" s="166"/>
      <c r="BI476" s="474"/>
      <c r="BJ476" s="166"/>
      <c r="BK476" s="474"/>
      <c r="BL476" s="474"/>
      <c r="BM476" s="474"/>
      <c r="BN476" s="166"/>
      <c r="BO476" s="166"/>
      <c r="BP476" s="204"/>
      <c r="BQ476" s="475"/>
      <c r="BR476" s="205"/>
      <c r="BS476" s="509"/>
      <c r="BT476" s="509"/>
      <c r="BU476" s="459"/>
      <c r="BV476" s="459"/>
      <c r="BW476" s="1"/>
      <c r="BX476" s="1"/>
      <c r="BY476" s="546"/>
      <c r="BZ476" s="546"/>
      <c r="CA476" s="546"/>
      <c r="CB476" s="546"/>
      <c r="CC476" s="728"/>
      <c r="CD476" s="728"/>
      <c r="CE476" s="170"/>
    </row>
    <row r="477" spans="1:83" customFormat="1">
      <c r="A477" s="701"/>
      <c r="B477" s="447"/>
      <c r="C477" s="161"/>
      <c r="D477" s="162"/>
      <c r="E477" s="1"/>
      <c r="F477" s="811"/>
      <c r="G477" s="440"/>
      <c r="H477" s="1"/>
      <c r="I477" s="55"/>
      <c r="J477" s="170"/>
      <c r="K477" s="1"/>
      <c r="L477" s="170"/>
      <c r="M477" s="1"/>
      <c r="N477" s="458"/>
      <c r="O477" s="170"/>
      <c r="P477" s="441"/>
      <c r="Q477" s="55"/>
      <c r="R477" s="177"/>
      <c r="S477" s="454"/>
      <c r="T477" s="178"/>
      <c r="U477" s="178"/>
      <c r="V477" s="179"/>
      <c r="W477" s="180"/>
      <c r="X477" s="179"/>
      <c r="Y477" s="180"/>
      <c r="Z477" s="178"/>
      <c r="AA477" s="178"/>
      <c r="AB477" s="178"/>
      <c r="AC477" s="178"/>
      <c r="AD477" s="182"/>
      <c r="AE477" s="182"/>
      <c r="AF477" s="182"/>
      <c r="AG477" s="182"/>
      <c r="AH477" s="401"/>
      <c r="AI477" s="401"/>
      <c r="AJ477" s="401"/>
      <c r="AK477" s="401"/>
      <c r="AL477" s="401"/>
      <c r="AM477" s="189"/>
      <c r="AN477" s="829"/>
      <c r="AO477" s="830"/>
      <c r="AP477" s="401"/>
      <c r="AQ477" s="401"/>
      <c r="AR477" s="401"/>
      <c r="AS477" s="401"/>
      <c r="AT477" s="403"/>
      <c r="AU477" s="403"/>
      <c r="AV477" s="170"/>
      <c r="AW477" s="166"/>
      <c r="AX477" s="166"/>
      <c r="AY477" s="189"/>
      <c r="AZ477" s="189"/>
      <c r="BA477" s="196"/>
      <c r="BB477" s="629"/>
      <c r="BC477" s="190"/>
      <c r="BD477" s="510"/>
      <c r="BE477" s="510"/>
      <c r="BF477" s="177"/>
      <c r="BG477" s="177"/>
      <c r="BH477" s="166"/>
      <c r="BI477" s="474"/>
      <c r="BJ477" s="166"/>
      <c r="BK477" s="474"/>
      <c r="BL477" s="474"/>
      <c r="BM477" s="474"/>
      <c r="BN477" s="166"/>
      <c r="BO477" s="166"/>
      <c r="BP477" s="204"/>
      <c r="BQ477" s="475"/>
      <c r="BR477" s="205"/>
      <c r="BS477" s="509"/>
      <c r="BT477" s="509"/>
      <c r="BU477" s="459"/>
      <c r="BV477" s="459"/>
      <c r="BW477" s="1"/>
      <c r="BX477" s="1"/>
      <c r="BY477" s="546"/>
      <c r="BZ477" s="546"/>
      <c r="CA477" s="546"/>
      <c r="CB477" s="546"/>
      <c r="CC477" s="728"/>
      <c r="CD477" s="728"/>
      <c r="CE477" s="170"/>
    </row>
    <row r="478" spans="1:83" customFormat="1">
      <c r="A478" s="701"/>
      <c r="B478" s="447"/>
      <c r="C478" s="161"/>
      <c r="D478" s="162"/>
      <c r="E478" s="1"/>
      <c r="F478" s="811"/>
      <c r="G478" s="440"/>
      <c r="H478" s="1"/>
      <c r="I478" s="55"/>
      <c r="J478" s="457"/>
      <c r="K478" s="1"/>
      <c r="L478" s="170"/>
      <c r="M478" s="1"/>
      <c r="N478" s="458"/>
      <c r="O478" s="170"/>
      <c r="P478" s="441"/>
      <c r="Q478" s="55"/>
      <c r="R478" s="177"/>
      <c r="S478" s="454"/>
      <c r="T478" s="178"/>
      <c r="U478" s="178"/>
      <c r="V478" s="179"/>
      <c r="W478" s="180"/>
      <c r="X478" s="179"/>
      <c r="Y478" s="180"/>
      <c r="Z478" s="178"/>
      <c r="AA478" s="178"/>
      <c r="AB478" s="178"/>
      <c r="AC478" s="178"/>
      <c r="AD478" s="182"/>
      <c r="AE478" s="182"/>
      <c r="AF478" s="182"/>
      <c r="AG478" s="182"/>
      <c r="AH478" s="401"/>
      <c r="AI478" s="401"/>
      <c r="AJ478" s="401"/>
      <c r="AK478" s="401"/>
      <c r="AL478" s="401"/>
      <c r="AM478" s="189"/>
      <c r="AN478" s="829"/>
      <c r="AO478" s="830"/>
      <c r="AP478" s="401"/>
      <c r="AQ478" s="401"/>
      <c r="AR478" s="401"/>
      <c r="AS478" s="401"/>
      <c r="AT478" s="403"/>
      <c r="AU478" s="403"/>
      <c r="AV478" s="170"/>
      <c r="AW478" s="166"/>
      <c r="AX478" s="166"/>
      <c r="AY478" s="189"/>
      <c r="AZ478" s="189"/>
      <c r="BA478" s="196"/>
      <c r="BB478" s="629"/>
      <c r="BC478" s="190"/>
      <c r="BD478" s="510"/>
      <c r="BE478" s="510"/>
      <c r="BF478" s="177"/>
      <c r="BG478" s="177"/>
      <c r="BH478" s="166"/>
      <c r="BI478" s="474"/>
      <c r="BJ478" s="166"/>
      <c r="BK478" s="474"/>
      <c r="BL478" s="474"/>
      <c r="BM478" s="474"/>
      <c r="BN478" s="166"/>
      <c r="BO478" s="166"/>
      <c r="BP478" s="204"/>
      <c r="BQ478" s="475"/>
      <c r="BR478" s="205"/>
      <c r="BS478" s="509"/>
      <c r="BT478" s="509"/>
      <c r="BU478" s="459"/>
      <c r="BV478" s="459"/>
      <c r="BW478" s="1"/>
      <c r="BX478" s="1"/>
      <c r="BY478" s="546"/>
      <c r="BZ478" s="546"/>
      <c r="CA478" s="546"/>
      <c r="CB478" s="546"/>
      <c r="CC478" s="728"/>
      <c r="CD478" s="728"/>
      <c r="CE478" s="170"/>
    </row>
    <row r="479" spans="1:83" customFormat="1">
      <c r="A479" s="701"/>
      <c r="B479" s="447"/>
      <c r="C479" s="161"/>
      <c r="D479" s="162"/>
      <c r="E479" s="1"/>
      <c r="F479" s="811"/>
      <c r="G479" s="440"/>
      <c r="H479" s="1"/>
      <c r="I479" s="55"/>
      <c r="J479" s="170"/>
      <c r="K479" s="1"/>
      <c r="L479" s="170"/>
      <c r="M479" s="1"/>
      <c r="N479" s="458"/>
      <c r="O479" s="170"/>
      <c r="P479" s="441"/>
      <c r="Q479" s="55"/>
      <c r="R479" s="177"/>
      <c r="S479" s="454"/>
      <c r="T479" s="178"/>
      <c r="U479" s="178"/>
      <c r="V479" s="179"/>
      <c r="W479" s="180"/>
      <c r="X479" s="179"/>
      <c r="Y479" s="180"/>
      <c r="Z479" s="178"/>
      <c r="AA479" s="178"/>
      <c r="AB479" s="178"/>
      <c r="AC479" s="178"/>
      <c r="AD479" s="182"/>
      <c r="AE479" s="182"/>
      <c r="AF479" s="182"/>
      <c r="AG479" s="182"/>
      <c r="AH479" s="401"/>
      <c r="AI479" s="401"/>
      <c r="AJ479" s="401"/>
      <c r="AK479" s="401"/>
      <c r="AL479" s="401"/>
      <c r="AM479" s="189"/>
      <c r="AN479" s="829"/>
      <c r="AO479" s="830"/>
      <c r="AP479" s="401"/>
      <c r="AQ479" s="401"/>
      <c r="AR479" s="401"/>
      <c r="AS479" s="401"/>
      <c r="AT479" s="403"/>
      <c r="AU479" s="403"/>
      <c r="AV479" s="170"/>
      <c r="AW479" s="166"/>
      <c r="AX479" s="166"/>
      <c r="AY479" s="189"/>
      <c r="AZ479" s="189"/>
      <c r="BA479" s="196"/>
      <c r="BB479" s="629"/>
      <c r="BC479" s="190"/>
      <c r="BD479" s="510"/>
      <c r="BE479" s="510"/>
      <c r="BF479" s="177"/>
      <c r="BG479" s="177"/>
      <c r="BH479" s="166"/>
      <c r="BI479" s="474"/>
      <c r="BJ479" s="166"/>
      <c r="BK479" s="474"/>
      <c r="BL479" s="474"/>
      <c r="BM479" s="474"/>
      <c r="BN479" s="166"/>
      <c r="BO479" s="166"/>
      <c r="BP479" s="204"/>
      <c r="BQ479" s="475"/>
      <c r="BR479" s="205"/>
      <c r="BS479" s="509"/>
      <c r="BT479" s="509"/>
      <c r="BU479" s="459"/>
      <c r="BV479" s="459"/>
      <c r="BW479" s="1"/>
      <c r="BX479" s="1"/>
      <c r="BY479" s="546"/>
      <c r="BZ479" s="546"/>
      <c r="CA479" s="546"/>
      <c r="CB479" s="546"/>
      <c r="CC479" s="728"/>
      <c r="CD479" s="728"/>
      <c r="CE479" s="170"/>
    </row>
    <row r="480" spans="1:83" customFormat="1">
      <c r="A480" s="701"/>
      <c r="B480" s="447"/>
      <c r="C480" s="161"/>
      <c r="D480" s="162"/>
      <c r="E480" s="1"/>
      <c r="F480" s="811"/>
      <c r="G480" s="440"/>
      <c r="H480" s="1"/>
      <c r="I480" s="55"/>
      <c r="J480" s="170"/>
      <c r="K480" s="1"/>
      <c r="L480" s="170"/>
      <c r="M480" s="1"/>
      <c r="N480" s="458"/>
      <c r="O480" s="170"/>
      <c r="P480" s="441"/>
      <c r="Q480" s="55"/>
      <c r="R480" s="177"/>
      <c r="S480" s="454"/>
      <c r="T480" s="178"/>
      <c r="U480" s="178"/>
      <c r="V480" s="179"/>
      <c r="W480" s="180"/>
      <c r="X480" s="179"/>
      <c r="Y480" s="180"/>
      <c r="Z480" s="178"/>
      <c r="AA480" s="178"/>
      <c r="AB480" s="178"/>
      <c r="AC480" s="178"/>
      <c r="AD480" s="182"/>
      <c r="AE480" s="182"/>
      <c r="AF480" s="182"/>
      <c r="AG480" s="182"/>
      <c r="AH480" s="401"/>
      <c r="AI480" s="401"/>
      <c r="AJ480" s="401"/>
      <c r="AK480" s="401"/>
      <c r="AL480" s="401"/>
      <c r="AM480" s="189"/>
      <c r="AN480" s="829"/>
      <c r="AO480" s="830"/>
      <c r="AP480" s="401"/>
      <c r="AQ480" s="401"/>
      <c r="AR480" s="401"/>
      <c r="AS480" s="401"/>
      <c r="AT480" s="403"/>
      <c r="AU480" s="403"/>
      <c r="AV480" s="170"/>
      <c r="AW480" s="166"/>
      <c r="AX480" s="166"/>
      <c r="AY480" s="189"/>
      <c r="AZ480" s="189"/>
      <c r="BA480" s="196"/>
      <c r="BB480" s="629"/>
      <c r="BC480" s="190"/>
      <c r="BD480" s="510"/>
      <c r="BE480" s="510"/>
      <c r="BF480" s="177"/>
      <c r="BG480" s="177"/>
      <c r="BH480" s="166"/>
      <c r="BI480" s="474"/>
      <c r="BJ480" s="166"/>
      <c r="BK480" s="474"/>
      <c r="BL480" s="474"/>
      <c r="BM480" s="474"/>
      <c r="BN480" s="166"/>
      <c r="BO480" s="166"/>
      <c r="BP480" s="204"/>
      <c r="BQ480" s="475"/>
      <c r="BR480" s="205"/>
      <c r="BS480" s="509"/>
      <c r="BT480" s="509"/>
      <c r="BU480" s="459"/>
      <c r="BV480" s="459"/>
      <c r="BW480" s="1"/>
      <c r="BX480" s="1"/>
      <c r="BY480" s="546"/>
      <c r="BZ480" s="546"/>
      <c r="CA480" s="546"/>
      <c r="CB480" s="546"/>
      <c r="CC480" s="728"/>
      <c r="CD480" s="728"/>
      <c r="CE480" s="170"/>
    </row>
    <row r="481" spans="1:83" customFormat="1">
      <c r="A481" s="701"/>
      <c r="B481" s="447"/>
      <c r="C481" s="161"/>
      <c r="D481" s="162"/>
      <c r="E481" s="1"/>
      <c r="F481" s="811"/>
      <c r="G481" s="440"/>
      <c r="H481" s="1"/>
      <c r="I481" s="55"/>
      <c r="J481" s="170"/>
      <c r="K481" s="1"/>
      <c r="L481" s="170"/>
      <c r="M481" s="1"/>
      <c r="N481" s="458"/>
      <c r="O481" s="170"/>
      <c r="P481" s="441"/>
      <c r="Q481" s="55"/>
      <c r="R481" s="177"/>
      <c r="S481" s="454"/>
      <c r="T481" s="178"/>
      <c r="U481" s="178"/>
      <c r="V481" s="179"/>
      <c r="W481" s="180"/>
      <c r="X481" s="179"/>
      <c r="Y481" s="180"/>
      <c r="Z481" s="178"/>
      <c r="AA481" s="178"/>
      <c r="AB481" s="178"/>
      <c r="AC481" s="178"/>
      <c r="AD481" s="182"/>
      <c r="AE481" s="182"/>
      <c r="AF481" s="182"/>
      <c r="AG481" s="182"/>
      <c r="AH481" s="401"/>
      <c r="AI481" s="401"/>
      <c r="AJ481" s="401"/>
      <c r="AK481" s="401"/>
      <c r="AL481" s="401"/>
      <c r="AM481" s="189"/>
      <c r="AN481" s="829"/>
      <c r="AO481" s="830"/>
      <c r="AP481" s="401"/>
      <c r="AQ481" s="401"/>
      <c r="AR481" s="401"/>
      <c r="AS481" s="401"/>
      <c r="AT481" s="403"/>
      <c r="AU481" s="403"/>
      <c r="AV481" s="170"/>
      <c r="AW481" s="166"/>
      <c r="AX481" s="166"/>
      <c r="AY481" s="189"/>
      <c r="AZ481" s="189"/>
      <c r="BA481" s="196"/>
      <c r="BB481" s="629"/>
      <c r="BC481" s="190"/>
      <c r="BD481" s="510"/>
      <c r="BE481" s="510"/>
      <c r="BF481" s="177"/>
      <c r="BG481" s="177"/>
      <c r="BH481" s="166"/>
      <c r="BI481" s="474"/>
      <c r="BJ481" s="166"/>
      <c r="BK481" s="474"/>
      <c r="BL481" s="474"/>
      <c r="BM481" s="474"/>
      <c r="BN481" s="166"/>
      <c r="BO481" s="166"/>
      <c r="BP481" s="204"/>
      <c r="BQ481" s="475"/>
      <c r="BR481" s="205"/>
      <c r="BS481" s="509"/>
      <c r="BT481" s="509"/>
      <c r="BU481" s="459"/>
      <c r="BV481" s="459"/>
      <c r="BW481" s="1"/>
      <c r="BX481" s="1"/>
      <c r="BY481" s="546"/>
      <c r="BZ481" s="546"/>
      <c r="CA481" s="546"/>
      <c r="CB481" s="546"/>
      <c r="CC481" s="728"/>
      <c r="CD481" s="728"/>
      <c r="CE481" s="170"/>
    </row>
    <row r="482" spans="1:83" customFormat="1">
      <c r="A482" s="701"/>
      <c r="B482" s="447"/>
      <c r="C482" s="161"/>
      <c r="D482" s="162"/>
      <c r="E482" s="1"/>
      <c r="F482" s="811"/>
      <c r="G482" s="440"/>
      <c r="H482" s="1"/>
      <c r="I482" s="55"/>
      <c r="J482" s="170"/>
      <c r="K482" s="1"/>
      <c r="L482" s="170"/>
      <c r="M482" s="1"/>
      <c r="N482" s="166"/>
      <c r="O482" s="170"/>
      <c r="P482" s="441"/>
      <c r="Q482" s="55"/>
      <c r="R482" s="177"/>
      <c r="S482" s="454"/>
      <c r="T482" s="178"/>
      <c r="U482" s="178"/>
      <c r="V482" s="179"/>
      <c r="W482" s="180"/>
      <c r="X482" s="179"/>
      <c r="Y482" s="180"/>
      <c r="Z482" s="178"/>
      <c r="AA482" s="178"/>
      <c r="AB482" s="178"/>
      <c r="AC482" s="178"/>
      <c r="AD482" s="182"/>
      <c r="AE482" s="182"/>
      <c r="AF482" s="182"/>
      <c r="AG482" s="182"/>
      <c r="AH482" s="401"/>
      <c r="AI482" s="401"/>
      <c r="AJ482" s="182"/>
      <c r="AK482" s="401"/>
      <c r="AL482" s="401"/>
      <c r="AM482" s="189"/>
      <c r="AN482" s="829"/>
      <c r="AO482" s="830"/>
      <c r="AP482" s="401"/>
      <c r="AQ482" s="401"/>
      <c r="AR482" s="401"/>
      <c r="AS482" s="401"/>
      <c r="AT482" s="403"/>
      <c r="AU482" s="403"/>
      <c r="AV482" s="170"/>
      <c r="AW482" s="166"/>
      <c r="AX482" s="166"/>
      <c r="AY482" s="189"/>
      <c r="AZ482" s="189"/>
      <c r="BA482" s="196"/>
      <c r="BB482" s="629"/>
      <c r="BC482" s="190"/>
      <c r="BD482" s="510"/>
      <c r="BE482" s="510"/>
      <c r="BF482" s="177"/>
      <c r="BG482" s="177"/>
      <c r="BH482" s="166"/>
      <c r="BI482" s="474"/>
      <c r="BJ482" s="166"/>
      <c r="BK482" s="474"/>
      <c r="BL482" s="474"/>
      <c r="BM482" s="474"/>
      <c r="BN482" s="166"/>
      <c r="BO482" s="166"/>
      <c r="BP482" s="204"/>
      <c r="BQ482" s="475"/>
      <c r="BR482" s="205"/>
      <c r="BS482" s="509"/>
      <c r="BT482" s="509"/>
      <c r="BU482" s="459"/>
      <c r="BV482" s="459"/>
      <c r="BW482" s="1"/>
      <c r="BX482" s="1"/>
      <c r="BY482" s="546"/>
      <c r="BZ482" s="546"/>
      <c r="CA482" s="546"/>
      <c r="CB482" s="546"/>
      <c r="CC482" s="728"/>
      <c r="CD482" s="728"/>
      <c r="CE482" s="170"/>
    </row>
    <row r="483" spans="1:83" customFormat="1">
      <c r="A483" s="701"/>
      <c r="B483" s="447"/>
      <c r="C483" s="161"/>
      <c r="D483" s="162"/>
      <c r="E483" s="1"/>
      <c r="F483" s="811"/>
      <c r="G483" s="440"/>
      <c r="H483" s="1"/>
      <c r="I483" s="55"/>
      <c r="J483" s="170"/>
      <c r="K483" s="1"/>
      <c r="L483" s="170"/>
      <c r="M483" s="1"/>
      <c r="N483" s="458"/>
      <c r="O483" s="170"/>
      <c r="P483" s="441"/>
      <c r="Q483" s="55"/>
      <c r="R483" s="177"/>
      <c r="S483" s="454"/>
      <c r="T483" s="178"/>
      <c r="U483" s="178"/>
      <c r="V483" s="179"/>
      <c r="W483" s="180"/>
      <c r="X483" s="179"/>
      <c r="Y483" s="180"/>
      <c r="Z483" s="178"/>
      <c r="AA483" s="178"/>
      <c r="AB483" s="178"/>
      <c r="AC483" s="178"/>
      <c r="AD483" s="182"/>
      <c r="AE483" s="182"/>
      <c r="AF483" s="182"/>
      <c r="AG483" s="182"/>
      <c r="AH483" s="401"/>
      <c r="AI483" s="401"/>
      <c r="AJ483" s="401"/>
      <c r="AK483" s="401"/>
      <c r="AL483" s="401"/>
      <c r="AM483" s="189"/>
      <c r="AN483" s="829"/>
      <c r="AO483" s="830"/>
      <c r="AP483" s="401"/>
      <c r="AQ483" s="401"/>
      <c r="AR483" s="401"/>
      <c r="AS483" s="401"/>
      <c r="AT483" s="403"/>
      <c r="AU483" s="403"/>
      <c r="AV483" s="170"/>
      <c r="AW483" s="166"/>
      <c r="AX483" s="166"/>
      <c r="AY483" s="189"/>
      <c r="AZ483" s="189"/>
      <c r="BA483" s="196"/>
      <c r="BB483" s="629"/>
      <c r="BC483" s="190"/>
      <c r="BD483" s="510"/>
      <c r="BE483" s="510"/>
      <c r="BF483" s="177"/>
      <c r="BG483" s="177"/>
      <c r="BH483" s="166"/>
      <c r="BI483" s="474"/>
      <c r="BJ483" s="166"/>
      <c r="BK483" s="474"/>
      <c r="BL483" s="474"/>
      <c r="BM483" s="474"/>
      <c r="BN483" s="166"/>
      <c r="BO483" s="166"/>
      <c r="BP483" s="204"/>
      <c r="BQ483" s="475"/>
      <c r="BR483" s="205"/>
      <c r="BS483" s="509"/>
      <c r="BT483" s="509"/>
      <c r="BU483" s="459"/>
      <c r="BV483" s="459"/>
      <c r="BW483" s="1"/>
      <c r="BX483" s="1"/>
      <c r="BY483" s="546"/>
      <c r="BZ483" s="546"/>
      <c r="CA483" s="546"/>
      <c r="CB483" s="546"/>
      <c r="CC483" s="728"/>
      <c r="CD483" s="728"/>
      <c r="CE483" s="170"/>
    </row>
    <row r="484" spans="1:83" customFormat="1">
      <c r="A484" s="701"/>
      <c r="B484" s="447"/>
      <c r="C484" s="161"/>
      <c r="D484" s="162"/>
      <c r="E484" s="1"/>
      <c r="F484" s="811"/>
      <c r="G484" s="440"/>
      <c r="H484" s="1"/>
      <c r="I484" s="55"/>
      <c r="J484" s="170"/>
      <c r="K484" s="1"/>
      <c r="L484" s="170"/>
      <c r="M484" s="1"/>
      <c r="N484" s="458"/>
      <c r="O484" s="170"/>
      <c r="P484" s="441"/>
      <c r="Q484" s="55"/>
      <c r="R484" s="177"/>
      <c r="S484" s="454"/>
      <c r="T484" s="178"/>
      <c r="U484" s="178"/>
      <c r="V484" s="179"/>
      <c r="W484" s="180"/>
      <c r="X484" s="179"/>
      <c r="Y484" s="180"/>
      <c r="Z484" s="178"/>
      <c r="AA484" s="178"/>
      <c r="AB484" s="178"/>
      <c r="AC484" s="178"/>
      <c r="AD484" s="182"/>
      <c r="AE484" s="182"/>
      <c r="AF484" s="182"/>
      <c r="AG484" s="182"/>
      <c r="AH484" s="401"/>
      <c r="AI484" s="401"/>
      <c r="AJ484" s="182"/>
      <c r="AK484" s="401"/>
      <c r="AL484" s="401"/>
      <c r="AM484" s="189"/>
      <c r="AN484" s="829"/>
      <c r="AO484" s="830"/>
      <c r="AP484" s="401"/>
      <c r="AQ484" s="401"/>
      <c r="AR484" s="401"/>
      <c r="AS484" s="401"/>
      <c r="AT484" s="402"/>
      <c r="AU484" s="403"/>
      <c r="AV484" s="170"/>
      <c r="AW484" s="166"/>
      <c r="AX484" s="166"/>
      <c r="AY484" s="189"/>
      <c r="AZ484" s="189"/>
      <c r="BA484" s="196"/>
      <c r="BB484" s="629"/>
      <c r="BC484" s="190"/>
      <c r="BD484" s="510"/>
      <c r="BE484" s="510"/>
      <c r="BF484" s="177"/>
      <c r="BG484" s="177"/>
      <c r="BH484" s="166"/>
      <c r="BI484" s="474"/>
      <c r="BJ484" s="166"/>
      <c r="BK484" s="474"/>
      <c r="BL484" s="474"/>
      <c r="BM484" s="474"/>
      <c r="BN484" s="166"/>
      <c r="BO484" s="166"/>
      <c r="BP484" s="204"/>
      <c r="BQ484" s="475"/>
      <c r="BR484" s="205"/>
      <c r="BS484" s="509"/>
      <c r="BT484" s="509"/>
      <c r="BU484" s="459"/>
      <c r="BV484" s="459"/>
      <c r="BW484" s="1"/>
      <c r="BX484" s="1"/>
      <c r="BY484" s="546"/>
      <c r="BZ484" s="546"/>
      <c r="CA484" s="546"/>
      <c r="CB484" s="546"/>
      <c r="CC484" s="728"/>
      <c r="CD484" s="728"/>
      <c r="CE484" s="170"/>
    </row>
    <row r="485" spans="1:83" customFormat="1">
      <c r="A485" s="701"/>
      <c r="B485" s="447"/>
      <c r="C485" s="161"/>
      <c r="D485" s="162"/>
      <c r="E485" s="1"/>
      <c r="F485" s="811"/>
      <c r="G485" s="440"/>
      <c r="H485" s="1"/>
      <c r="I485" s="55"/>
      <c r="J485" s="170"/>
      <c r="K485" s="1"/>
      <c r="L485" s="170"/>
      <c r="M485" s="1"/>
      <c r="N485" s="458"/>
      <c r="O485" s="170"/>
      <c r="P485" s="441"/>
      <c r="Q485" s="55"/>
      <c r="R485" s="177"/>
      <c r="S485" s="454"/>
      <c r="T485" s="178"/>
      <c r="U485" s="178"/>
      <c r="V485" s="179"/>
      <c r="W485" s="180"/>
      <c r="X485" s="179"/>
      <c r="Y485" s="180"/>
      <c r="Z485" s="178"/>
      <c r="AA485" s="178"/>
      <c r="AB485" s="178"/>
      <c r="AC485" s="178"/>
      <c r="AD485" s="182"/>
      <c r="AE485" s="182"/>
      <c r="AF485" s="182"/>
      <c r="AG485" s="182"/>
      <c r="AH485" s="401"/>
      <c r="AI485" s="401"/>
      <c r="AJ485" s="182"/>
      <c r="AK485" s="401"/>
      <c r="AL485" s="401"/>
      <c r="AM485" s="189"/>
      <c r="AN485" s="829"/>
      <c r="AO485" s="830"/>
      <c r="AP485" s="401"/>
      <c r="AQ485" s="401"/>
      <c r="AR485" s="401"/>
      <c r="AS485" s="401"/>
      <c r="AT485" s="402"/>
      <c r="AU485" s="403"/>
      <c r="AV485" s="170"/>
      <c r="AW485" s="166"/>
      <c r="AX485" s="166"/>
      <c r="AY485" s="189"/>
      <c r="AZ485" s="189"/>
      <c r="BA485" s="196"/>
      <c r="BB485" s="629"/>
      <c r="BC485" s="190"/>
      <c r="BD485" s="510"/>
      <c r="BE485" s="510"/>
      <c r="BF485" s="177"/>
      <c r="BG485" s="177"/>
      <c r="BH485" s="166"/>
      <c r="BI485" s="474"/>
      <c r="BJ485" s="166"/>
      <c r="BK485" s="474"/>
      <c r="BL485" s="474"/>
      <c r="BM485" s="474"/>
      <c r="BN485" s="166"/>
      <c r="BO485" s="166"/>
      <c r="BP485" s="204"/>
      <c r="BQ485" s="475"/>
      <c r="BR485" s="205"/>
      <c r="BS485" s="509"/>
      <c r="BT485" s="509"/>
      <c r="BU485" s="459"/>
      <c r="BV485" s="459"/>
      <c r="BW485" s="1"/>
      <c r="BX485" s="1"/>
      <c r="BY485" s="546"/>
      <c r="BZ485" s="546"/>
      <c r="CA485" s="546"/>
      <c r="CB485" s="546"/>
      <c r="CC485" s="728"/>
      <c r="CD485" s="728"/>
      <c r="CE485" s="170"/>
    </row>
    <row r="486" spans="1:83" customFormat="1">
      <c r="A486" s="701"/>
      <c r="B486" s="447"/>
      <c r="C486" s="1"/>
      <c r="D486" s="538"/>
      <c r="E486" s="1"/>
      <c r="F486" s="811"/>
      <c r="G486" s="440"/>
      <c r="H486" s="1"/>
      <c r="I486" s="55"/>
      <c r="J486" s="171"/>
      <c r="K486" s="55"/>
      <c r="L486" s="171"/>
      <c r="M486" s="55"/>
      <c r="N486" s="172"/>
      <c r="O486" s="170"/>
      <c r="P486" s="139"/>
      <c r="Q486" s="172"/>
      <c r="R486" s="181"/>
      <c r="S486" s="455"/>
      <c r="T486" s="170"/>
      <c r="U486" s="170"/>
      <c r="V486" s="1"/>
      <c r="W486" s="173"/>
      <c r="X486" s="1"/>
      <c r="Y486" s="166"/>
      <c r="Z486" s="170"/>
      <c r="AA486" s="170"/>
      <c r="AB486" s="170"/>
      <c r="AC486" s="170"/>
      <c r="AD486" s="182"/>
      <c r="AE486" s="182"/>
      <c r="AF486" s="182"/>
      <c r="AG486" s="182"/>
      <c r="AH486" s="189"/>
      <c r="AI486" s="401"/>
      <c r="AJ486" s="189"/>
      <c r="AK486" s="401"/>
      <c r="AL486" s="401"/>
      <c r="AM486" s="189"/>
      <c r="AN486" s="782"/>
      <c r="AO486" s="189"/>
      <c r="AP486" s="401"/>
      <c r="AQ486" s="401"/>
      <c r="AR486" s="401"/>
      <c r="AS486" s="188"/>
      <c r="AT486" s="1"/>
      <c r="AU486" s="403"/>
      <c r="AV486" s="1"/>
      <c r="AW486" s="166"/>
      <c r="AX486" s="166"/>
      <c r="AY486" s="189"/>
      <c r="AZ486" s="189"/>
      <c r="BA486" s="196"/>
      <c r="BB486" s="629"/>
      <c r="BC486" s="197"/>
      <c r="BD486" s="510"/>
      <c r="BE486" s="510"/>
      <c r="BF486" s="177"/>
      <c r="BG486" s="177"/>
      <c r="BH486" s="166"/>
      <c r="BI486" s="474"/>
      <c r="BJ486" s="166"/>
      <c r="BK486" s="474"/>
      <c r="BL486" s="474"/>
      <c r="BM486" s="474"/>
      <c r="BN486" s="166"/>
      <c r="BO486" s="166"/>
      <c r="BP486" s="204"/>
      <c r="BQ486" s="475"/>
      <c r="BR486" s="205"/>
      <c r="BS486" s="509"/>
      <c r="BT486" s="509"/>
      <c r="BU486" s="459"/>
      <c r="BV486" s="459"/>
      <c r="BW486" s="1"/>
      <c r="BX486" s="1"/>
      <c r="BY486" s="546"/>
      <c r="BZ486" s="546"/>
      <c r="CA486" s="546"/>
      <c r="CB486" s="546"/>
      <c r="CC486" s="728"/>
      <c r="CD486" s="728"/>
      <c r="CE486" s="170"/>
    </row>
    <row r="487" spans="1:83" customFormat="1">
      <c r="A487" s="701"/>
      <c r="B487" s="447"/>
      <c r="C487" s="161"/>
      <c r="D487" s="162"/>
      <c r="E487" s="1"/>
      <c r="F487" s="811"/>
      <c r="G487" s="440"/>
      <c r="H487" s="1"/>
      <c r="I487" s="55"/>
      <c r="J487" s="170"/>
      <c r="K487" s="1"/>
      <c r="L487" s="170"/>
      <c r="M487" s="1"/>
      <c r="N487" s="458"/>
      <c r="O487" s="170"/>
      <c r="P487" s="441"/>
      <c r="Q487" s="55"/>
      <c r="R487" s="177"/>
      <c r="S487" s="454"/>
      <c r="T487" s="178"/>
      <c r="U487" s="178"/>
      <c r="V487" s="179"/>
      <c r="W487" s="180"/>
      <c r="X487" s="179"/>
      <c r="Y487" s="180"/>
      <c r="Z487" s="178"/>
      <c r="AA487" s="178"/>
      <c r="AB487" s="178"/>
      <c r="AC487" s="178"/>
      <c r="AD487" s="182"/>
      <c r="AE487" s="182"/>
      <c r="AF487" s="182"/>
      <c r="AG487" s="182"/>
      <c r="AH487" s="401"/>
      <c r="AI487" s="401"/>
      <c r="AJ487" s="401"/>
      <c r="AK487" s="401"/>
      <c r="AL487" s="401"/>
      <c r="AM487" s="189"/>
      <c r="AN487" s="829"/>
      <c r="AO487" s="830"/>
      <c r="AP487" s="401"/>
      <c r="AQ487" s="401"/>
      <c r="AR487" s="401"/>
      <c r="AS487" s="401"/>
      <c r="AT487" s="403"/>
      <c r="AU487" s="403"/>
      <c r="AV487" s="170"/>
      <c r="AW487" s="166"/>
      <c r="AX487" s="166"/>
      <c r="AY487" s="189"/>
      <c r="AZ487" s="189"/>
      <c r="BA487" s="196"/>
      <c r="BB487" s="629"/>
      <c r="BC487" s="190"/>
      <c r="BD487" s="510"/>
      <c r="BE487" s="510"/>
      <c r="BF487" s="177"/>
      <c r="BG487" s="177"/>
      <c r="BH487" s="166"/>
      <c r="BI487" s="474"/>
      <c r="BJ487" s="166"/>
      <c r="BK487" s="474"/>
      <c r="BL487" s="474"/>
      <c r="BM487" s="474"/>
      <c r="BN487" s="166"/>
      <c r="BO487" s="166"/>
      <c r="BP487" s="204"/>
      <c r="BQ487" s="475"/>
      <c r="BR487" s="205"/>
      <c r="BS487" s="509"/>
      <c r="BT487" s="509"/>
      <c r="BU487" s="459"/>
      <c r="BV487" s="459"/>
      <c r="BW487" s="1"/>
      <c r="BX487" s="1"/>
      <c r="BY487" s="546"/>
      <c r="BZ487" s="546"/>
      <c r="CA487" s="546"/>
      <c r="CB487" s="546"/>
      <c r="CC487" s="728"/>
      <c r="CD487" s="728"/>
      <c r="CE487" s="170"/>
    </row>
    <row r="488" spans="1:83" customFormat="1">
      <c r="A488" s="701"/>
      <c r="B488" s="447"/>
      <c r="C488" s="161"/>
      <c r="D488" s="162"/>
      <c r="E488" s="1"/>
      <c r="F488" s="811"/>
      <c r="G488" s="440"/>
      <c r="H488" s="1"/>
      <c r="I488" s="55"/>
      <c r="J488" s="170"/>
      <c r="K488" s="1"/>
      <c r="L488" s="170"/>
      <c r="M488" s="1"/>
      <c r="N488" s="458"/>
      <c r="O488" s="170"/>
      <c r="P488" s="441"/>
      <c r="Q488" s="55"/>
      <c r="R488" s="177"/>
      <c r="S488" s="454"/>
      <c r="T488" s="178"/>
      <c r="U488" s="178"/>
      <c r="V488" s="179"/>
      <c r="W488" s="180"/>
      <c r="X488" s="179"/>
      <c r="Y488" s="180"/>
      <c r="Z488" s="178"/>
      <c r="AA488" s="178"/>
      <c r="AB488" s="178"/>
      <c r="AC488" s="178"/>
      <c r="AD488" s="182"/>
      <c r="AE488" s="182"/>
      <c r="AF488" s="182"/>
      <c r="AG488" s="182"/>
      <c r="AH488" s="401"/>
      <c r="AI488" s="401"/>
      <c r="AJ488" s="401"/>
      <c r="AK488" s="401"/>
      <c r="AL488" s="401"/>
      <c r="AM488" s="189"/>
      <c r="AN488" s="829"/>
      <c r="AO488" s="830"/>
      <c r="AP488" s="401"/>
      <c r="AQ488" s="401"/>
      <c r="AR488" s="401"/>
      <c r="AS488" s="401"/>
      <c r="AT488" s="403"/>
      <c r="AU488" s="403"/>
      <c r="AV488" s="170"/>
      <c r="AW488" s="166"/>
      <c r="AX488" s="166"/>
      <c r="AY488" s="189"/>
      <c r="AZ488" s="189"/>
      <c r="BA488" s="196"/>
      <c r="BB488" s="629"/>
      <c r="BC488" s="190"/>
      <c r="BD488" s="510"/>
      <c r="BE488" s="510"/>
      <c r="BF488" s="177"/>
      <c r="BG488" s="177"/>
      <c r="BH488" s="166"/>
      <c r="BI488" s="474"/>
      <c r="BJ488" s="166"/>
      <c r="BK488" s="474"/>
      <c r="BL488" s="474"/>
      <c r="BM488" s="474"/>
      <c r="BN488" s="166"/>
      <c r="BO488" s="166"/>
      <c r="BP488" s="204"/>
      <c r="BQ488" s="475"/>
      <c r="BR488" s="205"/>
      <c r="BS488" s="509"/>
      <c r="BT488" s="509"/>
      <c r="BU488" s="459"/>
      <c r="BV488" s="459"/>
      <c r="BW488" s="1"/>
      <c r="BX488" s="1"/>
      <c r="BY488" s="546"/>
      <c r="BZ488" s="546"/>
      <c r="CA488" s="546"/>
      <c r="CB488" s="546"/>
      <c r="CC488" s="728"/>
      <c r="CD488" s="728"/>
      <c r="CE488" s="170"/>
    </row>
    <row r="489" spans="1:83" customFormat="1">
      <c r="A489" s="701"/>
      <c r="B489" s="447"/>
      <c r="C489" s="161"/>
      <c r="D489" s="162"/>
      <c r="E489" s="1"/>
      <c r="F489" s="811"/>
      <c r="G489" s="440"/>
      <c r="H489" s="1"/>
      <c r="I489" s="55"/>
      <c r="J489" s="457"/>
      <c r="K489" s="1"/>
      <c r="L489" s="170"/>
      <c r="M489" s="1"/>
      <c r="N489" s="458"/>
      <c r="O489" s="170"/>
      <c r="P489" s="441"/>
      <c r="Q489" s="55"/>
      <c r="R489" s="177"/>
      <c r="S489" s="454"/>
      <c r="T489" s="178"/>
      <c r="U489" s="178"/>
      <c r="V489" s="179"/>
      <c r="W489" s="180"/>
      <c r="X489" s="179"/>
      <c r="Y489" s="180"/>
      <c r="Z489" s="178"/>
      <c r="AA489" s="178"/>
      <c r="AB489" s="178"/>
      <c r="AC489" s="178"/>
      <c r="AD489" s="182"/>
      <c r="AE489" s="182"/>
      <c r="AF489" s="182"/>
      <c r="AG489" s="182"/>
      <c r="AH489" s="401"/>
      <c r="AI489" s="401"/>
      <c r="AJ489" s="401"/>
      <c r="AK489" s="401"/>
      <c r="AL489" s="401"/>
      <c r="AM489" s="189"/>
      <c r="AN489" s="829"/>
      <c r="AO489" s="830"/>
      <c r="AP489" s="401"/>
      <c r="AQ489" s="401"/>
      <c r="AR489" s="401"/>
      <c r="AS489" s="401"/>
      <c r="AT489" s="403"/>
      <c r="AU489" s="403"/>
      <c r="AV489" s="170"/>
      <c r="AW489" s="166"/>
      <c r="AX489" s="166"/>
      <c r="AY489" s="189"/>
      <c r="AZ489" s="189"/>
      <c r="BA489" s="196"/>
      <c r="BB489" s="629"/>
      <c r="BC489" s="190"/>
      <c r="BD489" s="510"/>
      <c r="BE489" s="510"/>
      <c r="BF489" s="177"/>
      <c r="BG489" s="177"/>
      <c r="BH489" s="166"/>
      <c r="BI489" s="474"/>
      <c r="BJ489" s="166"/>
      <c r="BK489" s="474"/>
      <c r="BL489" s="474"/>
      <c r="BM489" s="474"/>
      <c r="BN489" s="166"/>
      <c r="BO489" s="166"/>
      <c r="BP489" s="204"/>
      <c r="BQ489" s="475"/>
      <c r="BR489" s="205"/>
      <c r="BS489" s="509"/>
      <c r="BT489" s="509"/>
      <c r="BU489" s="459"/>
      <c r="BV489" s="459"/>
      <c r="BW489" s="1"/>
      <c r="BX489" s="1"/>
      <c r="BY489" s="546"/>
      <c r="BZ489" s="546"/>
      <c r="CA489" s="546"/>
      <c r="CB489" s="546"/>
      <c r="CC489" s="728"/>
      <c r="CD489" s="728"/>
      <c r="CE489" s="170"/>
    </row>
    <row r="490" spans="1:83" customFormat="1">
      <c r="A490" s="701"/>
      <c r="B490" s="447"/>
      <c r="C490" s="161"/>
      <c r="D490" s="162"/>
      <c r="E490" s="1"/>
      <c r="F490" s="811"/>
      <c r="G490" s="440"/>
      <c r="H490" s="1"/>
      <c r="I490" s="55"/>
      <c r="J490" s="170"/>
      <c r="K490" s="1"/>
      <c r="L490" s="170"/>
      <c r="M490" s="1"/>
      <c r="N490" s="458"/>
      <c r="O490" s="170"/>
      <c r="P490" s="441"/>
      <c r="Q490" s="55"/>
      <c r="R490" s="177"/>
      <c r="S490" s="454"/>
      <c r="T490" s="178"/>
      <c r="U490" s="178"/>
      <c r="V490" s="179"/>
      <c r="W490" s="180"/>
      <c r="X490" s="179"/>
      <c r="Y490" s="180"/>
      <c r="Z490" s="178"/>
      <c r="AA490" s="178"/>
      <c r="AB490" s="178"/>
      <c r="AC490" s="178"/>
      <c r="AD490" s="182"/>
      <c r="AE490" s="182"/>
      <c r="AF490" s="182"/>
      <c r="AG490" s="182"/>
      <c r="AH490" s="401"/>
      <c r="AI490" s="401"/>
      <c r="AJ490" s="401"/>
      <c r="AK490" s="401"/>
      <c r="AL490" s="401"/>
      <c r="AM490" s="189"/>
      <c r="AN490" s="829"/>
      <c r="AO490" s="830"/>
      <c r="AP490" s="401"/>
      <c r="AQ490" s="401"/>
      <c r="AR490" s="401"/>
      <c r="AS490" s="401"/>
      <c r="AT490" s="403"/>
      <c r="AU490" s="403"/>
      <c r="AV490" s="170"/>
      <c r="AW490" s="166"/>
      <c r="AX490" s="166"/>
      <c r="AY490" s="189"/>
      <c r="AZ490" s="189"/>
      <c r="BA490" s="196"/>
      <c r="BB490" s="629"/>
      <c r="BC490" s="190"/>
      <c r="BD490" s="510"/>
      <c r="BE490" s="510"/>
      <c r="BF490" s="177"/>
      <c r="BG490" s="177"/>
      <c r="BH490" s="166"/>
      <c r="BI490" s="474"/>
      <c r="BJ490" s="166"/>
      <c r="BK490" s="474"/>
      <c r="BL490" s="474"/>
      <c r="BM490" s="474"/>
      <c r="BN490" s="166"/>
      <c r="BO490" s="166"/>
      <c r="BP490" s="204"/>
      <c r="BQ490" s="475"/>
      <c r="BR490" s="205"/>
      <c r="BS490" s="509"/>
      <c r="BT490" s="509"/>
      <c r="BU490" s="459"/>
      <c r="BV490" s="459"/>
      <c r="BW490" s="1"/>
      <c r="BX490" s="1"/>
      <c r="BY490" s="546"/>
      <c r="BZ490" s="546"/>
      <c r="CA490" s="546"/>
      <c r="CB490" s="546"/>
      <c r="CC490" s="728"/>
      <c r="CD490" s="728"/>
      <c r="CE490" s="170"/>
    </row>
    <row r="491" spans="1:83" customFormat="1">
      <c r="A491" s="701"/>
      <c r="B491" s="447"/>
      <c r="C491" s="161"/>
      <c r="D491" s="162"/>
      <c r="E491" s="1"/>
      <c r="F491" s="811"/>
      <c r="G491" s="440"/>
      <c r="H491" s="1"/>
      <c r="I491" s="55"/>
      <c r="J491" s="170"/>
      <c r="K491" s="1"/>
      <c r="L491" s="170"/>
      <c r="M491" s="1"/>
      <c r="N491" s="458"/>
      <c r="O491" s="170"/>
      <c r="P491" s="441"/>
      <c r="Q491" s="55"/>
      <c r="R491" s="177"/>
      <c r="S491" s="454"/>
      <c r="T491" s="178"/>
      <c r="U491" s="178"/>
      <c r="V491" s="179"/>
      <c r="W491" s="180"/>
      <c r="X491" s="179"/>
      <c r="Y491" s="180"/>
      <c r="Z491" s="178"/>
      <c r="AA491" s="178"/>
      <c r="AB491" s="178"/>
      <c r="AC491" s="178"/>
      <c r="AD491" s="182"/>
      <c r="AE491" s="182"/>
      <c r="AF491" s="182"/>
      <c r="AG491" s="182"/>
      <c r="AH491" s="401"/>
      <c r="AI491" s="401"/>
      <c r="AJ491" s="401"/>
      <c r="AK491" s="401"/>
      <c r="AL491" s="401"/>
      <c r="AM491" s="189"/>
      <c r="AN491" s="829"/>
      <c r="AO491" s="830"/>
      <c r="AP491" s="401"/>
      <c r="AQ491" s="401"/>
      <c r="AR491" s="401"/>
      <c r="AS491" s="401"/>
      <c r="AT491" s="403"/>
      <c r="AU491" s="403"/>
      <c r="AV491" s="170"/>
      <c r="AW491" s="166"/>
      <c r="AX491" s="166"/>
      <c r="AY491" s="189"/>
      <c r="AZ491" s="189"/>
      <c r="BA491" s="196"/>
      <c r="BB491" s="629"/>
      <c r="BC491" s="190"/>
      <c r="BD491" s="510"/>
      <c r="BE491" s="510"/>
      <c r="BF491" s="177"/>
      <c r="BG491" s="177"/>
      <c r="BH491" s="166"/>
      <c r="BI491" s="474"/>
      <c r="BJ491" s="166"/>
      <c r="BK491" s="474"/>
      <c r="BL491" s="474"/>
      <c r="BM491" s="474"/>
      <c r="BN491" s="166"/>
      <c r="BO491" s="166"/>
      <c r="BP491" s="204"/>
      <c r="BQ491" s="475"/>
      <c r="BR491" s="205"/>
      <c r="BS491" s="509"/>
      <c r="BT491" s="509"/>
      <c r="BU491" s="459"/>
      <c r="BV491" s="459"/>
      <c r="BW491" s="1"/>
      <c r="BX491" s="1"/>
      <c r="BY491" s="546"/>
      <c r="BZ491" s="546"/>
      <c r="CA491" s="546"/>
      <c r="CB491" s="546"/>
      <c r="CC491" s="728"/>
      <c r="CD491" s="728"/>
      <c r="CE491" s="170"/>
    </row>
    <row r="492" spans="1:83" customFormat="1">
      <c r="A492" s="701"/>
      <c r="B492" s="447"/>
      <c r="C492" s="161"/>
      <c r="D492" s="162"/>
      <c r="E492" s="1"/>
      <c r="F492" s="811"/>
      <c r="G492" s="440"/>
      <c r="H492" s="1"/>
      <c r="I492" s="55"/>
      <c r="J492" s="457"/>
      <c r="K492" s="1"/>
      <c r="L492" s="170"/>
      <c r="M492" s="1"/>
      <c r="N492" s="458"/>
      <c r="O492" s="170"/>
      <c r="P492" s="441"/>
      <c r="Q492" s="55"/>
      <c r="R492" s="177"/>
      <c r="S492" s="454"/>
      <c r="T492" s="178"/>
      <c r="U492" s="178"/>
      <c r="V492" s="179"/>
      <c r="W492" s="180"/>
      <c r="X492" s="179"/>
      <c r="Y492" s="180"/>
      <c r="Z492" s="178"/>
      <c r="AA492" s="178"/>
      <c r="AB492" s="178"/>
      <c r="AC492" s="178"/>
      <c r="AD492" s="182"/>
      <c r="AE492" s="182"/>
      <c r="AF492" s="182"/>
      <c r="AG492" s="182"/>
      <c r="AH492" s="401"/>
      <c r="AI492" s="401"/>
      <c r="AJ492" s="401"/>
      <c r="AK492" s="401"/>
      <c r="AL492" s="401"/>
      <c r="AM492" s="189"/>
      <c r="AN492" s="829"/>
      <c r="AO492" s="830"/>
      <c r="AP492" s="401"/>
      <c r="AQ492" s="401"/>
      <c r="AR492" s="401"/>
      <c r="AS492" s="401"/>
      <c r="AT492" s="403"/>
      <c r="AU492" s="403"/>
      <c r="AV492" s="170"/>
      <c r="AW492" s="166"/>
      <c r="AX492" s="166"/>
      <c r="AY492" s="189"/>
      <c r="AZ492" s="189"/>
      <c r="BA492" s="196"/>
      <c r="BB492" s="629"/>
      <c r="BC492" s="190"/>
      <c r="BD492" s="510"/>
      <c r="BE492" s="510"/>
      <c r="BF492" s="177"/>
      <c r="BG492" s="177"/>
      <c r="BH492" s="166"/>
      <c r="BI492" s="474"/>
      <c r="BJ492" s="166"/>
      <c r="BK492" s="474"/>
      <c r="BL492" s="474"/>
      <c r="BM492" s="474"/>
      <c r="BN492" s="166"/>
      <c r="BO492" s="166"/>
      <c r="BP492" s="204"/>
      <c r="BQ492" s="475"/>
      <c r="BR492" s="205"/>
      <c r="BS492" s="509"/>
      <c r="BT492" s="509"/>
      <c r="BU492" s="459"/>
      <c r="BV492" s="459"/>
      <c r="BW492" s="1"/>
      <c r="BX492" s="1"/>
      <c r="BY492" s="546"/>
      <c r="BZ492" s="546"/>
      <c r="CA492" s="546"/>
      <c r="CB492" s="546"/>
      <c r="CC492" s="728"/>
      <c r="CD492" s="728"/>
      <c r="CE492" s="170"/>
    </row>
    <row r="493" spans="1:83" customFormat="1">
      <c r="A493" s="701"/>
      <c r="B493" s="447"/>
      <c r="C493" s="161"/>
      <c r="D493" s="162"/>
      <c r="E493" s="1"/>
      <c r="F493" s="811"/>
      <c r="G493" s="440"/>
      <c r="H493" s="1"/>
      <c r="I493" s="55"/>
      <c r="J493" s="170"/>
      <c r="K493" s="1"/>
      <c r="L493" s="170"/>
      <c r="M493" s="1"/>
      <c r="N493" s="458"/>
      <c r="O493" s="170"/>
      <c r="P493" s="441"/>
      <c r="Q493" s="55"/>
      <c r="R493" s="177"/>
      <c r="S493" s="454"/>
      <c r="T493" s="178"/>
      <c r="U493" s="178"/>
      <c r="V493" s="179"/>
      <c r="W493" s="180"/>
      <c r="X493" s="179"/>
      <c r="Y493" s="180"/>
      <c r="Z493" s="178"/>
      <c r="AA493" s="178"/>
      <c r="AB493" s="178"/>
      <c r="AC493" s="178"/>
      <c r="AD493" s="182"/>
      <c r="AE493" s="182"/>
      <c r="AF493" s="182"/>
      <c r="AG493" s="182"/>
      <c r="AH493" s="401"/>
      <c r="AI493" s="401"/>
      <c r="AJ493" s="401"/>
      <c r="AK493" s="401"/>
      <c r="AL493" s="401"/>
      <c r="AM493" s="189"/>
      <c r="AN493" s="829"/>
      <c r="AO493" s="830"/>
      <c r="AP493" s="401"/>
      <c r="AQ493" s="401"/>
      <c r="AR493" s="401"/>
      <c r="AS493" s="401"/>
      <c r="AT493" s="403"/>
      <c r="AU493" s="403"/>
      <c r="AV493" s="170"/>
      <c r="AW493" s="166"/>
      <c r="AX493" s="166"/>
      <c r="AY493" s="189"/>
      <c r="AZ493" s="189"/>
      <c r="BA493" s="196"/>
      <c r="BB493" s="629"/>
      <c r="BC493" s="190"/>
      <c r="BD493" s="510"/>
      <c r="BE493" s="510"/>
      <c r="BF493" s="177"/>
      <c r="BG493" s="177"/>
      <c r="BH493" s="166"/>
      <c r="BI493" s="474"/>
      <c r="BJ493" s="166"/>
      <c r="BK493" s="474"/>
      <c r="BL493" s="474"/>
      <c r="BM493" s="474"/>
      <c r="BN493" s="166"/>
      <c r="BO493" s="166"/>
      <c r="BP493" s="204"/>
      <c r="BQ493" s="475"/>
      <c r="BR493" s="205"/>
      <c r="BS493" s="509"/>
      <c r="BT493" s="509"/>
      <c r="BU493" s="459"/>
      <c r="BV493" s="459"/>
      <c r="BW493" s="1"/>
      <c r="BX493" s="1"/>
      <c r="BY493" s="546"/>
      <c r="BZ493" s="546"/>
      <c r="CA493" s="546"/>
      <c r="CB493" s="546"/>
      <c r="CC493" s="728"/>
      <c r="CD493" s="728"/>
      <c r="CE493" s="170"/>
    </row>
    <row r="494" spans="1:83" customFormat="1">
      <c r="A494" s="701"/>
      <c r="B494" s="447"/>
      <c r="C494" s="161"/>
      <c r="D494" s="162"/>
      <c r="E494" s="1"/>
      <c r="F494" s="811"/>
      <c r="G494" s="440"/>
      <c r="H494" s="1"/>
      <c r="I494" s="55"/>
      <c r="J494" s="170"/>
      <c r="K494" s="1"/>
      <c r="L494" s="170"/>
      <c r="M494" s="1"/>
      <c r="N494" s="458"/>
      <c r="O494" s="170"/>
      <c r="P494" s="441"/>
      <c r="Q494" s="55"/>
      <c r="R494" s="177"/>
      <c r="S494" s="454"/>
      <c r="T494" s="178"/>
      <c r="U494" s="178"/>
      <c r="V494" s="179"/>
      <c r="W494" s="180"/>
      <c r="X494" s="179"/>
      <c r="Y494" s="180"/>
      <c r="Z494" s="178"/>
      <c r="AA494" s="178"/>
      <c r="AB494" s="178"/>
      <c r="AC494" s="178"/>
      <c r="AD494" s="182"/>
      <c r="AE494" s="182"/>
      <c r="AF494" s="182"/>
      <c r="AG494" s="182"/>
      <c r="AH494" s="401"/>
      <c r="AI494" s="401"/>
      <c r="AJ494" s="401"/>
      <c r="AK494" s="401"/>
      <c r="AL494" s="401"/>
      <c r="AM494" s="189"/>
      <c r="AN494" s="829"/>
      <c r="AO494" s="830"/>
      <c r="AP494" s="401"/>
      <c r="AQ494" s="401"/>
      <c r="AR494" s="401"/>
      <c r="AS494" s="401"/>
      <c r="AT494" s="403"/>
      <c r="AU494" s="403"/>
      <c r="AV494" s="170"/>
      <c r="AW494" s="166"/>
      <c r="AX494" s="166"/>
      <c r="AY494" s="189"/>
      <c r="AZ494" s="189"/>
      <c r="BA494" s="196"/>
      <c r="BB494" s="629"/>
      <c r="BC494" s="190"/>
      <c r="BD494" s="510"/>
      <c r="BE494" s="510"/>
      <c r="BF494" s="177"/>
      <c r="BG494" s="177"/>
      <c r="BH494" s="166"/>
      <c r="BI494" s="474"/>
      <c r="BJ494" s="166"/>
      <c r="BK494" s="474"/>
      <c r="BL494" s="474"/>
      <c r="BM494" s="474"/>
      <c r="BN494" s="166"/>
      <c r="BO494" s="166"/>
      <c r="BP494" s="204"/>
      <c r="BQ494" s="475"/>
      <c r="BR494" s="205"/>
      <c r="BS494" s="509"/>
      <c r="BT494" s="509"/>
      <c r="BU494" s="459"/>
      <c r="BV494" s="459"/>
      <c r="BW494" s="1"/>
      <c r="BX494" s="1"/>
      <c r="BY494" s="546"/>
      <c r="BZ494" s="546"/>
      <c r="CA494" s="546"/>
      <c r="CB494" s="546"/>
      <c r="CC494" s="728"/>
      <c r="CD494" s="728"/>
      <c r="CE494" s="170"/>
    </row>
    <row r="495" spans="1:83" customFormat="1">
      <c r="A495" s="701"/>
      <c r="C495" s="148"/>
      <c r="D495" s="149"/>
      <c r="E495" s="148"/>
      <c r="F495" s="811"/>
      <c r="G495" s="439"/>
      <c r="H495" s="148"/>
      <c r="I495" s="148"/>
      <c r="J495" s="148"/>
      <c r="K495" s="148"/>
      <c r="L495" s="148"/>
      <c r="M495" s="148"/>
      <c r="N495" s="148"/>
      <c r="O495" s="148"/>
      <c r="P495" s="151"/>
      <c r="Q495" s="152"/>
      <c r="R495" s="450"/>
      <c r="S495" s="153"/>
      <c r="T495" s="153"/>
      <c r="U495" s="153"/>
      <c r="V495" s="153"/>
      <c r="W495" s="153"/>
      <c r="X495" s="153"/>
      <c r="Y495" s="148"/>
      <c r="Z495" s="267"/>
      <c r="AA495" s="148"/>
      <c r="AB495" s="152"/>
      <c r="AC495" s="152"/>
      <c r="AD495" s="152"/>
      <c r="AE495" s="148"/>
      <c r="AF495" s="148"/>
      <c r="AG495" s="148"/>
      <c r="AH495" s="148"/>
      <c r="AI495" s="401"/>
      <c r="AJ495" s="148"/>
      <c r="AK495" s="400"/>
      <c r="AL495" s="152"/>
      <c r="AM495" s="148"/>
      <c r="AN495" s="269"/>
      <c r="AO495" s="269"/>
      <c r="AP495" s="148"/>
      <c r="AQ495" s="149"/>
      <c r="AR495" s="149"/>
      <c r="AS495" s="149"/>
      <c r="AT495" s="482"/>
      <c r="AU495" s="482"/>
      <c r="AV495" s="148"/>
      <c r="AW495" s="148"/>
      <c r="AX495" s="148"/>
      <c r="AY495" s="148"/>
      <c r="AZ495" s="148"/>
      <c r="BA495" s="148"/>
      <c r="BB495" s="148"/>
      <c r="BC495" s="148"/>
      <c r="BD495" s="148"/>
      <c r="BE495" s="148"/>
      <c r="BF495" s="148"/>
      <c r="BG495" s="148"/>
      <c r="BH495" s="148"/>
      <c r="BI495" s="148"/>
      <c r="BJ495" s="148"/>
      <c r="BK495" s="148"/>
      <c r="BL495" s="148"/>
      <c r="BM495" s="148"/>
      <c r="BN495" s="148"/>
      <c r="BO495" s="148"/>
      <c r="BP495" s="148"/>
      <c r="BQ495" s="148"/>
      <c r="BR495" s="148"/>
      <c r="BS495" s="148"/>
      <c r="BT495" s="148"/>
      <c r="BU495" s="148"/>
      <c r="BV495" s="148"/>
      <c r="BW495" s="1"/>
      <c r="BX495" s="1"/>
      <c r="BY495" s="546"/>
      <c r="BZ495" s="546"/>
      <c r="CA495" s="546"/>
      <c r="CB495" s="546"/>
      <c r="CC495" s="728"/>
      <c r="CD495" s="728"/>
      <c r="CE495" s="170"/>
    </row>
    <row r="496" spans="1:83" customFormat="1">
      <c r="A496" s="701"/>
      <c r="B496" s="447"/>
      <c r="C496" s="161"/>
      <c r="D496" s="162"/>
      <c r="E496" s="1"/>
      <c r="F496" s="811"/>
      <c r="G496" s="440"/>
      <c r="H496" s="1"/>
      <c r="I496" s="55"/>
      <c r="J496" s="170"/>
      <c r="K496" s="1"/>
      <c r="L496" s="170"/>
      <c r="M496" s="1"/>
      <c r="N496" s="458"/>
      <c r="O496" s="170"/>
      <c r="P496" s="441"/>
      <c r="Q496" s="55"/>
      <c r="R496" s="177"/>
      <c r="S496" s="454"/>
      <c r="T496" s="178"/>
      <c r="U496" s="178"/>
      <c r="V496" s="179"/>
      <c r="W496" s="180"/>
      <c r="X496" s="179"/>
      <c r="Y496" s="180"/>
      <c r="Z496" s="178"/>
      <c r="AA496" s="178"/>
      <c r="AB496" s="178"/>
      <c r="AC496" s="178"/>
      <c r="AD496" s="182"/>
      <c r="AE496" s="182"/>
      <c r="AF496" s="182"/>
      <c r="AG496" s="182"/>
      <c r="AH496" s="401"/>
      <c r="AI496" s="401"/>
      <c r="AJ496" s="401"/>
      <c r="AK496" s="401"/>
      <c r="AL496" s="401"/>
      <c r="AM496" s="189"/>
      <c r="AN496" s="829"/>
      <c r="AO496" s="830"/>
      <c r="AP496" s="401"/>
      <c r="AQ496" s="401"/>
      <c r="AR496" s="401"/>
      <c r="AS496" s="401"/>
      <c r="AT496" s="403"/>
      <c r="AU496" s="403"/>
      <c r="AV496" s="170"/>
      <c r="AW496" s="166"/>
      <c r="AX496" s="166"/>
      <c r="AY496" s="189"/>
      <c r="AZ496" s="189"/>
      <c r="BA496" s="196"/>
      <c r="BB496" s="629"/>
      <c r="BC496" s="190"/>
      <c r="BD496" s="510"/>
      <c r="BE496" s="510"/>
      <c r="BF496" s="177"/>
      <c r="BG496" s="177"/>
      <c r="BH496" s="166"/>
      <c r="BI496" s="474"/>
      <c r="BJ496" s="166"/>
      <c r="BK496" s="474"/>
      <c r="BL496" s="474"/>
      <c r="BM496" s="474"/>
      <c r="BN496" s="166"/>
      <c r="BO496" s="166"/>
      <c r="BP496" s="204"/>
      <c r="BQ496" s="475"/>
      <c r="BR496" s="205"/>
      <c r="BS496" s="509"/>
      <c r="BT496" s="509"/>
      <c r="BU496" s="459"/>
      <c r="BV496" s="459"/>
      <c r="BW496" s="1"/>
      <c r="BX496" s="1"/>
      <c r="BY496" s="546"/>
      <c r="BZ496" s="546"/>
      <c r="CA496" s="546"/>
      <c r="CB496" s="546"/>
      <c r="CC496" s="728"/>
      <c r="CD496" s="728"/>
      <c r="CE496" s="170"/>
    </row>
    <row r="497" spans="1:83" customFormat="1">
      <c r="A497" s="701"/>
      <c r="B497" s="447"/>
      <c r="C497" s="161"/>
      <c r="D497" s="162"/>
      <c r="E497" s="1"/>
      <c r="F497" s="811"/>
      <c r="G497" s="440"/>
      <c r="H497" s="1"/>
      <c r="I497" s="55"/>
      <c r="J497" s="170"/>
      <c r="K497" s="1"/>
      <c r="L497" s="170"/>
      <c r="M497" s="1"/>
      <c r="N497" s="458"/>
      <c r="O497" s="170"/>
      <c r="P497" s="441"/>
      <c r="Q497" s="55"/>
      <c r="R497" s="177"/>
      <c r="S497" s="454"/>
      <c r="T497" s="178"/>
      <c r="U497" s="178"/>
      <c r="V497" s="179"/>
      <c r="W497" s="180"/>
      <c r="X497" s="179"/>
      <c r="Y497" s="180"/>
      <c r="Z497" s="178"/>
      <c r="AA497" s="178"/>
      <c r="AB497" s="178"/>
      <c r="AC497" s="178"/>
      <c r="AD497" s="182"/>
      <c r="AE497" s="182"/>
      <c r="AF497" s="182"/>
      <c r="AG497" s="182"/>
      <c r="AH497" s="401"/>
      <c r="AI497" s="401"/>
      <c r="AJ497" s="401"/>
      <c r="AK497" s="401"/>
      <c r="AL497" s="401"/>
      <c r="AM497" s="189"/>
      <c r="AN497" s="829"/>
      <c r="AO497" s="830"/>
      <c r="AP497" s="401"/>
      <c r="AQ497" s="401"/>
      <c r="AR497" s="401"/>
      <c r="AS497" s="401"/>
      <c r="AT497" s="403"/>
      <c r="AU497" s="403"/>
      <c r="AV497" s="170"/>
      <c r="AW497" s="166"/>
      <c r="AX497" s="166"/>
      <c r="AY497" s="189"/>
      <c r="AZ497" s="189"/>
      <c r="BA497" s="196"/>
      <c r="BB497" s="629"/>
      <c r="BC497" s="190"/>
      <c r="BD497" s="510"/>
      <c r="BE497" s="510"/>
      <c r="BF497" s="177"/>
      <c r="BG497" s="177"/>
      <c r="BH497" s="166"/>
      <c r="BI497" s="474"/>
      <c r="BJ497" s="166"/>
      <c r="BK497" s="474"/>
      <c r="BL497" s="474"/>
      <c r="BM497" s="474"/>
      <c r="BN497" s="166"/>
      <c r="BO497" s="166"/>
      <c r="BP497" s="204"/>
      <c r="BQ497" s="475"/>
      <c r="BR497" s="205"/>
      <c r="BS497" s="509"/>
      <c r="BT497" s="509"/>
      <c r="BU497" s="459"/>
      <c r="BV497" s="459"/>
      <c r="BW497" s="1"/>
      <c r="BX497" s="1"/>
      <c r="BY497" s="546"/>
      <c r="BZ497" s="546"/>
      <c r="CA497" s="546"/>
      <c r="CB497" s="546"/>
      <c r="CC497" s="728"/>
      <c r="CD497" s="728"/>
      <c r="CE497" s="170"/>
    </row>
    <row r="498" spans="1:83" customFormat="1">
      <c r="A498" s="701"/>
      <c r="B498" s="447"/>
      <c r="C498" s="161"/>
      <c r="D498" s="162"/>
      <c r="E498" s="1"/>
      <c r="F498" s="811"/>
      <c r="G498" s="440"/>
      <c r="H498" s="1"/>
      <c r="I498" s="55"/>
      <c r="J498" s="170"/>
      <c r="K498" s="1"/>
      <c r="L498" s="170"/>
      <c r="M498" s="1"/>
      <c r="N498" s="458"/>
      <c r="O498" s="170"/>
      <c r="P498" s="441"/>
      <c r="Q498" s="55"/>
      <c r="R498" s="177"/>
      <c r="S498" s="454"/>
      <c r="T498" s="178"/>
      <c r="U498" s="178"/>
      <c r="V498" s="179"/>
      <c r="W498" s="180"/>
      <c r="X498" s="179"/>
      <c r="Y498" s="180"/>
      <c r="Z498" s="178"/>
      <c r="AA498" s="178"/>
      <c r="AB498" s="178"/>
      <c r="AC498" s="178"/>
      <c r="AD498" s="182"/>
      <c r="AE498" s="182"/>
      <c r="AF498" s="182"/>
      <c r="AG498" s="182"/>
      <c r="AH498" s="401"/>
      <c r="AI498" s="401"/>
      <c r="AJ498" s="401"/>
      <c r="AK498" s="401"/>
      <c r="AL498" s="401"/>
      <c r="AM498" s="189"/>
      <c r="AN498" s="829"/>
      <c r="AO498" s="830"/>
      <c r="AP498" s="401"/>
      <c r="AQ498" s="401"/>
      <c r="AR498" s="401"/>
      <c r="AS498" s="401"/>
      <c r="AT498" s="403"/>
      <c r="AU498" s="403"/>
      <c r="AV498" s="170"/>
      <c r="AW498" s="166"/>
      <c r="AX498" s="166"/>
      <c r="AY498" s="189"/>
      <c r="AZ498" s="189"/>
      <c r="BA498" s="196"/>
      <c r="BB498" s="629"/>
      <c r="BC498" s="190"/>
      <c r="BD498" s="510"/>
      <c r="BE498" s="510"/>
      <c r="BF498" s="177"/>
      <c r="BG498" s="177"/>
      <c r="BH498" s="166"/>
      <c r="BI498" s="474"/>
      <c r="BJ498" s="166"/>
      <c r="BK498" s="474"/>
      <c r="BL498" s="474"/>
      <c r="BM498" s="474"/>
      <c r="BN498" s="166"/>
      <c r="BO498" s="166"/>
      <c r="BP498" s="204"/>
      <c r="BQ498" s="475"/>
      <c r="BR498" s="205"/>
      <c r="BS498" s="509"/>
      <c r="BT498" s="509"/>
      <c r="BU498" s="459"/>
      <c r="BV498" s="459"/>
      <c r="BW498" s="1"/>
      <c r="BX498" s="1"/>
      <c r="BY498" s="546"/>
      <c r="BZ498" s="546"/>
      <c r="CA498" s="546"/>
      <c r="CB498" s="546"/>
      <c r="CC498" s="728"/>
      <c r="CD498" s="728"/>
      <c r="CE498" s="170"/>
    </row>
    <row r="499" spans="1:83" customFormat="1">
      <c r="A499" s="701"/>
      <c r="B499" s="447"/>
      <c r="C499" s="1"/>
      <c r="D499" s="538"/>
      <c r="E499" s="1"/>
      <c r="F499" s="811"/>
      <c r="G499" s="440"/>
      <c r="H499" s="1"/>
      <c r="I499" s="55"/>
      <c r="J499" s="171"/>
      <c r="K499" s="55"/>
      <c r="L499" s="171"/>
      <c r="M499" s="55"/>
      <c r="N499" s="172"/>
      <c r="O499" s="170"/>
      <c r="P499" s="139"/>
      <c r="Q499" s="172"/>
      <c r="R499" s="181"/>
      <c r="S499" s="455"/>
      <c r="T499" s="170"/>
      <c r="U499" s="170"/>
      <c r="V499" s="1"/>
      <c r="W499" s="173"/>
      <c r="X499" s="1"/>
      <c r="Y499" s="166"/>
      <c r="Z499" s="170"/>
      <c r="AA499" s="170"/>
      <c r="AB499" s="170"/>
      <c r="AC499" s="170"/>
      <c r="AD499" s="182"/>
      <c r="AE499" s="182"/>
      <c r="AF499" s="182"/>
      <c r="AG499" s="182"/>
      <c r="AH499" s="189"/>
      <c r="AI499" s="401"/>
      <c r="AJ499" s="189"/>
      <c r="AK499" s="401"/>
      <c r="AL499" s="401"/>
      <c r="AM499" s="189"/>
      <c r="AN499" s="782"/>
      <c r="AO499" s="189"/>
      <c r="AP499" s="401"/>
      <c r="AQ499" s="401"/>
      <c r="AR499" s="401"/>
      <c r="AS499" s="188"/>
      <c r="AT499" s="1"/>
      <c r="AU499" s="403"/>
      <c r="AV499" s="1"/>
      <c r="AW499" s="166"/>
      <c r="AX499" s="166"/>
      <c r="AY499" s="189"/>
      <c r="AZ499" s="189"/>
      <c r="BA499" s="196"/>
      <c r="BB499" s="629"/>
      <c r="BC499" s="197"/>
      <c r="BD499" s="510"/>
      <c r="BE499" s="510"/>
      <c r="BF499" s="177"/>
      <c r="BG499" s="177"/>
      <c r="BH499" s="166"/>
      <c r="BI499" s="474"/>
      <c r="BJ499" s="166"/>
      <c r="BK499" s="474"/>
      <c r="BL499" s="474"/>
      <c r="BM499" s="474"/>
      <c r="BN499" s="166"/>
      <c r="BO499" s="166"/>
      <c r="BP499" s="204"/>
      <c r="BQ499" s="475"/>
      <c r="BR499" s="205"/>
      <c r="BS499" s="509"/>
      <c r="BT499" s="509"/>
      <c r="BU499" s="459"/>
      <c r="BV499" s="459"/>
      <c r="BW499" s="1"/>
      <c r="BX499" s="1"/>
      <c r="BY499" s="546"/>
      <c r="BZ499" s="546"/>
      <c r="CA499" s="546"/>
      <c r="CB499" s="546"/>
      <c r="CC499" s="728"/>
      <c r="CD499" s="728"/>
      <c r="CE499" s="170"/>
    </row>
    <row r="500" spans="1:83" customFormat="1">
      <c r="A500" s="701"/>
      <c r="B500" s="447"/>
      <c r="C500" s="161"/>
      <c r="D500" s="162"/>
      <c r="E500" s="1"/>
      <c r="F500" s="811"/>
      <c r="G500" s="440"/>
      <c r="H500" s="1"/>
      <c r="I500" s="55"/>
      <c r="J500" s="170"/>
      <c r="K500" s="1"/>
      <c r="L500" s="170"/>
      <c r="M500" s="1"/>
      <c r="N500" s="458"/>
      <c r="O500" s="170"/>
      <c r="P500" s="441"/>
      <c r="Q500" s="55"/>
      <c r="R500" s="177"/>
      <c r="S500" s="454"/>
      <c r="T500" s="178"/>
      <c r="U500" s="178"/>
      <c r="V500" s="179"/>
      <c r="W500" s="180"/>
      <c r="X500" s="179"/>
      <c r="Y500" s="180"/>
      <c r="Z500" s="178"/>
      <c r="AA500" s="178"/>
      <c r="AB500" s="178"/>
      <c r="AC500" s="178"/>
      <c r="AD500" s="182"/>
      <c r="AE500" s="182"/>
      <c r="AF500" s="182"/>
      <c r="AG500" s="182"/>
      <c r="AH500" s="401"/>
      <c r="AI500" s="401"/>
      <c r="AJ500" s="401"/>
      <c r="AK500" s="401"/>
      <c r="AL500" s="401"/>
      <c r="AM500" s="189"/>
      <c r="AN500" s="829"/>
      <c r="AO500" s="830"/>
      <c r="AP500" s="401"/>
      <c r="AQ500" s="401"/>
      <c r="AR500" s="401"/>
      <c r="AS500" s="401"/>
      <c r="AT500" s="403"/>
      <c r="AU500" s="403"/>
      <c r="AV500" s="170"/>
      <c r="AW500" s="166"/>
      <c r="AX500" s="166"/>
      <c r="AY500" s="189"/>
      <c r="AZ500" s="189"/>
      <c r="BA500" s="196"/>
      <c r="BB500" s="629"/>
      <c r="BC500" s="190"/>
      <c r="BD500" s="510"/>
      <c r="BE500" s="510"/>
      <c r="BF500" s="177"/>
      <c r="BG500" s="177"/>
      <c r="BH500" s="166"/>
      <c r="BI500" s="474"/>
      <c r="BJ500" s="166"/>
      <c r="BK500" s="474"/>
      <c r="BL500" s="474"/>
      <c r="BM500" s="474"/>
      <c r="BN500" s="166"/>
      <c r="BO500" s="166"/>
      <c r="BP500" s="204"/>
      <c r="BQ500" s="475"/>
      <c r="BR500" s="205"/>
      <c r="BS500" s="509"/>
      <c r="BT500" s="509"/>
      <c r="BU500" s="459"/>
      <c r="BV500" s="459"/>
      <c r="BW500" s="1"/>
      <c r="BX500" s="1"/>
      <c r="BY500" s="546"/>
      <c r="BZ500" s="546"/>
      <c r="CA500" s="546"/>
      <c r="CB500" s="546"/>
      <c r="CC500" s="728"/>
      <c r="CD500" s="728"/>
      <c r="CE500" s="170"/>
    </row>
    <row r="501" spans="1:83" customFormat="1">
      <c r="A501" s="701"/>
      <c r="B501" s="447"/>
      <c r="C501" s="161"/>
      <c r="D501" s="162"/>
      <c r="E501" s="1"/>
      <c r="F501" s="811"/>
      <c r="G501" s="440"/>
      <c r="H501" s="1"/>
      <c r="I501" s="55"/>
      <c r="J501" s="170"/>
      <c r="K501" s="1"/>
      <c r="L501" s="170"/>
      <c r="M501" s="1"/>
      <c r="N501" s="458"/>
      <c r="O501" s="170"/>
      <c r="P501" s="441"/>
      <c r="Q501" s="55"/>
      <c r="R501" s="177"/>
      <c r="S501" s="454"/>
      <c r="T501" s="178"/>
      <c r="U501" s="178"/>
      <c r="V501" s="179"/>
      <c r="W501" s="180"/>
      <c r="X501" s="179"/>
      <c r="Y501" s="180"/>
      <c r="Z501" s="178"/>
      <c r="AA501" s="178"/>
      <c r="AB501" s="178"/>
      <c r="AC501" s="178"/>
      <c r="AD501" s="182"/>
      <c r="AE501" s="182"/>
      <c r="AF501" s="182"/>
      <c r="AG501" s="182"/>
      <c r="AH501" s="401"/>
      <c r="AI501" s="401"/>
      <c r="AJ501" s="401"/>
      <c r="AK501" s="401"/>
      <c r="AL501" s="401"/>
      <c r="AM501" s="189"/>
      <c r="AN501" s="829"/>
      <c r="AO501" s="830"/>
      <c r="AP501" s="401"/>
      <c r="AQ501" s="401"/>
      <c r="AR501" s="401"/>
      <c r="AS501" s="401"/>
      <c r="AT501" s="403"/>
      <c r="AU501" s="403"/>
      <c r="AV501" s="170"/>
      <c r="AW501" s="166"/>
      <c r="AX501" s="166"/>
      <c r="AY501" s="189"/>
      <c r="AZ501" s="189"/>
      <c r="BA501" s="196"/>
      <c r="BB501" s="629"/>
      <c r="BC501" s="190"/>
      <c r="BD501" s="510"/>
      <c r="BE501" s="510"/>
      <c r="BF501" s="177"/>
      <c r="BG501" s="177"/>
      <c r="BH501" s="166"/>
      <c r="BI501" s="474"/>
      <c r="BJ501" s="166"/>
      <c r="BK501" s="474"/>
      <c r="BL501" s="474"/>
      <c r="BM501" s="474"/>
      <c r="BN501" s="166"/>
      <c r="BO501" s="166"/>
      <c r="BP501" s="204"/>
      <c r="BQ501" s="475"/>
      <c r="BR501" s="205"/>
      <c r="BS501" s="509"/>
      <c r="BT501" s="509"/>
      <c r="BU501" s="459"/>
      <c r="BV501" s="459"/>
      <c r="BW501" s="1"/>
      <c r="BX501" s="1"/>
      <c r="BY501" s="546"/>
      <c r="BZ501" s="546"/>
      <c r="CA501" s="546"/>
      <c r="CB501" s="546"/>
      <c r="CC501" s="728"/>
      <c r="CD501" s="728"/>
      <c r="CE501" s="170"/>
    </row>
    <row r="502" spans="1:83" customFormat="1">
      <c r="A502" s="701"/>
      <c r="B502" s="447"/>
      <c r="C502" s="161"/>
      <c r="D502" s="162"/>
      <c r="E502" s="1"/>
      <c r="F502" s="811"/>
      <c r="G502" s="440"/>
      <c r="H502" s="1"/>
      <c r="I502" s="55"/>
      <c r="J502" s="457"/>
      <c r="K502" s="1"/>
      <c r="L502" s="170"/>
      <c r="M502" s="1"/>
      <c r="N502" s="458"/>
      <c r="O502" s="170"/>
      <c r="P502" s="441"/>
      <c r="Q502" s="55"/>
      <c r="R502" s="177"/>
      <c r="S502" s="454"/>
      <c r="T502" s="178"/>
      <c r="U502" s="178"/>
      <c r="V502" s="179"/>
      <c r="W502" s="180"/>
      <c r="X502" s="179"/>
      <c r="Y502" s="180"/>
      <c r="Z502" s="178"/>
      <c r="AA502" s="178"/>
      <c r="AB502" s="178"/>
      <c r="AC502" s="178"/>
      <c r="AD502" s="182"/>
      <c r="AE502" s="182"/>
      <c r="AF502" s="182"/>
      <c r="AG502" s="182"/>
      <c r="AH502" s="401"/>
      <c r="AI502" s="401"/>
      <c r="AJ502" s="401"/>
      <c r="AK502" s="401"/>
      <c r="AL502" s="401"/>
      <c r="AM502" s="189"/>
      <c r="AN502" s="829"/>
      <c r="AO502" s="830"/>
      <c r="AP502" s="401"/>
      <c r="AQ502" s="401"/>
      <c r="AR502" s="401"/>
      <c r="AS502" s="401"/>
      <c r="AT502" s="403"/>
      <c r="AU502" s="403"/>
      <c r="AV502" s="170"/>
      <c r="AW502" s="166"/>
      <c r="AX502" s="166"/>
      <c r="AY502" s="189"/>
      <c r="AZ502" s="189"/>
      <c r="BA502" s="196"/>
      <c r="BB502" s="629"/>
      <c r="BC502" s="190"/>
      <c r="BD502" s="510"/>
      <c r="BE502" s="510"/>
      <c r="BF502" s="177"/>
      <c r="BG502" s="177"/>
      <c r="BH502" s="166"/>
      <c r="BI502" s="474"/>
      <c r="BJ502" s="166"/>
      <c r="BK502" s="474"/>
      <c r="BL502" s="474"/>
      <c r="BM502" s="474"/>
      <c r="BN502" s="166"/>
      <c r="BO502" s="166"/>
      <c r="BP502" s="204"/>
      <c r="BQ502" s="475"/>
      <c r="BR502" s="205"/>
      <c r="BS502" s="509"/>
      <c r="BT502" s="509"/>
      <c r="BU502" s="459"/>
      <c r="BV502" s="459"/>
      <c r="BW502" s="1"/>
      <c r="BX502" s="1"/>
      <c r="BY502" s="546"/>
      <c r="BZ502" s="546"/>
      <c r="CA502" s="546"/>
      <c r="CB502" s="546"/>
      <c r="CC502" s="728"/>
      <c r="CD502" s="728"/>
      <c r="CE502" s="170"/>
    </row>
    <row r="503" spans="1:83" customFormat="1">
      <c r="A503" s="701"/>
      <c r="B503" s="447"/>
      <c r="C503" s="161"/>
      <c r="D503" s="162"/>
      <c r="E503" s="1"/>
      <c r="F503" s="811"/>
      <c r="G503" s="440"/>
      <c r="H503" s="1"/>
      <c r="I503" s="55"/>
      <c r="J503" s="170"/>
      <c r="K503" s="1"/>
      <c r="L503" s="170"/>
      <c r="M503" s="1"/>
      <c r="N503" s="458"/>
      <c r="O503" s="170"/>
      <c r="P503" s="441"/>
      <c r="Q503" s="55"/>
      <c r="R503" s="177"/>
      <c r="S503" s="454"/>
      <c r="T503" s="178"/>
      <c r="U503" s="178"/>
      <c r="V503" s="179"/>
      <c r="W503" s="180"/>
      <c r="X503" s="179"/>
      <c r="Y503" s="180"/>
      <c r="Z503" s="178"/>
      <c r="AA503" s="178"/>
      <c r="AB503" s="178"/>
      <c r="AC503" s="178"/>
      <c r="AD503" s="182"/>
      <c r="AE503" s="182"/>
      <c r="AF503" s="182"/>
      <c r="AG503" s="182"/>
      <c r="AH503" s="401"/>
      <c r="AI503" s="401"/>
      <c r="AJ503" s="401"/>
      <c r="AK503" s="401"/>
      <c r="AL503" s="401"/>
      <c r="AM503" s="189"/>
      <c r="AN503" s="829"/>
      <c r="AO503" s="830"/>
      <c r="AP503" s="401"/>
      <c r="AQ503" s="401"/>
      <c r="AR503" s="401"/>
      <c r="AS503" s="401"/>
      <c r="AT503" s="403"/>
      <c r="AU503" s="403"/>
      <c r="AV503" s="170"/>
      <c r="AW503" s="166"/>
      <c r="AX503" s="166"/>
      <c r="AY503" s="189"/>
      <c r="AZ503" s="189"/>
      <c r="BA503" s="196"/>
      <c r="BB503" s="629"/>
      <c r="BC503" s="190"/>
      <c r="BD503" s="510"/>
      <c r="BE503" s="510"/>
      <c r="BF503" s="177"/>
      <c r="BG503" s="177"/>
      <c r="BH503" s="166"/>
      <c r="BI503" s="474"/>
      <c r="BJ503" s="166"/>
      <c r="BK503" s="474"/>
      <c r="BL503" s="474"/>
      <c r="BM503" s="474"/>
      <c r="BN503" s="166"/>
      <c r="BO503" s="166"/>
      <c r="BP503" s="204"/>
      <c r="BQ503" s="475"/>
      <c r="BR503" s="205"/>
      <c r="BS503" s="509"/>
      <c r="BT503" s="509"/>
      <c r="BU503" s="459"/>
      <c r="BV503" s="459"/>
      <c r="BW503" s="1"/>
      <c r="BX503" s="1"/>
      <c r="BY503" s="546"/>
      <c r="BZ503" s="546"/>
      <c r="CA503" s="546"/>
      <c r="CB503" s="546"/>
      <c r="CC503" s="728"/>
      <c r="CD503" s="728"/>
      <c r="CE503" s="170"/>
    </row>
    <row r="504" spans="1:83" customFormat="1">
      <c r="A504" s="701"/>
      <c r="B504" s="447"/>
      <c r="C504" s="161"/>
      <c r="D504" s="162"/>
      <c r="E504" s="1"/>
      <c r="F504" s="811"/>
      <c r="G504" s="440"/>
      <c r="H504" s="1"/>
      <c r="I504" s="55"/>
      <c r="J504" s="170"/>
      <c r="K504" s="1"/>
      <c r="L504" s="170"/>
      <c r="M504" s="1"/>
      <c r="N504" s="458"/>
      <c r="O504" s="170"/>
      <c r="P504" s="441"/>
      <c r="Q504" s="55"/>
      <c r="R504" s="177"/>
      <c r="S504" s="454"/>
      <c r="T504" s="178"/>
      <c r="U504" s="178"/>
      <c r="V504" s="179"/>
      <c r="W504" s="180"/>
      <c r="X504" s="179"/>
      <c r="Y504" s="180"/>
      <c r="Z504" s="178"/>
      <c r="AA504" s="178"/>
      <c r="AB504" s="178"/>
      <c r="AC504" s="178"/>
      <c r="AD504" s="182"/>
      <c r="AE504" s="182"/>
      <c r="AF504" s="182"/>
      <c r="AG504" s="182"/>
      <c r="AH504" s="401"/>
      <c r="AI504" s="401"/>
      <c r="AJ504" s="401"/>
      <c r="AK504" s="401"/>
      <c r="AL504" s="401"/>
      <c r="AM504" s="189"/>
      <c r="AN504" s="829"/>
      <c r="AO504" s="830"/>
      <c r="AP504" s="401"/>
      <c r="AQ504" s="401"/>
      <c r="AR504" s="401"/>
      <c r="AS504" s="401"/>
      <c r="AT504" s="403"/>
      <c r="AU504" s="403"/>
      <c r="AV504" s="170"/>
      <c r="AW504" s="166"/>
      <c r="AX504" s="166"/>
      <c r="AY504" s="189"/>
      <c r="AZ504" s="189"/>
      <c r="BA504" s="196"/>
      <c r="BB504" s="629"/>
      <c r="BC504" s="190"/>
      <c r="BD504" s="510"/>
      <c r="BE504" s="510"/>
      <c r="BF504" s="177"/>
      <c r="BG504" s="177"/>
      <c r="BH504" s="166"/>
      <c r="BI504" s="474"/>
      <c r="BJ504" s="166"/>
      <c r="BK504" s="474"/>
      <c r="BL504" s="474"/>
      <c r="BM504" s="474"/>
      <c r="BN504" s="166"/>
      <c r="BO504" s="166"/>
      <c r="BP504" s="204"/>
      <c r="BQ504" s="475"/>
      <c r="BR504" s="205"/>
      <c r="BS504" s="509"/>
      <c r="BT504" s="509"/>
      <c r="BU504" s="459"/>
      <c r="BV504" s="459"/>
      <c r="BW504" s="1"/>
      <c r="BX504" s="1"/>
      <c r="BY504" s="546"/>
      <c r="BZ504" s="546"/>
      <c r="CA504" s="546"/>
      <c r="CB504" s="546"/>
      <c r="CC504" s="728"/>
      <c r="CD504" s="728"/>
      <c r="CE504" s="170"/>
    </row>
    <row r="505" spans="1:83" customFormat="1">
      <c r="A505" s="701"/>
      <c r="B505" s="447"/>
      <c r="C505" s="161"/>
      <c r="D505" s="162"/>
      <c r="E505" s="1"/>
      <c r="F505" s="811"/>
      <c r="G505" s="440"/>
      <c r="H505" s="1"/>
      <c r="I505" s="55"/>
      <c r="J505" s="170"/>
      <c r="K505" s="1"/>
      <c r="L505" s="170"/>
      <c r="M505" s="1"/>
      <c r="N505" s="458"/>
      <c r="O505" s="170"/>
      <c r="P505" s="441"/>
      <c r="Q505" s="55"/>
      <c r="R505" s="177"/>
      <c r="S505" s="454"/>
      <c r="T505" s="178"/>
      <c r="U505" s="178"/>
      <c r="V505" s="179"/>
      <c r="W505" s="180"/>
      <c r="X505" s="179"/>
      <c r="Y505" s="180"/>
      <c r="Z505" s="178"/>
      <c r="AA505" s="178"/>
      <c r="AB505" s="178"/>
      <c r="AC505" s="178"/>
      <c r="AD505" s="182"/>
      <c r="AE505" s="182"/>
      <c r="AF505" s="182"/>
      <c r="AG505" s="182"/>
      <c r="AH505" s="401"/>
      <c r="AI505" s="401"/>
      <c r="AJ505" s="401"/>
      <c r="AK505" s="401"/>
      <c r="AL505" s="401"/>
      <c r="AM505" s="189"/>
      <c r="AN505" s="829"/>
      <c r="AO505" s="830"/>
      <c r="AP505" s="401"/>
      <c r="AQ505" s="401"/>
      <c r="AR505" s="401"/>
      <c r="AS505" s="401"/>
      <c r="AT505" s="403"/>
      <c r="AU505" s="403"/>
      <c r="AV505" s="170"/>
      <c r="AW505" s="166"/>
      <c r="AX505" s="166"/>
      <c r="AY505" s="189"/>
      <c r="AZ505" s="189"/>
      <c r="BA505" s="196"/>
      <c r="BB505" s="629"/>
      <c r="BC505" s="190"/>
      <c r="BD505" s="510"/>
      <c r="BE505" s="510"/>
      <c r="BF505" s="177"/>
      <c r="BG505" s="177"/>
      <c r="BH505" s="166"/>
      <c r="BI505" s="474"/>
      <c r="BJ505" s="166"/>
      <c r="BK505" s="474"/>
      <c r="BL505" s="474"/>
      <c r="BM505" s="474"/>
      <c r="BN505" s="166"/>
      <c r="BO505" s="166"/>
      <c r="BP505" s="204"/>
      <c r="BQ505" s="475"/>
      <c r="BR505" s="205"/>
      <c r="BS505" s="509"/>
      <c r="BT505" s="509"/>
      <c r="BU505" s="459"/>
      <c r="BV505" s="459"/>
      <c r="BW505" s="1"/>
      <c r="BX505" s="1"/>
      <c r="BY505" s="546"/>
      <c r="BZ505" s="546"/>
      <c r="CA505" s="546"/>
      <c r="CB505" s="546"/>
      <c r="CC505" s="728"/>
      <c r="CD505" s="728"/>
      <c r="CE505" s="170"/>
    </row>
    <row r="506" spans="1:83" customFormat="1">
      <c r="A506" s="701"/>
      <c r="B506" s="447"/>
      <c r="C506" s="161"/>
      <c r="D506" s="162"/>
      <c r="E506" s="1"/>
      <c r="F506" s="811"/>
      <c r="G506" s="440"/>
      <c r="H506" s="1"/>
      <c r="I506" s="55"/>
      <c r="J506" s="170"/>
      <c r="K506" s="1"/>
      <c r="L506" s="170"/>
      <c r="M506" s="1"/>
      <c r="N506" s="166"/>
      <c r="O506" s="170"/>
      <c r="P506" s="441"/>
      <c r="Q506" s="55"/>
      <c r="R506" s="177"/>
      <c r="S506" s="454"/>
      <c r="T506" s="178"/>
      <c r="U506" s="178"/>
      <c r="V506" s="179"/>
      <c r="W506" s="180"/>
      <c r="X506" s="179"/>
      <c r="Y506" s="180"/>
      <c r="Z506" s="178"/>
      <c r="AA506" s="178"/>
      <c r="AB506" s="178"/>
      <c r="AC506" s="178"/>
      <c r="AD506" s="182"/>
      <c r="AE506" s="182"/>
      <c r="AF506" s="182"/>
      <c r="AG506" s="182"/>
      <c r="AH506" s="401"/>
      <c r="AI506" s="401"/>
      <c r="AJ506" s="182"/>
      <c r="AK506" s="401"/>
      <c r="AL506" s="401"/>
      <c r="AM506" s="189"/>
      <c r="AN506" s="829"/>
      <c r="AO506" s="830"/>
      <c r="AP506" s="401"/>
      <c r="AQ506" s="401"/>
      <c r="AR506" s="401"/>
      <c r="AS506" s="401"/>
      <c r="AT506" s="403"/>
      <c r="AU506" s="403"/>
      <c r="AV506" s="170"/>
      <c r="AW506" s="166"/>
      <c r="AX506" s="166"/>
      <c r="AY506" s="189"/>
      <c r="AZ506" s="189"/>
      <c r="BA506" s="196"/>
      <c r="BB506" s="629"/>
      <c r="BC506" s="190"/>
      <c r="BD506" s="510"/>
      <c r="BE506" s="510"/>
      <c r="BF506" s="177"/>
      <c r="BG506" s="177"/>
      <c r="BH506" s="166"/>
      <c r="BI506" s="474"/>
      <c r="BJ506" s="166"/>
      <c r="BK506" s="474"/>
      <c r="BL506" s="474"/>
      <c r="BM506" s="474"/>
      <c r="BN506" s="166"/>
      <c r="BO506" s="166"/>
      <c r="BP506" s="204"/>
      <c r="BQ506" s="475"/>
      <c r="BR506" s="205"/>
      <c r="BS506" s="509"/>
      <c r="BT506" s="509"/>
      <c r="BU506" s="459"/>
      <c r="BV506" s="459"/>
      <c r="BW506" s="1"/>
      <c r="BX506" s="1"/>
      <c r="BY506" s="546"/>
      <c r="BZ506" s="546"/>
      <c r="CA506" s="546"/>
      <c r="CB506" s="546"/>
      <c r="CC506" s="728"/>
      <c r="CD506" s="728"/>
      <c r="CE506" s="170"/>
    </row>
    <row r="507" spans="1:83" customFormat="1">
      <c r="A507" s="701"/>
      <c r="B507" s="447"/>
      <c r="C507" s="161"/>
      <c r="D507" s="162"/>
      <c r="E507" s="1"/>
      <c r="F507" s="811"/>
      <c r="G507" s="440"/>
      <c r="H507" s="1"/>
      <c r="I507" s="55"/>
      <c r="J507" s="170"/>
      <c r="K507" s="1"/>
      <c r="L507" s="170"/>
      <c r="M507" s="1"/>
      <c r="N507" s="458"/>
      <c r="O507" s="170"/>
      <c r="P507" s="441"/>
      <c r="Q507" s="55"/>
      <c r="R507" s="177"/>
      <c r="S507" s="454"/>
      <c r="T507" s="178"/>
      <c r="U507" s="178"/>
      <c r="V507" s="179"/>
      <c r="W507" s="180"/>
      <c r="X507" s="179"/>
      <c r="Y507" s="180"/>
      <c r="Z507" s="178"/>
      <c r="AA507" s="178"/>
      <c r="AB507" s="178"/>
      <c r="AC507" s="178"/>
      <c r="AD507" s="182"/>
      <c r="AE507" s="182"/>
      <c r="AF507" s="182"/>
      <c r="AG507" s="182"/>
      <c r="AH507" s="401"/>
      <c r="AI507" s="401"/>
      <c r="AJ507" s="401"/>
      <c r="AK507" s="401"/>
      <c r="AL507" s="401"/>
      <c r="AM507" s="189"/>
      <c r="AN507" s="829"/>
      <c r="AO507" s="830"/>
      <c r="AP507" s="401"/>
      <c r="AQ507" s="401"/>
      <c r="AR507" s="401"/>
      <c r="AS507" s="401"/>
      <c r="AT507" s="403"/>
      <c r="AU507" s="403"/>
      <c r="AV507" s="170"/>
      <c r="AW507" s="166"/>
      <c r="AX507" s="166"/>
      <c r="AY507" s="189"/>
      <c r="AZ507" s="189"/>
      <c r="BA507" s="196"/>
      <c r="BB507" s="629"/>
      <c r="BC507" s="190"/>
      <c r="BD507" s="510"/>
      <c r="BE507" s="510"/>
      <c r="BF507" s="177"/>
      <c r="BG507" s="177"/>
      <c r="BH507" s="166"/>
      <c r="BI507" s="474"/>
      <c r="BJ507" s="166"/>
      <c r="BK507" s="474"/>
      <c r="BL507" s="474"/>
      <c r="BM507" s="474"/>
      <c r="BN507" s="166"/>
      <c r="BO507" s="166"/>
      <c r="BP507" s="204"/>
      <c r="BQ507" s="475"/>
      <c r="BR507" s="205"/>
      <c r="BS507" s="509"/>
      <c r="BT507" s="509"/>
      <c r="BU507" s="459"/>
      <c r="BV507" s="459"/>
      <c r="BW507" s="1"/>
      <c r="BX507" s="1"/>
      <c r="BY507" s="546"/>
      <c r="BZ507" s="546"/>
      <c r="CA507" s="546"/>
      <c r="CB507" s="546"/>
      <c r="CC507" s="728"/>
      <c r="CD507" s="728"/>
      <c r="CE507" s="170"/>
    </row>
    <row r="508" spans="1:83" customFormat="1">
      <c r="A508" s="701"/>
      <c r="B508" s="447"/>
      <c r="C508" s="161"/>
      <c r="D508" s="162"/>
      <c r="E508" s="1"/>
      <c r="F508" s="811"/>
      <c r="G508" s="440"/>
      <c r="H508" s="1"/>
      <c r="I508" s="55"/>
      <c r="J508" s="170"/>
      <c r="K508" s="1"/>
      <c r="L508" s="170"/>
      <c r="M508" s="1"/>
      <c r="N508" s="458"/>
      <c r="O508" s="170"/>
      <c r="P508" s="441"/>
      <c r="Q508" s="55"/>
      <c r="R508" s="177"/>
      <c r="S508" s="454"/>
      <c r="T508" s="178"/>
      <c r="U508" s="178"/>
      <c r="V508" s="179"/>
      <c r="W508" s="180"/>
      <c r="X508" s="179"/>
      <c r="Y508" s="180"/>
      <c r="Z508" s="178"/>
      <c r="AA508" s="178"/>
      <c r="AB508" s="178"/>
      <c r="AC508" s="178"/>
      <c r="AD508" s="182"/>
      <c r="AE508" s="182"/>
      <c r="AF508" s="182"/>
      <c r="AG508" s="182"/>
      <c r="AH508" s="401"/>
      <c r="AI508" s="401"/>
      <c r="AJ508" s="401"/>
      <c r="AK508" s="401"/>
      <c r="AL508" s="401"/>
      <c r="AM508" s="189"/>
      <c r="AN508" s="829"/>
      <c r="AO508" s="830"/>
      <c r="AP508" s="401"/>
      <c r="AQ508" s="401"/>
      <c r="AR508" s="401"/>
      <c r="AS508" s="401"/>
      <c r="AT508" s="403"/>
      <c r="AU508" s="403"/>
      <c r="AV508" s="170"/>
      <c r="AW508" s="166"/>
      <c r="AX508" s="166"/>
      <c r="AY508" s="189"/>
      <c r="AZ508" s="189"/>
      <c r="BA508" s="196"/>
      <c r="BB508" s="629"/>
      <c r="BC508" s="190"/>
      <c r="BD508" s="510"/>
      <c r="BE508" s="510"/>
      <c r="BF508" s="177"/>
      <c r="BG508" s="177"/>
      <c r="BH508" s="166"/>
      <c r="BI508" s="474"/>
      <c r="BJ508" s="166"/>
      <c r="BK508" s="474"/>
      <c r="BL508" s="474"/>
      <c r="BM508" s="474"/>
      <c r="BN508" s="166"/>
      <c r="BO508" s="166"/>
      <c r="BP508" s="204"/>
      <c r="BQ508" s="475"/>
      <c r="BR508" s="205"/>
      <c r="BS508" s="509"/>
      <c r="BT508" s="509"/>
      <c r="BU508" s="459"/>
      <c r="BV508" s="459"/>
      <c r="BW508" s="1"/>
      <c r="BX508" s="1"/>
      <c r="BY508" s="546"/>
      <c r="BZ508" s="546"/>
      <c r="CA508" s="546"/>
      <c r="CB508" s="546"/>
      <c r="CC508" s="728"/>
      <c r="CD508" s="728"/>
      <c r="CE508" s="170"/>
    </row>
    <row r="509" spans="1:83" customFormat="1">
      <c r="A509" s="701"/>
      <c r="B509" s="447"/>
      <c r="C509" s="161"/>
      <c r="D509" s="162"/>
      <c r="E509" s="1"/>
      <c r="F509" s="811"/>
      <c r="G509" s="440"/>
      <c r="H509" s="1"/>
      <c r="I509" s="55"/>
      <c r="J509" s="170"/>
      <c r="K509" s="1"/>
      <c r="L509" s="170"/>
      <c r="M509" s="1"/>
      <c r="N509" s="458"/>
      <c r="O509" s="170"/>
      <c r="P509" s="441"/>
      <c r="Q509" s="55"/>
      <c r="R509" s="177"/>
      <c r="S509" s="454"/>
      <c r="T509" s="178"/>
      <c r="U509" s="178"/>
      <c r="V509" s="179"/>
      <c r="W509" s="180"/>
      <c r="X509" s="179"/>
      <c r="Y509" s="180"/>
      <c r="Z509" s="178"/>
      <c r="AA509" s="178"/>
      <c r="AB509" s="178"/>
      <c r="AC509" s="178"/>
      <c r="AD509" s="182"/>
      <c r="AE509" s="182"/>
      <c r="AF509" s="182"/>
      <c r="AG509" s="182"/>
      <c r="AH509" s="401"/>
      <c r="AI509" s="401"/>
      <c r="AJ509" s="401"/>
      <c r="AK509" s="401"/>
      <c r="AL509" s="401"/>
      <c r="AM509" s="189"/>
      <c r="AN509" s="829"/>
      <c r="AO509" s="830"/>
      <c r="AP509" s="401"/>
      <c r="AQ509" s="401"/>
      <c r="AR509" s="401"/>
      <c r="AS509" s="401"/>
      <c r="AT509" s="403"/>
      <c r="AU509" s="403"/>
      <c r="AV509" s="170"/>
      <c r="AW509" s="166"/>
      <c r="AX509" s="166"/>
      <c r="AY509" s="189"/>
      <c r="AZ509" s="189"/>
      <c r="BA509" s="196"/>
      <c r="BB509" s="629"/>
      <c r="BC509" s="190"/>
      <c r="BD509" s="510"/>
      <c r="BE509" s="510"/>
      <c r="BF509" s="177"/>
      <c r="BG509" s="177"/>
      <c r="BH509" s="166"/>
      <c r="BI509" s="474"/>
      <c r="BJ509" s="166"/>
      <c r="BK509" s="474"/>
      <c r="BL509" s="474"/>
      <c r="BM509" s="474"/>
      <c r="BN509" s="166"/>
      <c r="BO509" s="166"/>
      <c r="BP509" s="204"/>
      <c r="BQ509" s="475"/>
      <c r="BR509" s="205"/>
      <c r="BS509" s="509"/>
      <c r="BT509" s="509"/>
      <c r="BU509" s="459"/>
      <c r="BV509" s="459"/>
      <c r="BW509" s="1"/>
      <c r="BX509" s="1"/>
      <c r="BY509" s="546"/>
      <c r="BZ509" s="546"/>
      <c r="CA509" s="546"/>
      <c r="CB509" s="546"/>
      <c r="CC509" s="728"/>
      <c r="CD509" s="728"/>
      <c r="CE509" s="170"/>
    </row>
    <row r="510" spans="1:83" customFormat="1">
      <c r="A510" s="701"/>
      <c r="B510" s="447"/>
      <c r="C510" s="1"/>
      <c r="D510" s="538"/>
      <c r="E510" s="1"/>
      <c r="F510" s="811"/>
      <c r="G510" s="440"/>
      <c r="H510" s="1"/>
      <c r="I510" s="55"/>
      <c r="J510" s="171"/>
      <c r="K510" s="55"/>
      <c r="L510" s="171"/>
      <c r="M510" s="55"/>
      <c r="N510" s="172"/>
      <c r="O510" s="170"/>
      <c r="P510" s="139"/>
      <c r="Q510" s="172"/>
      <c r="R510" s="181"/>
      <c r="S510" s="455"/>
      <c r="T510" s="170"/>
      <c r="U510" s="170"/>
      <c r="V510" s="1"/>
      <c r="W510" s="173"/>
      <c r="X510" s="1"/>
      <c r="Y510" s="166"/>
      <c r="Z510" s="170"/>
      <c r="AA510" s="170"/>
      <c r="AB510" s="170"/>
      <c r="AC510" s="170"/>
      <c r="AD510" s="182"/>
      <c r="AE510" s="182"/>
      <c r="AF510" s="182"/>
      <c r="AG510" s="182"/>
      <c r="AH510" s="189"/>
      <c r="AI510" s="401"/>
      <c r="AJ510" s="189"/>
      <c r="AK510" s="401"/>
      <c r="AL510" s="401"/>
      <c r="AM510" s="189"/>
      <c r="AN510" s="782"/>
      <c r="AO510" s="189"/>
      <c r="AP510" s="401"/>
      <c r="AQ510" s="401"/>
      <c r="AR510" s="401"/>
      <c r="AS510" s="188"/>
      <c r="AT510" s="1"/>
      <c r="AU510" s="403"/>
      <c r="AV510" s="1"/>
      <c r="AW510" s="166"/>
      <c r="AX510" s="166"/>
      <c r="AY510" s="189"/>
      <c r="AZ510" s="189"/>
      <c r="BA510" s="196"/>
      <c r="BB510" s="629"/>
      <c r="BC510" s="197"/>
      <c r="BD510" s="510"/>
      <c r="BE510" s="510"/>
      <c r="BF510" s="177"/>
      <c r="BG510" s="177"/>
      <c r="BH510" s="166"/>
      <c r="BI510" s="474"/>
      <c r="BJ510" s="166"/>
      <c r="BK510" s="474"/>
      <c r="BL510" s="474"/>
      <c r="BM510" s="474"/>
      <c r="BN510" s="166"/>
      <c r="BO510" s="166"/>
      <c r="BP510" s="204"/>
      <c r="BQ510" s="475"/>
      <c r="BR510" s="205"/>
      <c r="BS510" s="509"/>
      <c r="BT510" s="509"/>
      <c r="BU510" s="459"/>
      <c r="BV510" s="459"/>
      <c r="BW510" s="1"/>
      <c r="BX510" s="1"/>
      <c r="BY510" s="546"/>
      <c r="BZ510" s="546"/>
      <c r="CA510" s="546"/>
      <c r="CB510" s="546"/>
      <c r="CC510" s="728"/>
      <c r="CD510" s="728"/>
      <c r="CE510" s="170"/>
    </row>
    <row r="511" spans="1:83" customFormat="1">
      <c r="A511" s="701"/>
      <c r="B511" s="447"/>
      <c r="C511" s="161"/>
      <c r="D511" s="162"/>
      <c r="E511" s="1"/>
      <c r="F511" s="811"/>
      <c r="G511" s="440"/>
      <c r="H511" s="1"/>
      <c r="I511" s="55"/>
      <c r="J511" s="170"/>
      <c r="K511" s="1"/>
      <c r="L511" s="170"/>
      <c r="M511" s="1"/>
      <c r="N511" s="458"/>
      <c r="O511" s="170"/>
      <c r="P511" s="441"/>
      <c r="Q511" s="55"/>
      <c r="R511" s="177"/>
      <c r="S511" s="454"/>
      <c r="T511" s="178"/>
      <c r="U511" s="178"/>
      <c r="V511" s="179"/>
      <c r="W511" s="180"/>
      <c r="X511" s="179"/>
      <c r="Y511" s="180"/>
      <c r="Z511" s="178"/>
      <c r="AA511" s="178"/>
      <c r="AB511" s="178"/>
      <c r="AC511" s="178"/>
      <c r="AD511" s="182"/>
      <c r="AE511" s="182"/>
      <c r="AF511" s="182"/>
      <c r="AG511" s="182"/>
      <c r="AH511" s="401"/>
      <c r="AI511" s="401"/>
      <c r="AJ511" s="401"/>
      <c r="AK511" s="401"/>
      <c r="AL511" s="401"/>
      <c r="AM511" s="189"/>
      <c r="AN511" s="829"/>
      <c r="AO511" s="830"/>
      <c r="AP511" s="401"/>
      <c r="AQ511" s="401"/>
      <c r="AR511" s="401"/>
      <c r="AS511" s="401"/>
      <c r="AT511" s="403"/>
      <c r="AU511" s="403"/>
      <c r="AV511" s="170"/>
      <c r="AW511" s="166"/>
      <c r="AX511" s="166"/>
      <c r="AY511" s="189"/>
      <c r="AZ511" s="189"/>
      <c r="BA511" s="196"/>
      <c r="BB511" s="629"/>
      <c r="BC511" s="190"/>
      <c r="BD511" s="510"/>
      <c r="BE511" s="510"/>
      <c r="BF511" s="177"/>
      <c r="BG511" s="177"/>
      <c r="BH511" s="166"/>
      <c r="BI511" s="474"/>
      <c r="BJ511" s="166"/>
      <c r="BK511" s="474"/>
      <c r="BL511" s="474"/>
      <c r="BM511" s="474"/>
      <c r="BN511" s="166"/>
      <c r="BO511" s="166"/>
      <c r="BP511" s="204"/>
      <c r="BQ511" s="475"/>
      <c r="BR511" s="205"/>
      <c r="BS511" s="509"/>
      <c r="BT511" s="509"/>
      <c r="BU511" s="459"/>
      <c r="BV511" s="459"/>
      <c r="BW511" s="1"/>
      <c r="BX511" s="1"/>
      <c r="BY511" s="546"/>
      <c r="BZ511" s="546"/>
      <c r="CA511" s="546"/>
      <c r="CB511" s="546"/>
      <c r="CC511" s="728"/>
      <c r="CD511" s="728"/>
      <c r="CE511" s="170"/>
    </row>
    <row r="512" spans="1:83" customFormat="1">
      <c r="A512" s="701"/>
      <c r="B512" s="447"/>
      <c r="C512" s="161"/>
      <c r="D512" s="162"/>
      <c r="E512" s="1"/>
      <c r="F512" s="811"/>
      <c r="G512" s="440"/>
      <c r="H512" s="1"/>
      <c r="I512" s="55"/>
      <c r="J512" s="170"/>
      <c r="K512" s="1"/>
      <c r="L512" s="170"/>
      <c r="M512" s="1"/>
      <c r="N512" s="458"/>
      <c r="O512" s="170"/>
      <c r="P512" s="441"/>
      <c r="Q512" s="55"/>
      <c r="R512" s="177"/>
      <c r="S512" s="454"/>
      <c r="T512" s="178"/>
      <c r="U512" s="178"/>
      <c r="V512" s="179"/>
      <c r="W512" s="180"/>
      <c r="X512" s="179"/>
      <c r="Y512" s="180"/>
      <c r="Z512" s="178"/>
      <c r="AA512" s="178"/>
      <c r="AB512" s="178"/>
      <c r="AC512" s="178"/>
      <c r="AD512" s="182"/>
      <c r="AE512" s="182"/>
      <c r="AF512" s="182"/>
      <c r="AG512" s="182"/>
      <c r="AH512" s="401"/>
      <c r="AI512" s="401"/>
      <c r="AJ512" s="401"/>
      <c r="AK512" s="401"/>
      <c r="AL512" s="401"/>
      <c r="AM512" s="189"/>
      <c r="AN512" s="829"/>
      <c r="AO512" s="830"/>
      <c r="AP512" s="401"/>
      <c r="AQ512" s="401"/>
      <c r="AR512" s="401"/>
      <c r="AS512" s="401"/>
      <c r="AT512" s="403"/>
      <c r="AU512" s="403"/>
      <c r="AV512" s="170"/>
      <c r="AW512" s="166"/>
      <c r="AX512" s="166"/>
      <c r="AY512" s="189"/>
      <c r="AZ512" s="189"/>
      <c r="BA512" s="196"/>
      <c r="BB512" s="629"/>
      <c r="BC512" s="190"/>
      <c r="BD512" s="510"/>
      <c r="BE512" s="510"/>
      <c r="BF512" s="177"/>
      <c r="BG512" s="177"/>
      <c r="BH512" s="166"/>
      <c r="BI512" s="474"/>
      <c r="BJ512" s="166"/>
      <c r="BK512" s="474"/>
      <c r="BL512" s="474"/>
      <c r="BM512" s="474"/>
      <c r="BN512" s="166"/>
      <c r="BO512" s="166"/>
      <c r="BP512" s="204"/>
      <c r="BQ512" s="475"/>
      <c r="BR512" s="205"/>
      <c r="BS512" s="509"/>
      <c r="BT512" s="509"/>
      <c r="BU512" s="459"/>
      <c r="BV512" s="459"/>
      <c r="BW512" s="1"/>
      <c r="BX512" s="1"/>
      <c r="BY512" s="546"/>
      <c r="BZ512" s="546"/>
      <c r="CA512" s="546"/>
      <c r="CB512" s="546"/>
      <c r="CC512" s="728"/>
      <c r="CD512" s="728"/>
      <c r="CE512" s="170"/>
    </row>
    <row r="513" spans="1:83" customFormat="1">
      <c r="A513" s="701"/>
      <c r="B513" s="447"/>
      <c r="C513" s="161"/>
      <c r="D513" s="162"/>
      <c r="E513" s="1"/>
      <c r="F513" s="811"/>
      <c r="G513" s="440"/>
      <c r="H513" s="1"/>
      <c r="I513" s="55"/>
      <c r="J513" s="457"/>
      <c r="K513" s="1"/>
      <c r="L513" s="170"/>
      <c r="M513" s="1"/>
      <c r="N513" s="458"/>
      <c r="O513" s="170"/>
      <c r="P513" s="441"/>
      <c r="Q513" s="55"/>
      <c r="R513" s="177"/>
      <c r="S513" s="454"/>
      <c r="T513" s="178"/>
      <c r="U513" s="178"/>
      <c r="V513" s="179"/>
      <c r="W513" s="180"/>
      <c r="X513" s="179"/>
      <c r="Y513" s="180"/>
      <c r="Z513" s="178"/>
      <c r="AA513" s="178"/>
      <c r="AB513" s="178"/>
      <c r="AC513" s="178"/>
      <c r="AD513" s="182"/>
      <c r="AE513" s="182"/>
      <c r="AF513" s="182"/>
      <c r="AG513" s="182"/>
      <c r="AH513" s="401"/>
      <c r="AI513" s="401"/>
      <c r="AJ513" s="401"/>
      <c r="AK513" s="401"/>
      <c r="AL513" s="401"/>
      <c r="AM513" s="189"/>
      <c r="AN513" s="829"/>
      <c r="AO513" s="830"/>
      <c r="AP513" s="401"/>
      <c r="AQ513" s="401"/>
      <c r="AR513" s="401"/>
      <c r="AS513" s="401"/>
      <c r="AT513" s="403"/>
      <c r="AU513" s="403"/>
      <c r="AV513" s="170"/>
      <c r="AW513" s="166"/>
      <c r="AX513" s="166"/>
      <c r="AY513" s="189"/>
      <c r="AZ513" s="189"/>
      <c r="BA513" s="196"/>
      <c r="BB513" s="629"/>
      <c r="BC513" s="190"/>
      <c r="BD513" s="510"/>
      <c r="BE513" s="510"/>
      <c r="BF513" s="177"/>
      <c r="BG513" s="177"/>
      <c r="BH513" s="166"/>
      <c r="BI513" s="474"/>
      <c r="BJ513" s="166"/>
      <c r="BK513" s="474"/>
      <c r="BL513" s="474"/>
      <c r="BM513" s="474"/>
      <c r="BN513" s="166"/>
      <c r="BO513" s="166"/>
      <c r="BP513" s="204"/>
      <c r="BQ513" s="475"/>
      <c r="BR513" s="205"/>
      <c r="BS513" s="509"/>
      <c r="BT513" s="509"/>
      <c r="BU513" s="459"/>
      <c r="BV513" s="459"/>
      <c r="BW513" s="1"/>
      <c r="BX513" s="1"/>
      <c r="BY513" s="546"/>
      <c r="BZ513" s="546"/>
      <c r="CA513" s="546"/>
      <c r="CB513" s="546"/>
      <c r="CC513" s="728"/>
      <c r="CD513" s="728"/>
      <c r="CE513" s="170"/>
    </row>
    <row r="514" spans="1:83" customFormat="1">
      <c r="A514" s="701"/>
      <c r="B514" s="447"/>
      <c r="C514" s="161"/>
      <c r="D514" s="162"/>
      <c r="E514" s="1"/>
      <c r="F514" s="811"/>
      <c r="G514" s="440"/>
      <c r="H514" s="1"/>
      <c r="I514" s="55"/>
      <c r="J514" s="170"/>
      <c r="K514" s="1"/>
      <c r="L514" s="170"/>
      <c r="M514" s="1"/>
      <c r="N514" s="458"/>
      <c r="O514" s="170"/>
      <c r="P514" s="441"/>
      <c r="Q514" s="55"/>
      <c r="R514" s="177"/>
      <c r="S514" s="454"/>
      <c r="T514" s="178"/>
      <c r="U514" s="178"/>
      <c r="V514" s="179"/>
      <c r="W514" s="180"/>
      <c r="X514" s="179"/>
      <c r="Y514" s="180"/>
      <c r="Z514" s="178"/>
      <c r="AA514" s="178"/>
      <c r="AB514" s="178"/>
      <c r="AC514" s="178"/>
      <c r="AD514" s="182"/>
      <c r="AE514" s="182"/>
      <c r="AF514" s="182"/>
      <c r="AG514" s="182"/>
      <c r="AH514" s="401"/>
      <c r="AI514" s="401"/>
      <c r="AJ514" s="401"/>
      <c r="AK514" s="401"/>
      <c r="AL514" s="401"/>
      <c r="AM514" s="189"/>
      <c r="AN514" s="829"/>
      <c r="AO514" s="830"/>
      <c r="AP514" s="401"/>
      <c r="AQ514" s="401"/>
      <c r="AR514" s="401"/>
      <c r="AS514" s="401"/>
      <c r="AT514" s="403"/>
      <c r="AU514" s="403"/>
      <c r="AV514" s="170"/>
      <c r="AW514" s="166"/>
      <c r="AX514" s="166"/>
      <c r="AY514" s="189"/>
      <c r="AZ514" s="189"/>
      <c r="BA514" s="196"/>
      <c r="BB514" s="629"/>
      <c r="BC514" s="190"/>
      <c r="BD514" s="510"/>
      <c r="BE514" s="510"/>
      <c r="BF514" s="177"/>
      <c r="BG514" s="177"/>
      <c r="BH514" s="166"/>
      <c r="BI514" s="474"/>
      <c r="BJ514" s="166"/>
      <c r="BK514" s="474"/>
      <c r="BL514" s="474"/>
      <c r="BM514" s="474"/>
      <c r="BN514" s="166"/>
      <c r="BO514" s="166"/>
      <c r="BP514" s="204"/>
      <c r="BQ514" s="475"/>
      <c r="BR514" s="205"/>
      <c r="BS514" s="509"/>
      <c r="BT514" s="509"/>
      <c r="BU514" s="459"/>
      <c r="BV514" s="459"/>
      <c r="BW514" s="1"/>
      <c r="BX514" s="1"/>
      <c r="BY514" s="546"/>
      <c r="BZ514" s="546"/>
      <c r="CA514" s="546"/>
      <c r="CB514" s="546"/>
      <c r="CC514" s="728"/>
      <c r="CD514" s="728"/>
      <c r="CE514" s="170"/>
    </row>
    <row r="515" spans="1:83" customFormat="1">
      <c r="A515" s="701"/>
      <c r="B515" s="447"/>
      <c r="C515" s="161"/>
      <c r="D515" s="162"/>
      <c r="E515" s="1"/>
      <c r="F515" s="811"/>
      <c r="G515" s="440"/>
      <c r="H515" s="1"/>
      <c r="I515" s="55"/>
      <c r="J515" s="170"/>
      <c r="K515" s="1"/>
      <c r="L515" s="170"/>
      <c r="M515" s="1"/>
      <c r="N515" s="458"/>
      <c r="O515" s="170"/>
      <c r="P515" s="441"/>
      <c r="Q515" s="55"/>
      <c r="R515" s="177"/>
      <c r="S515" s="454"/>
      <c r="T515" s="178"/>
      <c r="U515" s="178"/>
      <c r="V515" s="179"/>
      <c r="W515" s="180"/>
      <c r="X515" s="179"/>
      <c r="Y515" s="180"/>
      <c r="Z515" s="178"/>
      <c r="AA515" s="178"/>
      <c r="AB515" s="178"/>
      <c r="AC515" s="178"/>
      <c r="AD515" s="182"/>
      <c r="AE515" s="182"/>
      <c r="AF515" s="182"/>
      <c r="AG515" s="182"/>
      <c r="AH515" s="401"/>
      <c r="AI515" s="401"/>
      <c r="AJ515" s="401"/>
      <c r="AK515" s="401"/>
      <c r="AL515" s="401"/>
      <c r="AM515" s="189"/>
      <c r="AN515" s="829"/>
      <c r="AO515" s="830"/>
      <c r="AP515" s="401"/>
      <c r="AQ515" s="401"/>
      <c r="AR515" s="401"/>
      <c r="AS515" s="401"/>
      <c r="AT515" s="403"/>
      <c r="AU515" s="403"/>
      <c r="AV515" s="170"/>
      <c r="AW515" s="166"/>
      <c r="AX515" s="166"/>
      <c r="AY515" s="189"/>
      <c r="AZ515" s="189"/>
      <c r="BA515" s="196"/>
      <c r="BB515" s="629"/>
      <c r="BC515" s="190"/>
      <c r="BD515" s="510"/>
      <c r="BE515" s="510"/>
      <c r="BF515" s="177"/>
      <c r="BG515" s="177"/>
      <c r="BH515" s="166"/>
      <c r="BI515" s="474"/>
      <c r="BJ515" s="166"/>
      <c r="BK515" s="474"/>
      <c r="BL515" s="474"/>
      <c r="BM515" s="474"/>
      <c r="BN515" s="166"/>
      <c r="BO515" s="166"/>
      <c r="BP515" s="204"/>
      <c r="BQ515" s="475"/>
      <c r="BR515" s="205"/>
      <c r="BS515" s="509"/>
      <c r="BT515" s="509"/>
      <c r="BU515" s="459"/>
      <c r="BV515" s="459"/>
      <c r="BW515" s="1"/>
      <c r="BX515" s="1"/>
      <c r="BY515" s="546"/>
      <c r="BZ515" s="546"/>
      <c r="CA515" s="546"/>
      <c r="CB515" s="546"/>
      <c r="CC515" s="728"/>
      <c r="CD515" s="728"/>
      <c r="CE515" s="170"/>
    </row>
    <row r="516" spans="1:83" customFormat="1">
      <c r="A516" s="701"/>
      <c r="B516" s="447"/>
      <c r="C516" s="161"/>
      <c r="D516" s="162"/>
      <c r="E516" s="1"/>
      <c r="F516" s="811"/>
      <c r="G516" s="440"/>
      <c r="H516" s="1"/>
      <c r="I516" s="55"/>
      <c r="J516" s="170"/>
      <c r="K516" s="1"/>
      <c r="L516" s="170"/>
      <c r="M516" s="1"/>
      <c r="N516" s="458"/>
      <c r="O516" s="170"/>
      <c r="P516" s="441"/>
      <c r="Q516" s="55"/>
      <c r="R516" s="177"/>
      <c r="S516" s="454"/>
      <c r="T516" s="178"/>
      <c r="U516" s="178"/>
      <c r="V516" s="179"/>
      <c r="W516" s="180"/>
      <c r="X516" s="179"/>
      <c r="Y516" s="180"/>
      <c r="Z516" s="178"/>
      <c r="AA516" s="178"/>
      <c r="AB516" s="178"/>
      <c r="AC516" s="178"/>
      <c r="AD516" s="182"/>
      <c r="AE516" s="182"/>
      <c r="AF516" s="182"/>
      <c r="AG516" s="182"/>
      <c r="AH516" s="401"/>
      <c r="AI516" s="401"/>
      <c r="AJ516" s="401"/>
      <c r="AK516" s="401"/>
      <c r="AL516" s="401"/>
      <c r="AM516" s="189"/>
      <c r="AN516" s="829"/>
      <c r="AO516" s="830"/>
      <c r="AP516" s="401"/>
      <c r="AQ516" s="401"/>
      <c r="AR516" s="401"/>
      <c r="AS516" s="401"/>
      <c r="AT516" s="403"/>
      <c r="AU516" s="403"/>
      <c r="AV516" s="170"/>
      <c r="AW516" s="166"/>
      <c r="AX516" s="166"/>
      <c r="AY516" s="189"/>
      <c r="AZ516" s="189"/>
      <c r="BA516" s="196"/>
      <c r="BB516" s="629"/>
      <c r="BC516" s="190"/>
      <c r="BD516" s="510"/>
      <c r="BE516" s="510"/>
      <c r="BF516" s="177"/>
      <c r="BG516" s="177"/>
      <c r="BH516" s="166"/>
      <c r="BI516" s="474"/>
      <c r="BJ516" s="166"/>
      <c r="BK516" s="474"/>
      <c r="BL516" s="474"/>
      <c r="BM516" s="474"/>
      <c r="BN516" s="166"/>
      <c r="BO516" s="166"/>
      <c r="BP516" s="204"/>
      <c r="BQ516" s="475"/>
      <c r="BR516" s="205"/>
      <c r="BS516" s="509"/>
      <c r="BT516" s="509"/>
      <c r="BU516" s="459"/>
      <c r="BV516" s="459"/>
      <c r="BW516" s="1"/>
      <c r="BX516" s="1"/>
      <c r="BY516" s="546"/>
      <c r="BZ516" s="546"/>
      <c r="CA516" s="546"/>
      <c r="CB516" s="546"/>
      <c r="CC516" s="728"/>
      <c r="CD516" s="728"/>
      <c r="CE516" s="170"/>
    </row>
    <row r="517" spans="1:83" customFormat="1">
      <c r="A517" s="701"/>
      <c r="B517" s="447"/>
      <c r="C517" s="161"/>
      <c r="D517" s="162"/>
      <c r="E517" s="1"/>
      <c r="F517" s="811"/>
      <c r="G517" s="440"/>
      <c r="H517" s="1"/>
      <c r="I517" s="55"/>
      <c r="J517" s="170"/>
      <c r="K517" s="1"/>
      <c r="L517" s="170"/>
      <c r="M517" s="1"/>
      <c r="N517" s="166"/>
      <c r="O517" s="170"/>
      <c r="P517" s="441"/>
      <c r="Q517" s="55"/>
      <c r="R517" s="177"/>
      <c r="S517" s="454"/>
      <c r="T517" s="178"/>
      <c r="U517" s="178"/>
      <c r="V517" s="179"/>
      <c r="W517" s="180"/>
      <c r="X517" s="179"/>
      <c r="Y517" s="180"/>
      <c r="Z517" s="178"/>
      <c r="AA517" s="178"/>
      <c r="AB517" s="178"/>
      <c r="AC517" s="178"/>
      <c r="AD517" s="182"/>
      <c r="AE517" s="182"/>
      <c r="AF517" s="182"/>
      <c r="AG517" s="182"/>
      <c r="AH517" s="401"/>
      <c r="AI517" s="401"/>
      <c r="AJ517" s="182"/>
      <c r="AK517" s="401"/>
      <c r="AL517" s="401"/>
      <c r="AM517" s="189"/>
      <c r="AN517" s="829"/>
      <c r="AO517" s="830"/>
      <c r="AP517" s="401"/>
      <c r="AQ517" s="401"/>
      <c r="AR517" s="401"/>
      <c r="AS517" s="401"/>
      <c r="AT517" s="403"/>
      <c r="AU517" s="403"/>
      <c r="AV517" s="170"/>
      <c r="AW517" s="166"/>
      <c r="AX517" s="166"/>
      <c r="AY517" s="189"/>
      <c r="AZ517" s="189"/>
      <c r="BA517" s="196"/>
      <c r="BB517" s="629"/>
      <c r="BC517" s="190"/>
      <c r="BD517" s="510"/>
      <c r="BE517" s="510"/>
      <c r="BF517" s="177"/>
      <c r="BG517" s="177"/>
      <c r="BH517" s="166"/>
      <c r="BI517" s="474"/>
      <c r="BJ517" s="166"/>
      <c r="BK517" s="474"/>
      <c r="BL517" s="474"/>
      <c r="BM517" s="474"/>
      <c r="BN517" s="166"/>
      <c r="BO517" s="166"/>
      <c r="BP517" s="204"/>
      <c r="BQ517" s="475"/>
      <c r="BR517" s="205"/>
      <c r="BS517" s="509"/>
      <c r="BT517" s="509"/>
      <c r="BU517" s="459"/>
      <c r="BV517" s="459"/>
      <c r="BW517" s="1"/>
      <c r="BX517" s="1"/>
      <c r="BY517" s="546"/>
      <c r="BZ517" s="546"/>
      <c r="CA517" s="546"/>
      <c r="CB517" s="546"/>
      <c r="CC517" s="728"/>
      <c r="CD517" s="728"/>
      <c r="CE517" s="170"/>
    </row>
    <row r="518" spans="1:83" customFormat="1">
      <c r="A518" s="701"/>
      <c r="B518" s="447"/>
      <c r="C518" s="161"/>
      <c r="D518" s="162"/>
      <c r="E518" s="1"/>
      <c r="F518" s="811"/>
      <c r="G518" s="440"/>
      <c r="H518" s="1"/>
      <c r="I518" s="55"/>
      <c r="J518" s="170"/>
      <c r="K518" s="1"/>
      <c r="L518" s="170"/>
      <c r="M518" s="1"/>
      <c r="N518" s="458"/>
      <c r="O518" s="170"/>
      <c r="P518" s="441"/>
      <c r="Q518" s="55"/>
      <c r="R518" s="177"/>
      <c r="S518" s="454"/>
      <c r="T518" s="178"/>
      <c r="U518" s="178"/>
      <c r="V518" s="179"/>
      <c r="W518" s="180"/>
      <c r="X518" s="179"/>
      <c r="Y518" s="180"/>
      <c r="Z518" s="178"/>
      <c r="AA518" s="178"/>
      <c r="AB518" s="178"/>
      <c r="AC518" s="178"/>
      <c r="AD518" s="182"/>
      <c r="AE518" s="182"/>
      <c r="AF518" s="182"/>
      <c r="AG518" s="182"/>
      <c r="AH518" s="401"/>
      <c r="AI518" s="401"/>
      <c r="AJ518" s="401"/>
      <c r="AK518" s="401"/>
      <c r="AL518" s="401"/>
      <c r="AM518" s="189"/>
      <c r="AN518" s="829"/>
      <c r="AO518" s="830"/>
      <c r="AP518" s="401"/>
      <c r="AQ518" s="401"/>
      <c r="AR518" s="401"/>
      <c r="AS518" s="401"/>
      <c r="AT518" s="403"/>
      <c r="AU518" s="403"/>
      <c r="AV518" s="170"/>
      <c r="AW518" s="166"/>
      <c r="AX518" s="166"/>
      <c r="AY518" s="189"/>
      <c r="AZ518" s="189"/>
      <c r="BA518" s="196"/>
      <c r="BB518" s="629"/>
      <c r="BC518" s="190"/>
      <c r="BD518" s="510"/>
      <c r="BE518" s="510"/>
      <c r="BF518" s="177"/>
      <c r="BG518" s="177"/>
      <c r="BH518" s="166"/>
      <c r="BI518" s="474"/>
      <c r="BJ518" s="166"/>
      <c r="BK518" s="474"/>
      <c r="BL518" s="474"/>
      <c r="BM518" s="474"/>
      <c r="BN518" s="166"/>
      <c r="BO518" s="166"/>
      <c r="BP518" s="204"/>
      <c r="BQ518" s="475"/>
      <c r="BR518" s="205"/>
      <c r="BS518" s="509"/>
      <c r="BT518" s="509"/>
      <c r="BU518" s="459"/>
      <c r="BV518" s="459"/>
      <c r="BW518" s="1"/>
      <c r="BX518" s="1"/>
      <c r="BY518" s="546"/>
      <c r="BZ518" s="546"/>
      <c r="CA518" s="546"/>
      <c r="CB518" s="546"/>
      <c r="CC518" s="728"/>
      <c r="CD518" s="728"/>
      <c r="CE518" s="170"/>
    </row>
    <row r="519" spans="1:83" customFormat="1">
      <c r="A519" s="701"/>
      <c r="B519" s="447"/>
      <c r="C519" s="161"/>
      <c r="D519" s="162"/>
      <c r="E519" s="1"/>
      <c r="F519" s="811"/>
      <c r="G519" s="440"/>
      <c r="H519" s="1"/>
      <c r="I519" s="55"/>
      <c r="J519" s="170"/>
      <c r="K519" s="1"/>
      <c r="L519" s="170"/>
      <c r="M519" s="1"/>
      <c r="N519" s="458"/>
      <c r="O519" s="170"/>
      <c r="P519" s="441"/>
      <c r="Q519" s="55"/>
      <c r="R519" s="177"/>
      <c r="S519" s="454"/>
      <c r="T519" s="178"/>
      <c r="U519" s="178"/>
      <c r="V519" s="179"/>
      <c r="W519" s="180"/>
      <c r="X519" s="179"/>
      <c r="Y519" s="180"/>
      <c r="Z519" s="178"/>
      <c r="AA519" s="178"/>
      <c r="AB519" s="178"/>
      <c r="AC519" s="178"/>
      <c r="AD519" s="182"/>
      <c r="AE519" s="182"/>
      <c r="AF519" s="182"/>
      <c r="AG519" s="182"/>
      <c r="AH519" s="401"/>
      <c r="AI519" s="401"/>
      <c r="AJ519" s="401"/>
      <c r="AK519" s="401"/>
      <c r="AL519" s="401"/>
      <c r="AM519" s="189"/>
      <c r="AN519" s="829"/>
      <c r="AO519" s="830"/>
      <c r="AP519" s="401"/>
      <c r="AQ519" s="401"/>
      <c r="AR519" s="401"/>
      <c r="AS519" s="401"/>
      <c r="AT519" s="403"/>
      <c r="AU519" s="403"/>
      <c r="AV519" s="170"/>
      <c r="AW519" s="166"/>
      <c r="AX519" s="166"/>
      <c r="AY519" s="189"/>
      <c r="AZ519" s="189"/>
      <c r="BA519" s="196"/>
      <c r="BB519" s="629"/>
      <c r="BC519" s="190"/>
      <c r="BD519" s="510"/>
      <c r="BE519" s="510"/>
      <c r="BF519" s="177"/>
      <c r="BG519" s="177"/>
      <c r="BH519" s="166"/>
      <c r="BI519" s="474"/>
      <c r="BJ519" s="166"/>
      <c r="BK519" s="474"/>
      <c r="BL519" s="474"/>
      <c r="BM519" s="474"/>
      <c r="BN519" s="166"/>
      <c r="BO519" s="166"/>
      <c r="BP519" s="204"/>
      <c r="BQ519" s="475"/>
      <c r="BR519" s="205"/>
      <c r="BS519" s="509"/>
      <c r="BT519" s="509"/>
      <c r="BU519" s="459"/>
      <c r="BV519" s="459"/>
      <c r="BW519" s="1"/>
      <c r="BX519" s="1"/>
      <c r="BY519" s="546"/>
      <c r="BZ519" s="546"/>
      <c r="CA519" s="546"/>
      <c r="CB519" s="546"/>
      <c r="CC519" s="728"/>
      <c r="CD519" s="728"/>
      <c r="CE519" s="170"/>
    </row>
    <row r="520" spans="1:83" customFormat="1">
      <c r="A520" s="701"/>
      <c r="B520" s="447"/>
      <c r="C520" s="161"/>
      <c r="D520" s="162"/>
      <c r="E520" s="1"/>
      <c r="F520" s="811"/>
      <c r="G520" s="440"/>
      <c r="H520" s="1"/>
      <c r="I520" s="55"/>
      <c r="J520" s="170"/>
      <c r="K520" s="1"/>
      <c r="L520" s="170"/>
      <c r="M520" s="1"/>
      <c r="N520" s="458"/>
      <c r="O520" s="170"/>
      <c r="P520" s="441"/>
      <c r="Q520" s="55"/>
      <c r="R520" s="177"/>
      <c r="S520" s="454"/>
      <c r="T520" s="178"/>
      <c r="U520" s="178"/>
      <c r="V520" s="179"/>
      <c r="W520" s="180"/>
      <c r="X520" s="179"/>
      <c r="Y520" s="180"/>
      <c r="Z520" s="178"/>
      <c r="AA520" s="178"/>
      <c r="AB520" s="178"/>
      <c r="AC520" s="178"/>
      <c r="AD520" s="182"/>
      <c r="AE520" s="182"/>
      <c r="AF520" s="182"/>
      <c r="AG520" s="182"/>
      <c r="AH520" s="401"/>
      <c r="AI520" s="401"/>
      <c r="AJ520" s="401"/>
      <c r="AK520" s="401"/>
      <c r="AL520" s="401"/>
      <c r="AM520" s="189"/>
      <c r="AN520" s="829"/>
      <c r="AO520" s="830"/>
      <c r="AP520" s="401"/>
      <c r="AQ520" s="401"/>
      <c r="AR520" s="401"/>
      <c r="AS520" s="401"/>
      <c r="AT520" s="403"/>
      <c r="AU520" s="403"/>
      <c r="AV520" s="170"/>
      <c r="AW520" s="166"/>
      <c r="AX520" s="166"/>
      <c r="AY520" s="189"/>
      <c r="AZ520" s="189"/>
      <c r="BA520" s="196"/>
      <c r="BB520" s="629"/>
      <c r="BC520" s="190"/>
      <c r="BD520" s="510"/>
      <c r="BE520" s="510"/>
      <c r="BF520" s="177"/>
      <c r="BG520" s="177"/>
      <c r="BH520" s="166"/>
      <c r="BI520" s="474"/>
      <c r="BJ520" s="166"/>
      <c r="BK520" s="474"/>
      <c r="BL520" s="474"/>
      <c r="BM520" s="474"/>
      <c r="BN520" s="166"/>
      <c r="BO520" s="166"/>
      <c r="BP520" s="204"/>
      <c r="BQ520" s="475"/>
      <c r="BR520" s="205"/>
      <c r="BS520" s="509"/>
      <c r="BT520" s="509"/>
      <c r="BU520" s="459"/>
      <c r="BV520" s="459"/>
      <c r="BW520" s="1"/>
      <c r="BX520" s="1"/>
      <c r="BY520" s="546"/>
      <c r="BZ520" s="546"/>
      <c r="CA520" s="546"/>
      <c r="CB520" s="546"/>
      <c r="CC520" s="728"/>
      <c r="CD520" s="728"/>
      <c r="CE520" s="170"/>
    </row>
    <row r="521" spans="1:83" customFormat="1">
      <c r="A521" s="701"/>
      <c r="B521" s="447"/>
      <c r="C521" s="1"/>
      <c r="D521" s="538"/>
      <c r="E521" s="1"/>
      <c r="F521" s="811"/>
      <c r="G521" s="440"/>
      <c r="H521" s="1"/>
      <c r="I521" s="55"/>
      <c r="J521" s="171"/>
      <c r="K521" s="55"/>
      <c r="L521" s="171"/>
      <c r="M521" s="55"/>
      <c r="N521" s="172"/>
      <c r="O521" s="170"/>
      <c r="P521" s="139"/>
      <c r="Q521" s="172"/>
      <c r="R521" s="181"/>
      <c r="S521" s="455"/>
      <c r="T521" s="170"/>
      <c r="U521" s="170"/>
      <c r="V521" s="1"/>
      <c r="W521" s="173"/>
      <c r="X521" s="1"/>
      <c r="Y521" s="166"/>
      <c r="Z521" s="170"/>
      <c r="AA521" s="170"/>
      <c r="AB521" s="170"/>
      <c r="AC521" s="170"/>
      <c r="AD521" s="182"/>
      <c r="AE521" s="182"/>
      <c r="AF521" s="182"/>
      <c r="AG521" s="182"/>
      <c r="AH521" s="189"/>
      <c r="AI521" s="401"/>
      <c r="AJ521" s="189"/>
      <c r="AK521" s="401"/>
      <c r="AL521" s="401"/>
      <c r="AM521" s="189"/>
      <c r="AN521" s="782"/>
      <c r="AO521" s="189"/>
      <c r="AP521" s="401"/>
      <c r="AQ521" s="401"/>
      <c r="AR521" s="401"/>
      <c r="AS521" s="188"/>
      <c r="AT521" s="1"/>
      <c r="AU521" s="403"/>
      <c r="AV521" s="1"/>
      <c r="AW521" s="166"/>
      <c r="AX521" s="166"/>
      <c r="AY521" s="189"/>
      <c r="AZ521" s="189"/>
      <c r="BA521" s="196"/>
      <c r="BB521" s="629"/>
      <c r="BC521" s="197"/>
      <c r="BD521" s="510"/>
      <c r="BE521" s="510"/>
      <c r="BF521" s="177"/>
      <c r="BG521" s="177"/>
      <c r="BH521" s="166"/>
      <c r="BI521" s="474"/>
      <c r="BJ521" s="166"/>
      <c r="BK521" s="474"/>
      <c r="BL521" s="474"/>
      <c r="BM521" s="474"/>
      <c r="BN521" s="166"/>
      <c r="BO521" s="166"/>
      <c r="BP521" s="204"/>
      <c r="BQ521" s="475"/>
      <c r="BR521" s="205"/>
      <c r="BS521" s="509"/>
      <c r="BT521" s="509"/>
      <c r="BU521" s="459"/>
      <c r="BV521" s="459"/>
      <c r="BW521" s="1"/>
      <c r="BX521" s="1"/>
      <c r="BY521" s="546"/>
      <c r="BZ521" s="546"/>
      <c r="CA521" s="546"/>
      <c r="CB521" s="546"/>
      <c r="CC521" s="728"/>
      <c r="CD521" s="728"/>
      <c r="CE521" s="170"/>
    </row>
    <row r="522" spans="1:83" customFormat="1">
      <c r="A522" s="701"/>
      <c r="B522" s="447"/>
      <c r="C522" s="161"/>
      <c r="D522" s="162"/>
      <c r="E522" s="1"/>
      <c r="F522" s="811"/>
      <c r="G522" s="440"/>
      <c r="H522" s="1"/>
      <c r="I522" s="55"/>
      <c r="J522" s="170"/>
      <c r="K522" s="1"/>
      <c r="L522" s="170"/>
      <c r="M522" s="1"/>
      <c r="N522" s="458"/>
      <c r="O522" s="170"/>
      <c r="P522" s="441"/>
      <c r="Q522" s="55"/>
      <c r="R522" s="177"/>
      <c r="S522" s="454"/>
      <c r="T522" s="178"/>
      <c r="U522" s="178"/>
      <c r="V522" s="179"/>
      <c r="W522" s="180"/>
      <c r="X522" s="179"/>
      <c r="Y522" s="180"/>
      <c r="Z522" s="178"/>
      <c r="AA522" s="178"/>
      <c r="AB522" s="178"/>
      <c r="AC522" s="178"/>
      <c r="AD522" s="182"/>
      <c r="AE522" s="182"/>
      <c r="AF522" s="182"/>
      <c r="AG522" s="182"/>
      <c r="AH522" s="401"/>
      <c r="AI522" s="401"/>
      <c r="AJ522" s="401"/>
      <c r="AK522" s="401"/>
      <c r="AL522" s="401"/>
      <c r="AM522" s="189"/>
      <c r="AN522" s="829"/>
      <c r="AO522" s="830"/>
      <c r="AP522" s="401"/>
      <c r="AQ522" s="401"/>
      <c r="AR522" s="401"/>
      <c r="AS522" s="401"/>
      <c r="AT522" s="403"/>
      <c r="AU522" s="403"/>
      <c r="AV522" s="170"/>
      <c r="AW522" s="166"/>
      <c r="AX522" s="166"/>
      <c r="AY522" s="189"/>
      <c r="AZ522" s="189"/>
      <c r="BA522" s="196"/>
      <c r="BB522" s="629"/>
      <c r="BC522" s="190"/>
      <c r="BD522" s="510"/>
      <c r="BE522" s="510"/>
      <c r="BF522" s="177"/>
      <c r="BG522" s="177"/>
      <c r="BH522" s="166"/>
      <c r="BI522" s="474"/>
      <c r="BJ522" s="166"/>
      <c r="BK522" s="474"/>
      <c r="BL522" s="474"/>
      <c r="BM522" s="474"/>
      <c r="BN522" s="166"/>
      <c r="BO522" s="166"/>
      <c r="BP522" s="204"/>
      <c r="BQ522" s="475"/>
      <c r="BR522" s="205"/>
      <c r="BS522" s="509"/>
      <c r="BT522" s="509"/>
      <c r="BU522" s="459"/>
      <c r="BV522" s="459"/>
      <c r="BW522" s="1"/>
      <c r="BX522" s="1"/>
      <c r="BY522" s="546"/>
      <c r="BZ522" s="546"/>
      <c r="CA522" s="546"/>
      <c r="CB522" s="546"/>
      <c r="CC522" s="728"/>
      <c r="CD522" s="728"/>
      <c r="CE522" s="170"/>
    </row>
    <row r="523" spans="1:83" customFormat="1">
      <c r="A523" s="701"/>
      <c r="B523" s="447"/>
      <c r="C523" s="161"/>
      <c r="D523" s="162"/>
      <c r="E523" s="1"/>
      <c r="F523" s="811"/>
      <c r="G523" s="440"/>
      <c r="H523" s="1"/>
      <c r="I523" s="55"/>
      <c r="J523" s="170"/>
      <c r="K523" s="1"/>
      <c r="L523" s="170"/>
      <c r="M523" s="1"/>
      <c r="N523" s="458"/>
      <c r="O523" s="170"/>
      <c r="P523" s="441"/>
      <c r="Q523" s="55"/>
      <c r="R523" s="177"/>
      <c r="S523" s="454"/>
      <c r="T523" s="178"/>
      <c r="U523" s="178"/>
      <c r="V523" s="179"/>
      <c r="W523" s="180"/>
      <c r="X523" s="179"/>
      <c r="Y523" s="180"/>
      <c r="Z523" s="178"/>
      <c r="AA523" s="178"/>
      <c r="AB523" s="178"/>
      <c r="AC523" s="178"/>
      <c r="AD523" s="182"/>
      <c r="AE523" s="182"/>
      <c r="AF523" s="182"/>
      <c r="AG523" s="182"/>
      <c r="AH523" s="401"/>
      <c r="AI523" s="401"/>
      <c r="AJ523" s="401"/>
      <c r="AK523" s="401"/>
      <c r="AL523" s="401"/>
      <c r="AM523" s="189"/>
      <c r="AN523" s="829"/>
      <c r="AO523" s="830"/>
      <c r="AP523" s="401"/>
      <c r="AQ523" s="401"/>
      <c r="AR523" s="401"/>
      <c r="AS523" s="401"/>
      <c r="AT523" s="403"/>
      <c r="AU523" s="403"/>
      <c r="AV523" s="170"/>
      <c r="AW523" s="166"/>
      <c r="AX523" s="166"/>
      <c r="AY523" s="189"/>
      <c r="AZ523" s="189"/>
      <c r="BA523" s="196"/>
      <c r="BB523" s="629"/>
      <c r="BC523" s="190"/>
      <c r="BD523" s="510"/>
      <c r="BE523" s="510"/>
      <c r="BF523" s="177"/>
      <c r="BG523" s="177"/>
      <c r="BH523" s="166"/>
      <c r="BI523" s="474"/>
      <c r="BJ523" s="166"/>
      <c r="BK523" s="474"/>
      <c r="BL523" s="474"/>
      <c r="BM523" s="474"/>
      <c r="BN523" s="166"/>
      <c r="BO523" s="166"/>
      <c r="BP523" s="204"/>
      <c r="BQ523" s="475"/>
      <c r="BR523" s="205"/>
      <c r="BS523" s="509"/>
      <c r="BT523" s="509"/>
      <c r="BU523" s="459"/>
      <c r="BV523" s="459"/>
      <c r="BW523" s="1"/>
      <c r="BX523" s="1"/>
      <c r="BY523" s="546"/>
      <c r="BZ523" s="546"/>
      <c r="CA523" s="546"/>
      <c r="CB523" s="546"/>
      <c r="CC523" s="728"/>
      <c r="CD523" s="728"/>
      <c r="CE523" s="170"/>
    </row>
    <row r="524" spans="1:83" customFormat="1">
      <c r="A524" s="701"/>
      <c r="B524" s="447"/>
      <c r="C524" s="161"/>
      <c r="D524" s="162"/>
      <c r="E524" s="1"/>
      <c r="F524" s="811"/>
      <c r="G524" s="440"/>
      <c r="H524" s="1"/>
      <c r="I524" s="55"/>
      <c r="J524" s="457"/>
      <c r="K524" s="1"/>
      <c r="L524" s="170"/>
      <c r="M524" s="1"/>
      <c r="N524" s="458"/>
      <c r="O524" s="170"/>
      <c r="P524" s="441"/>
      <c r="Q524" s="55"/>
      <c r="R524" s="177"/>
      <c r="S524" s="454"/>
      <c r="T524" s="178"/>
      <c r="U524" s="178"/>
      <c r="V524" s="179"/>
      <c r="W524" s="180"/>
      <c r="X524" s="179"/>
      <c r="Y524" s="180"/>
      <c r="Z524" s="178"/>
      <c r="AA524" s="178"/>
      <c r="AB524" s="178"/>
      <c r="AC524" s="178"/>
      <c r="AD524" s="182"/>
      <c r="AE524" s="182"/>
      <c r="AF524" s="182"/>
      <c r="AG524" s="182"/>
      <c r="AH524" s="401"/>
      <c r="AI524" s="401"/>
      <c r="AJ524" s="401"/>
      <c r="AK524" s="401"/>
      <c r="AL524" s="401"/>
      <c r="AM524" s="189"/>
      <c r="AN524" s="829"/>
      <c r="AO524" s="830"/>
      <c r="AP524" s="401"/>
      <c r="AQ524" s="401"/>
      <c r="AR524" s="401"/>
      <c r="AS524" s="401"/>
      <c r="AT524" s="403"/>
      <c r="AU524" s="403"/>
      <c r="AV524" s="170"/>
      <c r="AW524" s="166"/>
      <c r="AX524" s="166"/>
      <c r="AY524" s="189"/>
      <c r="AZ524" s="189"/>
      <c r="BA524" s="196"/>
      <c r="BB524" s="629"/>
      <c r="BC524" s="190"/>
      <c r="BD524" s="510"/>
      <c r="BE524" s="510"/>
      <c r="BF524" s="177"/>
      <c r="BG524" s="177"/>
      <c r="BH524" s="166"/>
      <c r="BI524" s="474"/>
      <c r="BJ524" s="166"/>
      <c r="BK524" s="474"/>
      <c r="BL524" s="474"/>
      <c r="BM524" s="474"/>
      <c r="BN524" s="166"/>
      <c r="BO524" s="166"/>
      <c r="BP524" s="204"/>
      <c r="BQ524" s="475"/>
      <c r="BR524" s="205"/>
      <c r="BS524" s="509"/>
      <c r="BT524" s="509"/>
      <c r="BU524" s="459"/>
      <c r="BV524" s="459"/>
      <c r="BW524" s="1"/>
      <c r="BX524" s="1"/>
      <c r="BY524" s="546"/>
      <c r="BZ524" s="546"/>
      <c r="CA524" s="546"/>
      <c r="CB524" s="546"/>
      <c r="CC524" s="728"/>
      <c r="CD524" s="728"/>
      <c r="CE524" s="170"/>
    </row>
    <row r="525" spans="1:83" customFormat="1">
      <c r="A525" s="701"/>
      <c r="B525" s="447"/>
      <c r="C525" s="161"/>
      <c r="D525" s="162"/>
      <c r="E525" s="1"/>
      <c r="F525" s="811"/>
      <c r="G525" s="440"/>
      <c r="H525" s="1"/>
      <c r="I525" s="55"/>
      <c r="J525" s="170"/>
      <c r="K525" s="1"/>
      <c r="L525" s="170"/>
      <c r="M525" s="1"/>
      <c r="N525" s="458"/>
      <c r="O525" s="170"/>
      <c r="P525" s="441"/>
      <c r="Q525" s="55"/>
      <c r="R525" s="177"/>
      <c r="S525" s="454"/>
      <c r="T525" s="178"/>
      <c r="U525" s="178"/>
      <c r="V525" s="179"/>
      <c r="W525" s="180"/>
      <c r="X525" s="179"/>
      <c r="Y525" s="180"/>
      <c r="Z525" s="178"/>
      <c r="AA525" s="178"/>
      <c r="AB525" s="178"/>
      <c r="AC525" s="178"/>
      <c r="AD525" s="182"/>
      <c r="AE525" s="182"/>
      <c r="AF525" s="182"/>
      <c r="AG525" s="182"/>
      <c r="AH525" s="401"/>
      <c r="AI525" s="401"/>
      <c r="AJ525" s="401"/>
      <c r="AK525" s="401"/>
      <c r="AL525" s="401"/>
      <c r="AM525" s="189"/>
      <c r="AN525" s="829"/>
      <c r="AO525" s="830"/>
      <c r="AP525" s="401"/>
      <c r="AQ525" s="401"/>
      <c r="AR525" s="401"/>
      <c r="AS525" s="401"/>
      <c r="AT525" s="403"/>
      <c r="AU525" s="403"/>
      <c r="AV525" s="170"/>
      <c r="AW525" s="166"/>
      <c r="AX525" s="166"/>
      <c r="AY525" s="189"/>
      <c r="AZ525" s="189"/>
      <c r="BA525" s="196"/>
      <c r="BB525" s="629"/>
      <c r="BC525" s="190"/>
      <c r="BD525" s="510"/>
      <c r="BE525" s="510"/>
      <c r="BF525" s="177"/>
      <c r="BG525" s="177"/>
      <c r="BH525" s="166"/>
      <c r="BI525" s="474"/>
      <c r="BJ525" s="166"/>
      <c r="BK525" s="474"/>
      <c r="BL525" s="474"/>
      <c r="BM525" s="474"/>
      <c r="BN525" s="166"/>
      <c r="BO525" s="166"/>
      <c r="BP525" s="204"/>
      <c r="BQ525" s="475"/>
      <c r="BR525" s="205"/>
      <c r="BS525" s="509"/>
      <c r="BT525" s="509"/>
      <c r="BU525" s="459"/>
      <c r="BV525" s="459"/>
      <c r="BW525" s="1"/>
      <c r="BX525" s="1"/>
      <c r="BY525" s="546"/>
      <c r="BZ525" s="546"/>
      <c r="CA525" s="546"/>
      <c r="CB525" s="546"/>
      <c r="CC525" s="728"/>
      <c r="CD525" s="728"/>
      <c r="CE525" s="170"/>
    </row>
    <row r="526" spans="1:83" customFormat="1">
      <c r="A526" s="701"/>
      <c r="B526" s="447"/>
      <c r="C526" s="161"/>
      <c r="D526" s="162"/>
      <c r="E526" s="1"/>
      <c r="F526" s="811"/>
      <c r="G526" s="440"/>
      <c r="H526" s="1"/>
      <c r="I526" s="55"/>
      <c r="J526" s="170"/>
      <c r="K526" s="1"/>
      <c r="L526" s="170"/>
      <c r="M526" s="1"/>
      <c r="N526" s="458"/>
      <c r="O526" s="170"/>
      <c r="P526" s="441"/>
      <c r="Q526" s="55"/>
      <c r="R526" s="177"/>
      <c r="S526" s="454"/>
      <c r="T526" s="178"/>
      <c r="U526" s="178"/>
      <c r="V526" s="179"/>
      <c r="W526" s="180"/>
      <c r="X526" s="179"/>
      <c r="Y526" s="180"/>
      <c r="Z526" s="178"/>
      <c r="AA526" s="178"/>
      <c r="AB526" s="178"/>
      <c r="AC526" s="178"/>
      <c r="AD526" s="182"/>
      <c r="AE526" s="182"/>
      <c r="AF526" s="182"/>
      <c r="AG526" s="182"/>
      <c r="AH526" s="401"/>
      <c r="AI526" s="401"/>
      <c r="AJ526" s="401"/>
      <c r="AK526" s="401"/>
      <c r="AL526" s="401"/>
      <c r="AM526" s="189"/>
      <c r="AN526" s="829"/>
      <c r="AO526" s="830"/>
      <c r="AP526" s="401"/>
      <c r="AQ526" s="401"/>
      <c r="AR526" s="401"/>
      <c r="AS526" s="401"/>
      <c r="AT526" s="403"/>
      <c r="AU526" s="403"/>
      <c r="AV526" s="170"/>
      <c r="AW526" s="166"/>
      <c r="AX526" s="166"/>
      <c r="AY526" s="189"/>
      <c r="AZ526" s="189"/>
      <c r="BA526" s="196"/>
      <c r="BB526" s="629"/>
      <c r="BC526" s="190"/>
      <c r="BD526" s="510"/>
      <c r="BE526" s="510"/>
      <c r="BF526" s="177"/>
      <c r="BG526" s="177"/>
      <c r="BH526" s="166"/>
      <c r="BI526" s="474"/>
      <c r="BJ526" s="166"/>
      <c r="BK526" s="474"/>
      <c r="BL526" s="474"/>
      <c r="BM526" s="474"/>
      <c r="BN526" s="166"/>
      <c r="BO526" s="166"/>
      <c r="BP526" s="204"/>
      <c r="BQ526" s="475"/>
      <c r="BR526" s="205"/>
      <c r="BS526" s="509"/>
      <c r="BT526" s="509"/>
      <c r="BU526" s="459"/>
      <c r="BV526" s="459"/>
      <c r="BW526" s="1"/>
      <c r="BX526" s="1"/>
      <c r="BY526" s="546"/>
      <c r="BZ526" s="546"/>
      <c r="CA526" s="546"/>
      <c r="CB526" s="546"/>
      <c r="CC526" s="728"/>
      <c r="CD526" s="728"/>
      <c r="CE526" s="170"/>
    </row>
    <row r="527" spans="1:83" customFormat="1">
      <c r="A527" s="701"/>
      <c r="B527" s="447"/>
      <c r="C527" s="161"/>
      <c r="D527" s="162"/>
      <c r="E527" s="1"/>
      <c r="F527" s="811"/>
      <c r="G527" s="440"/>
      <c r="H527" s="1"/>
      <c r="I527" s="55"/>
      <c r="J527" s="170"/>
      <c r="K527" s="1"/>
      <c r="L527" s="170"/>
      <c r="M527" s="1"/>
      <c r="N527" s="458"/>
      <c r="O527" s="170"/>
      <c r="P527" s="441"/>
      <c r="Q527" s="55"/>
      <c r="R527" s="177"/>
      <c r="S527" s="454"/>
      <c r="T527" s="178"/>
      <c r="U527" s="178"/>
      <c r="V527" s="179"/>
      <c r="W527" s="180"/>
      <c r="X527" s="179"/>
      <c r="Y527" s="180"/>
      <c r="Z527" s="178"/>
      <c r="AA527" s="178"/>
      <c r="AB527" s="178"/>
      <c r="AC527" s="178"/>
      <c r="AD527" s="182"/>
      <c r="AE527" s="182"/>
      <c r="AF527" s="182"/>
      <c r="AG527" s="182"/>
      <c r="AH527" s="401"/>
      <c r="AI527" s="401"/>
      <c r="AJ527" s="401"/>
      <c r="AK527" s="401"/>
      <c r="AL527" s="401"/>
      <c r="AM527" s="189"/>
      <c r="AN527" s="829"/>
      <c r="AO527" s="830"/>
      <c r="AP527" s="401"/>
      <c r="AQ527" s="401"/>
      <c r="AR527" s="401"/>
      <c r="AS527" s="401"/>
      <c r="AT527" s="403"/>
      <c r="AU527" s="403"/>
      <c r="AV527" s="170"/>
      <c r="AW527" s="166"/>
      <c r="AX527" s="166"/>
      <c r="AY527" s="189"/>
      <c r="AZ527" s="189"/>
      <c r="BA527" s="196"/>
      <c r="BB527" s="629"/>
      <c r="BC527" s="190"/>
      <c r="BD527" s="510"/>
      <c r="BE527" s="510"/>
      <c r="BF527" s="177"/>
      <c r="BG527" s="177"/>
      <c r="BH527" s="166"/>
      <c r="BI527" s="474"/>
      <c r="BJ527" s="166"/>
      <c r="BK527" s="474"/>
      <c r="BL527" s="474"/>
      <c r="BM527" s="474"/>
      <c r="BN527" s="166"/>
      <c r="BO527" s="166"/>
      <c r="BP527" s="204"/>
      <c r="BQ527" s="475"/>
      <c r="BR527" s="205"/>
      <c r="BS527" s="509"/>
      <c r="BT527" s="509"/>
      <c r="BU527" s="459"/>
      <c r="BV527" s="459"/>
      <c r="BW527" s="1"/>
      <c r="BX527" s="1"/>
      <c r="BY527" s="546"/>
      <c r="BZ527" s="546"/>
      <c r="CA527" s="546"/>
      <c r="CB527" s="546"/>
      <c r="CC527" s="728"/>
      <c r="CD527" s="728"/>
      <c r="CE527" s="170"/>
    </row>
    <row r="528" spans="1:83" customFormat="1">
      <c r="A528" s="701"/>
      <c r="B528" s="447"/>
      <c r="C528" s="161"/>
      <c r="D528" s="162"/>
      <c r="E528" s="1"/>
      <c r="F528" s="811"/>
      <c r="G528" s="440"/>
      <c r="H528" s="1"/>
      <c r="I528" s="55"/>
      <c r="J528" s="170"/>
      <c r="K528" s="1"/>
      <c r="L528" s="170"/>
      <c r="M528" s="1"/>
      <c r="N528" s="166"/>
      <c r="O528" s="170"/>
      <c r="P528" s="441"/>
      <c r="Q528" s="55"/>
      <c r="R528" s="177"/>
      <c r="S528" s="454"/>
      <c r="T528" s="178"/>
      <c r="U528" s="178"/>
      <c r="V528" s="179"/>
      <c r="W528" s="180"/>
      <c r="X528" s="179"/>
      <c r="Y528" s="180"/>
      <c r="Z528" s="178"/>
      <c r="AA528" s="178"/>
      <c r="AB528" s="178"/>
      <c r="AC528" s="178"/>
      <c r="AD528" s="182"/>
      <c r="AE528" s="182"/>
      <c r="AF528" s="182"/>
      <c r="AG528" s="182"/>
      <c r="AH528" s="401"/>
      <c r="AI528" s="401"/>
      <c r="AJ528" s="182"/>
      <c r="AK528" s="401"/>
      <c r="AL528" s="401"/>
      <c r="AM528" s="189"/>
      <c r="AN528" s="829"/>
      <c r="AO528" s="830"/>
      <c r="AP528" s="401"/>
      <c r="AQ528" s="401"/>
      <c r="AR528" s="401"/>
      <c r="AS528" s="401"/>
      <c r="AT528" s="403"/>
      <c r="AU528" s="403"/>
      <c r="AV528" s="170"/>
      <c r="AW528" s="166"/>
      <c r="AX528" s="166"/>
      <c r="AY528" s="189"/>
      <c r="AZ528" s="189"/>
      <c r="BA528" s="196"/>
      <c r="BB528" s="629"/>
      <c r="BC528" s="190"/>
      <c r="BD528" s="510"/>
      <c r="BE528" s="510"/>
      <c r="BF528" s="177"/>
      <c r="BG528" s="177"/>
      <c r="BH528" s="166"/>
      <c r="BI528" s="474"/>
      <c r="BJ528" s="166"/>
      <c r="BK528" s="474"/>
      <c r="BL528" s="474"/>
      <c r="BM528" s="474"/>
      <c r="BN528" s="166"/>
      <c r="BO528" s="166"/>
      <c r="BP528" s="204"/>
      <c r="BQ528" s="475"/>
      <c r="BR528" s="205"/>
      <c r="BS528" s="509"/>
      <c r="BT528" s="509"/>
      <c r="BU528" s="459"/>
      <c r="BV528" s="459"/>
      <c r="BW528" s="1"/>
      <c r="BX528" s="1"/>
      <c r="BY528" s="546"/>
      <c r="BZ528" s="546"/>
      <c r="CA528" s="546"/>
      <c r="CB528" s="546"/>
      <c r="CC528" s="728"/>
      <c r="CD528" s="728"/>
      <c r="CE528" s="170"/>
    </row>
    <row r="529" spans="1:83" customFormat="1">
      <c r="A529" s="701"/>
      <c r="B529" s="447"/>
      <c r="C529" s="161"/>
      <c r="D529" s="162"/>
      <c r="E529" s="1"/>
      <c r="F529" s="811"/>
      <c r="G529" s="440"/>
      <c r="H529" s="1"/>
      <c r="I529" s="55"/>
      <c r="J529" s="170"/>
      <c r="K529" s="1"/>
      <c r="L529" s="170"/>
      <c r="M529" s="1"/>
      <c r="N529" s="458"/>
      <c r="O529" s="170"/>
      <c r="P529" s="441"/>
      <c r="Q529" s="55"/>
      <c r="R529" s="177"/>
      <c r="S529" s="454"/>
      <c r="T529" s="178"/>
      <c r="U529" s="178"/>
      <c r="V529" s="179"/>
      <c r="W529" s="180"/>
      <c r="X529" s="179"/>
      <c r="Y529" s="180"/>
      <c r="Z529" s="178"/>
      <c r="AA529" s="178"/>
      <c r="AB529" s="178"/>
      <c r="AC529" s="178"/>
      <c r="AD529" s="182"/>
      <c r="AE529" s="182"/>
      <c r="AF529" s="182"/>
      <c r="AG529" s="182"/>
      <c r="AH529" s="401"/>
      <c r="AI529" s="401"/>
      <c r="AJ529" s="401"/>
      <c r="AK529" s="401"/>
      <c r="AL529" s="401"/>
      <c r="AM529" s="189"/>
      <c r="AN529" s="829"/>
      <c r="AO529" s="830"/>
      <c r="AP529" s="401"/>
      <c r="AQ529" s="401"/>
      <c r="AR529" s="401"/>
      <c r="AS529" s="401"/>
      <c r="AT529" s="403"/>
      <c r="AU529" s="403"/>
      <c r="AV529" s="170"/>
      <c r="AW529" s="166"/>
      <c r="AX529" s="166"/>
      <c r="AY529" s="189"/>
      <c r="AZ529" s="189"/>
      <c r="BA529" s="196"/>
      <c r="BB529" s="629"/>
      <c r="BC529" s="190"/>
      <c r="BD529" s="510"/>
      <c r="BE529" s="510"/>
      <c r="BF529" s="177"/>
      <c r="BG529" s="177"/>
      <c r="BH529" s="166"/>
      <c r="BI529" s="474"/>
      <c r="BJ529" s="166"/>
      <c r="BK529" s="474"/>
      <c r="BL529" s="474"/>
      <c r="BM529" s="474"/>
      <c r="BN529" s="166"/>
      <c r="BO529" s="166"/>
      <c r="BP529" s="204"/>
      <c r="BQ529" s="475"/>
      <c r="BR529" s="205"/>
      <c r="BS529" s="509"/>
      <c r="BT529" s="509"/>
      <c r="BU529" s="459"/>
      <c r="BV529" s="459"/>
      <c r="BW529" s="1"/>
      <c r="BX529" s="1"/>
      <c r="BY529" s="546"/>
      <c r="BZ529" s="546"/>
      <c r="CA529" s="546"/>
      <c r="CB529" s="546"/>
      <c r="CC529" s="728"/>
      <c r="CD529" s="728"/>
      <c r="CE529" s="170"/>
    </row>
    <row r="530" spans="1:83" customFormat="1">
      <c r="A530" s="701"/>
      <c r="B530" s="447"/>
      <c r="C530" s="161"/>
      <c r="D530" s="162"/>
      <c r="E530" s="1"/>
      <c r="F530" s="811"/>
      <c r="G530" s="440"/>
      <c r="H530" s="1"/>
      <c r="I530" s="55"/>
      <c r="J530" s="170"/>
      <c r="K530" s="1"/>
      <c r="L530" s="170"/>
      <c r="M530" s="1"/>
      <c r="N530" s="458"/>
      <c r="O530" s="170"/>
      <c r="P530" s="441"/>
      <c r="Q530" s="55"/>
      <c r="R530" s="177"/>
      <c r="S530" s="454"/>
      <c r="T530" s="178"/>
      <c r="U530" s="178"/>
      <c r="V530" s="179"/>
      <c r="W530" s="180"/>
      <c r="X530" s="179"/>
      <c r="Y530" s="180"/>
      <c r="Z530" s="178"/>
      <c r="AA530" s="178"/>
      <c r="AB530" s="178"/>
      <c r="AC530" s="178"/>
      <c r="AD530" s="182"/>
      <c r="AE530" s="182"/>
      <c r="AF530" s="182"/>
      <c r="AG530" s="182"/>
      <c r="AH530" s="401"/>
      <c r="AI530" s="401"/>
      <c r="AJ530" s="401"/>
      <c r="AK530" s="401"/>
      <c r="AL530" s="401"/>
      <c r="AM530" s="189"/>
      <c r="AN530" s="829"/>
      <c r="AO530" s="830"/>
      <c r="AP530" s="401"/>
      <c r="AQ530" s="401"/>
      <c r="AR530" s="401"/>
      <c r="AS530" s="401"/>
      <c r="AT530" s="403"/>
      <c r="AU530" s="403"/>
      <c r="AV530" s="170"/>
      <c r="AW530" s="166"/>
      <c r="AX530" s="166"/>
      <c r="AY530" s="189"/>
      <c r="AZ530" s="189"/>
      <c r="BA530" s="196"/>
      <c r="BB530" s="629"/>
      <c r="BC530" s="190"/>
      <c r="BD530" s="510"/>
      <c r="BE530" s="510"/>
      <c r="BF530" s="177"/>
      <c r="BG530" s="177"/>
      <c r="BH530" s="166"/>
      <c r="BI530" s="474"/>
      <c r="BJ530" s="166"/>
      <c r="BK530" s="474"/>
      <c r="BL530" s="474"/>
      <c r="BM530" s="474"/>
      <c r="BN530" s="166"/>
      <c r="BO530" s="166"/>
      <c r="BP530" s="204"/>
      <c r="BQ530" s="475"/>
      <c r="BR530" s="205"/>
      <c r="BS530" s="509"/>
      <c r="BT530" s="509"/>
      <c r="BU530" s="459"/>
      <c r="BV530" s="459"/>
      <c r="BW530" s="1"/>
      <c r="BX530" s="1"/>
      <c r="BY530" s="546"/>
      <c r="BZ530" s="546"/>
      <c r="CA530" s="546"/>
      <c r="CB530" s="546"/>
      <c r="CC530" s="728"/>
      <c r="CD530" s="728"/>
      <c r="CE530" s="170"/>
    </row>
    <row r="531" spans="1:83" customFormat="1">
      <c r="A531" s="701"/>
      <c r="B531" s="447"/>
      <c r="C531" s="161"/>
      <c r="D531" s="162"/>
      <c r="E531" s="1"/>
      <c r="F531" s="811"/>
      <c r="G531" s="440"/>
      <c r="H531" s="1"/>
      <c r="I531" s="55"/>
      <c r="J531" s="170"/>
      <c r="K531" s="1"/>
      <c r="L531" s="170"/>
      <c r="M531" s="1"/>
      <c r="N531" s="458"/>
      <c r="O531" s="170"/>
      <c r="P531" s="441"/>
      <c r="Q531" s="55"/>
      <c r="R531" s="177"/>
      <c r="S531" s="454"/>
      <c r="T531" s="178"/>
      <c r="U531" s="178"/>
      <c r="V531" s="179"/>
      <c r="W531" s="180"/>
      <c r="X531" s="179"/>
      <c r="Y531" s="180"/>
      <c r="Z531" s="178"/>
      <c r="AA531" s="178"/>
      <c r="AB531" s="178"/>
      <c r="AC531" s="178"/>
      <c r="AD531" s="182"/>
      <c r="AE531" s="182"/>
      <c r="AF531" s="182"/>
      <c r="AG531" s="182"/>
      <c r="AH531" s="401"/>
      <c r="AI531" s="401"/>
      <c r="AJ531" s="401"/>
      <c r="AK531" s="401"/>
      <c r="AL531" s="401"/>
      <c r="AM531" s="189"/>
      <c r="AN531" s="829"/>
      <c r="AO531" s="830"/>
      <c r="AP531" s="401"/>
      <c r="AQ531" s="401"/>
      <c r="AR531" s="401"/>
      <c r="AS531" s="401"/>
      <c r="AT531" s="403"/>
      <c r="AU531" s="403"/>
      <c r="AV531" s="170"/>
      <c r="AW531" s="166"/>
      <c r="AX531" s="166"/>
      <c r="AY531" s="189"/>
      <c r="AZ531" s="189"/>
      <c r="BA531" s="196"/>
      <c r="BB531" s="629"/>
      <c r="BC531" s="190"/>
      <c r="BD531" s="510"/>
      <c r="BE531" s="510"/>
      <c r="BF531" s="177"/>
      <c r="BG531" s="177"/>
      <c r="BH531" s="166"/>
      <c r="BI531" s="474"/>
      <c r="BJ531" s="166"/>
      <c r="BK531" s="474"/>
      <c r="BL531" s="474"/>
      <c r="BM531" s="474"/>
      <c r="BN531" s="166"/>
      <c r="BO531" s="166"/>
      <c r="BP531" s="204"/>
      <c r="BQ531" s="475"/>
      <c r="BR531" s="205"/>
      <c r="BS531" s="509"/>
      <c r="BT531" s="509"/>
      <c r="BU531" s="459"/>
      <c r="BV531" s="459"/>
      <c r="BW531" s="1"/>
      <c r="BX531" s="1"/>
      <c r="BY531" s="546"/>
      <c r="BZ531" s="546"/>
      <c r="CA531" s="546"/>
      <c r="CB531" s="546"/>
      <c r="CC531" s="728"/>
      <c r="CD531" s="728"/>
      <c r="CE531" s="170"/>
    </row>
    <row r="532" spans="1:83" customFormat="1">
      <c r="A532" s="701"/>
      <c r="B532" s="447"/>
      <c r="C532" s="1"/>
      <c r="D532" s="538"/>
      <c r="E532" s="1"/>
      <c r="F532" s="811"/>
      <c r="G532" s="440"/>
      <c r="H532" s="1"/>
      <c r="I532" s="55"/>
      <c r="J532" s="171"/>
      <c r="K532" s="55"/>
      <c r="L532" s="171"/>
      <c r="M532" s="55"/>
      <c r="N532" s="172"/>
      <c r="O532" s="170"/>
      <c r="P532" s="139"/>
      <c r="Q532" s="172"/>
      <c r="R532" s="181"/>
      <c r="S532" s="455"/>
      <c r="T532" s="170"/>
      <c r="U532" s="170"/>
      <c r="V532" s="1"/>
      <c r="W532" s="173"/>
      <c r="X532" s="1"/>
      <c r="Y532" s="166"/>
      <c r="Z532" s="170"/>
      <c r="AA532" s="170"/>
      <c r="AB532" s="170"/>
      <c r="AC532" s="170"/>
      <c r="AD532" s="182"/>
      <c r="AE532" s="182"/>
      <c r="AF532" s="182"/>
      <c r="AG532" s="182"/>
      <c r="AH532" s="189"/>
      <c r="AI532" s="401"/>
      <c r="AJ532" s="189"/>
      <c r="AK532" s="401"/>
      <c r="AL532" s="401"/>
      <c r="AM532" s="189"/>
      <c r="AN532" s="782"/>
      <c r="AO532" s="189"/>
      <c r="AP532" s="401"/>
      <c r="AQ532" s="401"/>
      <c r="AR532" s="401"/>
      <c r="AS532" s="188"/>
      <c r="AT532" s="1"/>
      <c r="AU532" s="403"/>
      <c r="AV532" s="1"/>
      <c r="AW532" s="166"/>
      <c r="AX532" s="166"/>
      <c r="AY532" s="189"/>
      <c r="AZ532" s="189"/>
      <c r="BA532" s="196"/>
      <c r="BB532" s="629"/>
      <c r="BC532" s="197"/>
      <c r="BD532" s="510"/>
      <c r="BE532" s="510"/>
      <c r="BF532" s="177"/>
      <c r="BG532" s="177"/>
      <c r="BH532" s="166"/>
      <c r="BI532" s="474"/>
      <c r="BJ532" s="166"/>
      <c r="BK532" s="474"/>
      <c r="BL532" s="474"/>
      <c r="BM532" s="474"/>
      <c r="BN532" s="166"/>
      <c r="BO532" s="166"/>
      <c r="BP532" s="204"/>
      <c r="BQ532" s="475"/>
      <c r="BR532" s="205"/>
      <c r="BS532" s="509"/>
      <c r="BT532" s="509"/>
      <c r="BU532" s="459"/>
      <c r="BV532" s="459"/>
      <c r="BW532" s="1"/>
      <c r="BX532" s="1"/>
      <c r="BY532" s="546"/>
      <c r="BZ532" s="546"/>
      <c r="CA532" s="546"/>
      <c r="CB532" s="546"/>
      <c r="CC532" s="728"/>
      <c r="CD532" s="728"/>
      <c r="CE532" s="170"/>
    </row>
    <row r="533" spans="1:83" customFormat="1">
      <c r="A533" s="701"/>
      <c r="B533" s="447"/>
      <c r="C533" s="161"/>
      <c r="D533" s="162"/>
      <c r="E533" s="1"/>
      <c r="F533" s="811"/>
      <c r="G533" s="440"/>
      <c r="H533" s="1"/>
      <c r="I533" s="55"/>
      <c r="J533" s="170"/>
      <c r="K533" s="1"/>
      <c r="L533" s="170"/>
      <c r="M533" s="1"/>
      <c r="N533" s="458"/>
      <c r="O533" s="170"/>
      <c r="P533" s="441"/>
      <c r="Q533" s="55"/>
      <c r="R533" s="177"/>
      <c r="S533" s="454"/>
      <c r="T533" s="178"/>
      <c r="U533" s="178"/>
      <c r="V533" s="179"/>
      <c r="W533" s="180"/>
      <c r="X533" s="179"/>
      <c r="Y533" s="180"/>
      <c r="Z533" s="178"/>
      <c r="AA533" s="178"/>
      <c r="AB533" s="178"/>
      <c r="AC533" s="178"/>
      <c r="AD533" s="182"/>
      <c r="AE533" s="182"/>
      <c r="AF533" s="182"/>
      <c r="AG533" s="182"/>
      <c r="AH533" s="401"/>
      <c r="AI533" s="401"/>
      <c r="AJ533" s="401"/>
      <c r="AK533" s="401"/>
      <c r="AL533" s="401"/>
      <c r="AM533" s="189"/>
      <c r="AN533" s="829"/>
      <c r="AO533" s="830"/>
      <c r="AP533" s="401"/>
      <c r="AQ533" s="401"/>
      <c r="AR533" s="401"/>
      <c r="AS533" s="401"/>
      <c r="AT533" s="403"/>
      <c r="AU533" s="403"/>
      <c r="AV533" s="170"/>
      <c r="AW533" s="166"/>
      <c r="AX533" s="166"/>
      <c r="AY533" s="189"/>
      <c r="AZ533" s="189"/>
      <c r="BA533" s="196"/>
      <c r="BB533" s="629"/>
      <c r="BC533" s="190"/>
      <c r="BD533" s="510"/>
      <c r="BE533" s="510"/>
      <c r="BF533" s="177"/>
      <c r="BG533" s="177"/>
      <c r="BH533" s="166"/>
      <c r="BI533" s="474"/>
      <c r="BJ533" s="166"/>
      <c r="BK533" s="474"/>
      <c r="BL533" s="474"/>
      <c r="BM533" s="474"/>
      <c r="BN533" s="166"/>
      <c r="BO533" s="166"/>
      <c r="BP533" s="204"/>
      <c r="BQ533" s="475"/>
      <c r="BR533" s="205"/>
      <c r="BS533" s="509"/>
      <c r="BT533" s="509"/>
      <c r="BU533" s="459"/>
      <c r="BV533" s="459"/>
      <c r="BW533" s="1"/>
      <c r="BX533" s="1"/>
      <c r="BY533" s="546"/>
      <c r="BZ533" s="546"/>
      <c r="CA533" s="546"/>
      <c r="CB533" s="546"/>
      <c r="CC533" s="728"/>
      <c r="CD533" s="728"/>
      <c r="CE533" s="170"/>
    </row>
    <row r="534" spans="1:83" customFormat="1">
      <c r="A534" s="701"/>
      <c r="B534" s="447"/>
      <c r="C534" s="161"/>
      <c r="D534" s="162"/>
      <c r="E534" s="1"/>
      <c r="F534" s="811"/>
      <c r="G534" s="440"/>
      <c r="H534" s="1"/>
      <c r="I534" s="55"/>
      <c r="J534" s="170"/>
      <c r="K534" s="1"/>
      <c r="L534" s="170"/>
      <c r="M534" s="1"/>
      <c r="N534" s="458"/>
      <c r="O534" s="170"/>
      <c r="P534" s="441"/>
      <c r="Q534" s="55"/>
      <c r="R534" s="177"/>
      <c r="S534" s="454"/>
      <c r="T534" s="178"/>
      <c r="U534" s="178"/>
      <c r="V534" s="179"/>
      <c r="W534" s="180"/>
      <c r="X534" s="179"/>
      <c r="Y534" s="180"/>
      <c r="Z534" s="178"/>
      <c r="AA534" s="178"/>
      <c r="AB534" s="178"/>
      <c r="AC534" s="178"/>
      <c r="AD534" s="182"/>
      <c r="AE534" s="182"/>
      <c r="AF534" s="182"/>
      <c r="AG534" s="182"/>
      <c r="AH534" s="401"/>
      <c r="AI534" s="401"/>
      <c r="AJ534" s="401"/>
      <c r="AK534" s="401"/>
      <c r="AL534" s="401"/>
      <c r="AM534" s="189"/>
      <c r="AN534" s="829"/>
      <c r="AO534" s="830"/>
      <c r="AP534" s="401"/>
      <c r="AQ534" s="401"/>
      <c r="AR534" s="401"/>
      <c r="AS534" s="401"/>
      <c r="AT534" s="403"/>
      <c r="AU534" s="403"/>
      <c r="AV534" s="170"/>
      <c r="AW534" s="166"/>
      <c r="AX534" s="166"/>
      <c r="AY534" s="189"/>
      <c r="AZ534" s="189"/>
      <c r="BA534" s="196"/>
      <c r="BB534" s="629"/>
      <c r="BC534" s="190"/>
      <c r="BD534" s="510"/>
      <c r="BE534" s="510"/>
      <c r="BF534" s="177"/>
      <c r="BG534" s="177"/>
      <c r="BH534" s="166"/>
      <c r="BI534" s="474"/>
      <c r="BJ534" s="166"/>
      <c r="BK534" s="474"/>
      <c r="BL534" s="474"/>
      <c r="BM534" s="474"/>
      <c r="BN534" s="166"/>
      <c r="BO534" s="166"/>
      <c r="BP534" s="204"/>
      <c r="BQ534" s="475"/>
      <c r="BR534" s="205"/>
      <c r="BS534" s="509"/>
      <c r="BT534" s="509"/>
      <c r="BU534" s="459"/>
      <c r="BV534" s="459"/>
      <c r="BW534" s="1"/>
      <c r="BX534" s="1"/>
      <c r="BY534" s="546"/>
      <c r="BZ534" s="546"/>
      <c r="CA534" s="546"/>
      <c r="CB534" s="546"/>
      <c r="CC534" s="728"/>
      <c r="CD534" s="728"/>
      <c r="CE534" s="170"/>
    </row>
    <row r="535" spans="1:83" customFormat="1">
      <c r="A535" s="701"/>
      <c r="B535" s="447"/>
      <c r="C535" s="161"/>
      <c r="D535" s="162"/>
      <c r="E535" s="1"/>
      <c r="F535" s="811"/>
      <c r="G535" s="440"/>
      <c r="H535" s="1"/>
      <c r="I535" s="55"/>
      <c r="J535" s="457"/>
      <c r="K535" s="1"/>
      <c r="L535" s="170"/>
      <c r="M535" s="1"/>
      <c r="N535" s="458"/>
      <c r="O535" s="170"/>
      <c r="P535" s="441"/>
      <c r="Q535" s="55"/>
      <c r="R535" s="177"/>
      <c r="S535" s="454"/>
      <c r="T535" s="178"/>
      <c r="U535" s="178"/>
      <c r="V535" s="179"/>
      <c r="W535" s="180"/>
      <c r="X535" s="179"/>
      <c r="Y535" s="180"/>
      <c r="Z535" s="178"/>
      <c r="AA535" s="178"/>
      <c r="AB535" s="178"/>
      <c r="AC535" s="178"/>
      <c r="AD535" s="182"/>
      <c r="AE535" s="182"/>
      <c r="AF535" s="182"/>
      <c r="AG535" s="182"/>
      <c r="AH535" s="401"/>
      <c r="AI535" s="401"/>
      <c r="AJ535" s="401"/>
      <c r="AK535" s="401"/>
      <c r="AL535" s="401"/>
      <c r="AM535" s="189"/>
      <c r="AN535" s="829"/>
      <c r="AO535" s="830"/>
      <c r="AP535" s="401"/>
      <c r="AQ535" s="401"/>
      <c r="AR535" s="401"/>
      <c r="AS535" s="401"/>
      <c r="AT535" s="403"/>
      <c r="AU535" s="403"/>
      <c r="AV535" s="170"/>
      <c r="AW535" s="166"/>
      <c r="AX535" s="166"/>
      <c r="AY535" s="189"/>
      <c r="AZ535" s="189"/>
      <c r="BA535" s="196"/>
      <c r="BB535" s="629"/>
      <c r="BC535" s="190"/>
      <c r="BD535" s="510"/>
      <c r="BE535" s="510"/>
      <c r="BF535" s="177"/>
      <c r="BG535" s="177"/>
      <c r="BH535" s="166"/>
      <c r="BI535" s="474"/>
      <c r="BJ535" s="166"/>
      <c r="BK535" s="474"/>
      <c r="BL535" s="474"/>
      <c r="BM535" s="474"/>
      <c r="BN535" s="166"/>
      <c r="BO535" s="166"/>
      <c r="BP535" s="204"/>
      <c r="BQ535" s="475"/>
      <c r="BR535" s="205"/>
      <c r="BS535" s="509"/>
      <c r="BT535" s="509"/>
      <c r="BU535" s="459"/>
      <c r="BV535" s="459"/>
      <c r="BW535" s="1"/>
      <c r="BX535" s="1"/>
      <c r="BY535" s="546"/>
      <c r="BZ535" s="546"/>
      <c r="CA535" s="546"/>
      <c r="CB535" s="546"/>
      <c r="CC535" s="728"/>
      <c r="CD535" s="728"/>
      <c r="CE535" s="170"/>
    </row>
    <row r="536" spans="1:83" customFormat="1">
      <c r="A536" s="701"/>
      <c r="B536" s="447"/>
      <c r="C536" s="161"/>
      <c r="D536" s="162"/>
      <c r="E536" s="1"/>
      <c r="F536" s="811"/>
      <c r="G536" s="440"/>
      <c r="H536" s="1"/>
      <c r="I536" s="55"/>
      <c r="J536" s="170"/>
      <c r="K536" s="1"/>
      <c r="L536" s="170"/>
      <c r="M536" s="1"/>
      <c r="N536" s="458"/>
      <c r="O536" s="170"/>
      <c r="P536" s="441"/>
      <c r="Q536" s="55"/>
      <c r="R536" s="177"/>
      <c r="S536" s="454"/>
      <c r="T536" s="178"/>
      <c r="U536" s="178"/>
      <c r="V536" s="179"/>
      <c r="W536" s="180"/>
      <c r="X536" s="179"/>
      <c r="Y536" s="180"/>
      <c r="Z536" s="178"/>
      <c r="AA536" s="178"/>
      <c r="AB536" s="178"/>
      <c r="AC536" s="178"/>
      <c r="AD536" s="182"/>
      <c r="AE536" s="182"/>
      <c r="AF536" s="182"/>
      <c r="AG536" s="182"/>
      <c r="AH536" s="401"/>
      <c r="AI536" s="401"/>
      <c r="AJ536" s="401"/>
      <c r="AK536" s="401"/>
      <c r="AL536" s="401"/>
      <c r="AM536" s="189"/>
      <c r="AN536" s="829"/>
      <c r="AO536" s="830"/>
      <c r="AP536" s="401"/>
      <c r="AQ536" s="401"/>
      <c r="AR536" s="401"/>
      <c r="AS536" s="401"/>
      <c r="AT536" s="403"/>
      <c r="AU536" s="403"/>
      <c r="AV536" s="170"/>
      <c r="AW536" s="166"/>
      <c r="AX536" s="166"/>
      <c r="AY536" s="189"/>
      <c r="AZ536" s="189"/>
      <c r="BA536" s="196"/>
      <c r="BB536" s="629"/>
      <c r="BC536" s="190"/>
      <c r="BD536" s="510"/>
      <c r="BE536" s="510"/>
      <c r="BF536" s="177"/>
      <c r="BG536" s="177"/>
      <c r="BH536" s="166"/>
      <c r="BI536" s="474"/>
      <c r="BJ536" s="166"/>
      <c r="BK536" s="474"/>
      <c r="BL536" s="474"/>
      <c r="BM536" s="474"/>
      <c r="BN536" s="166"/>
      <c r="BO536" s="166"/>
      <c r="BP536" s="204"/>
      <c r="BQ536" s="475"/>
      <c r="BR536" s="205"/>
      <c r="BS536" s="509"/>
      <c r="BT536" s="509"/>
      <c r="BU536" s="459"/>
      <c r="BV536" s="459"/>
      <c r="BW536" s="1"/>
      <c r="BX536" s="1"/>
      <c r="BY536" s="546"/>
      <c r="BZ536" s="546"/>
      <c r="CA536" s="546"/>
      <c r="CB536" s="546"/>
      <c r="CC536" s="728"/>
      <c r="CD536" s="728"/>
      <c r="CE536" s="170"/>
    </row>
    <row r="537" spans="1:83" customFormat="1">
      <c r="A537" s="701"/>
      <c r="B537" s="447"/>
      <c r="C537" s="161"/>
      <c r="D537" s="162"/>
      <c r="E537" s="1"/>
      <c r="F537" s="811"/>
      <c r="G537" s="440"/>
      <c r="H537" s="1"/>
      <c r="I537" s="55"/>
      <c r="J537" s="170"/>
      <c r="K537" s="1"/>
      <c r="L537" s="170"/>
      <c r="M537" s="1"/>
      <c r="N537" s="458"/>
      <c r="O537" s="170"/>
      <c r="P537" s="441"/>
      <c r="Q537" s="55"/>
      <c r="R537" s="177"/>
      <c r="S537" s="454"/>
      <c r="T537" s="178"/>
      <c r="U537" s="178"/>
      <c r="V537" s="179"/>
      <c r="W537" s="180"/>
      <c r="X537" s="179"/>
      <c r="Y537" s="180"/>
      <c r="Z537" s="178"/>
      <c r="AA537" s="178"/>
      <c r="AB537" s="178"/>
      <c r="AC537" s="178"/>
      <c r="AD537" s="182"/>
      <c r="AE537" s="182"/>
      <c r="AF537" s="182"/>
      <c r="AG537" s="182"/>
      <c r="AH537" s="401"/>
      <c r="AI537" s="401"/>
      <c r="AJ537" s="401"/>
      <c r="AK537" s="401"/>
      <c r="AL537" s="401"/>
      <c r="AM537" s="189"/>
      <c r="AN537" s="829"/>
      <c r="AO537" s="830"/>
      <c r="AP537" s="401"/>
      <c r="AQ537" s="401"/>
      <c r="AR537" s="401"/>
      <c r="AS537" s="401"/>
      <c r="AT537" s="403"/>
      <c r="AU537" s="403"/>
      <c r="AV537" s="170"/>
      <c r="AW537" s="166"/>
      <c r="AX537" s="166"/>
      <c r="AY537" s="189"/>
      <c r="AZ537" s="189"/>
      <c r="BA537" s="196"/>
      <c r="BB537" s="629"/>
      <c r="BC537" s="190"/>
      <c r="BD537" s="510"/>
      <c r="BE537" s="510"/>
      <c r="BF537" s="177"/>
      <c r="BG537" s="177"/>
      <c r="BH537" s="166"/>
      <c r="BI537" s="474"/>
      <c r="BJ537" s="166"/>
      <c r="BK537" s="474"/>
      <c r="BL537" s="474"/>
      <c r="BM537" s="474"/>
      <c r="BN537" s="166"/>
      <c r="BO537" s="166"/>
      <c r="BP537" s="204"/>
      <c r="BQ537" s="475"/>
      <c r="BR537" s="205"/>
      <c r="BS537" s="509"/>
      <c r="BT537" s="509"/>
      <c r="BU537" s="459"/>
      <c r="BV537" s="459"/>
      <c r="BW537" s="1"/>
      <c r="BX537" s="1"/>
      <c r="BY537" s="546"/>
      <c r="BZ537" s="546"/>
      <c r="CA537" s="546"/>
      <c r="CB537" s="546"/>
      <c r="CC537" s="728"/>
      <c r="CD537" s="728"/>
      <c r="CE537" s="170"/>
    </row>
    <row r="538" spans="1:83" customFormat="1">
      <c r="A538" s="701"/>
      <c r="B538" s="447"/>
      <c r="C538" s="161"/>
      <c r="D538" s="162"/>
      <c r="E538" s="1"/>
      <c r="F538" s="811"/>
      <c r="G538" s="440"/>
      <c r="H538" s="1"/>
      <c r="I538" s="55"/>
      <c r="J538" s="170"/>
      <c r="K538" s="1"/>
      <c r="L538" s="170"/>
      <c r="M538" s="1"/>
      <c r="N538" s="458"/>
      <c r="O538" s="170"/>
      <c r="P538" s="441"/>
      <c r="Q538" s="55"/>
      <c r="R538" s="177"/>
      <c r="S538" s="454"/>
      <c r="T538" s="178"/>
      <c r="U538" s="178"/>
      <c r="V538" s="179"/>
      <c r="W538" s="180"/>
      <c r="X538" s="179"/>
      <c r="Y538" s="180"/>
      <c r="Z538" s="178"/>
      <c r="AA538" s="178"/>
      <c r="AB538" s="178"/>
      <c r="AC538" s="178"/>
      <c r="AD538" s="182"/>
      <c r="AE538" s="182"/>
      <c r="AF538" s="182"/>
      <c r="AG538" s="182"/>
      <c r="AH538" s="401"/>
      <c r="AI538" s="401"/>
      <c r="AJ538" s="401"/>
      <c r="AK538" s="401"/>
      <c r="AL538" s="401"/>
      <c r="AM538" s="189"/>
      <c r="AN538" s="829"/>
      <c r="AO538" s="830"/>
      <c r="AP538" s="401"/>
      <c r="AQ538" s="401"/>
      <c r="AR538" s="401"/>
      <c r="AS538" s="401"/>
      <c r="AT538" s="403"/>
      <c r="AU538" s="403"/>
      <c r="AV538" s="170"/>
      <c r="AW538" s="166"/>
      <c r="AX538" s="166"/>
      <c r="AY538" s="189"/>
      <c r="AZ538" s="189"/>
      <c r="BA538" s="196"/>
      <c r="BB538" s="629"/>
      <c r="BC538" s="190"/>
      <c r="BD538" s="510"/>
      <c r="BE538" s="510"/>
      <c r="BF538" s="177"/>
      <c r="BG538" s="177"/>
      <c r="BH538" s="166"/>
      <c r="BI538" s="474"/>
      <c r="BJ538" s="166"/>
      <c r="BK538" s="474"/>
      <c r="BL538" s="474"/>
      <c r="BM538" s="474"/>
      <c r="BN538" s="166"/>
      <c r="BO538" s="166"/>
      <c r="BP538" s="204"/>
      <c r="BQ538" s="475"/>
      <c r="BR538" s="205"/>
      <c r="BS538" s="509"/>
      <c r="BT538" s="509"/>
      <c r="BU538" s="459"/>
      <c r="BV538" s="459"/>
      <c r="BW538" s="1"/>
      <c r="BX538" s="1"/>
      <c r="BY538" s="546"/>
      <c r="BZ538" s="546"/>
      <c r="CA538" s="546"/>
      <c r="CB538" s="546"/>
      <c r="CC538" s="728"/>
      <c r="CD538" s="728"/>
      <c r="CE538" s="170"/>
    </row>
    <row r="539" spans="1:83" customFormat="1">
      <c r="A539" s="701"/>
      <c r="B539" s="447"/>
      <c r="C539" s="161"/>
      <c r="D539" s="162"/>
      <c r="E539" s="1"/>
      <c r="F539" s="811"/>
      <c r="G539" s="440"/>
      <c r="H539" s="1"/>
      <c r="I539" s="55"/>
      <c r="J539" s="170"/>
      <c r="K539" s="1"/>
      <c r="L539" s="170"/>
      <c r="M539" s="1"/>
      <c r="N539" s="166"/>
      <c r="O539" s="170"/>
      <c r="P539" s="441"/>
      <c r="Q539" s="55"/>
      <c r="R539" s="177"/>
      <c r="S539" s="454"/>
      <c r="T539" s="178"/>
      <c r="U539" s="178"/>
      <c r="V539" s="179"/>
      <c r="W539" s="180"/>
      <c r="X539" s="179"/>
      <c r="Y539" s="180"/>
      <c r="Z539" s="178"/>
      <c r="AA539" s="178"/>
      <c r="AB539" s="178"/>
      <c r="AC539" s="178"/>
      <c r="AD539" s="182"/>
      <c r="AE539" s="182"/>
      <c r="AF539" s="182"/>
      <c r="AG539" s="182"/>
      <c r="AH539" s="401"/>
      <c r="AI539" s="401"/>
      <c r="AJ539" s="182"/>
      <c r="AK539" s="401"/>
      <c r="AL539" s="401"/>
      <c r="AM539" s="189"/>
      <c r="AN539" s="829"/>
      <c r="AO539" s="830"/>
      <c r="AP539" s="401"/>
      <c r="AQ539" s="401"/>
      <c r="AR539" s="401"/>
      <c r="AS539" s="401"/>
      <c r="AT539" s="403"/>
      <c r="AU539" s="403"/>
      <c r="AV539" s="170"/>
      <c r="AW539" s="166"/>
      <c r="AX539" s="166"/>
      <c r="AY539" s="189"/>
      <c r="AZ539" s="189"/>
      <c r="BA539" s="196"/>
      <c r="BB539" s="629"/>
      <c r="BC539" s="190"/>
      <c r="BD539" s="510"/>
      <c r="BE539" s="510"/>
      <c r="BF539" s="177"/>
      <c r="BG539" s="177"/>
      <c r="BH539" s="166"/>
      <c r="BI539" s="474"/>
      <c r="BJ539" s="166"/>
      <c r="BK539" s="474"/>
      <c r="BL539" s="474"/>
      <c r="BM539" s="474"/>
      <c r="BN539" s="166"/>
      <c r="BO539" s="166"/>
      <c r="BP539" s="204"/>
      <c r="BQ539" s="475"/>
      <c r="BR539" s="205"/>
      <c r="BS539" s="509"/>
      <c r="BT539" s="509"/>
      <c r="BU539" s="459"/>
      <c r="BV539" s="459"/>
      <c r="BW539" s="1"/>
      <c r="BX539" s="1"/>
      <c r="BY539" s="546"/>
      <c r="BZ539" s="546"/>
      <c r="CA539" s="546"/>
      <c r="CB539" s="546"/>
      <c r="CC539" s="728"/>
      <c r="CD539" s="728"/>
      <c r="CE539" s="170"/>
    </row>
    <row r="540" spans="1:83" customFormat="1">
      <c r="A540" s="701"/>
      <c r="B540" s="447"/>
      <c r="C540" s="161"/>
      <c r="D540" s="162"/>
      <c r="E540" s="1"/>
      <c r="F540" s="811"/>
      <c r="G540" s="440"/>
      <c r="H540" s="1"/>
      <c r="I540" s="55"/>
      <c r="J540" s="170"/>
      <c r="K540" s="1"/>
      <c r="L540" s="170"/>
      <c r="M540" s="1"/>
      <c r="N540" s="458"/>
      <c r="O540" s="170"/>
      <c r="P540" s="441"/>
      <c r="Q540" s="55"/>
      <c r="R540" s="177"/>
      <c r="S540" s="454"/>
      <c r="T540" s="178"/>
      <c r="U540" s="178"/>
      <c r="V540" s="179"/>
      <c r="W540" s="180"/>
      <c r="X540" s="179"/>
      <c r="Y540" s="180"/>
      <c r="Z540" s="178"/>
      <c r="AA540" s="178"/>
      <c r="AB540" s="178"/>
      <c r="AC540" s="178"/>
      <c r="AD540" s="182"/>
      <c r="AE540" s="182"/>
      <c r="AF540" s="182"/>
      <c r="AG540" s="182"/>
      <c r="AH540" s="401"/>
      <c r="AI540" s="401"/>
      <c r="AJ540" s="401"/>
      <c r="AK540" s="401"/>
      <c r="AL540" s="401"/>
      <c r="AM540" s="189"/>
      <c r="AN540" s="829"/>
      <c r="AO540" s="830"/>
      <c r="AP540" s="401"/>
      <c r="AQ540" s="401"/>
      <c r="AR540" s="401"/>
      <c r="AS540" s="401"/>
      <c r="AT540" s="403"/>
      <c r="AU540" s="403"/>
      <c r="AV540" s="170"/>
      <c r="AW540" s="166"/>
      <c r="AX540" s="166"/>
      <c r="AY540" s="189"/>
      <c r="AZ540" s="189"/>
      <c r="BA540" s="196"/>
      <c r="BB540" s="629"/>
      <c r="BC540" s="190"/>
      <c r="BD540" s="510"/>
      <c r="BE540" s="510"/>
      <c r="BF540" s="177"/>
      <c r="BG540" s="177"/>
      <c r="BH540" s="166"/>
      <c r="BI540" s="474"/>
      <c r="BJ540" s="166"/>
      <c r="BK540" s="474"/>
      <c r="BL540" s="474"/>
      <c r="BM540" s="474"/>
      <c r="BN540" s="166"/>
      <c r="BO540" s="166"/>
      <c r="BP540" s="204"/>
      <c r="BQ540" s="475"/>
      <c r="BR540" s="205"/>
      <c r="BS540" s="509"/>
      <c r="BT540" s="509"/>
      <c r="BU540" s="459"/>
      <c r="BV540" s="459"/>
      <c r="BW540" s="1"/>
      <c r="BX540" s="1"/>
      <c r="BY540" s="546"/>
      <c r="BZ540" s="546"/>
      <c r="CA540" s="546"/>
      <c r="CB540" s="546"/>
      <c r="CC540" s="728"/>
      <c r="CD540" s="728"/>
      <c r="CE540" s="170"/>
    </row>
    <row r="541" spans="1:83" customFormat="1">
      <c r="A541" s="701"/>
      <c r="B541" s="447"/>
      <c r="C541" s="161"/>
      <c r="D541" s="162"/>
      <c r="E541" s="1"/>
      <c r="F541" s="811"/>
      <c r="G541" s="440"/>
      <c r="H541" s="1"/>
      <c r="I541" s="55"/>
      <c r="J541" s="170"/>
      <c r="K541" s="1"/>
      <c r="L541" s="170"/>
      <c r="M541" s="1"/>
      <c r="N541" s="458"/>
      <c r="O541" s="170"/>
      <c r="P541" s="441"/>
      <c r="Q541" s="55"/>
      <c r="R541" s="177"/>
      <c r="S541" s="454"/>
      <c r="T541" s="178"/>
      <c r="U541" s="178"/>
      <c r="V541" s="179"/>
      <c r="W541" s="180"/>
      <c r="X541" s="179"/>
      <c r="Y541" s="180"/>
      <c r="Z541" s="178"/>
      <c r="AA541" s="178"/>
      <c r="AB541" s="178"/>
      <c r="AC541" s="178"/>
      <c r="AD541" s="182"/>
      <c r="AE541" s="182"/>
      <c r="AF541" s="182"/>
      <c r="AG541" s="182"/>
      <c r="AH541" s="401"/>
      <c r="AI541" s="401"/>
      <c r="AJ541" s="401"/>
      <c r="AK541" s="401"/>
      <c r="AL541" s="401"/>
      <c r="AM541" s="189"/>
      <c r="AN541" s="829"/>
      <c r="AO541" s="830"/>
      <c r="AP541" s="401"/>
      <c r="AQ541" s="401"/>
      <c r="AR541" s="401"/>
      <c r="AS541" s="401"/>
      <c r="AT541" s="403"/>
      <c r="AU541" s="403"/>
      <c r="AV541" s="170"/>
      <c r="AW541" s="166"/>
      <c r="AX541" s="166"/>
      <c r="AY541" s="189"/>
      <c r="AZ541" s="189"/>
      <c r="BA541" s="196"/>
      <c r="BB541" s="629"/>
      <c r="BC541" s="190"/>
      <c r="BD541" s="510"/>
      <c r="BE541" s="510"/>
      <c r="BF541" s="177"/>
      <c r="BG541" s="177"/>
      <c r="BH541" s="166"/>
      <c r="BI541" s="474"/>
      <c r="BJ541" s="166"/>
      <c r="BK541" s="474"/>
      <c r="BL541" s="474"/>
      <c r="BM541" s="474"/>
      <c r="BN541" s="166"/>
      <c r="BO541" s="166"/>
      <c r="BP541" s="204"/>
      <c r="BQ541" s="475"/>
      <c r="BR541" s="205"/>
      <c r="BS541" s="509"/>
      <c r="BT541" s="509"/>
      <c r="BU541" s="459"/>
      <c r="BV541" s="459"/>
      <c r="BW541" s="1"/>
      <c r="BX541" s="1"/>
      <c r="BY541" s="546"/>
      <c r="BZ541" s="546"/>
      <c r="CA541" s="546"/>
      <c r="CB541" s="546"/>
      <c r="CC541" s="728"/>
      <c r="CD541" s="728"/>
      <c r="CE541" s="170"/>
    </row>
    <row r="542" spans="1:83" customFormat="1">
      <c r="A542" s="701"/>
      <c r="B542" s="447"/>
      <c r="C542" s="161"/>
      <c r="D542" s="162"/>
      <c r="E542" s="1"/>
      <c r="F542" s="811"/>
      <c r="G542" s="440"/>
      <c r="H542" s="1"/>
      <c r="I542" s="55"/>
      <c r="J542" s="170"/>
      <c r="K542" s="1"/>
      <c r="L542" s="170"/>
      <c r="M542" s="1"/>
      <c r="N542" s="458"/>
      <c r="O542" s="170"/>
      <c r="P542" s="441"/>
      <c r="Q542" s="55"/>
      <c r="R542" s="177"/>
      <c r="S542" s="454"/>
      <c r="T542" s="178"/>
      <c r="U542" s="178"/>
      <c r="V542" s="179"/>
      <c r="W542" s="180"/>
      <c r="X542" s="179"/>
      <c r="Y542" s="180"/>
      <c r="Z542" s="178"/>
      <c r="AA542" s="178"/>
      <c r="AB542" s="178"/>
      <c r="AC542" s="178"/>
      <c r="AD542" s="182"/>
      <c r="AE542" s="182"/>
      <c r="AF542" s="182"/>
      <c r="AG542" s="182"/>
      <c r="AH542" s="401"/>
      <c r="AI542" s="401"/>
      <c r="AJ542" s="401"/>
      <c r="AK542" s="401"/>
      <c r="AL542" s="401"/>
      <c r="AM542" s="189"/>
      <c r="AN542" s="829"/>
      <c r="AO542" s="830"/>
      <c r="AP542" s="401"/>
      <c r="AQ542" s="401"/>
      <c r="AR542" s="401"/>
      <c r="AS542" s="401"/>
      <c r="AT542" s="403"/>
      <c r="AU542" s="403"/>
      <c r="AV542" s="170"/>
      <c r="AW542" s="166"/>
      <c r="AX542" s="166"/>
      <c r="AY542" s="189"/>
      <c r="AZ542" s="189"/>
      <c r="BA542" s="196"/>
      <c r="BB542" s="629"/>
      <c r="BC542" s="190"/>
      <c r="BD542" s="510"/>
      <c r="BE542" s="510"/>
      <c r="BF542" s="177"/>
      <c r="BG542" s="177"/>
      <c r="BH542" s="166"/>
      <c r="BI542" s="474"/>
      <c r="BJ542" s="166"/>
      <c r="BK542" s="474"/>
      <c r="BL542" s="474"/>
      <c r="BM542" s="474"/>
      <c r="BN542" s="166"/>
      <c r="BO542" s="166"/>
      <c r="BP542" s="204"/>
      <c r="BQ542" s="475"/>
      <c r="BR542" s="205"/>
      <c r="BS542" s="509"/>
      <c r="BT542" s="509"/>
      <c r="BU542" s="459"/>
      <c r="BV542" s="459"/>
      <c r="BW542" s="1"/>
      <c r="BX542" s="1"/>
      <c r="BY542" s="546"/>
      <c r="BZ542" s="546"/>
      <c r="CA542" s="546"/>
      <c r="CB542" s="546"/>
      <c r="CC542" s="728"/>
      <c r="CD542" s="728"/>
      <c r="CE542" s="170"/>
    </row>
    <row r="543" spans="1:83" customFormat="1">
      <c r="A543" s="701"/>
      <c r="B543" s="447"/>
      <c r="C543" s="1"/>
      <c r="D543" s="538"/>
      <c r="E543" s="1"/>
      <c r="F543" s="811"/>
      <c r="G543" s="440"/>
      <c r="H543" s="1"/>
      <c r="I543" s="55"/>
      <c r="J543" s="171"/>
      <c r="K543" s="55"/>
      <c r="L543" s="171"/>
      <c r="M543" s="55"/>
      <c r="N543" s="172"/>
      <c r="O543" s="170"/>
      <c r="P543" s="139"/>
      <c r="Q543" s="172"/>
      <c r="R543" s="181"/>
      <c r="S543" s="455"/>
      <c r="T543" s="170"/>
      <c r="U543" s="170"/>
      <c r="V543" s="1"/>
      <c r="W543" s="173"/>
      <c r="X543" s="1"/>
      <c r="Y543" s="166"/>
      <c r="Z543" s="170"/>
      <c r="AA543" s="170"/>
      <c r="AB543" s="170"/>
      <c r="AC543" s="170"/>
      <c r="AD543" s="182"/>
      <c r="AE543" s="182"/>
      <c r="AF543" s="182"/>
      <c r="AG543" s="182"/>
      <c r="AH543" s="189"/>
      <c r="AI543" s="401"/>
      <c r="AJ543" s="189"/>
      <c r="AK543" s="401"/>
      <c r="AL543" s="401"/>
      <c r="AM543" s="189"/>
      <c r="AN543" s="782"/>
      <c r="AO543" s="189"/>
      <c r="AP543" s="401"/>
      <c r="AQ543" s="401"/>
      <c r="AR543" s="401"/>
      <c r="AS543" s="188"/>
      <c r="AT543" s="1"/>
      <c r="AU543" s="403"/>
      <c r="AV543" s="1"/>
      <c r="AW543" s="166"/>
      <c r="AX543" s="166"/>
      <c r="AY543" s="189"/>
      <c r="AZ543" s="189"/>
      <c r="BA543" s="196"/>
      <c r="BB543" s="629"/>
      <c r="BC543" s="197"/>
      <c r="BD543" s="510"/>
      <c r="BE543" s="510"/>
      <c r="BF543" s="177"/>
      <c r="BG543" s="177"/>
      <c r="BH543" s="166"/>
      <c r="BI543" s="474"/>
      <c r="BJ543" s="166"/>
      <c r="BK543" s="474"/>
      <c r="BL543" s="474"/>
      <c r="BM543" s="474"/>
      <c r="BN543" s="166"/>
      <c r="BO543" s="166"/>
      <c r="BP543" s="204"/>
      <c r="BQ543" s="475"/>
      <c r="BR543" s="205"/>
      <c r="BS543" s="509"/>
      <c r="BT543" s="509"/>
      <c r="BU543" s="459"/>
      <c r="BV543" s="459"/>
      <c r="BW543" s="1"/>
      <c r="BX543" s="1"/>
      <c r="BY543" s="546"/>
      <c r="BZ543" s="546"/>
      <c r="CA543" s="546"/>
      <c r="CB543" s="546"/>
      <c r="CC543" s="728"/>
      <c r="CD543" s="728"/>
      <c r="CE543" s="170"/>
    </row>
    <row r="544" spans="1:83" customFormat="1">
      <c r="A544" s="701"/>
      <c r="B544" s="447"/>
      <c r="C544" s="161"/>
      <c r="D544" s="162"/>
      <c r="E544" s="1"/>
      <c r="F544" s="811"/>
      <c r="G544" s="440"/>
      <c r="H544" s="1"/>
      <c r="I544" s="55"/>
      <c r="J544" s="170"/>
      <c r="K544" s="1"/>
      <c r="L544" s="170"/>
      <c r="M544" s="1"/>
      <c r="N544" s="458"/>
      <c r="O544" s="170"/>
      <c r="P544" s="441"/>
      <c r="Q544" s="55"/>
      <c r="R544" s="177"/>
      <c r="S544" s="454"/>
      <c r="T544" s="178"/>
      <c r="U544" s="178"/>
      <c r="V544" s="179"/>
      <c r="W544" s="180"/>
      <c r="X544" s="179"/>
      <c r="Y544" s="180"/>
      <c r="Z544" s="178"/>
      <c r="AA544" s="178"/>
      <c r="AB544" s="178"/>
      <c r="AC544" s="178"/>
      <c r="AD544" s="182"/>
      <c r="AE544" s="182"/>
      <c r="AF544" s="182"/>
      <c r="AG544" s="182"/>
      <c r="AH544" s="401"/>
      <c r="AI544" s="401"/>
      <c r="AJ544" s="401"/>
      <c r="AK544" s="401"/>
      <c r="AL544" s="401"/>
      <c r="AM544" s="189"/>
      <c r="AN544" s="829"/>
      <c r="AO544" s="830"/>
      <c r="AP544" s="401"/>
      <c r="AQ544" s="401"/>
      <c r="AR544" s="401"/>
      <c r="AS544" s="401"/>
      <c r="AT544" s="403"/>
      <c r="AU544" s="403"/>
      <c r="AV544" s="170"/>
      <c r="AW544" s="166"/>
      <c r="AX544" s="166"/>
      <c r="AY544" s="189"/>
      <c r="AZ544" s="189"/>
      <c r="BA544" s="196"/>
      <c r="BB544" s="629"/>
      <c r="BC544" s="190"/>
      <c r="BD544" s="510"/>
      <c r="BE544" s="510"/>
      <c r="BF544" s="177"/>
      <c r="BG544" s="177"/>
      <c r="BH544" s="166"/>
      <c r="BI544" s="474"/>
      <c r="BJ544" s="166"/>
      <c r="BK544" s="474"/>
      <c r="BL544" s="474"/>
      <c r="BM544" s="474"/>
      <c r="BN544" s="166"/>
      <c r="BO544" s="166"/>
      <c r="BP544" s="204"/>
      <c r="BQ544" s="475"/>
      <c r="BR544" s="205"/>
      <c r="BS544" s="509"/>
      <c r="BT544" s="509"/>
      <c r="BU544" s="459"/>
      <c r="BV544" s="459"/>
      <c r="BW544" s="1"/>
      <c r="BX544" s="1"/>
      <c r="BY544" s="546"/>
      <c r="BZ544" s="546"/>
      <c r="CA544" s="546"/>
      <c r="CB544" s="546"/>
      <c r="CC544" s="728"/>
      <c r="CD544" s="728"/>
      <c r="CE544" s="170"/>
    </row>
    <row r="545" spans="1:83" customFormat="1">
      <c r="A545" s="701"/>
      <c r="B545" s="447"/>
      <c r="C545" s="161"/>
      <c r="D545" s="162"/>
      <c r="E545" s="1"/>
      <c r="F545" s="811"/>
      <c r="G545" s="440"/>
      <c r="H545" s="1"/>
      <c r="I545" s="55"/>
      <c r="J545" s="170"/>
      <c r="K545" s="1"/>
      <c r="L545" s="170"/>
      <c r="M545" s="1"/>
      <c r="N545" s="458"/>
      <c r="O545" s="170"/>
      <c r="P545" s="441"/>
      <c r="Q545" s="55"/>
      <c r="R545" s="177"/>
      <c r="S545" s="454"/>
      <c r="T545" s="178"/>
      <c r="U545" s="178"/>
      <c r="V545" s="179"/>
      <c r="W545" s="180"/>
      <c r="X545" s="179"/>
      <c r="Y545" s="180"/>
      <c r="Z545" s="178"/>
      <c r="AA545" s="178"/>
      <c r="AB545" s="178"/>
      <c r="AC545" s="178"/>
      <c r="AD545" s="182"/>
      <c r="AE545" s="182"/>
      <c r="AF545" s="182"/>
      <c r="AG545" s="182"/>
      <c r="AH545" s="401"/>
      <c r="AI545" s="401"/>
      <c r="AJ545" s="401"/>
      <c r="AK545" s="401"/>
      <c r="AL545" s="401"/>
      <c r="AM545" s="189"/>
      <c r="AN545" s="829"/>
      <c r="AO545" s="830"/>
      <c r="AP545" s="401"/>
      <c r="AQ545" s="401"/>
      <c r="AR545" s="401"/>
      <c r="AS545" s="401"/>
      <c r="AT545" s="403"/>
      <c r="AU545" s="403"/>
      <c r="AV545" s="170"/>
      <c r="AW545" s="166"/>
      <c r="AX545" s="166"/>
      <c r="AY545" s="189"/>
      <c r="AZ545" s="189"/>
      <c r="BA545" s="196"/>
      <c r="BB545" s="629"/>
      <c r="BC545" s="190"/>
      <c r="BD545" s="510"/>
      <c r="BE545" s="510"/>
      <c r="BF545" s="177"/>
      <c r="BG545" s="177"/>
      <c r="BH545" s="166"/>
      <c r="BI545" s="474"/>
      <c r="BJ545" s="166"/>
      <c r="BK545" s="474"/>
      <c r="BL545" s="474"/>
      <c r="BM545" s="474"/>
      <c r="BN545" s="166"/>
      <c r="BO545" s="166"/>
      <c r="BP545" s="204"/>
      <c r="BQ545" s="475"/>
      <c r="BR545" s="205"/>
      <c r="BS545" s="509"/>
      <c r="BT545" s="509"/>
      <c r="BU545" s="459"/>
      <c r="BV545" s="459"/>
      <c r="BW545" s="1"/>
      <c r="BX545" s="1"/>
      <c r="BY545" s="546"/>
      <c r="BZ545" s="546"/>
      <c r="CA545" s="546"/>
      <c r="CB545" s="546"/>
      <c r="CC545" s="728"/>
      <c r="CD545" s="728"/>
      <c r="CE545" s="170"/>
    </row>
    <row r="546" spans="1:83" customFormat="1">
      <c r="A546" s="701"/>
      <c r="B546" s="447"/>
      <c r="C546" s="161"/>
      <c r="D546" s="162"/>
      <c r="E546" s="1"/>
      <c r="F546" s="811"/>
      <c r="G546" s="440"/>
      <c r="H546" s="1"/>
      <c r="I546" s="55"/>
      <c r="J546" s="457"/>
      <c r="K546" s="1"/>
      <c r="L546" s="170"/>
      <c r="M546" s="1"/>
      <c r="N546" s="458"/>
      <c r="O546" s="170"/>
      <c r="P546" s="441"/>
      <c r="Q546" s="55"/>
      <c r="R546" s="177"/>
      <c r="S546" s="454"/>
      <c r="T546" s="178"/>
      <c r="U546" s="178"/>
      <c r="V546" s="179"/>
      <c r="W546" s="180"/>
      <c r="X546" s="179"/>
      <c r="Y546" s="180"/>
      <c r="Z546" s="178"/>
      <c r="AA546" s="178"/>
      <c r="AB546" s="178"/>
      <c r="AC546" s="178"/>
      <c r="AD546" s="182"/>
      <c r="AE546" s="182"/>
      <c r="AF546" s="182"/>
      <c r="AG546" s="182"/>
      <c r="AH546" s="401"/>
      <c r="AI546" s="401"/>
      <c r="AJ546" s="401"/>
      <c r="AK546" s="401"/>
      <c r="AL546" s="401"/>
      <c r="AM546" s="189"/>
      <c r="AN546" s="829"/>
      <c r="AO546" s="830"/>
      <c r="AP546" s="401"/>
      <c r="AQ546" s="401"/>
      <c r="AR546" s="401"/>
      <c r="AS546" s="401"/>
      <c r="AT546" s="403"/>
      <c r="AU546" s="403"/>
      <c r="AV546" s="170"/>
      <c r="AW546" s="166"/>
      <c r="AX546" s="166"/>
      <c r="AY546" s="189"/>
      <c r="AZ546" s="189"/>
      <c r="BA546" s="196"/>
      <c r="BB546" s="629"/>
      <c r="BC546" s="190"/>
      <c r="BD546" s="510"/>
      <c r="BE546" s="510"/>
      <c r="BF546" s="177"/>
      <c r="BG546" s="177"/>
      <c r="BH546" s="166"/>
      <c r="BI546" s="474"/>
      <c r="BJ546" s="166"/>
      <c r="BK546" s="474"/>
      <c r="BL546" s="474"/>
      <c r="BM546" s="474"/>
      <c r="BN546" s="166"/>
      <c r="BO546" s="166"/>
      <c r="BP546" s="204"/>
      <c r="BQ546" s="475"/>
      <c r="BR546" s="205"/>
      <c r="BS546" s="509"/>
      <c r="BT546" s="509"/>
      <c r="BU546" s="459"/>
      <c r="BV546" s="459"/>
      <c r="BW546" s="1"/>
      <c r="BX546" s="1"/>
      <c r="BY546" s="546"/>
      <c r="BZ546" s="546"/>
      <c r="CA546" s="546"/>
      <c r="CB546" s="546"/>
      <c r="CC546" s="728"/>
      <c r="CD546" s="728"/>
      <c r="CE546" s="170"/>
    </row>
    <row r="547" spans="1:83" customFormat="1">
      <c r="A547" s="701"/>
      <c r="B547" s="447"/>
      <c r="C547" s="161"/>
      <c r="D547" s="162"/>
      <c r="E547" s="1"/>
      <c r="F547" s="811"/>
      <c r="G547" s="440"/>
      <c r="H547" s="1"/>
      <c r="I547" s="55"/>
      <c r="J547" s="170"/>
      <c r="K547" s="1"/>
      <c r="L547" s="170"/>
      <c r="M547" s="1"/>
      <c r="N547" s="458"/>
      <c r="O547" s="170"/>
      <c r="P547" s="441"/>
      <c r="Q547" s="55"/>
      <c r="R547" s="177"/>
      <c r="S547" s="454"/>
      <c r="T547" s="178"/>
      <c r="U547" s="178"/>
      <c r="V547" s="179"/>
      <c r="W547" s="180"/>
      <c r="X547" s="179"/>
      <c r="Y547" s="180"/>
      <c r="Z547" s="178"/>
      <c r="AA547" s="178"/>
      <c r="AB547" s="178"/>
      <c r="AC547" s="178"/>
      <c r="AD547" s="182"/>
      <c r="AE547" s="182"/>
      <c r="AF547" s="182"/>
      <c r="AG547" s="182"/>
      <c r="AH547" s="401"/>
      <c r="AI547" s="401"/>
      <c r="AJ547" s="401"/>
      <c r="AK547" s="401"/>
      <c r="AL547" s="401"/>
      <c r="AM547" s="189"/>
      <c r="AN547" s="829"/>
      <c r="AO547" s="830"/>
      <c r="AP547" s="401"/>
      <c r="AQ547" s="401"/>
      <c r="AR547" s="401"/>
      <c r="AS547" s="401"/>
      <c r="AT547" s="403"/>
      <c r="AU547" s="403"/>
      <c r="AV547" s="170"/>
      <c r="AW547" s="166"/>
      <c r="AX547" s="166"/>
      <c r="AY547" s="189"/>
      <c r="AZ547" s="189"/>
      <c r="BA547" s="196"/>
      <c r="BB547" s="629"/>
      <c r="BC547" s="190"/>
      <c r="BD547" s="510"/>
      <c r="BE547" s="510"/>
      <c r="BF547" s="177"/>
      <c r="BG547" s="177"/>
      <c r="BH547" s="166"/>
      <c r="BI547" s="474"/>
      <c r="BJ547" s="166"/>
      <c r="BK547" s="474"/>
      <c r="BL547" s="474"/>
      <c r="BM547" s="474"/>
      <c r="BN547" s="166"/>
      <c r="BO547" s="166"/>
      <c r="BP547" s="204"/>
      <c r="BQ547" s="475"/>
      <c r="BR547" s="205"/>
      <c r="BS547" s="509"/>
      <c r="BT547" s="509"/>
      <c r="BU547" s="459"/>
      <c r="BV547" s="459"/>
      <c r="BW547" s="1"/>
      <c r="BX547" s="1"/>
      <c r="BY547" s="546"/>
      <c r="BZ547" s="546"/>
      <c r="CA547" s="546"/>
      <c r="CB547" s="546"/>
      <c r="CC547" s="728"/>
      <c r="CD547" s="728"/>
      <c r="CE547" s="170"/>
    </row>
    <row r="548" spans="1:83" customFormat="1">
      <c r="A548" s="701"/>
      <c r="B548" s="447"/>
      <c r="C548" s="161"/>
      <c r="D548" s="162"/>
      <c r="E548" s="1"/>
      <c r="F548" s="811"/>
      <c r="G548" s="440"/>
      <c r="H548" s="1"/>
      <c r="I548" s="55"/>
      <c r="J548" s="170"/>
      <c r="K548" s="1"/>
      <c r="L548" s="170"/>
      <c r="M548" s="1"/>
      <c r="N548" s="458"/>
      <c r="O548" s="170"/>
      <c r="P548" s="441"/>
      <c r="Q548" s="55"/>
      <c r="R548" s="177"/>
      <c r="S548" s="454"/>
      <c r="T548" s="178"/>
      <c r="U548" s="178"/>
      <c r="V548" s="179"/>
      <c r="W548" s="180"/>
      <c r="X548" s="179"/>
      <c r="Y548" s="180"/>
      <c r="Z548" s="178"/>
      <c r="AA548" s="178"/>
      <c r="AB548" s="178"/>
      <c r="AC548" s="178"/>
      <c r="AD548" s="182"/>
      <c r="AE548" s="182"/>
      <c r="AF548" s="182"/>
      <c r="AG548" s="182"/>
      <c r="AH548" s="401"/>
      <c r="AI548" s="401"/>
      <c r="AJ548" s="401"/>
      <c r="AK548" s="401"/>
      <c r="AL548" s="401"/>
      <c r="AM548" s="189"/>
      <c r="AN548" s="829"/>
      <c r="AO548" s="830"/>
      <c r="AP548" s="401"/>
      <c r="AQ548" s="401"/>
      <c r="AR548" s="401"/>
      <c r="AS548" s="401"/>
      <c r="AT548" s="403"/>
      <c r="AU548" s="403"/>
      <c r="AV548" s="170"/>
      <c r="AW548" s="166"/>
      <c r="AX548" s="166"/>
      <c r="AY548" s="189"/>
      <c r="AZ548" s="189"/>
      <c r="BA548" s="196"/>
      <c r="BB548" s="629"/>
      <c r="BC548" s="190"/>
      <c r="BD548" s="510"/>
      <c r="BE548" s="510"/>
      <c r="BF548" s="177"/>
      <c r="BG548" s="177"/>
      <c r="BH548" s="166"/>
      <c r="BI548" s="474"/>
      <c r="BJ548" s="166"/>
      <c r="BK548" s="474"/>
      <c r="BL548" s="474"/>
      <c r="BM548" s="474"/>
      <c r="BN548" s="166"/>
      <c r="BO548" s="166"/>
      <c r="BP548" s="204"/>
      <c r="BQ548" s="475"/>
      <c r="BR548" s="205"/>
      <c r="BS548" s="509"/>
      <c r="BT548" s="509"/>
      <c r="BU548" s="459"/>
      <c r="BV548" s="459"/>
      <c r="BW548" s="1"/>
      <c r="BX548" s="1"/>
      <c r="BY548" s="546"/>
      <c r="BZ548" s="546"/>
      <c r="CA548" s="546"/>
      <c r="CB548" s="546"/>
      <c r="CC548" s="728"/>
      <c r="CD548" s="728"/>
      <c r="CE548" s="170"/>
    </row>
    <row r="549" spans="1:83" customFormat="1">
      <c r="A549" s="701"/>
      <c r="B549" s="447"/>
      <c r="C549" s="161"/>
      <c r="D549" s="162"/>
      <c r="E549" s="1"/>
      <c r="F549" s="811"/>
      <c r="G549" s="440"/>
      <c r="H549" s="1"/>
      <c r="I549" s="55"/>
      <c r="J549" s="170"/>
      <c r="K549" s="1"/>
      <c r="L549" s="170"/>
      <c r="M549" s="1"/>
      <c r="N549" s="166"/>
      <c r="O549" s="170"/>
      <c r="P549" s="441"/>
      <c r="Q549" s="55"/>
      <c r="R549" s="177"/>
      <c r="S549" s="454"/>
      <c r="T549" s="178"/>
      <c r="U549" s="178"/>
      <c r="V549" s="179"/>
      <c r="W549" s="180"/>
      <c r="X549" s="179"/>
      <c r="Y549" s="180"/>
      <c r="Z549" s="178"/>
      <c r="AA549" s="178"/>
      <c r="AB549" s="178"/>
      <c r="AC549" s="178"/>
      <c r="AD549" s="182"/>
      <c r="AE549" s="182"/>
      <c r="AF549" s="182"/>
      <c r="AG549" s="182"/>
      <c r="AH549" s="401"/>
      <c r="AI549" s="401"/>
      <c r="AJ549" s="182"/>
      <c r="AK549" s="401"/>
      <c r="AL549" s="401"/>
      <c r="AM549" s="189"/>
      <c r="AN549" s="829"/>
      <c r="AO549" s="830"/>
      <c r="AP549" s="401"/>
      <c r="AQ549" s="401"/>
      <c r="AR549" s="401"/>
      <c r="AS549" s="401"/>
      <c r="AT549" s="403"/>
      <c r="AU549" s="403"/>
      <c r="AV549" s="170"/>
      <c r="AW549" s="166"/>
      <c r="AX549" s="166"/>
      <c r="AY549" s="189"/>
      <c r="AZ549" s="189"/>
      <c r="BA549" s="196"/>
      <c r="BB549" s="629"/>
      <c r="BC549" s="190"/>
      <c r="BD549" s="510"/>
      <c r="BE549" s="510"/>
      <c r="BF549" s="177"/>
      <c r="BG549" s="177"/>
      <c r="BH549" s="166"/>
      <c r="BI549" s="474"/>
      <c r="BJ549" s="166"/>
      <c r="BK549" s="474"/>
      <c r="BL549" s="474"/>
      <c r="BM549" s="474"/>
      <c r="BN549" s="166"/>
      <c r="BO549" s="166"/>
      <c r="BP549" s="204"/>
      <c r="BQ549" s="475"/>
      <c r="BR549" s="205"/>
      <c r="BS549" s="509"/>
      <c r="BT549" s="509"/>
      <c r="BU549" s="459"/>
      <c r="BV549" s="459"/>
      <c r="BW549" s="1"/>
      <c r="BX549" s="1"/>
      <c r="BY549" s="546"/>
      <c r="BZ549" s="546"/>
      <c r="CA549" s="546"/>
      <c r="CB549" s="546"/>
      <c r="CC549" s="728"/>
      <c r="CD549" s="728"/>
      <c r="CE549" s="170"/>
    </row>
    <row r="550" spans="1:83" customFormat="1">
      <c r="A550" s="701"/>
      <c r="B550" s="447"/>
      <c r="C550" s="161"/>
      <c r="D550" s="162"/>
      <c r="E550" s="1"/>
      <c r="F550" s="811"/>
      <c r="G550" s="440"/>
      <c r="H550" s="1"/>
      <c r="I550" s="55"/>
      <c r="J550" s="170"/>
      <c r="K550" s="1"/>
      <c r="L550" s="170"/>
      <c r="M550" s="1"/>
      <c r="N550" s="166"/>
      <c r="O550" s="170"/>
      <c r="P550" s="441"/>
      <c r="Q550" s="55"/>
      <c r="R550" s="177"/>
      <c r="S550" s="454"/>
      <c r="T550" s="178"/>
      <c r="U550" s="178"/>
      <c r="V550" s="179"/>
      <c r="W550" s="180"/>
      <c r="X550" s="179"/>
      <c r="Y550" s="180"/>
      <c r="Z550" s="178"/>
      <c r="AA550" s="178"/>
      <c r="AB550" s="178"/>
      <c r="AC550" s="178"/>
      <c r="AD550" s="182"/>
      <c r="AE550" s="182"/>
      <c r="AF550" s="182"/>
      <c r="AG550" s="182"/>
      <c r="AH550" s="401"/>
      <c r="AI550" s="401"/>
      <c r="AJ550" s="182"/>
      <c r="AK550" s="401"/>
      <c r="AL550" s="401"/>
      <c r="AM550" s="189"/>
      <c r="AN550" s="829"/>
      <c r="AO550" s="830"/>
      <c r="AP550" s="401"/>
      <c r="AQ550" s="401"/>
      <c r="AR550" s="401"/>
      <c r="AS550" s="401"/>
      <c r="AT550" s="403"/>
      <c r="AU550" s="403"/>
      <c r="AV550" s="170"/>
      <c r="AW550" s="166"/>
      <c r="AX550" s="166"/>
      <c r="AY550" s="189"/>
      <c r="AZ550" s="189"/>
      <c r="BA550" s="196"/>
      <c r="BB550" s="629"/>
      <c r="BC550" s="190"/>
      <c r="BD550" s="510"/>
      <c r="BE550" s="510"/>
      <c r="BF550" s="177"/>
      <c r="BG550" s="177"/>
      <c r="BH550" s="166"/>
      <c r="BI550" s="474"/>
      <c r="BJ550" s="166"/>
      <c r="BK550" s="474"/>
      <c r="BL550" s="474"/>
      <c r="BM550" s="474"/>
      <c r="BN550" s="166"/>
      <c r="BO550" s="166"/>
      <c r="BP550" s="204"/>
      <c r="BQ550" s="475"/>
      <c r="BR550" s="205"/>
      <c r="BS550" s="509"/>
      <c r="BT550" s="509"/>
      <c r="BU550" s="459"/>
      <c r="BV550" s="459"/>
      <c r="BW550" s="1"/>
      <c r="BX550" s="1"/>
      <c r="BY550" s="546"/>
      <c r="BZ550" s="546"/>
      <c r="CA550" s="546"/>
      <c r="CB550" s="546"/>
      <c r="CC550" s="728"/>
      <c r="CD550" s="728"/>
      <c r="CE550" s="170"/>
    </row>
    <row r="551" spans="1:83" customFormat="1">
      <c r="A551" s="701"/>
      <c r="B551" s="447"/>
      <c r="C551" s="161"/>
      <c r="D551" s="162"/>
      <c r="E551" s="1"/>
      <c r="F551" s="811"/>
      <c r="G551" s="440"/>
      <c r="H551" s="1"/>
      <c r="I551" s="55"/>
      <c r="J551" s="170"/>
      <c r="K551" s="1"/>
      <c r="L551" s="170"/>
      <c r="M551" s="1"/>
      <c r="N551" s="458"/>
      <c r="O551" s="170"/>
      <c r="P551" s="441"/>
      <c r="Q551" s="55"/>
      <c r="R551" s="177"/>
      <c r="S551" s="454"/>
      <c r="T551" s="178"/>
      <c r="U551" s="178"/>
      <c r="V551" s="179"/>
      <c r="W551" s="180"/>
      <c r="X551" s="179"/>
      <c r="Y551" s="180"/>
      <c r="Z551" s="178"/>
      <c r="AA551" s="178"/>
      <c r="AB551" s="178"/>
      <c r="AC551" s="178"/>
      <c r="AD551" s="182"/>
      <c r="AE551" s="182"/>
      <c r="AF551" s="182"/>
      <c r="AG551" s="182"/>
      <c r="AH551" s="401"/>
      <c r="AI551" s="401"/>
      <c r="AJ551" s="401"/>
      <c r="AK551" s="401"/>
      <c r="AL551" s="401"/>
      <c r="AM551" s="189"/>
      <c r="AN551" s="829"/>
      <c r="AO551" s="830"/>
      <c r="AP551" s="401"/>
      <c r="AQ551" s="401"/>
      <c r="AR551" s="401"/>
      <c r="AS551" s="401"/>
      <c r="AT551" s="403"/>
      <c r="AU551" s="403"/>
      <c r="AV551" s="170"/>
      <c r="AW551" s="166"/>
      <c r="AX551" s="166"/>
      <c r="AY551" s="189"/>
      <c r="AZ551" s="189"/>
      <c r="BA551" s="196"/>
      <c r="BB551" s="629"/>
      <c r="BC551" s="190"/>
      <c r="BD551" s="510"/>
      <c r="BE551" s="510"/>
      <c r="BF551" s="177"/>
      <c r="BG551" s="177"/>
      <c r="BH551" s="166"/>
      <c r="BI551" s="474"/>
      <c r="BJ551" s="166"/>
      <c r="BK551" s="474"/>
      <c r="BL551" s="474"/>
      <c r="BM551" s="474"/>
      <c r="BN551" s="166"/>
      <c r="BO551" s="166"/>
      <c r="BP551" s="204"/>
      <c r="BQ551" s="475"/>
      <c r="BR551" s="205"/>
      <c r="BS551" s="509"/>
      <c r="BT551" s="509"/>
      <c r="BU551" s="459"/>
      <c r="BV551" s="459"/>
      <c r="BW551" s="1"/>
      <c r="BX551" s="1"/>
      <c r="BY551" s="546"/>
      <c r="BZ551" s="546"/>
      <c r="CA551" s="546"/>
      <c r="CB551" s="546"/>
      <c r="CC551" s="728"/>
      <c r="CD551" s="728"/>
      <c r="CE551" s="170"/>
    </row>
    <row r="552" spans="1:83" customFormat="1">
      <c r="A552" s="701"/>
      <c r="B552" s="447"/>
      <c r="C552" s="161"/>
      <c r="D552" s="162"/>
      <c r="E552" s="1"/>
      <c r="F552" s="811"/>
      <c r="G552" s="440"/>
      <c r="H552" s="1"/>
      <c r="I552" s="55"/>
      <c r="J552" s="170"/>
      <c r="K552" s="1"/>
      <c r="L552" s="170"/>
      <c r="M552" s="1"/>
      <c r="N552" s="458"/>
      <c r="O552" s="170"/>
      <c r="P552" s="441"/>
      <c r="Q552" s="55"/>
      <c r="R552" s="177"/>
      <c r="S552" s="454"/>
      <c r="T552" s="178"/>
      <c r="U552" s="178"/>
      <c r="V552" s="179"/>
      <c r="W552" s="180"/>
      <c r="X552" s="179"/>
      <c r="Y552" s="180"/>
      <c r="Z552" s="178"/>
      <c r="AA552" s="178"/>
      <c r="AB552" s="178"/>
      <c r="AC552" s="178"/>
      <c r="AD552" s="182"/>
      <c r="AE552" s="182"/>
      <c r="AF552" s="182"/>
      <c r="AG552" s="182"/>
      <c r="AH552" s="401"/>
      <c r="AI552" s="401"/>
      <c r="AJ552" s="401"/>
      <c r="AK552" s="401"/>
      <c r="AL552" s="401"/>
      <c r="AM552" s="189"/>
      <c r="AN552" s="829"/>
      <c r="AO552" s="830"/>
      <c r="AP552" s="401"/>
      <c r="AQ552" s="401"/>
      <c r="AR552" s="401"/>
      <c r="AS552" s="401"/>
      <c r="AT552" s="403"/>
      <c r="AU552" s="403"/>
      <c r="AV552" s="170"/>
      <c r="AW552" s="166"/>
      <c r="AX552" s="166"/>
      <c r="AY552" s="189"/>
      <c r="AZ552" s="189"/>
      <c r="BA552" s="196"/>
      <c r="BB552" s="629"/>
      <c r="BC552" s="190"/>
      <c r="BD552" s="510"/>
      <c r="BE552" s="510"/>
      <c r="BF552" s="177"/>
      <c r="BG552" s="177"/>
      <c r="BH552" s="166"/>
      <c r="BI552" s="474"/>
      <c r="BJ552" s="166"/>
      <c r="BK552" s="474"/>
      <c r="BL552" s="474"/>
      <c r="BM552" s="474"/>
      <c r="BN552" s="166"/>
      <c r="BO552" s="166"/>
      <c r="BP552" s="204"/>
      <c r="BQ552" s="475"/>
      <c r="BR552" s="205"/>
      <c r="BS552" s="509"/>
      <c r="BT552" s="509"/>
      <c r="BU552" s="459"/>
      <c r="BV552" s="459"/>
      <c r="BW552" s="1"/>
      <c r="BX552" s="1"/>
      <c r="BY552" s="546"/>
      <c r="BZ552" s="546"/>
      <c r="CA552" s="546"/>
      <c r="CB552" s="546"/>
      <c r="CC552" s="728"/>
      <c r="CD552" s="728"/>
      <c r="CE552" s="170"/>
    </row>
    <row r="553" spans="1:83" customFormat="1">
      <c r="A553" s="701"/>
      <c r="B553" s="447"/>
      <c r="C553" s="161"/>
      <c r="D553" s="162"/>
      <c r="E553" s="1"/>
      <c r="F553" s="811"/>
      <c r="G553" s="440"/>
      <c r="H553" s="1"/>
      <c r="I553" s="55"/>
      <c r="J553" s="170"/>
      <c r="K553" s="1"/>
      <c r="L553" s="170"/>
      <c r="M553" s="1"/>
      <c r="N553" s="458"/>
      <c r="O553" s="170"/>
      <c r="P553" s="441"/>
      <c r="Q553" s="55"/>
      <c r="R553" s="177"/>
      <c r="S553" s="454"/>
      <c r="T553" s="178"/>
      <c r="U553" s="178"/>
      <c r="V553" s="179"/>
      <c r="W553" s="180"/>
      <c r="X553" s="179"/>
      <c r="Y553" s="180"/>
      <c r="Z553" s="178"/>
      <c r="AA553" s="178"/>
      <c r="AB553" s="178"/>
      <c r="AC553" s="178"/>
      <c r="AD553" s="182"/>
      <c r="AE553" s="182"/>
      <c r="AF553" s="182"/>
      <c r="AG553" s="182"/>
      <c r="AH553" s="401"/>
      <c r="AI553" s="401"/>
      <c r="AJ553" s="401"/>
      <c r="AK553" s="401"/>
      <c r="AL553" s="401"/>
      <c r="AM553" s="189"/>
      <c r="AN553" s="829"/>
      <c r="AO553" s="830"/>
      <c r="AP553" s="401"/>
      <c r="AQ553" s="401"/>
      <c r="AR553" s="401"/>
      <c r="AS553" s="401"/>
      <c r="AT553" s="403"/>
      <c r="AU553" s="403"/>
      <c r="AV553" s="170"/>
      <c r="AW553" s="166"/>
      <c r="AX553" s="166"/>
      <c r="AY553" s="189"/>
      <c r="AZ553" s="189"/>
      <c r="BA553" s="196"/>
      <c r="BB553" s="629"/>
      <c r="BC553" s="190"/>
      <c r="BD553" s="510"/>
      <c r="BE553" s="510"/>
      <c r="BF553" s="177"/>
      <c r="BG553" s="177"/>
      <c r="BH553" s="166"/>
      <c r="BI553" s="474"/>
      <c r="BJ553" s="166"/>
      <c r="BK553" s="474"/>
      <c r="BL553" s="474"/>
      <c r="BM553" s="474"/>
      <c r="BN553" s="166"/>
      <c r="BO553" s="166"/>
      <c r="BP553" s="204"/>
      <c r="BQ553" s="475"/>
      <c r="BR553" s="205"/>
      <c r="BS553" s="509"/>
      <c r="BT553" s="509"/>
      <c r="BU553" s="459"/>
      <c r="BV553" s="459"/>
      <c r="BW553" s="1"/>
      <c r="BX553" s="1"/>
      <c r="BY553" s="546"/>
      <c r="BZ553" s="546"/>
      <c r="CA553" s="546"/>
      <c r="CB553" s="546"/>
      <c r="CC553" s="728"/>
      <c r="CD553" s="728"/>
      <c r="CE553" s="170"/>
    </row>
    <row r="554" spans="1:83" customFormat="1">
      <c r="A554" s="701"/>
      <c r="B554" s="447"/>
      <c r="C554" s="1"/>
      <c r="D554" s="538"/>
      <c r="E554" s="1"/>
      <c r="F554" s="811"/>
      <c r="G554" s="440"/>
      <c r="H554" s="1"/>
      <c r="I554" s="55"/>
      <c r="J554" s="171"/>
      <c r="K554" s="55"/>
      <c r="L554" s="171"/>
      <c r="M554" s="55"/>
      <c r="N554" s="172"/>
      <c r="O554" s="170"/>
      <c r="P554" s="139"/>
      <c r="Q554" s="172"/>
      <c r="R554" s="181"/>
      <c r="S554" s="455"/>
      <c r="T554" s="170"/>
      <c r="U554" s="170"/>
      <c r="V554" s="1"/>
      <c r="W554" s="173"/>
      <c r="X554" s="1"/>
      <c r="Y554" s="166"/>
      <c r="Z554" s="170"/>
      <c r="AA554" s="170"/>
      <c r="AB554" s="170"/>
      <c r="AC554" s="170"/>
      <c r="AD554" s="182"/>
      <c r="AE554" s="182"/>
      <c r="AF554" s="182"/>
      <c r="AG554" s="182"/>
      <c r="AH554" s="189"/>
      <c r="AI554" s="401"/>
      <c r="AJ554" s="189"/>
      <c r="AK554" s="401"/>
      <c r="AL554" s="401"/>
      <c r="AM554" s="189"/>
      <c r="AN554" s="782"/>
      <c r="AO554" s="189"/>
      <c r="AP554" s="401"/>
      <c r="AQ554" s="401"/>
      <c r="AR554" s="401"/>
      <c r="AS554" s="188"/>
      <c r="AT554" s="1"/>
      <c r="AU554" s="403"/>
      <c r="AV554" s="1"/>
      <c r="AW554" s="166"/>
      <c r="AX554" s="166"/>
      <c r="AY554" s="189"/>
      <c r="AZ554" s="189"/>
      <c r="BA554" s="196"/>
      <c r="BB554" s="629"/>
      <c r="BC554" s="197"/>
      <c r="BD554" s="510"/>
      <c r="BE554" s="510"/>
      <c r="BF554" s="177"/>
      <c r="BG554" s="177"/>
      <c r="BH554" s="166"/>
      <c r="BI554" s="474"/>
      <c r="BJ554" s="166"/>
      <c r="BK554" s="474"/>
      <c r="BL554" s="474"/>
      <c r="BM554" s="474"/>
      <c r="BN554" s="166"/>
      <c r="BO554" s="166"/>
      <c r="BP554" s="204"/>
      <c r="BQ554" s="475"/>
      <c r="BR554" s="205"/>
      <c r="BS554" s="509"/>
      <c r="BT554" s="509"/>
      <c r="BU554" s="459"/>
      <c r="BV554" s="459"/>
      <c r="BW554" s="1"/>
      <c r="BX554" s="1"/>
      <c r="BY554" s="546"/>
      <c r="BZ554" s="546"/>
      <c r="CA554" s="546"/>
      <c r="CB554" s="546"/>
      <c r="CC554" s="728"/>
      <c r="CD554" s="728"/>
      <c r="CE554" s="170"/>
    </row>
    <row r="555" spans="1:83" customFormat="1">
      <c r="A555" s="701"/>
      <c r="B555" s="447"/>
      <c r="C555" s="161"/>
      <c r="D555" s="162"/>
      <c r="E555" s="1"/>
      <c r="F555" s="811"/>
      <c r="G555" s="440"/>
      <c r="H555" s="1"/>
      <c r="I555" s="55"/>
      <c r="J555" s="170"/>
      <c r="K555" s="1"/>
      <c r="L555" s="170"/>
      <c r="M555" s="1"/>
      <c r="N555" s="458"/>
      <c r="O555" s="170"/>
      <c r="P555" s="441"/>
      <c r="Q555" s="55"/>
      <c r="R555" s="177"/>
      <c r="S555" s="454"/>
      <c r="T555" s="178"/>
      <c r="U555" s="178"/>
      <c r="V555" s="179"/>
      <c r="W555" s="180"/>
      <c r="X555" s="179"/>
      <c r="Y555" s="180"/>
      <c r="Z555" s="178"/>
      <c r="AA555" s="178"/>
      <c r="AB555" s="178"/>
      <c r="AC555" s="178"/>
      <c r="AD555" s="182"/>
      <c r="AE555" s="182"/>
      <c r="AF555" s="182"/>
      <c r="AG555" s="182"/>
      <c r="AH555" s="401"/>
      <c r="AI555" s="401"/>
      <c r="AJ555" s="401"/>
      <c r="AK555" s="401"/>
      <c r="AL555" s="401"/>
      <c r="AM555" s="189"/>
      <c r="AN555" s="829"/>
      <c r="AO555" s="830"/>
      <c r="AP555" s="401"/>
      <c r="AQ555" s="401"/>
      <c r="AR555" s="401"/>
      <c r="AS555" s="401"/>
      <c r="AT555" s="403"/>
      <c r="AU555" s="403"/>
      <c r="AV555" s="170"/>
      <c r="AW555" s="166"/>
      <c r="AX555" s="166"/>
      <c r="AY555" s="189"/>
      <c r="AZ555" s="189"/>
      <c r="BA555" s="196"/>
      <c r="BB555" s="629"/>
      <c r="BC555" s="190"/>
      <c r="BD555" s="510"/>
      <c r="BE555" s="510"/>
      <c r="BF555" s="177"/>
      <c r="BG555" s="177"/>
      <c r="BH555" s="166"/>
      <c r="BI555" s="474"/>
      <c r="BJ555" s="166"/>
      <c r="BK555" s="474"/>
      <c r="BL555" s="474"/>
      <c r="BM555" s="474"/>
      <c r="BN555" s="166"/>
      <c r="BO555" s="166"/>
      <c r="BP555" s="204"/>
      <c r="BQ555" s="475"/>
      <c r="BR555" s="205"/>
      <c r="BS555" s="509"/>
      <c r="BT555" s="509"/>
      <c r="BU555" s="459"/>
      <c r="BV555" s="459"/>
      <c r="BW555" s="1"/>
      <c r="BX555" s="1"/>
      <c r="BY555" s="546"/>
      <c r="BZ555" s="546"/>
      <c r="CA555" s="546"/>
      <c r="CB555" s="546"/>
      <c r="CC555" s="728"/>
      <c r="CD555" s="728"/>
      <c r="CE555" s="170"/>
    </row>
    <row r="556" spans="1:83" customFormat="1">
      <c r="A556" s="701"/>
      <c r="B556" s="447"/>
      <c r="C556" s="161"/>
      <c r="D556" s="162"/>
      <c r="E556" s="1"/>
      <c r="F556" s="811"/>
      <c r="G556" s="440"/>
      <c r="H556" s="1"/>
      <c r="I556" s="55"/>
      <c r="J556" s="170"/>
      <c r="K556" s="1"/>
      <c r="L556" s="170"/>
      <c r="M556" s="1"/>
      <c r="N556" s="458"/>
      <c r="O556" s="170"/>
      <c r="P556" s="441"/>
      <c r="Q556" s="55"/>
      <c r="R556" s="177"/>
      <c r="S556" s="454"/>
      <c r="T556" s="178"/>
      <c r="U556" s="178"/>
      <c r="V556" s="179"/>
      <c r="W556" s="180"/>
      <c r="X556" s="179"/>
      <c r="Y556" s="180"/>
      <c r="Z556" s="178"/>
      <c r="AA556" s="178"/>
      <c r="AB556" s="178"/>
      <c r="AC556" s="178"/>
      <c r="AD556" s="182"/>
      <c r="AE556" s="182"/>
      <c r="AF556" s="182"/>
      <c r="AG556" s="182"/>
      <c r="AH556" s="401"/>
      <c r="AI556" s="401"/>
      <c r="AJ556" s="401"/>
      <c r="AK556" s="401"/>
      <c r="AL556" s="401"/>
      <c r="AM556" s="189"/>
      <c r="AN556" s="829"/>
      <c r="AO556" s="830"/>
      <c r="AP556" s="401"/>
      <c r="AQ556" s="401"/>
      <c r="AR556" s="401"/>
      <c r="AS556" s="401"/>
      <c r="AT556" s="403"/>
      <c r="AU556" s="403"/>
      <c r="AV556" s="170"/>
      <c r="AW556" s="166"/>
      <c r="AX556" s="166"/>
      <c r="AY556" s="189"/>
      <c r="AZ556" s="189"/>
      <c r="BA556" s="196"/>
      <c r="BB556" s="629"/>
      <c r="BC556" s="190"/>
      <c r="BD556" s="510"/>
      <c r="BE556" s="510"/>
      <c r="BF556" s="177"/>
      <c r="BG556" s="177"/>
      <c r="BH556" s="166"/>
      <c r="BI556" s="474"/>
      <c r="BJ556" s="166"/>
      <c r="BK556" s="474"/>
      <c r="BL556" s="474"/>
      <c r="BM556" s="474"/>
      <c r="BN556" s="166"/>
      <c r="BO556" s="166"/>
      <c r="BP556" s="204"/>
      <c r="BQ556" s="475"/>
      <c r="BR556" s="205"/>
      <c r="BS556" s="509"/>
      <c r="BT556" s="509"/>
      <c r="BU556" s="459"/>
      <c r="BV556" s="459"/>
      <c r="BW556" s="1"/>
      <c r="BX556" s="1"/>
      <c r="BY556" s="546"/>
      <c r="BZ556" s="546"/>
      <c r="CA556" s="546"/>
      <c r="CB556" s="546"/>
      <c r="CC556" s="728"/>
      <c r="CD556" s="728"/>
      <c r="CE556" s="170"/>
    </row>
    <row r="557" spans="1:83" customFormat="1">
      <c r="A557" s="701"/>
      <c r="B557" s="447"/>
      <c r="C557" s="161"/>
      <c r="D557" s="162"/>
      <c r="E557" s="1"/>
      <c r="F557" s="811"/>
      <c r="G557" s="440"/>
      <c r="H557" s="1"/>
      <c r="I557" s="55"/>
      <c r="J557" s="170"/>
      <c r="K557" s="1"/>
      <c r="L557" s="170"/>
      <c r="M557" s="1"/>
      <c r="N557" s="458"/>
      <c r="O557" s="170"/>
      <c r="P557" s="441"/>
      <c r="Q557" s="55"/>
      <c r="R557" s="177"/>
      <c r="S557" s="454"/>
      <c r="T557" s="178"/>
      <c r="U557" s="178"/>
      <c r="V557" s="179"/>
      <c r="W557" s="180"/>
      <c r="X557" s="179"/>
      <c r="Y557" s="180"/>
      <c r="Z557" s="178"/>
      <c r="AA557" s="178"/>
      <c r="AB557" s="178"/>
      <c r="AC557" s="178"/>
      <c r="AD557" s="182"/>
      <c r="AE557" s="182"/>
      <c r="AF557" s="182"/>
      <c r="AG557" s="182"/>
      <c r="AH557" s="401"/>
      <c r="AI557" s="401"/>
      <c r="AJ557" s="401"/>
      <c r="AK557" s="401"/>
      <c r="AL557" s="401"/>
      <c r="AM557" s="189"/>
      <c r="AN557" s="829"/>
      <c r="AO557" s="830"/>
      <c r="AP557" s="401"/>
      <c r="AQ557" s="401"/>
      <c r="AR557" s="401"/>
      <c r="AS557" s="401"/>
      <c r="AT557" s="403"/>
      <c r="AU557" s="403"/>
      <c r="AV557" s="170"/>
      <c r="AW557" s="166"/>
      <c r="AX557" s="166"/>
      <c r="AY557" s="189"/>
      <c r="AZ557" s="189"/>
      <c r="BA557" s="196"/>
      <c r="BB557" s="629"/>
      <c r="BC557" s="190"/>
      <c r="BD557" s="510"/>
      <c r="BE557" s="510"/>
      <c r="BF557" s="177"/>
      <c r="BG557" s="177"/>
      <c r="BH557" s="166"/>
      <c r="BI557" s="474"/>
      <c r="BJ557" s="166"/>
      <c r="BK557" s="474"/>
      <c r="BL557" s="474"/>
      <c r="BM557" s="474"/>
      <c r="BN557" s="166"/>
      <c r="BO557" s="166"/>
      <c r="BP557" s="204"/>
      <c r="BQ557" s="475"/>
      <c r="BR557" s="205"/>
      <c r="BS557" s="509"/>
      <c r="BT557" s="509"/>
      <c r="BU557" s="459"/>
      <c r="BV557" s="459"/>
      <c r="BW557" s="1"/>
      <c r="BX557" s="1"/>
      <c r="BY557" s="546"/>
      <c r="BZ557" s="546"/>
      <c r="CA557" s="546"/>
      <c r="CB557" s="546"/>
      <c r="CC557" s="728"/>
      <c r="CD557" s="728"/>
      <c r="CE557" s="170"/>
    </row>
    <row r="558" spans="1:83" customFormat="1">
      <c r="A558" s="701"/>
      <c r="B558" s="447"/>
      <c r="C558" s="161"/>
      <c r="D558" s="162"/>
      <c r="E558" s="1"/>
      <c r="F558" s="811"/>
      <c r="G558" s="440"/>
      <c r="H558" s="1"/>
      <c r="I558" s="55"/>
      <c r="J558" s="170"/>
      <c r="K558" s="1"/>
      <c r="L558" s="170"/>
      <c r="M558" s="1"/>
      <c r="N558" s="458"/>
      <c r="O558" s="170"/>
      <c r="P558" s="441"/>
      <c r="Q558" s="55"/>
      <c r="R558" s="177"/>
      <c r="S558" s="454"/>
      <c r="T558" s="178"/>
      <c r="U558" s="178"/>
      <c r="V558" s="179"/>
      <c r="W558" s="180"/>
      <c r="X558" s="179"/>
      <c r="Y558" s="180"/>
      <c r="Z558" s="178"/>
      <c r="AA558" s="178"/>
      <c r="AB558" s="178"/>
      <c r="AC558" s="178"/>
      <c r="AD558" s="182"/>
      <c r="AE558" s="182"/>
      <c r="AF558" s="182"/>
      <c r="AG558" s="182"/>
      <c r="AH558" s="401"/>
      <c r="AI558" s="401"/>
      <c r="AJ558" s="401"/>
      <c r="AK558" s="401"/>
      <c r="AL558" s="401"/>
      <c r="AM558" s="189"/>
      <c r="AN558" s="829"/>
      <c r="AO558" s="830"/>
      <c r="AP558" s="401"/>
      <c r="AQ558" s="401"/>
      <c r="AR558" s="401"/>
      <c r="AS558" s="401"/>
      <c r="AT558" s="403"/>
      <c r="AU558" s="403"/>
      <c r="AV558" s="170"/>
      <c r="AW558" s="166"/>
      <c r="AX558" s="166"/>
      <c r="AY558" s="189"/>
      <c r="AZ558" s="189"/>
      <c r="BA558" s="196"/>
      <c r="BB558" s="629"/>
      <c r="BC558" s="190"/>
      <c r="BD558" s="510"/>
      <c r="BE558" s="510"/>
      <c r="BF558" s="177"/>
      <c r="BG558" s="177"/>
      <c r="BH558" s="166"/>
      <c r="BI558" s="474"/>
      <c r="BJ558" s="166"/>
      <c r="BK558" s="474"/>
      <c r="BL558" s="474"/>
      <c r="BM558" s="474"/>
      <c r="BN558" s="166"/>
      <c r="BO558" s="166"/>
      <c r="BP558" s="204"/>
      <c r="BQ558" s="475"/>
      <c r="BR558" s="205"/>
      <c r="BS558" s="509"/>
      <c r="BT558" s="509"/>
      <c r="BU558" s="459"/>
      <c r="BV558" s="459"/>
      <c r="BW558" s="1"/>
      <c r="BX558" s="1"/>
      <c r="BY558" s="546"/>
      <c r="BZ558" s="546"/>
      <c r="CA558" s="546"/>
      <c r="CB558" s="546"/>
      <c r="CC558" s="728"/>
      <c r="CD558" s="728"/>
      <c r="CE558" s="170"/>
    </row>
    <row r="559" spans="1:83" customFormat="1">
      <c r="A559" s="701"/>
      <c r="B559" s="447"/>
      <c r="C559" s="161"/>
      <c r="D559" s="162"/>
      <c r="E559" s="1"/>
      <c r="F559" s="811"/>
      <c r="G559" s="440"/>
      <c r="H559" s="1"/>
      <c r="I559" s="55"/>
      <c r="J559" s="170"/>
      <c r="K559" s="1"/>
      <c r="L559" s="170"/>
      <c r="M559" s="1"/>
      <c r="N559" s="458"/>
      <c r="O559" s="170"/>
      <c r="P559" s="441"/>
      <c r="Q559" s="55"/>
      <c r="R559" s="177"/>
      <c r="S559" s="454"/>
      <c r="T559" s="178"/>
      <c r="U559" s="178"/>
      <c r="V559" s="179"/>
      <c r="W559" s="180"/>
      <c r="X559" s="179"/>
      <c r="Y559" s="180"/>
      <c r="Z559" s="178"/>
      <c r="AA559" s="178"/>
      <c r="AB559" s="178"/>
      <c r="AC559" s="178"/>
      <c r="AD559" s="182"/>
      <c r="AE559" s="182"/>
      <c r="AF559" s="182"/>
      <c r="AG559" s="182"/>
      <c r="AH559" s="401"/>
      <c r="AI559" s="401"/>
      <c r="AJ559" s="401"/>
      <c r="AK559" s="401"/>
      <c r="AL559" s="401"/>
      <c r="AM559" s="189"/>
      <c r="AN559" s="829"/>
      <c r="AO559" s="830"/>
      <c r="AP559" s="401"/>
      <c r="AQ559" s="401"/>
      <c r="AR559" s="401"/>
      <c r="AS559" s="401"/>
      <c r="AT559" s="403"/>
      <c r="AU559" s="403"/>
      <c r="AV559" s="170"/>
      <c r="AW559" s="166"/>
      <c r="AX559" s="166"/>
      <c r="AY559" s="189"/>
      <c r="AZ559" s="189"/>
      <c r="BA559" s="196"/>
      <c r="BB559" s="629"/>
      <c r="BC559" s="190"/>
      <c r="BD559" s="510"/>
      <c r="BE559" s="510"/>
      <c r="BF559" s="177"/>
      <c r="BG559" s="177"/>
      <c r="BH559" s="166"/>
      <c r="BI559" s="474"/>
      <c r="BJ559" s="166"/>
      <c r="BK559" s="474"/>
      <c r="BL559" s="474"/>
      <c r="BM559" s="474"/>
      <c r="BN559" s="166"/>
      <c r="BO559" s="166"/>
      <c r="BP559" s="204"/>
      <c r="BQ559" s="475"/>
      <c r="BR559" s="205"/>
      <c r="BS559" s="509"/>
      <c r="BT559" s="509"/>
      <c r="BU559" s="459"/>
      <c r="BV559" s="459"/>
      <c r="BW559" s="1"/>
      <c r="BX559" s="1"/>
      <c r="BY559" s="546"/>
      <c r="BZ559" s="546"/>
      <c r="CA559" s="546"/>
      <c r="CB559" s="546"/>
      <c r="CC559" s="728"/>
      <c r="CD559" s="728"/>
      <c r="CE559" s="170"/>
    </row>
    <row r="560" spans="1:83" customFormat="1">
      <c r="A560" s="701"/>
      <c r="B560" s="447"/>
      <c r="C560" s="161"/>
      <c r="D560" s="162"/>
      <c r="E560" s="1"/>
      <c r="F560" s="811"/>
      <c r="G560" s="440"/>
      <c r="H560" s="1"/>
      <c r="I560" s="55"/>
      <c r="J560" s="170"/>
      <c r="K560" s="1"/>
      <c r="L560" s="170"/>
      <c r="M560" s="1"/>
      <c r="N560" s="166"/>
      <c r="O560" s="170"/>
      <c r="P560" s="441"/>
      <c r="Q560" s="55"/>
      <c r="R560" s="177"/>
      <c r="S560" s="454"/>
      <c r="T560" s="178"/>
      <c r="U560" s="178"/>
      <c r="V560" s="179"/>
      <c r="W560" s="180"/>
      <c r="X560" s="179"/>
      <c r="Y560" s="180"/>
      <c r="Z560" s="178"/>
      <c r="AA560" s="178"/>
      <c r="AB560" s="178"/>
      <c r="AC560" s="178"/>
      <c r="AD560" s="182"/>
      <c r="AE560" s="182"/>
      <c r="AF560" s="182"/>
      <c r="AG560" s="182"/>
      <c r="AH560" s="401"/>
      <c r="AI560" s="401"/>
      <c r="AJ560" s="182"/>
      <c r="AK560" s="401"/>
      <c r="AL560" s="401"/>
      <c r="AM560" s="189"/>
      <c r="AN560" s="829"/>
      <c r="AO560" s="830"/>
      <c r="AP560" s="401"/>
      <c r="AQ560" s="401"/>
      <c r="AR560" s="401"/>
      <c r="AS560" s="401"/>
      <c r="AT560" s="403"/>
      <c r="AU560" s="403"/>
      <c r="AV560" s="170"/>
      <c r="AW560" s="166"/>
      <c r="AX560" s="166"/>
      <c r="AY560" s="189"/>
      <c r="AZ560" s="189"/>
      <c r="BA560" s="196"/>
      <c r="BB560" s="629"/>
      <c r="BC560" s="190"/>
      <c r="BD560" s="510"/>
      <c r="BE560" s="510"/>
      <c r="BF560" s="177"/>
      <c r="BG560" s="177"/>
      <c r="BH560" s="166"/>
      <c r="BI560" s="474"/>
      <c r="BJ560" s="166"/>
      <c r="BK560" s="474"/>
      <c r="BL560" s="474"/>
      <c r="BM560" s="474"/>
      <c r="BN560" s="166"/>
      <c r="BO560" s="166"/>
      <c r="BP560" s="204"/>
      <c r="BQ560" s="475"/>
      <c r="BR560" s="205"/>
      <c r="BS560" s="509"/>
      <c r="BT560" s="509"/>
      <c r="BU560" s="459"/>
      <c r="BV560" s="459"/>
      <c r="BW560" s="1"/>
      <c r="BX560" s="1"/>
      <c r="BY560" s="546"/>
      <c r="BZ560" s="546"/>
      <c r="CA560" s="546"/>
      <c r="CB560" s="546"/>
      <c r="CC560" s="728"/>
      <c r="CD560" s="728"/>
      <c r="CE560" s="170"/>
    </row>
    <row r="561" spans="1:83" customFormat="1">
      <c r="A561" s="701"/>
      <c r="B561" s="447"/>
      <c r="C561" s="161"/>
      <c r="D561" s="162"/>
      <c r="E561" s="1"/>
      <c r="F561" s="811"/>
      <c r="G561" s="440"/>
      <c r="H561" s="1"/>
      <c r="I561" s="55"/>
      <c r="J561" s="170"/>
      <c r="K561" s="1"/>
      <c r="L561" s="170"/>
      <c r="M561" s="1"/>
      <c r="N561" s="458"/>
      <c r="O561" s="170"/>
      <c r="P561" s="441"/>
      <c r="Q561" s="55"/>
      <c r="R561" s="177"/>
      <c r="S561" s="454"/>
      <c r="T561" s="178"/>
      <c r="U561" s="178"/>
      <c r="V561" s="179"/>
      <c r="W561" s="180"/>
      <c r="X561" s="179"/>
      <c r="Y561" s="180"/>
      <c r="Z561" s="178"/>
      <c r="AA561" s="178"/>
      <c r="AB561" s="178"/>
      <c r="AC561" s="178"/>
      <c r="AD561" s="182"/>
      <c r="AE561" s="182"/>
      <c r="AF561" s="182"/>
      <c r="AG561" s="182"/>
      <c r="AH561" s="401"/>
      <c r="AI561" s="401"/>
      <c r="AJ561" s="401"/>
      <c r="AK561" s="401"/>
      <c r="AL561" s="401"/>
      <c r="AM561" s="189"/>
      <c r="AN561" s="829"/>
      <c r="AO561" s="830"/>
      <c r="AP561" s="401"/>
      <c r="AQ561" s="401"/>
      <c r="AR561" s="401"/>
      <c r="AS561" s="401"/>
      <c r="AT561" s="403"/>
      <c r="AU561" s="403"/>
      <c r="AV561" s="170"/>
      <c r="AW561" s="166"/>
      <c r="AX561" s="166"/>
      <c r="AY561" s="189"/>
      <c r="AZ561" s="189"/>
      <c r="BA561" s="196"/>
      <c r="BB561" s="629"/>
      <c r="BC561" s="190"/>
      <c r="BD561" s="510"/>
      <c r="BE561" s="510"/>
      <c r="BF561" s="177"/>
      <c r="BG561" s="177"/>
      <c r="BH561" s="166"/>
      <c r="BI561" s="474"/>
      <c r="BJ561" s="166"/>
      <c r="BK561" s="474"/>
      <c r="BL561" s="474"/>
      <c r="BM561" s="474"/>
      <c r="BN561" s="166"/>
      <c r="BO561" s="166"/>
      <c r="BP561" s="204"/>
      <c r="BQ561" s="475"/>
      <c r="BR561" s="205"/>
      <c r="BS561" s="509"/>
      <c r="BT561" s="509"/>
      <c r="BU561" s="459"/>
      <c r="BV561" s="459"/>
      <c r="BW561" s="1"/>
      <c r="BX561" s="1"/>
      <c r="BY561" s="546"/>
      <c r="BZ561" s="546"/>
      <c r="CA561" s="546"/>
      <c r="CB561" s="546"/>
      <c r="CC561" s="728"/>
      <c r="CD561" s="728"/>
      <c r="CE561" s="170"/>
    </row>
    <row r="562" spans="1:83" customFormat="1">
      <c r="A562" s="701"/>
      <c r="B562" s="447"/>
      <c r="C562" s="161"/>
      <c r="D562" s="162"/>
      <c r="E562" s="1"/>
      <c r="F562" s="811"/>
      <c r="G562" s="440"/>
      <c r="H562" s="1"/>
      <c r="I562" s="55"/>
      <c r="J562" s="170"/>
      <c r="K562" s="1"/>
      <c r="L562" s="170"/>
      <c r="M562" s="1"/>
      <c r="N562" s="458"/>
      <c r="O562" s="170"/>
      <c r="P562" s="441"/>
      <c r="Q562" s="55"/>
      <c r="R562" s="177"/>
      <c r="S562" s="454"/>
      <c r="T562" s="178"/>
      <c r="U562" s="178"/>
      <c r="V562" s="179"/>
      <c r="W562" s="180"/>
      <c r="X562" s="179"/>
      <c r="Y562" s="180"/>
      <c r="Z562" s="178"/>
      <c r="AA562" s="178"/>
      <c r="AB562" s="178"/>
      <c r="AC562" s="178"/>
      <c r="AD562" s="182"/>
      <c r="AE562" s="182"/>
      <c r="AF562" s="182"/>
      <c r="AG562" s="182"/>
      <c r="AH562" s="401"/>
      <c r="AI562" s="401"/>
      <c r="AJ562" s="401"/>
      <c r="AK562" s="401"/>
      <c r="AL562" s="401"/>
      <c r="AM562" s="189"/>
      <c r="AN562" s="829"/>
      <c r="AO562" s="830"/>
      <c r="AP562" s="401"/>
      <c r="AQ562" s="401"/>
      <c r="AR562" s="401"/>
      <c r="AS562" s="401"/>
      <c r="AT562" s="403"/>
      <c r="AU562" s="403"/>
      <c r="AV562" s="170"/>
      <c r="AW562" s="166"/>
      <c r="AX562" s="166"/>
      <c r="AY562" s="189"/>
      <c r="AZ562" s="189"/>
      <c r="BA562" s="196"/>
      <c r="BB562" s="629"/>
      <c r="BC562" s="190"/>
      <c r="BD562" s="510"/>
      <c r="BE562" s="510"/>
      <c r="BF562" s="177"/>
      <c r="BG562" s="177"/>
      <c r="BH562" s="166"/>
      <c r="BI562" s="474"/>
      <c r="BJ562" s="166"/>
      <c r="BK562" s="474"/>
      <c r="BL562" s="474"/>
      <c r="BM562" s="474"/>
      <c r="BN562" s="166"/>
      <c r="BO562" s="166"/>
      <c r="BP562" s="204"/>
      <c r="BQ562" s="475"/>
      <c r="BR562" s="205"/>
      <c r="BS562" s="509"/>
      <c r="BT562" s="509"/>
      <c r="BU562" s="459"/>
      <c r="BV562" s="459"/>
      <c r="BW562" s="1"/>
      <c r="BX562" s="1"/>
      <c r="BY562" s="546"/>
      <c r="BZ562" s="546"/>
      <c r="CA562" s="546"/>
      <c r="CB562" s="546"/>
      <c r="CC562" s="728"/>
      <c r="CD562" s="728"/>
      <c r="CE562" s="170"/>
    </row>
    <row r="563" spans="1:83" customFormat="1">
      <c r="A563" s="701"/>
      <c r="B563" s="447"/>
      <c r="C563" s="161"/>
      <c r="D563" s="162"/>
      <c r="E563" s="1"/>
      <c r="F563" s="811"/>
      <c r="G563" s="440"/>
      <c r="H563" s="1"/>
      <c r="I563" s="55"/>
      <c r="J563" s="170"/>
      <c r="K563" s="1"/>
      <c r="L563" s="170"/>
      <c r="M563" s="1"/>
      <c r="N563" s="166"/>
      <c r="O563" s="170"/>
      <c r="P563" s="441"/>
      <c r="Q563" s="55"/>
      <c r="R563" s="177"/>
      <c r="S563" s="454"/>
      <c r="T563" s="178"/>
      <c r="U563" s="178"/>
      <c r="V563" s="179"/>
      <c r="W563" s="180"/>
      <c r="X563" s="179"/>
      <c r="Y563" s="180"/>
      <c r="Z563" s="178"/>
      <c r="AA563" s="178"/>
      <c r="AB563" s="178"/>
      <c r="AC563" s="178"/>
      <c r="AD563" s="182"/>
      <c r="AE563" s="182"/>
      <c r="AF563" s="182"/>
      <c r="AG563" s="182"/>
      <c r="AH563" s="401"/>
      <c r="AI563" s="401"/>
      <c r="AJ563" s="182"/>
      <c r="AK563" s="401"/>
      <c r="AL563" s="401"/>
      <c r="AM563" s="189"/>
      <c r="AN563" s="829"/>
      <c r="AO563" s="830"/>
      <c r="AP563" s="401"/>
      <c r="AQ563" s="401"/>
      <c r="AR563" s="401"/>
      <c r="AS563" s="401"/>
      <c r="AT563" s="403"/>
      <c r="AU563" s="403"/>
      <c r="AV563" s="170"/>
      <c r="AW563" s="166"/>
      <c r="AX563" s="166"/>
      <c r="AY563" s="189"/>
      <c r="AZ563" s="189"/>
      <c r="BA563" s="196"/>
      <c r="BB563" s="629"/>
      <c r="BC563" s="190"/>
      <c r="BD563" s="510"/>
      <c r="BE563" s="510"/>
      <c r="BF563" s="177"/>
      <c r="BG563" s="177"/>
      <c r="BH563" s="166"/>
      <c r="BI563" s="474"/>
      <c r="BJ563" s="166"/>
      <c r="BK563" s="474"/>
      <c r="BL563" s="474"/>
      <c r="BM563" s="474"/>
      <c r="BN563" s="166"/>
      <c r="BO563" s="166"/>
      <c r="BP563" s="204"/>
      <c r="BQ563" s="475"/>
      <c r="BR563" s="205"/>
      <c r="BS563" s="509"/>
      <c r="BT563" s="509"/>
      <c r="BU563" s="459"/>
      <c r="BV563" s="459"/>
      <c r="BW563" s="1"/>
      <c r="BX563" s="1"/>
      <c r="BY563" s="546"/>
      <c r="BZ563" s="546"/>
      <c r="CA563" s="546"/>
      <c r="CB563" s="546"/>
      <c r="CC563" s="728"/>
      <c r="CD563" s="728"/>
      <c r="CE563" s="170"/>
    </row>
    <row r="564" spans="1:83" customFormat="1">
      <c r="A564" s="701"/>
      <c r="B564" s="447"/>
      <c r="C564" s="161"/>
      <c r="D564" s="162"/>
      <c r="E564" s="1"/>
      <c r="F564" s="811"/>
      <c r="G564" s="440"/>
      <c r="H564" s="1"/>
      <c r="I564" s="55"/>
      <c r="J564" s="170"/>
      <c r="K564" s="1"/>
      <c r="L564" s="170"/>
      <c r="M564" s="1"/>
      <c r="N564" s="458"/>
      <c r="O564" s="170"/>
      <c r="P564" s="441"/>
      <c r="Q564" s="55"/>
      <c r="R564" s="177"/>
      <c r="S564" s="454"/>
      <c r="T564" s="178"/>
      <c r="U564" s="178"/>
      <c r="V564" s="179"/>
      <c r="W564" s="180"/>
      <c r="X564" s="179"/>
      <c r="Y564" s="180"/>
      <c r="Z564" s="178"/>
      <c r="AA564" s="178"/>
      <c r="AB564" s="178"/>
      <c r="AC564" s="178"/>
      <c r="AD564" s="182"/>
      <c r="AE564" s="182"/>
      <c r="AF564" s="182"/>
      <c r="AG564" s="182"/>
      <c r="AH564" s="401"/>
      <c r="AI564" s="401"/>
      <c r="AJ564" s="401"/>
      <c r="AK564" s="401"/>
      <c r="AL564" s="401"/>
      <c r="AM564" s="189"/>
      <c r="AN564" s="829"/>
      <c r="AO564" s="830"/>
      <c r="AP564" s="401"/>
      <c r="AQ564" s="401"/>
      <c r="AR564" s="401"/>
      <c r="AS564" s="401"/>
      <c r="AT564" s="403"/>
      <c r="AU564" s="403"/>
      <c r="AV564" s="170"/>
      <c r="AW564" s="166"/>
      <c r="AX564" s="166"/>
      <c r="AY564" s="189"/>
      <c r="AZ564" s="189"/>
      <c r="BA564" s="196"/>
      <c r="BB564" s="629"/>
      <c r="BC564" s="190"/>
      <c r="BD564" s="510"/>
      <c r="BE564" s="510"/>
      <c r="BF564" s="177"/>
      <c r="BG564" s="177"/>
      <c r="BH564" s="166"/>
      <c r="BI564" s="474"/>
      <c r="BJ564" s="166"/>
      <c r="BK564" s="474"/>
      <c r="BL564" s="474"/>
      <c r="BM564" s="474"/>
      <c r="BN564" s="166"/>
      <c r="BO564" s="166"/>
      <c r="BP564" s="204"/>
      <c r="BQ564" s="475"/>
      <c r="BR564" s="205"/>
      <c r="BS564" s="509"/>
      <c r="BT564" s="509"/>
      <c r="BU564" s="459"/>
      <c r="BV564" s="459"/>
      <c r="BW564" s="1"/>
      <c r="BX564" s="1"/>
      <c r="BY564" s="546"/>
      <c r="BZ564" s="546"/>
      <c r="CA564" s="546"/>
      <c r="CB564" s="546"/>
      <c r="CC564" s="728"/>
      <c r="CD564" s="728"/>
      <c r="CE564" s="170"/>
    </row>
    <row r="565" spans="1:83" customFormat="1">
      <c r="A565" s="701"/>
      <c r="B565" s="447"/>
      <c r="C565" s="1"/>
      <c r="D565" s="538"/>
      <c r="E565" s="1"/>
      <c r="F565" s="811"/>
      <c r="G565" s="440"/>
      <c r="H565" s="1"/>
      <c r="I565" s="55"/>
      <c r="J565" s="171"/>
      <c r="K565" s="55"/>
      <c r="L565" s="171"/>
      <c r="M565" s="55"/>
      <c r="N565" s="172"/>
      <c r="O565" s="170"/>
      <c r="P565" s="139"/>
      <c r="Q565" s="172"/>
      <c r="R565" s="181"/>
      <c r="S565" s="455"/>
      <c r="T565" s="170"/>
      <c r="U565" s="170"/>
      <c r="V565" s="1"/>
      <c r="W565" s="173"/>
      <c r="X565" s="1"/>
      <c r="Y565" s="166"/>
      <c r="Z565" s="170"/>
      <c r="AA565" s="170"/>
      <c r="AB565" s="170"/>
      <c r="AC565" s="170"/>
      <c r="AD565" s="182"/>
      <c r="AE565" s="182"/>
      <c r="AF565" s="182"/>
      <c r="AG565" s="182"/>
      <c r="AH565" s="189"/>
      <c r="AI565" s="401"/>
      <c r="AJ565" s="189"/>
      <c r="AK565" s="401"/>
      <c r="AL565" s="401"/>
      <c r="AM565" s="189"/>
      <c r="AN565" s="782"/>
      <c r="AO565" s="189"/>
      <c r="AP565" s="401"/>
      <c r="AQ565" s="401"/>
      <c r="AR565" s="401"/>
      <c r="AS565" s="188"/>
      <c r="AT565" s="1"/>
      <c r="AU565" s="403"/>
      <c r="AV565" s="1"/>
      <c r="AW565" s="166"/>
      <c r="AX565" s="166"/>
      <c r="AY565" s="189"/>
      <c r="AZ565" s="189"/>
      <c r="BA565" s="196"/>
      <c r="BB565" s="629"/>
      <c r="BC565" s="197"/>
      <c r="BD565" s="510"/>
      <c r="BE565" s="510"/>
      <c r="BF565" s="177"/>
      <c r="BG565" s="177"/>
      <c r="BH565" s="166"/>
      <c r="BI565" s="474"/>
      <c r="BJ565" s="166"/>
      <c r="BK565" s="474"/>
      <c r="BL565" s="474"/>
      <c r="BM565" s="474"/>
      <c r="BN565" s="166"/>
      <c r="BO565" s="166"/>
      <c r="BP565" s="204"/>
      <c r="BQ565" s="475"/>
      <c r="BR565" s="205"/>
      <c r="BS565" s="509"/>
      <c r="BT565" s="509"/>
      <c r="BU565" s="459"/>
      <c r="BV565" s="459"/>
      <c r="BW565" s="1"/>
      <c r="BX565" s="1"/>
      <c r="BY565" s="546"/>
      <c r="BZ565" s="546"/>
      <c r="CA565" s="546"/>
      <c r="CB565" s="546"/>
      <c r="CC565" s="728"/>
      <c r="CD565" s="728"/>
      <c r="CE565" s="170"/>
    </row>
    <row r="566" spans="1:83" customFormat="1">
      <c r="A566" s="701"/>
      <c r="B566" s="447"/>
      <c r="C566" s="161"/>
      <c r="D566" s="162"/>
      <c r="E566" s="1"/>
      <c r="F566" s="811"/>
      <c r="G566" s="440"/>
      <c r="H566" s="1"/>
      <c r="I566" s="55"/>
      <c r="J566" s="170"/>
      <c r="K566" s="1"/>
      <c r="L566" s="170"/>
      <c r="M566" s="1"/>
      <c r="N566" s="458"/>
      <c r="O566" s="170"/>
      <c r="P566" s="441"/>
      <c r="Q566" s="55"/>
      <c r="R566" s="177"/>
      <c r="S566" s="454"/>
      <c r="T566" s="178"/>
      <c r="U566" s="178"/>
      <c r="V566" s="179"/>
      <c r="W566" s="180"/>
      <c r="X566" s="179"/>
      <c r="Y566" s="180"/>
      <c r="Z566" s="178"/>
      <c r="AA566" s="178"/>
      <c r="AB566" s="178"/>
      <c r="AC566" s="178"/>
      <c r="AD566" s="182"/>
      <c r="AE566" s="182"/>
      <c r="AF566" s="182"/>
      <c r="AG566" s="182"/>
      <c r="AH566" s="401"/>
      <c r="AI566" s="401"/>
      <c r="AJ566" s="401"/>
      <c r="AK566" s="401"/>
      <c r="AL566" s="401"/>
      <c r="AM566" s="189"/>
      <c r="AN566" s="829"/>
      <c r="AO566" s="830"/>
      <c r="AP566" s="401"/>
      <c r="AQ566" s="401"/>
      <c r="AR566" s="401"/>
      <c r="AS566" s="401"/>
      <c r="AT566" s="403"/>
      <c r="AU566" s="403"/>
      <c r="AV566" s="170"/>
      <c r="AW566" s="166"/>
      <c r="AX566" s="166"/>
      <c r="AY566" s="189"/>
      <c r="AZ566" s="189"/>
      <c r="BA566" s="196"/>
      <c r="BB566" s="629"/>
      <c r="BC566" s="190"/>
      <c r="BD566" s="510"/>
      <c r="BE566" s="510"/>
      <c r="BF566" s="177"/>
      <c r="BG566" s="177"/>
      <c r="BH566" s="166"/>
      <c r="BI566" s="474"/>
      <c r="BJ566" s="166"/>
      <c r="BK566" s="474"/>
      <c r="BL566" s="474"/>
      <c r="BM566" s="474"/>
      <c r="BN566" s="166"/>
      <c r="BO566" s="166"/>
      <c r="BP566" s="204"/>
      <c r="BQ566" s="475"/>
      <c r="BR566" s="205"/>
      <c r="BS566" s="509"/>
      <c r="BT566" s="509"/>
      <c r="BU566" s="459"/>
      <c r="BV566" s="459"/>
      <c r="BW566" s="1"/>
      <c r="BX566" s="1"/>
      <c r="BY566" s="546"/>
      <c r="BZ566" s="546"/>
      <c r="CA566" s="546"/>
      <c r="CB566" s="546"/>
      <c r="CC566" s="728"/>
      <c r="CD566" s="728"/>
      <c r="CE566" s="170"/>
    </row>
    <row r="567" spans="1:83" customFormat="1">
      <c r="A567" s="701"/>
      <c r="B567" s="447"/>
      <c r="C567" s="161"/>
      <c r="D567" s="162"/>
      <c r="E567" s="1"/>
      <c r="F567" s="811"/>
      <c r="G567" s="440"/>
      <c r="H567" s="1"/>
      <c r="I567" s="55"/>
      <c r="J567" s="170"/>
      <c r="K567" s="1"/>
      <c r="L567" s="170"/>
      <c r="M567" s="1"/>
      <c r="N567" s="458"/>
      <c r="O567" s="170"/>
      <c r="P567" s="441"/>
      <c r="Q567" s="55"/>
      <c r="R567" s="177"/>
      <c r="S567" s="454"/>
      <c r="T567" s="178"/>
      <c r="U567" s="178"/>
      <c r="V567" s="179"/>
      <c r="W567" s="180"/>
      <c r="X567" s="179"/>
      <c r="Y567" s="180"/>
      <c r="Z567" s="178"/>
      <c r="AA567" s="178"/>
      <c r="AB567" s="178"/>
      <c r="AC567" s="178"/>
      <c r="AD567" s="182"/>
      <c r="AE567" s="182"/>
      <c r="AF567" s="182"/>
      <c r="AG567" s="182"/>
      <c r="AH567" s="401"/>
      <c r="AI567" s="401"/>
      <c r="AJ567" s="401"/>
      <c r="AK567" s="401"/>
      <c r="AL567" s="401"/>
      <c r="AM567" s="189"/>
      <c r="AN567" s="829"/>
      <c r="AO567" s="830"/>
      <c r="AP567" s="401"/>
      <c r="AQ567" s="401"/>
      <c r="AR567" s="401"/>
      <c r="AS567" s="401"/>
      <c r="AT567" s="403"/>
      <c r="AU567" s="403"/>
      <c r="AV567" s="170"/>
      <c r="AW567" s="166"/>
      <c r="AX567" s="166"/>
      <c r="AY567" s="189"/>
      <c r="AZ567" s="189"/>
      <c r="BA567" s="196"/>
      <c r="BB567" s="629"/>
      <c r="BC567" s="190"/>
      <c r="BD567" s="510"/>
      <c r="BE567" s="510"/>
      <c r="BF567" s="177"/>
      <c r="BG567" s="177"/>
      <c r="BH567" s="166"/>
      <c r="BI567" s="474"/>
      <c r="BJ567" s="166"/>
      <c r="BK567" s="474"/>
      <c r="BL567" s="474"/>
      <c r="BM567" s="474"/>
      <c r="BN567" s="166"/>
      <c r="BO567" s="166"/>
      <c r="BP567" s="204"/>
      <c r="BQ567" s="475"/>
      <c r="BR567" s="205"/>
      <c r="BS567" s="509"/>
      <c r="BT567" s="509"/>
      <c r="BU567" s="459"/>
      <c r="BV567" s="459"/>
      <c r="BW567" s="1"/>
      <c r="BX567" s="1"/>
      <c r="BY567" s="546"/>
      <c r="BZ567" s="546"/>
      <c r="CA567" s="546"/>
      <c r="CB567" s="546"/>
      <c r="CC567" s="728"/>
      <c r="CD567" s="728"/>
      <c r="CE567" s="170"/>
    </row>
    <row r="568" spans="1:83" customFormat="1">
      <c r="A568" s="701"/>
      <c r="B568" s="447"/>
      <c r="C568" s="161"/>
      <c r="D568" s="162"/>
      <c r="E568" s="1"/>
      <c r="F568" s="811"/>
      <c r="G568" s="440"/>
      <c r="H568" s="1"/>
      <c r="I568" s="55"/>
      <c r="J568" s="457"/>
      <c r="K568" s="1"/>
      <c r="L568" s="170"/>
      <c r="M568" s="1"/>
      <c r="N568" s="458"/>
      <c r="O568" s="170"/>
      <c r="P568" s="441"/>
      <c r="Q568" s="55"/>
      <c r="R568" s="177"/>
      <c r="S568" s="454"/>
      <c r="T568" s="178"/>
      <c r="U568" s="178"/>
      <c r="V568" s="179"/>
      <c r="W568" s="180"/>
      <c r="X568" s="179"/>
      <c r="Y568" s="180"/>
      <c r="Z568" s="178"/>
      <c r="AA568" s="178"/>
      <c r="AB568" s="178"/>
      <c r="AC568" s="178"/>
      <c r="AD568" s="182"/>
      <c r="AE568" s="182"/>
      <c r="AF568" s="182"/>
      <c r="AG568" s="182"/>
      <c r="AH568" s="401"/>
      <c r="AI568" s="401"/>
      <c r="AJ568" s="401"/>
      <c r="AK568" s="401"/>
      <c r="AL568" s="401"/>
      <c r="AM568" s="189"/>
      <c r="AN568" s="829"/>
      <c r="AO568" s="830"/>
      <c r="AP568" s="401"/>
      <c r="AQ568" s="401"/>
      <c r="AR568" s="401"/>
      <c r="AS568" s="401"/>
      <c r="AT568" s="403"/>
      <c r="AU568" s="403"/>
      <c r="AV568" s="170"/>
      <c r="AW568" s="166"/>
      <c r="AX568" s="166"/>
      <c r="AY568" s="189"/>
      <c r="AZ568" s="189"/>
      <c r="BA568" s="196"/>
      <c r="BB568" s="629"/>
      <c r="BC568" s="190"/>
      <c r="BD568" s="510"/>
      <c r="BE568" s="510"/>
      <c r="BF568" s="177"/>
      <c r="BG568" s="177"/>
      <c r="BH568" s="166"/>
      <c r="BI568" s="474"/>
      <c r="BJ568" s="166"/>
      <c r="BK568" s="474"/>
      <c r="BL568" s="474"/>
      <c r="BM568" s="474"/>
      <c r="BN568" s="166"/>
      <c r="BO568" s="166"/>
      <c r="BP568" s="204"/>
      <c r="BQ568" s="475"/>
      <c r="BR568" s="205"/>
      <c r="BS568" s="509"/>
      <c r="BT568" s="509"/>
      <c r="BU568" s="459"/>
      <c r="BV568" s="459"/>
      <c r="BW568" s="1"/>
      <c r="BX568" s="1"/>
      <c r="BY568" s="546"/>
      <c r="BZ568" s="546"/>
      <c r="CA568" s="546"/>
      <c r="CB568" s="546"/>
      <c r="CC568" s="728"/>
      <c r="CD568" s="728"/>
      <c r="CE568" s="170"/>
    </row>
    <row r="569" spans="1:83" customFormat="1">
      <c r="A569" s="701"/>
      <c r="B569" s="447"/>
      <c r="C569" s="161"/>
      <c r="D569" s="162"/>
      <c r="E569" s="1"/>
      <c r="F569" s="811"/>
      <c r="G569" s="440"/>
      <c r="H569" s="1"/>
      <c r="I569" s="55"/>
      <c r="J569" s="170"/>
      <c r="K569" s="1"/>
      <c r="L569" s="170"/>
      <c r="M569" s="1"/>
      <c r="N569" s="458"/>
      <c r="O569" s="170"/>
      <c r="P569" s="441"/>
      <c r="Q569" s="55"/>
      <c r="R569" s="177"/>
      <c r="S569" s="454"/>
      <c r="T569" s="178"/>
      <c r="U569" s="178"/>
      <c r="V569" s="179"/>
      <c r="W569" s="180"/>
      <c r="X569" s="179"/>
      <c r="Y569" s="180"/>
      <c r="Z569" s="178"/>
      <c r="AA569" s="178"/>
      <c r="AB569" s="178"/>
      <c r="AC569" s="178"/>
      <c r="AD569" s="182"/>
      <c r="AE569" s="182"/>
      <c r="AF569" s="182"/>
      <c r="AG569" s="182"/>
      <c r="AH569" s="401"/>
      <c r="AI569" s="401"/>
      <c r="AJ569" s="401"/>
      <c r="AK569" s="401"/>
      <c r="AL569" s="401"/>
      <c r="AM569" s="189"/>
      <c r="AN569" s="829"/>
      <c r="AO569" s="830"/>
      <c r="AP569" s="401"/>
      <c r="AQ569" s="401"/>
      <c r="AR569" s="401"/>
      <c r="AS569" s="401"/>
      <c r="AT569" s="403"/>
      <c r="AU569" s="403"/>
      <c r="AV569" s="170"/>
      <c r="AW569" s="166"/>
      <c r="AX569" s="166"/>
      <c r="AY569" s="189"/>
      <c r="AZ569" s="189"/>
      <c r="BA569" s="196"/>
      <c r="BB569" s="629"/>
      <c r="BC569" s="190"/>
      <c r="BD569" s="510"/>
      <c r="BE569" s="510"/>
      <c r="BF569" s="177"/>
      <c r="BG569" s="177"/>
      <c r="BH569" s="166"/>
      <c r="BI569" s="474"/>
      <c r="BJ569" s="166"/>
      <c r="BK569" s="474"/>
      <c r="BL569" s="474"/>
      <c r="BM569" s="474"/>
      <c r="BN569" s="166"/>
      <c r="BO569" s="166"/>
      <c r="BP569" s="204"/>
      <c r="BQ569" s="475"/>
      <c r="BR569" s="205"/>
      <c r="BS569" s="509"/>
      <c r="BT569" s="509"/>
      <c r="BU569" s="459"/>
      <c r="BV569" s="459"/>
      <c r="BW569" s="1"/>
      <c r="BX569" s="1"/>
      <c r="BY569" s="546"/>
      <c r="BZ569" s="546"/>
      <c r="CA569" s="546"/>
      <c r="CB569" s="546"/>
      <c r="CC569" s="728"/>
      <c r="CD569" s="728"/>
      <c r="CE569" s="170"/>
    </row>
    <row r="570" spans="1:83" customFormat="1">
      <c r="A570" s="701"/>
      <c r="B570" s="447"/>
      <c r="C570" s="161"/>
      <c r="D570" s="162"/>
      <c r="E570" s="1"/>
      <c r="F570" s="811"/>
      <c r="G570" s="440"/>
      <c r="H570" s="1"/>
      <c r="I570" s="55"/>
      <c r="J570" s="170"/>
      <c r="K570" s="1"/>
      <c r="L570" s="170"/>
      <c r="M570" s="1"/>
      <c r="N570" s="458"/>
      <c r="O570" s="170"/>
      <c r="P570" s="441"/>
      <c r="Q570" s="55"/>
      <c r="R570" s="177"/>
      <c r="S570" s="454"/>
      <c r="T570" s="178"/>
      <c r="U570" s="178"/>
      <c r="V570" s="179"/>
      <c r="W570" s="180"/>
      <c r="X570" s="179"/>
      <c r="Y570" s="180"/>
      <c r="Z570" s="178"/>
      <c r="AA570" s="178"/>
      <c r="AB570" s="178"/>
      <c r="AC570" s="178"/>
      <c r="AD570" s="182"/>
      <c r="AE570" s="182"/>
      <c r="AF570" s="182"/>
      <c r="AG570" s="182"/>
      <c r="AH570" s="401"/>
      <c r="AI570" s="401"/>
      <c r="AJ570" s="401"/>
      <c r="AK570" s="401"/>
      <c r="AL570" s="401"/>
      <c r="AM570" s="189"/>
      <c r="AN570" s="829"/>
      <c r="AO570" s="830"/>
      <c r="AP570" s="401"/>
      <c r="AQ570" s="401"/>
      <c r="AR570" s="401"/>
      <c r="AS570" s="401"/>
      <c r="AT570" s="403"/>
      <c r="AU570" s="403"/>
      <c r="AV570" s="170"/>
      <c r="AW570" s="166"/>
      <c r="AX570" s="166"/>
      <c r="AY570" s="189"/>
      <c r="AZ570" s="189"/>
      <c r="BA570" s="196"/>
      <c r="BB570" s="629"/>
      <c r="BC570" s="190"/>
      <c r="BD570" s="510"/>
      <c r="BE570" s="510"/>
      <c r="BF570" s="177"/>
      <c r="BG570" s="177"/>
      <c r="BH570" s="166"/>
      <c r="BI570" s="474"/>
      <c r="BJ570" s="166"/>
      <c r="BK570" s="474"/>
      <c r="BL570" s="474"/>
      <c r="BM570" s="474"/>
      <c r="BN570" s="166"/>
      <c r="BO570" s="166"/>
      <c r="BP570" s="204"/>
      <c r="BQ570" s="475"/>
      <c r="BR570" s="205"/>
      <c r="BS570" s="509"/>
      <c r="BT570" s="509"/>
      <c r="BU570" s="459"/>
      <c r="BV570" s="459"/>
      <c r="BW570" s="1"/>
      <c r="BX570" s="1"/>
      <c r="BY570" s="546"/>
      <c r="BZ570" s="546"/>
      <c r="CA570" s="546"/>
      <c r="CB570" s="546"/>
      <c r="CC570" s="728"/>
      <c r="CD570" s="728"/>
      <c r="CE570" s="170"/>
    </row>
    <row r="571" spans="1:83" customFormat="1">
      <c r="A571" s="701"/>
      <c r="B571" s="447"/>
      <c r="C571" s="161"/>
      <c r="D571" s="162"/>
      <c r="E571" s="1"/>
      <c r="F571" s="811"/>
      <c r="G571" s="440"/>
      <c r="H571" s="1"/>
      <c r="I571" s="55"/>
      <c r="J571" s="457"/>
      <c r="K571" s="1"/>
      <c r="L571" s="170"/>
      <c r="M571" s="1"/>
      <c r="N571" s="458"/>
      <c r="O571" s="170"/>
      <c r="P571" s="441"/>
      <c r="Q571" s="55"/>
      <c r="R571" s="177"/>
      <c r="S571" s="454"/>
      <c r="T571" s="178"/>
      <c r="U571" s="178"/>
      <c r="V571" s="179"/>
      <c r="W571" s="180"/>
      <c r="X571" s="179"/>
      <c r="Y571" s="180"/>
      <c r="Z571" s="178"/>
      <c r="AA571" s="178"/>
      <c r="AB571" s="178"/>
      <c r="AC571" s="178"/>
      <c r="AD571" s="182"/>
      <c r="AE571" s="182"/>
      <c r="AF571" s="182"/>
      <c r="AG571" s="182"/>
      <c r="AH571" s="401"/>
      <c r="AI571" s="401"/>
      <c r="AJ571" s="401"/>
      <c r="AK571" s="401"/>
      <c r="AL571" s="401"/>
      <c r="AM571" s="189"/>
      <c r="AN571" s="829"/>
      <c r="AO571" s="830"/>
      <c r="AP571" s="401"/>
      <c r="AQ571" s="401"/>
      <c r="AR571" s="401"/>
      <c r="AS571" s="401"/>
      <c r="AT571" s="403"/>
      <c r="AU571" s="403"/>
      <c r="AV571" s="170"/>
      <c r="AW571" s="166"/>
      <c r="AX571" s="166"/>
      <c r="AY571" s="189"/>
      <c r="AZ571" s="189"/>
      <c r="BA571" s="196"/>
      <c r="BB571" s="629"/>
      <c r="BC571" s="190"/>
      <c r="BD571" s="510"/>
      <c r="BE571" s="510"/>
      <c r="BF571" s="177"/>
      <c r="BG571" s="177"/>
      <c r="BH571" s="166"/>
      <c r="BI571" s="474"/>
      <c r="BJ571" s="166"/>
      <c r="BK571" s="474"/>
      <c r="BL571" s="474"/>
      <c r="BM571" s="474"/>
      <c r="BN571" s="166"/>
      <c r="BO571" s="166"/>
      <c r="BP571" s="204"/>
      <c r="BQ571" s="475"/>
      <c r="BR571" s="205"/>
      <c r="BS571" s="509"/>
      <c r="BT571" s="509"/>
      <c r="BU571" s="459"/>
      <c r="BV571" s="459"/>
      <c r="BW571" s="1"/>
      <c r="BX571" s="1"/>
      <c r="BY571" s="546"/>
      <c r="BZ571" s="546"/>
      <c r="CA571" s="546"/>
      <c r="CB571" s="546"/>
      <c r="CC571" s="728"/>
      <c r="CD571" s="728"/>
      <c r="CE571" s="170"/>
    </row>
    <row r="572" spans="1:83" customFormat="1">
      <c r="A572" s="701"/>
      <c r="B572" s="447"/>
      <c r="C572" s="161"/>
      <c r="D572" s="162"/>
      <c r="E572" s="1"/>
      <c r="F572" s="811"/>
      <c r="G572" s="440"/>
      <c r="H572" s="1"/>
      <c r="I572" s="55"/>
      <c r="J572" s="170"/>
      <c r="K572" s="1"/>
      <c r="L572" s="170"/>
      <c r="M572" s="1"/>
      <c r="N572" s="458"/>
      <c r="O572" s="170"/>
      <c r="P572" s="441"/>
      <c r="Q572" s="55"/>
      <c r="R572" s="177"/>
      <c r="S572" s="454"/>
      <c r="T572" s="178"/>
      <c r="U572" s="178"/>
      <c r="V572" s="179"/>
      <c r="W572" s="180"/>
      <c r="X572" s="179"/>
      <c r="Y572" s="180"/>
      <c r="Z572" s="178"/>
      <c r="AA572" s="178"/>
      <c r="AB572" s="178"/>
      <c r="AC572" s="178"/>
      <c r="AD572" s="182"/>
      <c r="AE572" s="182"/>
      <c r="AF572" s="182"/>
      <c r="AG572" s="182"/>
      <c r="AH572" s="401"/>
      <c r="AI572" s="401"/>
      <c r="AJ572" s="401"/>
      <c r="AK572" s="401"/>
      <c r="AL572" s="401"/>
      <c r="AM572" s="189"/>
      <c r="AN572" s="829"/>
      <c r="AO572" s="830"/>
      <c r="AP572" s="401"/>
      <c r="AQ572" s="401"/>
      <c r="AR572" s="401"/>
      <c r="AS572" s="401"/>
      <c r="AT572" s="403"/>
      <c r="AU572" s="403"/>
      <c r="AV572" s="170"/>
      <c r="AW572" s="166"/>
      <c r="AX572" s="166"/>
      <c r="AY572" s="189"/>
      <c r="AZ572" s="189"/>
      <c r="BA572" s="196"/>
      <c r="BB572" s="629"/>
      <c r="BC572" s="190"/>
      <c r="BD572" s="510"/>
      <c r="BE572" s="510"/>
      <c r="BF572" s="177"/>
      <c r="BG572" s="177"/>
      <c r="BH572" s="166"/>
      <c r="BI572" s="474"/>
      <c r="BJ572" s="166"/>
      <c r="BK572" s="474"/>
      <c r="BL572" s="474"/>
      <c r="BM572" s="474"/>
      <c r="BN572" s="166"/>
      <c r="BO572" s="166"/>
      <c r="BP572" s="204"/>
      <c r="BQ572" s="475"/>
      <c r="BR572" s="205"/>
      <c r="BS572" s="509"/>
      <c r="BT572" s="509"/>
      <c r="BU572" s="459"/>
      <c r="BV572" s="459"/>
      <c r="BW572" s="1"/>
      <c r="BX572" s="1"/>
      <c r="BY572" s="546"/>
      <c r="BZ572" s="546"/>
      <c r="CA572" s="546"/>
      <c r="CB572" s="546"/>
      <c r="CC572" s="728"/>
      <c r="CD572" s="728"/>
      <c r="CE572" s="170"/>
    </row>
    <row r="573" spans="1:83" customFormat="1">
      <c r="A573" s="701"/>
      <c r="B573" s="447"/>
      <c r="C573" s="161"/>
      <c r="D573" s="162"/>
      <c r="E573" s="1"/>
      <c r="F573" s="811"/>
      <c r="G573" s="440"/>
      <c r="H573" s="1"/>
      <c r="I573" s="55"/>
      <c r="J573" s="170"/>
      <c r="K573" s="1"/>
      <c r="L573" s="170"/>
      <c r="M573" s="1"/>
      <c r="N573" s="458"/>
      <c r="O573" s="170"/>
      <c r="P573" s="441"/>
      <c r="Q573" s="55"/>
      <c r="R573" s="177"/>
      <c r="S573" s="454"/>
      <c r="T573" s="178"/>
      <c r="U573" s="178"/>
      <c r="V573" s="179"/>
      <c r="W573" s="180"/>
      <c r="X573" s="179"/>
      <c r="Y573" s="180"/>
      <c r="Z573" s="178"/>
      <c r="AA573" s="178"/>
      <c r="AB573" s="178"/>
      <c r="AC573" s="178"/>
      <c r="AD573" s="182"/>
      <c r="AE573" s="182"/>
      <c r="AF573" s="182"/>
      <c r="AG573" s="182"/>
      <c r="AH573" s="401"/>
      <c r="AI573" s="401"/>
      <c r="AJ573" s="401"/>
      <c r="AK573" s="401"/>
      <c r="AL573" s="401"/>
      <c r="AM573" s="189"/>
      <c r="AN573" s="829"/>
      <c r="AO573" s="830"/>
      <c r="AP573" s="401"/>
      <c r="AQ573" s="401"/>
      <c r="AR573" s="401"/>
      <c r="AS573" s="401"/>
      <c r="AT573" s="403"/>
      <c r="AU573" s="403"/>
      <c r="AV573" s="170"/>
      <c r="AW573" s="166"/>
      <c r="AX573" s="166"/>
      <c r="AY573" s="189"/>
      <c r="AZ573" s="189"/>
      <c r="BA573" s="196"/>
      <c r="BB573" s="629"/>
      <c r="BC573" s="190"/>
      <c r="BD573" s="510"/>
      <c r="BE573" s="510"/>
      <c r="BF573" s="177"/>
      <c r="BG573" s="177"/>
      <c r="BH573" s="166"/>
      <c r="BI573" s="474"/>
      <c r="BJ573" s="166"/>
      <c r="BK573" s="474"/>
      <c r="BL573" s="474"/>
      <c r="BM573" s="474"/>
      <c r="BN573" s="166"/>
      <c r="BO573" s="166"/>
      <c r="BP573" s="204"/>
      <c r="BQ573" s="475"/>
      <c r="BR573" s="205"/>
      <c r="BS573" s="509"/>
      <c r="BT573" s="509"/>
      <c r="BU573" s="459"/>
      <c r="BV573" s="459"/>
      <c r="BW573" s="1"/>
      <c r="BX573" s="1"/>
      <c r="BY573" s="546"/>
      <c r="BZ573" s="546"/>
      <c r="CA573" s="546"/>
      <c r="CB573" s="546"/>
      <c r="CC573" s="728"/>
      <c r="CD573" s="728"/>
      <c r="CE573" s="170"/>
    </row>
    <row r="574" spans="1:83" customFormat="1">
      <c r="A574" s="701"/>
      <c r="C574" s="148"/>
      <c r="D574" s="149"/>
      <c r="E574" s="148"/>
      <c r="F574" s="811"/>
      <c r="G574" s="439"/>
      <c r="H574" s="148"/>
      <c r="I574" s="148"/>
      <c r="J574" s="148"/>
      <c r="K574" s="148"/>
      <c r="L574" s="148"/>
      <c r="M574" s="148"/>
      <c r="N574" s="148"/>
      <c r="O574" s="148"/>
      <c r="P574" s="151"/>
      <c r="Q574" s="152"/>
      <c r="R574" s="450"/>
      <c r="S574" s="153"/>
      <c r="T574" s="153"/>
      <c r="U574" s="153"/>
      <c r="V574" s="153"/>
      <c r="W574" s="153"/>
      <c r="X574" s="153"/>
      <c r="Y574" s="148"/>
      <c r="Z574" s="267"/>
      <c r="AA574" s="148"/>
      <c r="AB574" s="152"/>
      <c r="AC574" s="152"/>
      <c r="AD574" s="152"/>
      <c r="AE574" s="148"/>
      <c r="AF574" s="148"/>
      <c r="AG574" s="148"/>
      <c r="AH574" s="148"/>
      <c r="AI574" s="401"/>
      <c r="AJ574" s="148"/>
      <c r="AK574" s="400"/>
      <c r="AL574" s="152"/>
      <c r="AM574" s="148"/>
      <c r="AN574" s="269"/>
      <c r="AO574" s="269"/>
      <c r="AP574" s="148"/>
      <c r="AQ574" s="149"/>
      <c r="AR574" s="149"/>
      <c r="AS574" s="149"/>
      <c r="AT574" s="482"/>
      <c r="AU574" s="482"/>
      <c r="AV574" s="148"/>
      <c r="AW574" s="148"/>
      <c r="AX574" s="148"/>
      <c r="AY574" s="148"/>
      <c r="AZ574" s="148"/>
      <c r="BA574" s="148"/>
      <c r="BB574" s="148"/>
      <c r="BC574" s="148"/>
      <c r="BD574" s="148"/>
      <c r="BE574" s="148"/>
      <c r="BF574" s="148"/>
      <c r="BG574" s="148"/>
      <c r="BH574" s="148"/>
      <c r="BI574" s="148"/>
      <c r="BJ574" s="148"/>
      <c r="BK574" s="148"/>
      <c r="BL574" s="148"/>
      <c r="BM574" s="148"/>
      <c r="BN574" s="148"/>
      <c r="BO574" s="148"/>
      <c r="BP574" s="148"/>
      <c r="BQ574" s="148"/>
      <c r="BR574" s="148"/>
      <c r="BS574" s="148"/>
      <c r="BT574" s="148"/>
      <c r="BU574" s="148"/>
      <c r="BV574" s="148"/>
      <c r="BW574" s="1"/>
      <c r="BX574" s="1"/>
      <c r="BY574" s="546"/>
      <c r="BZ574" s="546"/>
      <c r="CA574" s="546"/>
      <c r="CB574" s="546"/>
      <c r="CC574" s="728"/>
      <c r="CD574" s="728"/>
      <c r="CE574" s="170"/>
    </row>
    <row r="575" spans="1:83" customFormat="1">
      <c r="A575" s="701"/>
      <c r="B575" s="447"/>
      <c r="C575" s="161"/>
      <c r="D575" s="162"/>
      <c r="E575" s="1"/>
      <c r="F575" s="811"/>
      <c r="G575" s="440"/>
      <c r="H575" s="1"/>
      <c r="I575" s="55"/>
      <c r="J575" s="170"/>
      <c r="K575" s="1"/>
      <c r="L575" s="170"/>
      <c r="M575" s="1"/>
      <c r="N575" s="458"/>
      <c r="O575" s="170"/>
      <c r="P575" s="441"/>
      <c r="Q575" s="55"/>
      <c r="R575" s="177"/>
      <c r="S575" s="454"/>
      <c r="T575" s="178"/>
      <c r="U575" s="178"/>
      <c r="V575" s="179"/>
      <c r="W575" s="180"/>
      <c r="X575" s="179"/>
      <c r="Y575" s="180"/>
      <c r="Z575" s="178"/>
      <c r="AA575" s="178"/>
      <c r="AB575" s="178"/>
      <c r="AC575" s="178"/>
      <c r="AD575" s="182"/>
      <c r="AE575" s="182"/>
      <c r="AF575" s="182"/>
      <c r="AG575" s="182"/>
      <c r="AH575" s="401"/>
      <c r="AI575" s="401"/>
      <c r="AJ575" s="401"/>
      <c r="AK575" s="401"/>
      <c r="AL575" s="401"/>
      <c r="AM575" s="189"/>
      <c r="AN575" s="829"/>
      <c r="AO575" s="830"/>
      <c r="AP575" s="401"/>
      <c r="AQ575" s="401"/>
      <c r="AR575" s="401"/>
      <c r="AS575" s="401"/>
      <c r="AT575" s="403"/>
      <c r="AU575" s="403"/>
      <c r="AV575" s="170"/>
      <c r="AW575" s="166"/>
      <c r="AX575" s="166"/>
      <c r="AY575" s="189"/>
      <c r="AZ575" s="189"/>
      <c r="BA575" s="196"/>
      <c r="BB575" s="629"/>
      <c r="BC575" s="190"/>
      <c r="BD575" s="510"/>
      <c r="BE575" s="510"/>
      <c r="BF575" s="177"/>
      <c r="BG575" s="177"/>
      <c r="BH575" s="166"/>
      <c r="BI575" s="474"/>
      <c r="BJ575" s="166"/>
      <c r="BK575" s="474"/>
      <c r="BL575" s="474"/>
      <c r="BM575" s="474"/>
      <c r="BN575" s="166"/>
      <c r="BO575" s="166"/>
      <c r="BP575" s="204"/>
      <c r="BQ575" s="475"/>
      <c r="BR575" s="205"/>
      <c r="BS575" s="509"/>
      <c r="BT575" s="509"/>
      <c r="BU575" s="459"/>
      <c r="BV575" s="459"/>
      <c r="BW575" s="1"/>
      <c r="BX575" s="1"/>
      <c r="BY575" s="546"/>
      <c r="BZ575" s="546"/>
      <c r="CA575" s="546"/>
      <c r="CB575" s="546"/>
      <c r="CC575" s="728"/>
      <c r="CD575" s="728"/>
      <c r="CE575" s="170"/>
    </row>
    <row r="576" spans="1:83" customFormat="1">
      <c r="A576" s="701"/>
      <c r="B576" s="447"/>
      <c r="C576" s="161"/>
      <c r="D576" s="162"/>
      <c r="E576" s="1"/>
      <c r="F576" s="811"/>
      <c r="G576" s="440"/>
      <c r="H576" s="1"/>
      <c r="I576" s="55"/>
      <c r="J576" s="170"/>
      <c r="K576" s="1"/>
      <c r="L576" s="170"/>
      <c r="M576" s="1"/>
      <c r="N576" s="458"/>
      <c r="O576" s="170"/>
      <c r="P576" s="441"/>
      <c r="Q576" s="55"/>
      <c r="R576" s="177"/>
      <c r="S576" s="454"/>
      <c r="T576" s="178"/>
      <c r="U576" s="178"/>
      <c r="V576" s="179"/>
      <c r="W576" s="180"/>
      <c r="X576" s="179"/>
      <c r="Y576" s="180"/>
      <c r="Z576" s="178"/>
      <c r="AA576" s="178"/>
      <c r="AB576" s="178"/>
      <c r="AC576" s="178"/>
      <c r="AD576" s="182"/>
      <c r="AE576" s="182"/>
      <c r="AF576" s="182"/>
      <c r="AG576" s="182"/>
      <c r="AH576" s="401"/>
      <c r="AI576" s="401"/>
      <c r="AJ576" s="401"/>
      <c r="AK576" s="401"/>
      <c r="AL576" s="401"/>
      <c r="AM576" s="189"/>
      <c r="AN576" s="829"/>
      <c r="AO576" s="830"/>
      <c r="AP576" s="401"/>
      <c r="AQ576" s="401"/>
      <c r="AR576" s="401"/>
      <c r="AS576" s="401"/>
      <c r="AT576" s="403"/>
      <c r="AU576" s="403"/>
      <c r="AV576" s="170"/>
      <c r="AW576" s="166"/>
      <c r="AX576" s="166"/>
      <c r="AY576" s="189"/>
      <c r="AZ576" s="189"/>
      <c r="BA576" s="196"/>
      <c r="BB576" s="629"/>
      <c r="BC576" s="190"/>
      <c r="BD576" s="510"/>
      <c r="BE576" s="510"/>
      <c r="BF576" s="177"/>
      <c r="BG576" s="177"/>
      <c r="BH576" s="166"/>
      <c r="BI576" s="474"/>
      <c r="BJ576" s="166"/>
      <c r="BK576" s="474"/>
      <c r="BL576" s="474"/>
      <c r="BM576" s="474"/>
      <c r="BN576" s="166"/>
      <c r="BO576" s="166"/>
      <c r="BP576" s="204"/>
      <c r="BQ576" s="475"/>
      <c r="BR576" s="205"/>
      <c r="BS576" s="509"/>
      <c r="BT576" s="509"/>
      <c r="BU576" s="459"/>
      <c r="BV576" s="459"/>
      <c r="BW576" s="1"/>
      <c r="BX576" s="1"/>
      <c r="BY576" s="546"/>
      <c r="BZ576" s="546"/>
      <c r="CA576" s="546"/>
      <c r="CB576" s="546"/>
      <c r="CC576" s="728"/>
      <c r="CD576" s="728"/>
      <c r="CE576" s="170"/>
    </row>
    <row r="577" spans="1:83" customFormat="1">
      <c r="A577" s="701"/>
      <c r="B577" s="447"/>
      <c r="C577" s="161"/>
      <c r="D577" s="162"/>
      <c r="E577" s="1"/>
      <c r="F577" s="811"/>
      <c r="G577" s="440"/>
      <c r="H577" s="1"/>
      <c r="I577" s="55"/>
      <c r="J577" s="170"/>
      <c r="K577" s="1"/>
      <c r="L577" s="170"/>
      <c r="M577" s="1"/>
      <c r="N577" s="458"/>
      <c r="O577" s="170"/>
      <c r="P577" s="441"/>
      <c r="Q577" s="55"/>
      <c r="R577" s="177"/>
      <c r="S577" s="454"/>
      <c r="T577" s="178"/>
      <c r="U577" s="178"/>
      <c r="V577" s="179"/>
      <c r="W577" s="180"/>
      <c r="X577" s="179"/>
      <c r="Y577" s="180"/>
      <c r="Z577" s="178"/>
      <c r="AA577" s="178"/>
      <c r="AB577" s="178"/>
      <c r="AC577" s="178"/>
      <c r="AD577" s="182"/>
      <c r="AE577" s="182"/>
      <c r="AF577" s="182"/>
      <c r="AG577" s="182"/>
      <c r="AH577" s="401"/>
      <c r="AI577" s="401"/>
      <c r="AJ577" s="401"/>
      <c r="AK577" s="401"/>
      <c r="AL577" s="401"/>
      <c r="AM577" s="189"/>
      <c r="AN577" s="829"/>
      <c r="AO577" s="830"/>
      <c r="AP577" s="401"/>
      <c r="AQ577" s="401"/>
      <c r="AR577" s="401"/>
      <c r="AS577" s="401"/>
      <c r="AT577" s="403"/>
      <c r="AU577" s="403"/>
      <c r="AV577" s="170"/>
      <c r="AW577" s="166"/>
      <c r="AX577" s="166"/>
      <c r="AY577" s="189"/>
      <c r="AZ577" s="189"/>
      <c r="BA577" s="196"/>
      <c r="BB577" s="629"/>
      <c r="BC577" s="190"/>
      <c r="BD577" s="510"/>
      <c r="BE577" s="510"/>
      <c r="BF577" s="177"/>
      <c r="BG577" s="177"/>
      <c r="BH577" s="166"/>
      <c r="BI577" s="474"/>
      <c r="BJ577" s="166"/>
      <c r="BK577" s="474"/>
      <c r="BL577" s="474"/>
      <c r="BM577" s="474"/>
      <c r="BN577" s="166"/>
      <c r="BO577" s="166"/>
      <c r="BP577" s="204"/>
      <c r="BQ577" s="475"/>
      <c r="BR577" s="205"/>
      <c r="BS577" s="509"/>
      <c r="BT577" s="509"/>
      <c r="BU577" s="459"/>
      <c r="BV577" s="459"/>
      <c r="BW577" s="1"/>
      <c r="BX577" s="1"/>
      <c r="BY577" s="546"/>
      <c r="BZ577" s="546"/>
      <c r="CA577" s="546"/>
      <c r="CB577" s="546"/>
      <c r="CC577" s="728"/>
      <c r="CD577" s="728"/>
      <c r="CE577" s="170"/>
    </row>
    <row r="578" spans="1:83" customFormat="1">
      <c r="A578" s="701"/>
      <c r="B578" s="447"/>
      <c r="C578" s="1"/>
      <c r="D578" s="538"/>
      <c r="E578" s="1"/>
      <c r="F578" s="811"/>
      <c r="G578" s="440"/>
      <c r="H578" s="1"/>
      <c r="I578" s="55"/>
      <c r="J578" s="171"/>
      <c r="K578" s="55"/>
      <c r="L578" s="171"/>
      <c r="M578" s="55"/>
      <c r="N578" s="172"/>
      <c r="O578" s="170"/>
      <c r="P578" s="139"/>
      <c r="Q578" s="172"/>
      <c r="R578" s="181"/>
      <c r="S578" s="455"/>
      <c r="T578" s="170"/>
      <c r="U578" s="170"/>
      <c r="V578" s="1"/>
      <c r="W578" s="173"/>
      <c r="X578" s="1"/>
      <c r="Y578" s="166"/>
      <c r="Z578" s="170"/>
      <c r="AA578" s="170"/>
      <c r="AB578" s="170"/>
      <c r="AC578" s="170"/>
      <c r="AD578" s="182"/>
      <c r="AE578" s="182"/>
      <c r="AF578" s="182"/>
      <c r="AG578" s="182"/>
      <c r="AH578" s="189"/>
      <c r="AI578" s="401"/>
      <c r="AJ578" s="189"/>
      <c r="AK578" s="401"/>
      <c r="AL578" s="401"/>
      <c r="AM578" s="189"/>
      <c r="AN578" s="782"/>
      <c r="AO578" s="189"/>
      <c r="AP578" s="401"/>
      <c r="AQ578" s="401"/>
      <c r="AR578" s="401"/>
      <c r="AS578" s="188"/>
      <c r="AT578" s="1"/>
      <c r="AU578" s="403"/>
      <c r="AV578" s="1"/>
      <c r="AW578" s="166"/>
      <c r="AX578" s="166"/>
      <c r="AY578" s="189"/>
      <c r="AZ578" s="189"/>
      <c r="BA578" s="196"/>
      <c r="BB578" s="629"/>
      <c r="BC578" s="197"/>
      <c r="BD578" s="510"/>
      <c r="BE578" s="510"/>
      <c r="BF578" s="177"/>
      <c r="BG578" s="177"/>
      <c r="BH578" s="166"/>
      <c r="BI578" s="474"/>
      <c r="BJ578" s="166"/>
      <c r="BK578" s="474"/>
      <c r="BL578" s="474"/>
      <c r="BM578" s="474"/>
      <c r="BN578" s="166"/>
      <c r="BO578" s="166"/>
      <c r="BP578" s="204"/>
      <c r="BQ578" s="475"/>
      <c r="BR578" s="205"/>
      <c r="BS578" s="509"/>
      <c r="BT578" s="509"/>
      <c r="BU578" s="459"/>
      <c r="BV578" s="459"/>
      <c r="BW578" s="1"/>
      <c r="BX578" s="1"/>
      <c r="BY578" s="546"/>
      <c r="BZ578" s="546"/>
      <c r="CA578" s="546"/>
      <c r="CB578" s="546"/>
      <c r="CC578" s="728"/>
      <c r="CD578" s="728"/>
      <c r="CE578" s="170"/>
    </row>
    <row r="579" spans="1:83" customFormat="1">
      <c r="A579" s="701"/>
      <c r="B579" s="447"/>
      <c r="C579" s="161"/>
      <c r="D579" s="162"/>
      <c r="E579" s="1"/>
      <c r="F579" s="811"/>
      <c r="G579" s="440"/>
      <c r="H579" s="1"/>
      <c r="I579" s="55"/>
      <c r="J579" s="170"/>
      <c r="K579" s="1"/>
      <c r="L579" s="170"/>
      <c r="M579" s="1"/>
      <c r="N579" s="458"/>
      <c r="O579" s="170"/>
      <c r="P579" s="441"/>
      <c r="Q579" s="55"/>
      <c r="R579" s="177"/>
      <c r="S579" s="454"/>
      <c r="T579" s="178"/>
      <c r="U579" s="178"/>
      <c r="V579" s="179"/>
      <c r="W579" s="180"/>
      <c r="X579" s="179"/>
      <c r="Y579" s="180"/>
      <c r="Z579" s="178"/>
      <c r="AA579" s="178"/>
      <c r="AB579" s="178"/>
      <c r="AC579" s="178"/>
      <c r="AD579" s="182"/>
      <c r="AE579" s="182"/>
      <c r="AF579" s="182"/>
      <c r="AG579" s="182"/>
      <c r="AH579" s="401"/>
      <c r="AI579" s="401"/>
      <c r="AJ579" s="401"/>
      <c r="AK579" s="401"/>
      <c r="AL579" s="401"/>
      <c r="AM579" s="189"/>
      <c r="AN579" s="829"/>
      <c r="AO579" s="830"/>
      <c r="AP579" s="401"/>
      <c r="AQ579" s="401"/>
      <c r="AR579" s="401"/>
      <c r="AS579" s="401"/>
      <c r="AT579" s="403"/>
      <c r="AU579" s="403"/>
      <c r="AV579" s="170"/>
      <c r="AW579" s="166"/>
      <c r="AX579" s="166"/>
      <c r="AY579" s="189"/>
      <c r="AZ579" s="189"/>
      <c r="BA579" s="196"/>
      <c r="BB579" s="629"/>
      <c r="BC579" s="190"/>
      <c r="BD579" s="510"/>
      <c r="BE579" s="510"/>
      <c r="BF579" s="177"/>
      <c r="BG579" s="177"/>
      <c r="BH579" s="166"/>
      <c r="BI579" s="474"/>
      <c r="BJ579" s="166"/>
      <c r="BK579" s="474"/>
      <c r="BL579" s="474"/>
      <c r="BM579" s="474"/>
      <c r="BN579" s="166"/>
      <c r="BO579" s="166"/>
      <c r="BP579" s="204"/>
      <c r="BQ579" s="475"/>
      <c r="BR579" s="205"/>
      <c r="BS579" s="509"/>
      <c r="BT579" s="509"/>
      <c r="BU579" s="459"/>
      <c r="BV579" s="459"/>
      <c r="BW579" s="1"/>
      <c r="BX579" s="1"/>
      <c r="BY579" s="546"/>
      <c r="BZ579" s="546"/>
      <c r="CA579" s="546"/>
      <c r="CB579" s="546"/>
      <c r="CC579" s="728"/>
      <c r="CD579" s="728"/>
      <c r="CE579" s="170"/>
    </row>
    <row r="580" spans="1:83" customFormat="1">
      <c r="A580" s="701"/>
      <c r="B580" s="447"/>
      <c r="C580" s="161"/>
      <c r="D580" s="162"/>
      <c r="E580" s="1"/>
      <c r="F580" s="811"/>
      <c r="G580" s="440"/>
      <c r="H580" s="1"/>
      <c r="I580" s="55"/>
      <c r="J580" s="170"/>
      <c r="K580" s="1"/>
      <c r="L580" s="170"/>
      <c r="M580" s="1"/>
      <c r="N580" s="458"/>
      <c r="O580" s="170"/>
      <c r="P580" s="441"/>
      <c r="Q580" s="55"/>
      <c r="R580" s="177"/>
      <c r="S580" s="454"/>
      <c r="T580" s="178"/>
      <c r="U580" s="178"/>
      <c r="V580" s="179"/>
      <c r="W580" s="180"/>
      <c r="X580" s="179"/>
      <c r="Y580" s="180"/>
      <c r="Z580" s="178"/>
      <c r="AA580" s="178"/>
      <c r="AB580" s="178"/>
      <c r="AC580" s="178"/>
      <c r="AD580" s="182"/>
      <c r="AE580" s="182"/>
      <c r="AF580" s="182"/>
      <c r="AG580" s="182"/>
      <c r="AH580" s="401"/>
      <c r="AI580" s="401"/>
      <c r="AJ580" s="401"/>
      <c r="AK580" s="401"/>
      <c r="AL580" s="401"/>
      <c r="AM580" s="189"/>
      <c r="AN580" s="829"/>
      <c r="AO580" s="830"/>
      <c r="AP580" s="401"/>
      <c r="AQ580" s="401"/>
      <c r="AR580" s="401"/>
      <c r="AS580" s="401"/>
      <c r="AT580" s="403"/>
      <c r="AU580" s="403"/>
      <c r="AV580" s="170"/>
      <c r="AW580" s="166"/>
      <c r="AX580" s="166"/>
      <c r="AY580" s="189"/>
      <c r="AZ580" s="189"/>
      <c r="BA580" s="196"/>
      <c r="BB580" s="629"/>
      <c r="BC580" s="190"/>
      <c r="BD580" s="510"/>
      <c r="BE580" s="510"/>
      <c r="BF580" s="177"/>
      <c r="BG580" s="177"/>
      <c r="BH580" s="166"/>
      <c r="BI580" s="474"/>
      <c r="BJ580" s="166"/>
      <c r="BK580" s="474"/>
      <c r="BL580" s="474"/>
      <c r="BM580" s="474"/>
      <c r="BN580" s="166"/>
      <c r="BO580" s="166"/>
      <c r="BP580" s="204"/>
      <c r="BQ580" s="475"/>
      <c r="BR580" s="205"/>
      <c r="BS580" s="509"/>
      <c r="BT580" s="509"/>
      <c r="BU580" s="459"/>
      <c r="BV580" s="459"/>
      <c r="BW580" s="1"/>
      <c r="BX580" s="1"/>
      <c r="BY580" s="546"/>
      <c r="BZ580" s="546"/>
      <c r="CA580" s="546"/>
      <c r="CB580" s="546"/>
      <c r="CC580" s="728"/>
      <c r="CD580" s="728"/>
      <c r="CE580" s="170"/>
    </row>
    <row r="581" spans="1:83" customFormat="1">
      <c r="A581" s="701"/>
      <c r="B581" s="447"/>
      <c r="C581" s="161"/>
      <c r="D581" s="162"/>
      <c r="E581" s="1"/>
      <c r="F581" s="811"/>
      <c r="G581" s="440"/>
      <c r="H581" s="1"/>
      <c r="I581" s="55"/>
      <c r="J581" s="457"/>
      <c r="K581" s="1"/>
      <c r="L581" s="170"/>
      <c r="M581" s="1"/>
      <c r="N581" s="458"/>
      <c r="O581" s="170"/>
      <c r="P581" s="441"/>
      <c r="Q581" s="55"/>
      <c r="R581" s="177"/>
      <c r="S581" s="454"/>
      <c r="T581" s="178"/>
      <c r="U581" s="178"/>
      <c r="V581" s="179"/>
      <c r="W581" s="180"/>
      <c r="X581" s="179"/>
      <c r="Y581" s="180"/>
      <c r="Z581" s="178"/>
      <c r="AA581" s="178"/>
      <c r="AB581" s="178"/>
      <c r="AC581" s="178"/>
      <c r="AD581" s="182"/>
      <c r="AE581" s="182"/>
      <c r="AF581" s="182"/>
      <c r="AG581" s="182"/>
      <c r="AH581" s="401"/>
      <c r="AI581" s="401"/>
      <c r="AJ581" s="401"/>
      <c r="AK581" s="401"/>
      <c r="AL581" s="401"/>
      <c r="AM581" s="189"/>
      <c r="AN581" s="829"/>
      <c r="AO581" s="830"/>
      <c r="AP581" s="401"/>
      <c r="AQ581" s="401"/>
      <c r="AR581" s="401"/>
      <c r="AS581" s="401"/>
      <c r="AT581" s="403"/>
      <c r="AU581" s="403"/>
      <c r="AV581" s="170"/>
      <c r="AW581" s="166"/>
      <c r="AX581" s="166"/>
      <c r="AY581" s="189"/>
      <c r="AZ581" s="189"/>
      <c r="BA581" s="196"/>
      <c r="BB581" s="629"/>
      <c r="BC581" s="190"/>
      <c r="BD581" s="510"/>
      <c r="BE581" s="510"/>
      <c r="BF581" s="177"/>
      <c r="BG581" s="177"/>
      <c r="BH581" s="166"/>
      <c r="BI581" s="474"/>
      <c r="BJ581" s="166"/>
      <c r="BK581" s="474"/>
      <c r="BL581" s="474"/>
      <c r="BM581" s="474"/>
      <c r="BN581" s="166"/>
      <c r="BO581" s="166"/>
      <c r="BP581" s="204"/>
      <c r="BQ581" s="475"/>
      <c r="BR581" s="205"/>
      <c r="BS581" s="509"/>
      <c r="BT581" s="509"/>
      <c r="BU581" s="459"/>
      <c r="BV581" s="459"/>
      <c r="BW581" s="1"/>
      <c r="BX581" s="1"/>
      <c r="BY581" s="546"/>
      <c r="BZ581" s="546"/>
      <c r="CA581" s="546"/>
      <c r="CB581" s="546"/>
      <c r="CC581" s="728"/>
      <c r="CD581" s="728"/>
      <c r="CE581" s="170"/>
    </row>
    <row r="582" spans="1:83" customFormat="1">
      <c r="A582" s="701"/>
      <c r="B582" s="447"/>
      <c r="C582" s="161"/>
      <c r="D582" s="162"/>
      <c r="E582" s="1"/>
      <c r="F582" s="811"/>
      <c r="G582" s="440"/>
      <c r="H582" s="1"/>
      <c r="I582" s="55"/>
      <c r="J582" s="170"/>
      <c r="K582" s="1"/>
      <c r="L582" s="170"/>
      <c r="M582" s="1"/>
      <c r="N582" s="458"/>
      <c r="O582" s="170"/>
      <c r="P582" s="441"/>
      <c r="Q582" s="55"/>
      <c r="R582" s="177"/>
      <c r="S582" s="454"/>
      <c r="T582" s="178"/>
      <c r="U582" s="178"/>
      <c r="V582" s="179"/>
      <c r="W582" s="180"/>
      <c r="X582" s="179"/>
      <c r="Y582" s="180"/>
      <c r="Z582" s="178"/>
      <c r="AA582" s="178"/>
      <c r="AB582" s="178"/>
      <c r="AC582" s="178"/>
      <c r="AD582" s="182"/>
      <c r="AE582" s="182"/>
      <c r="AF582" s="182"/>
      <c r="AG582" s="182"/>
      <c r="AH582" s="401"/>
      <c r="AI582" s="401"/>
      <c r="AJ582" s="401"/>
      <c r="AK582" s="401"/>
      <c r="AL582" s="401"/>
      <c r="AM582" s="189"/>
      <c r="AN582" s="829"/>
      <c r="AO582" s="830"/>
      <c r="AP582" s="401"/>
      <c r="AQ582" s="401"/>
      <c r="AR582" s="401"/>
      <c r="AS582" s="401"/>
      <c r="AT582" s="403"/>
      <c r="AU582" s="403"/>
      <c r="AV582" s="170"/>
      <c r="AW582" s="166"/>
      <c r="AX582" s="166"/>
      <c r="AY582" s="189"/>
      <c r="AZ582" s="189"/>
      <c r="BA582" s="196"/>
      <c r="BB582" s="629"/>
      <c r="BC582" s="190"/>
      <c r="BD582" s="510"/>
      <c r="BE582" s="510"/>
      <c r="BF582" s="177"/>
      <c r="BG582" s="177"/>
      <c r="BH582" s="166"/>
      <c r="BI582" s="474"/>
      <c r="BJ582" s="166"/>
      <c r="BK582" s="474"/>
      <c r="BL582" s="474"/>
      <c r="BM582" s="474"/>
      <c r="BN582" s="166"/>
      <c r="BO582" s="166"/>
      <c r="BP582" s="204"/>
      <c r="BQ582" s="475"/>
      <c r="BR582" s="205"/>
      <c r="BS582" s="509"/>
      <c r="BT582" s="509"/>
      <c r="BU582" s="459"/>
      <c r="BV582" s="459"/>
      <c r="BW582" s="1"/>
      <c r="BX582" s="1"/>
      <c r="BY582" s="546"/>
      <c r="BZ582" s="546"/>
      <c r="CA582" s="546"/>
      <c r="CB582" s="546"/>
      <c r="CC582" s="728"/>
      <c r="CD582" s="728"/>
      <c r="CE582" s="170"/>
    </row>
    <row r="583" spans="1:83" customFormat="1">
      <c r="A583" s="701"/>
      <c r="B583" s="447"/>
      <c r="C583" s="161"/>
      <c r="D583" s="162"/>
      <c r="E583" s="1"/>
      <c r="F583" s="811"/>
      <c r="G583" s="440"/>
      <c r="H583" s="1"/>
      <c r="I583" s="55"/>
      <c r="J583" s="170"/>
      <c r="K583" s="1"/>
      <c r="L583" s="170"/>
      <c r="M583" s="1"/>
      <c r="N583" s="458"/>
      <c r="O583" s="170"/>
      <c r="P583" s="441"/>
      <c r="Q583" s="55"/>
      <c r="R583" s="177"/>
      <c r="S583" s="454"/>
      <c r="T583" s="178"/>
      <c r="U583" s="178"/>
      <c r="V583" s="179"/>
      <c r="W583" s="180"/>
      <c r="X583" s="179"/>
      <c r="Y583" s="180"/>
      <c r="Z583" s="178"/>
      <c r="AA583" s="178"/>
      <c r="AB583" s="178"/>
      <c r="AC583" s="178"/>
      <c r="AD583" s="182"/>
      <c r="AE583" s="182"/>
      <c r="AF583" s="182"/>
      <c r="AG583" s="182"/>
      <c r="AH583" s="401"/>
      <c r="AI583" s="401"/>
      <c r="AJ583" s="401"/>
      <c r="AK583" s="401"/>
      <c r="AL583" s="401"/>
      <c r="AM583" s="189"/>
      <c r="AN583" s="829"/>
      <c r="AO583" s="830"/>
      <c r="AP583" s="401"/>
      <c r="AQ583" s="401"/>
      <c r="AR583" s="401"/>
      <c r="AS583" s="401"/>
      <c r="AT583" s="403"/>
      <c r="AU583" s="403"/>
      <c r="AV583" s="170"/>
      <c r="AW583" s="166"/>
      <c r="AX583" s="166"/>
      <c r="AY583" s="189"/>
      <c r="AZ583" s="189"/>
      <c r="BA583" s="196"/>
      <c r="BB583" s="629"/>
      <c r="BC583" s="190"/>
      <c r="BD583" s="510"/>
      <c r="BE583" s="510"/>
      <c r="BF583" s="177"/>
      <c r="BG583" s="177"/>
      <c r="BH583" s="166"/>
      <c r="BI583" s="474"/>
      <c r="BJ583" s="166"/>
      <c r="BK583" s="474"/>
      <c r="BL583" s="474"/>
      <c r="BM583" s="474"/>
      <c r="BN583" s="166"/>
      <c r="BO583" s="166"/>
      <c r="BP583" s="204"/>
      <c r="BQ583" s="475"/>
      <c r="BR583" s="205"/>
      <c r="BS583" s="509"/>
      <c r="BT583" s="509"/>
      <c r="BU583" s="459"/>
      <c r="BV583" s="459"/>
      <c r="BW583" s="1"/>
      <c r="BX583" s="1"/>
      <c r="BY583" s="546"/>
      <c r="BZ583" s="546"/>
      <c r="CA583" s="546"/>
      <c r="CB583" s="546"/>
      <c r="CC583" s="728"/>
      <c r="CD583" s="728"/>
      <c r="CE583" s="170"/>
    </row>
    <row r="584" spans="1:83" customFormat="1">
      <c r="A584" s="701"/>
      <c r="B584" s="447"/>
      <c r="C584" s="161"/>
      <c r="D584" s="162"/>
      <c r="E584" s="1"/>
      <c r="F584" s="811"/>
      <c r="G584" s="440"/>
      <c r="H584" s="1"/>
      <c r="I584" s="55"/>
      <c r="J584" s="170"/>
      <c r="K584" s="1"/>
      <c r="L584" s="170"/>
      <c r="M584" s="1"/>
      <c r="N584" s="458"/>
      <c r="O584" s="170"/>
      <c r="P584" s="441"/>
      <c r="Q584" s="55"/>
      <c r="R584" s="177"/>
      <c r="S584" s="454"/>
      <c r="T584" s="178"/>
      <c r="U584" s="178"/>
      <c r="V584" s="179"/>
      <c r="W584" s="180"/>
      <c r="X584" s="179"/>
      <c r="Y584" s="180"/>
      <c r="Z584" s="178"/>
      <c r="AA584" s="178"/>
      <c r="AB584" s="178"/>
      <c r="AC584" s="178"/>
      <c r="AD584" s="182"/>
      <c r="AE584" s="182"/>
      <c r="AF584" s="182"/>
      <c r="AG584" s="182"/>
      <c r="AH584" s="401"/>
      <c r="AI584" s="401"/>
      <c r="AJ584" s="401"/>
      <c r="AK584" s="401"/>
      <c r="AL584" s="401"/>
      <c r="AM584" s="189"/>
      <c r="AN584" s="829"/>
      <c r="AO584" s="830"/>
      <c r="AP584" s="401"/>
      <c r="AQ584" s="401"/>
      <c r="AR584" s="401"/>
      <c r="AS584" s="401"/>
      <c r="AT584" s="403"/>
      <c r="AU584" s="403"/>
      <c r="AV584" s="170"/>
      <c r="AW584" s="166"/>
      <c r="AX584" s="166"/>
      <c r="AY584" s="189"/>
      <c r="AZ584" s="189"/>
      <c r="BA584" s="196"/>
      <c r="BB584" s="629"/>
      <c r="BC584" s="190"/>
      <c r="BD584" s="510"/>
      <c r="BE584" s="510"/>
      <c r="BF584" s="177"/>
      <c r="BG584" s="177"/>
      <c r="BH584" s="166"/>
      <c r="BI584" s="474"/>
      <c r="BJ584" s="166"/>
      <c r="BK584" s="474"/>
      <c r="BL584" s="474"/>
      <c r="BM584" s="474"/>
      <c r="BN584" s="166"/>
      <c r="BO584" s="166"/>
      <c r="BP584" s="204"/>
      <c r="BQ584" s="475"/>
      <c r="BR584" s="205"/>
      <c r="BS584" s="509"/>
      <c r="BT584" s="509"/>
      <c r="BU584" s="459"/>
      <c r="BV584" s="459"/>
      <c r="BW584" s="1"/>
      <c r="BX584" s="1"/>
      <c r="BY584" s="546"/>
      <c r="BZ584" s="546"/>
      <c r="CA584" s="546"/>
      <c r="CB584" s="546"/>
      <c r="CC584" s="728"/>
      <c r="CD584" s="728"/>
      <c r="CE584" s="170"/>
    </row>
    <row r="585" spans="1:83" customFormat="1">
      <c r="A585" s="701"/>
      <c r="B585" s="447"/>
      <c r="C585" s="161"/>
      <c r="D585" s="162"/>
      <c r="E585" s="1"/>
      <c r="F585" s="811"/>
      <c r="G585" s="440"/>
      <c r="H585" s="1"/>
      <c r="I585" s="55"/>
      <c r="J585" s="170"/>
      <c r="K585" s="1"/>
      <c r="L585" s="170"/>
      <c r="M585" s="1"/>
      <c r="N585" s="166"/>
      <c r="O585" s="170"/>
      <c r="P585" s="441"/>
      <c r="Q585" s="55"/>
      <c r="R585" s="177"/>
      <c r="S585" s="454"/>
      <c r="T585" s="178"/>
      <c r="U585" s="178"/>
      <c r="V585" s="179"/>
      <c r="W585" s="180"/>
      <c r="X585" s="179"/>
      <c r="Y585" s="180"/>
      <c r="Z585" s="178"/>
      <c r="AA585" s="178"/>
      <c r="AB585" s="178"/>
      <c r="AC585" s="178"/>
      <c r="AD585" s="182"/>
      <c r="AE585" s="182"/>
      <c r="AF585" s="182"/>
      <c r="AG585" s="182"/>
      <c r="AH585" s="401"/>
      <c r="AI585" s="401"/>
      <c r="AJ585" s="182"/>
      <c r="AK585" s="401"/>
      <c r="AL585" s="401"/>
      <c r="AM585" s="189"/>
      <c r="AN585" s="829"/>
      <c r="AO585" s="830"/>
      <c r="AP585" s="401"/>
      <c r="AQ585" s="401"/>
      <c r="AR585" s="401"/>
      <c r="AS585" s="401"/>
      <c r="AT585" s="403"/>
      <c r="AU585" s="403"/>
      <c r="AV585" s="170"/>
      <c r="AW585" s="166"/>
      <c r="AX585" s="166"/>
      <c r="AY585" s="189"/>
      <c r="AZ585" s="189"/>
      <c r="BA585" s="196"/>
      <c r="BB585" s="629"/>
      <c r="BC585" s="190"/>
      <c r="BD585" s="510"/>
      <c r="BE585" s="510"/>
      <c r="BF585" s="177"/>
      <c r="BG585" s="177"/>
      <c r="BH585" s="166"/>
      <c r="BI585" s="474"/>
      <c r="BJ585" s="166"/>
      <c r="BK585" s="474"/>
      <c r="BL585" s="474"/>
      <c r="BM585" s="474"/>
      <c r="BN585" s="166"/>
      <c r="BO585" s="166"/>
      <c r="BP585" s="204"/>
      <c r="BQ585" s="475"/>
      <c r="BR585" s="205"/>
      <c r="BS585" s="509"/>
      <c r="BT585" s="509"/>
      <c r="BU585" s="459"/>
      <c r="BV585" s="459"/>
      <c r="BW585" s="1"/>
      <c r="BX585" s="1"/>
      <c r="BY585" s="546"/>
      <c r="BZ585" s="546"/>
      <c r="CA585" s="546"/>
      <c r="CB585" s="546"/>
      <c r="CC585" s="728"/>
      <c r="CD585" s="728"/>
      <c r="CE585" s="170"/>
    </row>
    <row r="586" spans="1:83" customFormat="1">
      <c r="A586" s="701"/>
      <c r="B586" s="447"/>
      <c r="C586" s="161"/>
      <c r="D586" s="162"/>
      <c r="E586" s="1"/>
      <c r="F586" s="811"/>
      <c r="G586" s="440"/>
      <c r="H586" s="1"/>
      <c r="I586" s="55"/>
      <c r="J586" s="170"/>
      <c r="K586" s="1"/>
      <c r="L586" s="170"/>
      <c r="M586" s="1"/>
      <c r="N586" s="458"/>
      <c r="O586" s="170"/>
      <c r="P586" s="441"/>
      <c r="Q586" s="55"/>
      <c r="R586" s="177"/>
      <c r="S586" s="454"/>
      <c r="T586" s="178"/>
      <c r="U586" s="178"/>
      <c r="V586" s="179"/>
      <c r="W586" s="180"/>
      <c r="X586" s="179"/>
      <c r="Y586" s="180"/>
      <c r="Z586" s="178"/>
      <c r="AA586" s="178"/>
      <c r="AB586" s="178"/>
      <c r="AC586" s="178"/>
      <c r="AD586" s="182"/>
      <c r="AE586" s="182"/>
      <c r="AF586" s="182"/>
      <c r="AG586" s="182"/>
      <c r="AH586" s="401"/>
      <c r="AI586" s="401"/>
      <c r="AJ586" s="401"/>
      <c r="AK586" s="401"/>
      <c r="AL586" s="401"/>
      <c r="AM586" s="189"/>
      <c r="AN586" s="829"/>
      <c r="AO586" s="830"/>
      <c r="AP586" s="401"/>
      <c r="AQ586" s="401"/>
      <c r="AR586" s="401"/>
      <c r="AS586" s="401"/>
      <c r="AT586" s="403"/>
      <c r="AU586" s="403"/>
      <c r="AV586" s="170"/>
      <c r="AW586" s="166"/>
      <c r="AX586" s="166"/>
      <c r="AY586" s="189"/>
      <c r="AZ586" s="189"/>
      <c r="BA586" s="196"/>
      <c r="BB586" s="629"/>
      <c r="BC586" s="190"/>
      <c r="BD586" s="510"/>
      <c r="BE586" s="510"/>
      <c r="BF586" s="177"/>
      <c r="BG586" s="177"/>
      <c r="BH586" s="166"/>
      <c r="BI586" s="474"/>
      <c r="BJ586" s="166"/>
      <c r="BK586" s="474"/>
      <c r="BL586" s="474"/>
      <c r="BM586" s="474"/>
      <c r="BN586" s="166"/>
      <c r="BO586" s="166"/>
      <c r="BP586" s="204"/>
      <c r="BQ586" s="475"/>
      <c r="BR586" s="205"/>
      <c r="BS586" s="509"/>
      <c r="BT586" s="509"/>
      <c r="BU586" s="459"/>
      <c r="BV586" s="459"/>
      <c r="BW586" s="1"/>
      <c r="BX586" s="1"/>
      <c r="BY586" s="546"/>
      <c r="BZ586" s="546"/>
      <c r="CA586" s="546"/>
      <c r="CB586" s="546"/>
      <c r="CC586" s="728"/>
      <c r="CD586" s="728"/>
      <c r="CE586" s="170"/>
    </row>
    <row r="587" spans="1:83" customFormat="1">
      <c r="A587" s="701"/>
      <c r="B587" s="447"/>
      <c r="C587" s="161"/>
      <c r="D587" s="162"/>
      <c r="E587" s="1"/>
      <c r="F587" s="811"/>
      <c r="G587" s="440"/>
      <c r="H587" s="1"/>
      <c r="I587" s="55"/>
      <c r="J587" s="170"/>
      <c r="K587" s="1"/>
      <c r="L587" s="170"/>
      <c r="M587" s="1"/>
      <c r="N587" s="458"/>
      <c r="O587" s="170"/>
      <c r="P587" s="441"/>
      <c r="Q587" s="55"/>
      <c r="R587" s="177"/>
      <c r="S587" s="454"/>
      <c r="T587" s="178"/>
      <c r="U587" s="178"/>
      <c r="V587" s="179"/>
      <c r="W587" s="180"/>
      <c r="X587" s="179"/>
      <c r="Y587" s="180"/>
      <c r="Z587" s="178"/>
      <c r="AA587" s="178"/>
      <c r="AB587" s="178"/>
      <c r="AC587" s="178"/>
      <c r="AD587" s="182"/>
      <c r="AE587" s="182"/>
      <c r="AF587" s="182"/>
      <c r="AG587" s="182"/>
      <c r="AH587" s="401"/>
      <c r="AI587" s="401"/>
      <c r="AJ587" s="401"/>
      <c r="AK587" s="401"/>
      <c r="AL587" s="401"/>
      <c r="AM587" s="189"/>
      <c r="AN587" s="829"/>
      <c r="AO587" s="830"/>
      <c r="AP587" s="401"/>
      <c r="AQ587" s="401"/>
      <c r="AR587" s="401"/>
      <c r="AS587" s="401"/>
      <c r="AT587" s="403"/>
      <c r="AU587" s="403"/>
      <c r="AV587" s="170"/>
      <c r="AW587" s="166"/>
      <c r="AX587" s="166"/>
      <c r="AY587" s="189"/>
      <c r="AZ587" s="189"/>
      <c r="BA587" s="196"/>
      <c r="BB587" s="629"/>
      <c r="BC587" s="190"/>
      <c r="BD587" s="510"/>
      <c r="BE587" s="510"/>
      <c r="BF587" s="177"/>
      <c r="BG587" s="177"/>
      <c r="BH587" s="166"/>
      <c r="BI587" s="474"/>
      <c r="BJ587" s="166"/>
      <c r="BK587" s="474"/>
      <c r="BL587" s="474"/>
      <c r="BM587" s="474"/>
      <c r="BN587" s="166"/>
      <c r="BO587" s="166"/>
      <c r="BP587" s="204"/>
      <c r="BQ587" s="475"/>
      <c r="BR587" s="205"/>
      <c r="BS587" s="509"/>
      <c r="BT587" s="509"/>
      <c r="BU587" s="459"/>
      <c r="BV587" s="459"/>
      <c r="BW587" s="1"/>
      <c r="BX587" s="1"/>
      <c r="BY587" s="546"/>
      <c r="BZ587" s="546"/>
      <c r="CA587" s="546"/>
      <c r="CB587" s="546"/>
      <c r="CC587" s="728"/>
      <c r="CD587" s="728"/>
      <c r="CE587" s="170"/>
    </row>
    <row r="588" spans="1:83" customFormat="1">
      <c r="A588" s="701"/>
      <c r="B588" s="447"/>
      <c r="C588" s="161"/>
      <c r="D588" s="162"/>
      <c r="E588" s="1"/>
      <c r="F588" s="811"/>
      <c r="G588" s="440"/>
      <c r="H588" s="1"/>
      <c r="I588" s="55"/>
      <c r="J588" s="170"/>
      <c r="K588" s="1"/>
      <c r="L588" s="170"/>
      <c r="M588" s="1"/>
      <c r="N588" s="458"/>
      <c r="O588" s="170"/>
      <c r="P588" s="441"/>
      <c r="Q588" s="55"/>
      <c r="R588" s="177"/>
      <c r="S588" s="454"/>
      <c r="T588" s="178"/>
      <c r="U588" s="178"/>
      <c r="V588" s="179"/>
      <c r="W588" s="180"/>
      <c r="X588" s="179"/>
      <c r="Y588" s="180"/>
      <c r="Z588" s="178"/>
      <c r="AA588" s="178"/>
      <c r="AB588" s="178"/>
      <c r="AC588" s="178"/>
      <c r="AD588" s="182"/>
      <c r="AE588" s="182"/>
      <c r="AF588" s="182"/>
      <c r="AG588" s="182"/>
      <c r="AH588" s="401"/>
      <c r="AI588" s="401"/>
      <c r="AJ588" s="401"/>
      <c r="AK588" s="401"/>
      <c r="AL588" s="401"/>
      <c r="AM588" s="189"/>
      <c r="AN588" s="829"/>
      <c r="AO588" s="830"/>
      <c r="AP588" s="401"/>
      <c r="AQ588" s="401"/>
      <c r="AR588" s="401"/>
      <c r="AS588" s="401"/>
      <c r="AT588" s="403"/>
      <c r="AU588" s="403"/>
      <c r="AV588" s="170"/>
      <c r="AW588" s="166"/>
      <c r="AX588" s="166"/>
      <c r="AY588" s="189"/>
      <c r="AZ588" s="189"/>
      <c r="BA588" s="196"/>
      <c r="BB588" s="629"/>
      <c r="BC588" s="190"/>
      <c r="BD588" s="510"/>
      <c r="BE588" s="510"/>
      <c r="BF588" s="177"/>
      <c r="BG588" s="177"/>
      <c r="BH588" s="166"/>
      <c r="BI588" s="474"/>
      <c r="BJ588" s="166"/>
      <c r="BK588" s="474"/>
      <c r="BL588" s="474"/>
      <c r="BM588" s="474"/>
      <c r="BN588" s="166"/>
      <c r="BO588" s="166"/>
      <c r="BP588" s="204"/>
      <c r="BQ588" s="475"/>
      <c r="BR588" s="205"/>
      <c r="BS588" s="509"/>
      <c r="BT588" s="509"/>
      <c r="BU588" s="459"/>
      <c r="BV588" s="459"/>
      <c r="BW588" s="1"/>
      <c r="BX588" s="1"/>
      <c r="BY588" s="546"/>
      <c r="BZ588" s="546"/>
      <c r="CA588" s="546"/>
      <c r="CB588" s="546"/>
      <c r="CC588" s="728"/>
      <c r="CD588" s="728"/>
      <c r="CE588" s="170"/>
    </row>
    <row r="589" spans="1:83" customFormat="1">
      <c r="A589" s="701"/>
      <c r="B589" s="447"/>
      <c r="C589" s="161"/>
      <c r="D589" s="162"/>
      <c r="E589" s="1"/>
      <c r="F589" s="811"/>
      <c r="G589" s="440"/>
      <c r="H589" s="1"/>
      <c r="I589" s="55"/>
      <c r="J589" s="170"/>
      <c r="K589" s="1"/>
      <c r="L589" s="170"/>
      <c r="M589" s="1"/>
      <c r="N589" s="458"/>
      <c r="O589" s="170"/>
      <c r="P589" s="441"/>
      <c r="Q589" s="55"/>
      <c r="R589" s="177"/>
      <c r="S589" s="454"/>
      <c r="T589" s="178"/>
      <c r="U589" s="178"/>
      <c r="V589" s="179"/>
      <c r="W589" s="180"/>
      <c r="X589" s="179"/>
      <c r="Y589" s="180"/>
      <c r="Z589" s="178"/>
      <c r="AA589" s="178"/>
      <c r="AB589" s="178"/>
      <c r="AC589" s="178"/>
      <c r="AD589" s="182"/>
      <c r="AE589" s="182"/>
      <c r="AF589" s="182"/>
      <c r="AG589" s="182"/>
      <c r="AH589" s="401"/>
      <c r="AI589" s="401"/>
      <c r="AJ589" s="401"/>
      <c r="AK589" s="401"/>
      <c r="AL589" s="401"/>
      <c r="AM589" s="189"/>
      <c r="AN589" s="829"/>
      <c r="AO589" s="830"/>
      <c r="AP589" s="401"/>
      <c r="AQ589" s="401"/>
      <c r="AR589" s="401"/>
      <c r="AS589" s="401"/>
      <c r="AT589" s="403"/>
      <c r="AU589" s="403"/>
      <c r="AV589" s="170"/>
      <c r="AW589" s="166"/>
      <c r="AX589" s="166"/>
      <c r="AY589" s="189"/>
      <c r="AZ589" s="189"/>
      <c r="BA589" s="196"/>
      <c r="BB589" s="629"/>
      <c r="BC589" s="190"/>
      <c r="BD589" s="510"/>
      <c r="BE589" s="510"/>
      <c r="BF589" s="177"/>
      <c r="BG589" s="177"/>
      <c r="BH589" s="166"/>
      <c r="BI589" s="474"/>
      <c r="BJ589" s="166"/>
      <c r="BK589" s="474"/>
      <c r="BL589" s="474"/>
      <c r="BM589" s="474"/>
      <c r="BN589" s="166"/>
      <c r="BO589" s="166"/>
      <c r="BP589" s="204"/>
      <c r="BQ589" s="475"/>
      <c r="BR589" s="205"/>
      <c r="BS589" s="509"/>
      <c r="BT589" s="509"/>
      <c r="BU589" s="459"/>
      <c r="BV589" s="459"/>
      <c r="BW589" s="1"/>
      <c r="BX589" s="1"/>
      <c r="BY589" s="546"/>
      <c r="BZ589" s="546"/>
      <c r="CA589" s="546"/>
      <c r="CB589" s="546"/>
      <c r="CC589" s="728"/>
      <c r="CD589" s="728"/>
      <c r="CE589" s="170"/>
    </row>
    <row r="590" spans="1:83" customFormat="1">
      <c r="A590" s="701"/>
      <c r="B590" s="447"/>
      <c r="C590" s="161"/>
      <c r="D590" s="162"/>
      <c r="E590" s="1"/>
      <c r="F590" s="811"/>
      <c r="G590" s="440"/>
      <c r="H590" s="1"/>
      <c r="I590" s="55"/>
      <c r="J590" s="170"/>
      <c r="K590" s="1"/>
      <c r="L590" s="170"/>
      <c r="M590" s="1"/>
      <c r="N590" s="166"/>
      <c r="O590" s="170"/>
      <c r="P590" s="441"/>
      <c r="Q590" s="55"/>
      <c r="R590" s="177"/>
      <c r="S590" s="454"/>
      <c r="T590" s="178"/>
      <c r="U590" s="178"/>
      <c r="V590" s="179"/>
      <c r="W590" s="180"/>
      <c r="X590" s="179"/>
      <c r="Y590" s="180"/>
      <c r="Z590" s="178"/>
      <c r="AA590" s="178"/>
      <c r="AB590" s="178"/>
      <c r="AC590" s="178"/>
      <c r="AD590" s="182"/>
      <c r="AE590" s="182"/>
      <c r="AF590" s="182"/>
      <c r="AG590" s="182"/>
      <c r="AH590" s="401"/>
      <c r="AI590" s="401"/>
      <c r="AJ590" s="182"/>
      <c r="AK590" s="401"/>
      <c r="AL590" s="401"/>
      <c r="AM590" s="189"/>
      <c r="AN590" s="829"/>
      <c r="AO590" s="830"/>
      <c r="AP590" s="401"/>
      <c r="AQ590" s="401"/>
      <c r="AR590" s="401"/>
      <c r="AS590" s="401"/>
      <c r="AT590" s="403"/>
      <c r="AU590" s="403"/>
      <c r="AV590" s="170"/>
      <c r="AW590" s="166"/>
      <c r="AX590" s="166"/>
      <c r="AY590" s="189"/>
      <c r="AZ590" s="189"/>
      <c r="BA590" s="196"/>
      <c r="BB590" s="629"/>
      <c r="BC590" s="190"/>
      <c r="BD590" s="510"/>
      <c r="BE590" s="510"/>
      <c r="BF590" s="177"/>
      <c r="BG590" s="177"/>
      <c r="BH590" s="166"/>
      <c r="BI590" s="474"/>
      <c r="BJ590" s="166"/>
      <c r="BK590" s="474"/>
      <c r="BL590" s="474"/>
      <c r="BM590" s="474"/>
      <c r="BN590" s="166"/>
      <c r="BO590" s="166"/>
      <c r="BP590" s="204"/>
      <c r="BQ590" s="475"/>
      <c r="BR590" s="205"/>
      <c r="BS590" s="509"/>
      <c r="BT590" s="509"/>
      <c r="BU590" s="459"/>
      <c r="BV590" s="459"/>
      <c r="BW590" s="1"/>
      <c r="BX590" s="1"/>
      <c r="BY590" s="546"/>
      <c r="BZ590" s="546"/>
      <c r="CA590" s="546"/>
      <c r="CB590" s="546"/>
      <c r="CC590" s="728"/>
      <c r="CD590" s="728"/>
      <c r="CE590" s="170"/>
    </row>
    <row r="591" spans="1:83" customFormat="1">
      <c r="A591" s="701"/>
      <c r="B591" s="447"/>
      <c r="C591" s="161"/>
      <c r="D591" s="162"/>
      <c r="E591" s="1"/>
      <c r="F591" s="811"/>
      <c r="G591" s="440"/>
      <c r="H591" s="1"/>
      <c r="I591" s="55"/>
      <c r="J591" s="170"/>
      <c r="K591" s="1"/>
      <c r="L591" s="170"/>
      <c r="M591" s="1"/>
      <c r="N591" s="458"/>
      <c r="O591" s="170"/>
      <c r="P591" s="441"/>
      <c r="Q591" s="55"/>
      <c r="R591" s="177"/>
      <c r="S591" s="454"/>
      <c r="T591" s="178"/>
      <c r="U591" s="178"/>
      <c r="V591" s="179"/>
      <c r="W591" s="180"/>
      <c r="X591" s="179"/>
      <c r="Y591" s="180"/>
      <c r="Z591" s="178"/>
      <c r="AA591" s="178"/>
      <c r="AB591" s="178"/>
      <c r="AC591" s="178"/>
      <c r="AD591" s="182"/>
      <c r="AE591" s="182"/>
      <c r="AF591" s="182"/>
      <c r="AG591" s="182"/>
      <c r="AH591" s="401"/>
      <c r="AI591" s="401"/>
      <c r="AJ591" s="401"/>
      <c r="AK591" s="401"/>
      <c r="AL591" s="401"/>
      <c r="AM591" s="189"/>
      <c r="AN591" s="829"/>
      <c r="AO591" s="830"/>
      <c r="AP591" s="401"/>
      <c r="AQ591" s="401"/>
      <c r="AR591" s="401"/>
      <c r="AS591" s="401"/>
      <c r="AT591" s="403"/>
      <c r="AU591" s="403"/>
      <c r="AV591" s="170"/>
      <c r="AW591" s="166"/>
      <c r="AX591" s="166"/>
      <c r="AY591" s="189"/>
      <c r="AZ591" s="189"/>
      <c r="BA591" s="196"/>
      <c r="BB591" s="629"/>
      <c r="BC591" s="190"/>
      <c r="BD591" s="510"/>
      <c r="BE591" s="510"/>
      <c r="BF591" s="177"/>
      <c r="BG591" s="177"/>
      <c r="BH591" s="166"/>
      <c r="BI591" s="474"/>
      <c r="BJ591" s="166"/>
      <c r="BK591" s="474"/>
      <c r="BL591" s="474"/>
      <c r="BM591" s="474"/>
      <c r="BN591" s="166"/>
      <c r="BO591" s="166"/>
      <c r="BP591" s="204"/>
      <c r="BQ591" s="475"/>
      <c r="BR591" s="205"/>
      <c r="BS591" s="509"/>
      <c r="BT591" s="509"/>
      <c r="BU591" s="459"/>
      <c r="BV591" s="459"/>
      <c r="BW591" s="1"/>
      <c r="BX591" s="1"/>
      <c r="BY591" s="546"/>
      <c r="BZ591" s="546"/>
      <c r="CA591" s="546"/>
      <c r="CB591" s="546"/>
      <c r="CC591" s="728"/>
      <c r="CD591" s="728"/>
      <c r="CE591" s="170"/>
    </row>
    <row r="592" spans="1:83" customFormat="1">
      <c r="A592" s="701"/>
      <c r="B592" s="447"/>
      <c r="C592" s="161"/>
      <c r="D592" s="162"/>
      <c r="E592" s="1"/>
      <c r="F592" s="811"/>
      <c r="G592" s="440"/>
      <c r="H592" s="1"/>
      <c r="I592" s="55"/>
      <c r="J592" s="170"/>
      <c r="K592" s="1"/>
      <c r="L592" s="170"/>
      <c r="M592" s="1"/>
      <c r="N592" s="458"/>
      <c r="O592" s="170"/>
      <c r="P592" s="441"/>
      <c r="Q592" s="55"/>
      <c r="R592" s="177"/>
      <c r="S592" s="454"/>
      <c r="T592" s="178"/>
      <c r="U592" s="178"/>
      <c r="V592" s="179"/>
      <c r="W592" s="180"/>
      <c r="X592" s="179"/>
      <c r="Y592" s="180"/>
      <c r="Z592" s="178"/>
      <c r="AA592" s="178"/>
      <c r="AB592" s="178"/>
      <c r="AC592" s="178"/>
      <c r="AD592" s="182"/>
      <c r="AE592" s="182"/>
      <c r="AF592" s="182"/>
      <c r="AG592" s="182"/>
      <c r="AH592" s="401"/>
      <c r="AI592" s="401"/>
      <c r="AJ592" s="401"/>
      <c r="AK592" s="401"/>
      <c r="AL592" s="401"/>
      <c r="AM592" s="189"/>
      <c r="AN592" s="829"/>
      <c r="AO592" s="830"/>
      <c r="AP592" s="401"/>
      <c r="AQ592" s="401"/>
      <c r="AR592" s="401"/>
      <c r="AS592" s="401"/>
      <c r="AT592" s="403"/>
      <c r="AU592" s="403"/>
      <c r="AV592" s="170"/>
      <c r="AW592" s="166"/>
      <c r="AX592" s="166"/>
      <c r="AY592" s="189"/>
      <c r="AZ592" s="189"/>
      <c r="BA592" s="196"/>
      <c r="BB592" s="629"/>
      <c r="BC592" s="190"/>
      <c r="BD592" s="510"/>
      <c r="BE592" s="510"/>
      <c r="BF592" s="177"/>
      <c r="BG592" s="177"/>
      <c r="BH592" s="166"/>
      <c r="BI592" s="474"/>
      <c r="BJ592" s="166"/>
      <c r="BK592" s="474"/>
      <c r="BL592" s="474"/>
      <c r="BM592" s="474"/>
      <c r="BN592" s="166"/>
      <c r="BO592" s="166"/>
      <c r="BP592" s="204"/>
      <c r="BQ592" s="475"/>
      <c r="BR592" s="205"/>
      <c r="BS592" s="509"/>
      <c r="BT592" s="509"/>
      <c r="BU592" s="459"/>
      <c r="BV592" s="459"/>
      <c r="BW592" s="1"/>
      <c r="BX592" s="1"/>
      <c r="BY592" s="546"/>
      <c r="BZ592" s="546"/>
      <c r="CA592" s="546"/>
      <c r="CB592" s="546"/>
      <c r="CC592" s="728"/>
      <c r="CD592" s="728"/>
      <c r="CE592" s="170"/>
    </row>
    <row r="593" spans="1:83" customFormat="1">
      <c r="A593" s="701"/>
      <c r="B593" s="447"/>
      <c r="C593" s="161"/>
      <c r="D593" s="162"/>
      <c r="E593" s="1"/>
      <c r="F593" s="811"/>
      <c r="G593" s="440"/>
      <c r="H593" s="1"/>
      <c r="I593" s="55"/>
      <c r="J593" s="170"/>
      <c r="K593" s="1"/>
      <c r="L593" s="170"/>
      <c r="M593" s="1"/>
      <c r="N593" s="458"/>
      <c r="O593" s="170"/>
      <c r="P593" s="441"/>
      <c r="Q593" s="55"/>
      <c r="R593" s="177"/>
      <c r="S593" s="454"/>
      <c r="T593" s="178"/>
      <c r="U593" s="178"/>
      <c r="V593" s="179"/>
      <c r="W593" s="180"/>
      <c r="X593" s="179"/>
      <c r="Y593" s="180"/>
      <c r="Z593" s="178"/>
      <c r="AA593" s="178"/>
      <c r="AB593" s="178"/>
      <c r="AC593" s="178"/>
      <c r="AD593" s="182"/>
      <c r="AE593" s="182"/>
      <c r="AF593" s="182"/>
      <c r="AG593" s="182"/>
      <c r="AH593" s="401"/>
      <c r="AI593" s="401"/>
      <c r="AJ593" s="401"/>
      <c r="AK593" s="401"/>
      <c r="AL593" s="401"/>
      <c r="AM593" s="189"/>
      <c r="AN593" s="829"/>
      <c r="AO593" s="830"/>
      <c r="AP593" s="401"/>
      <c r="AQ593" s="401"/>
      <c r="AR593" s="401"/>
      <c r="AS593" s="401"/>
      <c r="AT593" s="403"/>
      <c r="AU593" s="403"/>
      <c r="AV593" s="170"/>
      <c r="AW593" s="166"/>
      <c r="AX593" s="166"/>
      <c r="AY593" s="189"/>
      <c r="AZ593" s="189"/>
      <c r="BA593" s="196"/>
      <c r="BB593" s="629"/>
      <c r="BC593" s="190"/>
      <c r="BD593" s="510"/>
      <c r="BE593" s="510"/>
      <c r="BF593" s="177"/>
      <c r="BG593" s="177"/>
      <c r="BH593" s="166"/>
      <c r="BI593" s="474"/>
      <c r="BJ593" s="166"/>
      <c r="BK593" s="474"/>
      <c r="BL593" s="474"/>
      <c r="BM593" s="474"/>
      <c r="BN593" s="166"/>
      <c r="BO593" s="166"/>
      <c r="BP593" s="204"/>
      <c r="BQ593" s="475"/>
      <c r="BR593" s="205"/>
      <c r="BS593" s="509"/>
      <c r="BT593" s="509"/>
      <c r="BU593" s="459"/>
      <c r="BV593" s="459"/>
      <c r="BW593" s="1"/>
      <c r="BX593" s="1"/>
      <c r="BY593" s="546"/>
      <c r="BZ593" s="546"/>
      <c r="CA593" s="546"/>
      <c r="CB593" s="546"/>
      <c r="CC593" s="728"/>
      <c r="CD593" s="728"/>
      <c r="CE593" s="170"/>
    </row>
    <row r="594" spans="1:83" customFormat="1">
      <c r="A594" s="701"/>
      <c r="B594" s="447"/>
      <c r="C594" s="161"/>
      <c r="D594" s="162"/>
      <c r="E594" s="1"/>
      <c r="F594" s="811"/>
      <c r="G594" s="440"/>
      <c r="H594" s="1"/>
      <c r="I594" s="55"/>
      <c r="J594" s="170"/>
      <c r="K594" s="1"/>
      <c r="L594" s="170"/>
      <c r="M594" s="1"/>
      <c r="N594" s="458"/>
      <c r="O594" s="170"/>
      <c r="P594" s="441"/>
      <c r="Q594" s="55"/>
      <c r="R594" s="177"/>
      <c r="S594" s="454"/>
      <c r="T594" s="178"/>
      <c r="U594" s="178"/>
      <c r="V594" s="179"/>
      <c r="W594" s="180"/>
      <c r="X594" s="179"/>
      <c r="Y594" s="180"/>
      <c r="Z594" s="178"/>
      <c r="AA594" s="178"/>
      <c r="AB594" s="178"/>
      <c r="AC594" s="178"/>
      <c r="AD594" s="182"/>
      <c r="AE594" s="182"/>
      <c r="AF594" s="182"/>
      <c r="AG594" s="182"/>
      <c r="AH594" s="401"/>
      <c r="AI594" s="401"/>
      <c r="AJ594" s="401"/>
      <c r="AK594" s="401"/>
      <c r="AL594" s="401"/>
      <c r="AM594" s="189"/>
      <c r="AN594" s="829"/>
      <c r="AO594" s="830"/>
      <c r="AP594" s="401"/>
      <c r="AQ594" s="401"/>
      <c r="AR594" s="401"/>
      <c r="AS594" s="401"/>
      <c r="AT594" s="403"/>
      <c r="AU594" s="403"/>
      <c r="AV594" s="170"/>
      <c r="AW594" s="166"/>
      <c r="AX594" s="166"/>
      <c r="AY594" s="189"/>
      <c r="AZ594" s="189"/>
      <c r="BA594" s="196"/>
      <c r="BB594" s="629"/>
      <c r="BC594" s="190"/>
      <c r="BD594" s="510"/>
      <c r="BE594" s="510"/>
      <c r="BF594" s="177"/>
      <c r="BG594" s="177"/>
      <c r="BH594" s="166"/>
      <c r="BI594" s="474"/>
      <c r="BJ594" s="166"/>
      <c r="BK594" s="474"/>
      <c r="BL594" s="474"/>
      <c r="BM594" s="474"/>
      <c r="BN594" s="166"/>
      <c r="BO594" s="166"/>
      <c r="BP594" s="204"/>
      <c r="BQ594" s="475"/>
      <c r="BR594" s="205"/>
      <c r="BS594" s="509"/>
      <c r="BT594" s="509"/>
      <c r="BU594" s="459"/>
      <c r="BV594" s="459"/>
      <c r="BW594" s="1"/>
      <c r="BX594" s="1"/>
      <c r="BY594" s="546"/>
      <c r="BZ594" s="546"/>
      <c r="CA594" s="546"/>
      <c r="CB594" s="546"/>
      <c r="CC594" s="728"/>
      <c r="CD594" s="728"/>
      <c r="CE594" s="170"/>
    </row>
    <row r="595" spans="1:83" customFormat="1">
      <c r="A595" s="701"/>
      <c r="B595" s="447"/>
      <c r="C595" s="161"/>
      <c r="D595" s="162"/>
      <c r="E595" s="1"/>
      <c r="F595" s="811"/>
      <c r="G595" s="440"/>
      <c r="H595" s="1"/>
      <c r="I595" s="55"/>
      <c r="J595" s="170"/>
      <c r="K595" s="1"/>
      <c r="L595" s="170"/>
      <c r="M595" s="1"/>
      <c r="N595" s="458"/>
      <c r="O595" s="170"/>
      <c r="P595" s="441"/>
      <c r="Q595" s="55"/>
      <c r="R595" s="177"/>
      <c r="S595" s="454"/>
      <c r="T595" s="178"/>
      <c r="U595" s="178"/>
      <c r="V595" s="179"/>
      <c r="W595" s="180"/>
      <c r="X595" s="179"/>
      <c r="Y595" s="180"/>
      <c r="Z595" s="178"/>
      <c r="AA595" s="178"/>
      <c r="AB595" s="178"/>
      <c r="AC595" s="178"/>
      <c r="AD595" s="182"/>
      <c r="AE595" s="182"/>
      <c r="AF595" s="182"/>
      <c r="AG595" s="182"/>
      <c r="AH595" s="401"/>
      <c r="AI595" s="401"/>
      <c r="AJ595" s="401"/>
      <c r="AK595" s="401"/>
      <c r="AL595" s="401"/>
      <c r="AM595" s="189"/>
      <c r="AN595" s="829"/>
      <c r="AO595" s="830"/>
      <c r="AP595" s="401"/>
      <c r="AQ595" s="401"/>
      <c r="AR595" s="401"/>
      <c r="AS595" s="401"/>
      <c r="AT595" s="403"/>
      <c r="AU595" s="403"/>
      <c r="AV595" s="170"/>
      <c r="AW595" s="166"/>
      <c r="AX595" s="166"/>
      <c r="AY595" s="189"/>
      <c r="AZ595" s="189"/>
      <c r="BA595" s="196"/>
      <c r="BB595" s="629"/>
      <c r="BC595" s="190"/>
      <c r="BD595" s="510"/>
      <c r="BE595" s="510"/>
      <c r="BF595" s="177"/>
      <c r="BG595" s="177"/>
      <c r="BH595" s="166"/>
      <c r="BI595" s="474"/>
      <c r="BJ595" s="166"/>
      <c r="BK595" s="474"/>
      <c r="BL595" s="474"/>
      <c r="BM595" s="474"/>
      <c r="BN595" s="166"/>
      <c r="BO595" s="166"/>
      <c r="BP595" s="204"/>
      <c r="BQ595" s="475"/>
      <c r="BR595" s="205"/>
      <c r="BS595" s="509"/>
      <c r="BT595" s="509"/>
      <c r="BU595" s="459"/>
      <c r="BV595" s="459"/>
      <c r="BW595" s="1"/>
      <c r="BX595" s="1"/>
      <c r="BY595" s="546"/>
      <c r="BZ595" s="546"/>
      <c r="CA595" s="546"/>
      <c r="CB595" s="546"/>
      <c r="CC595" s="728"/>
      <c r="CD595" s="728"/>
      <c r="CE595" s="170"/>
    </row>
    <row r="596" spans="1:83" customFormat="1">
      <c r="A596" s="701"/>
      <c r="B596" s="447"/>
      <c r="C596" s="161"/>
      <c r="D596" s="162"/>
      <c r="E596" s="1"/>
      <c r="F596" s="811"/>
      <c r="G596" s="440"/>
      <c r="H596" s="1"/>
      <c r="I596" s="55"/>
      <c r="J596" s="170"/>
      <c r="K596" s="1"/>
      <c r="L596" s="170"/>
      <c r="M596" s="1"/>
      <c r="N596" s="458"/>
      <c r="O596" s="170"/>
      <c r="P596" s="441"/>
      <c r="Q596" s="55"/>
      <c r="R596" s="177"/>
      <c r="S596" s="454"/>
      <c r="T596" s="178"/>
      <c r="U596" s="178"/>
      <c r="V596" s="179"/>
      <c r="W596" s="180"/>
      <c r="X596" s="179"/>
      <c r="Y596" s="180"/>
      <c r="Z596" s="178"/>
      <c r="AA596" s="178"/>
      <c r="AB596" s="178"/>
      <c r="AC596" s="178"/>
      <c r="AD596" s="182"/>
      <c r="AE596" s="182"/>
      <c r="AF596" s="182"/>
      <c r="AG596" s="182"/>
      <c r="AH596" s="401"/>
      <c r="AI596" s="401"/>
      <c r="AJ596" s="401"/>
      <c r="AK596" s="401"/>
      <c r="AL596" s="401"/>
      <c r="AM596" s="189"/>
      <c r="AN596" s="829"/>
      <c r="AO596" s="830"/>
      <c r="AP596" s="401"/>
      <c r="AQ596" s="401"/>
      <c r="AR596" s="401"/>
      <c r="AS596" s="401"/>
      <c r="AT596" s="403"/>
      <c r="AU596" s="403"/>
      <c r="AV596" s="170"/>
      <c r="AW596" s="166"/>
      <c r="AX596" s="166"/>
      <c r="AY596" s="189"/>
      <c r="AZ596" s="189"/>
      <c r="BA596" s="196"/>
      <c r="BB596" s="629"/>
      <c r="BC596" s="190"/>
      <c r="BD596" s="510"/>
      <c r="BE596" s="510"/>
      <c r="BF596" s="177"/>
      <c r="BG596" s="177"/>
      <c r="BH596" s="166"/>
      <c r="BI596" s="474"/>
      <c r="BJ596" s="166"/>
      <c r="BK596" s="474"/>
      <c r="BL596" s="474"/>
      <c r="BM596" s="474"/>
      <c r="BN596" s="166"/>
      <c r="BO596" s="166"/>
      <c r="BP596" s="204"/>
      <c r="BQ596" s="475"/>
      <c r="BR596" s="205"/>
      <c r="BS596" s="509"/>
      <c r="BT596" s="509"/>
      <c r="BU596" s="459"/>
      <c r="BV596" s="459"/>
      <c r="BW596" s="1"/>
      <c r="BX596" s="1"/>
      <c r="BY596" s="546"/>
      <c r="BZ596" s="546"/>
      <c r="CA596" s="546"/>
      <c r="CB596" s="546"/>
      <c r="CC596" s="728"/>
      <c r="CD596" s="728"/>
      <c r="CE596" s="170"/>
    </row>
    <row r="597" spans="1:83" customFormat="1">
      <c r="A597" s="701"/>
      <c r="B597" s="447"/>
      <c r="C597" s="1"/>
      <c r="D597" s="538"/>
      <c r="E597" s="1"/>
      <c r="F597" s="811"/>
      <c r="G597" s="440"/>
      <c r="H597" s="1"/>
      <c r="J597" s="171"/>
      <c r="K597" s="55"/>
      <c r="L597" s="171"/>
      <c r="M597" s="55"/>
      <c r="N597" s="172"/>
      <c r="O597" s="170"/>
      <c r="P597" s="139"/>
      <c r="Q597" s="171"/>
      <c r="R597" s="181"/>
      <c r="S597" s="455"/>
      <c r="T597" s="170"/>
      <c r="U597" s="170"/>
      <c r="V597" s="1"/>
      <c r="W597" s="173"/>
      <c r="X597" s="1"/>
      <c r="Y597" s="166"/>
      <c r="Z597" s="170"/>
      <c r="AA597" s="170"/>
      <c r="AB597" s="170"/>
      <c r="AC597" s="170"/>
      <c r="AD597" s="182"/>
      <c r="AE597" s="182"/>
      <c r="AF597" s="182"/>
      <c r="AG597" s="182"/>
      <c r="AH597" s="189"/>
      <c r="AI597" s="401"/>
      <c r="AJ597" s="189"/>
      <c r="AK597" s="401"/>
      <c r="AL597" s="401"/>
      <c r="AM597" s="189"/>
      <c r="AN597" s="782"/>
      <c r="AO597" s="189"/>
      <c r="AP597" s="401"/>
      <c r="AQ597" s="401"/>
      <c r="AR597" s="401"/>
      <c r="AS597" s="188"/>
      <c r="AT597" s="1"/>
      <c r="AU597" s="403"/>
      <c r="AV597" s="1"/>
      <c r="AW597" s="166"/>
      <c r="AX597" s="166"/>
      <c r="AY597" s="189"/>
      <c r="AZ597" s="189"/>
      <c r="BA597" s="196"/>
      <c r="BB597" s="629"/>
      <c r="BC597" s="197"/>
      <c r="BD597" s="510"/>
      <c r="BE597" s="510"/>
      <c r="BF597" s="177"/>
      <c r="BG597" s="177"/>
      <c r="BH597" s="166"/>
      <c r="BI597" s="474"/>
      <c r="BJ597" s="166"/>
      <c r="BK597" s="474"/>
      <c r="BL597" s="474"/>
      <c r="BM597" s="474"/>
      <c r="BN597" s="166"/>
      <c r="BO597" s="166"/>
      <c r="BP597" s="204"/>
      <c r="BQ597" s="475"/>
      <c r="BR597" s="205"/>
      <c r="BS597" s="509"/>
      <c r="BT597" s="509"/>
      <c r="BU597" s="459"/>
      <c r="BV597" s="459"/>
      <c r="BW597" s="1"/>
      <c r="BX597" s="1"/>
      <c r="BY597" s="546"/>
      <c r="BZ597" s="546"/>
      <c r="CA597" s="546"/>
      <c r="CB597" s="546"/>
      <c r="CC597" s="728"/>
      <c r="CD597" s="728"/>
      <c r="CE597" s="170"/>
    </row>
    <row r="598" spans="1:83" customFormat="1">
      <c r="A598" s="701"/>
      <c r="B598" s="447"/>
      <c r="C598" s="161"/>
      <c r="D598" s="162"/>
      <c r="E598" s="1"/>
      <c r="F598" s="811"/>
      <c r="G598" s="440"/>
      <c r="H598" s="1"/>
      <c r="I598" s="55"/>
      <c r="J598" s="170"/>
      <c r="K598" s="1"/>
      <c r="L598" s="170"/>
      <c r="M598" s="1"/>
      <c r="N598" s="458"/>
      <c r="O598" s="170"/>
      <c r="P598" s="441"/>
      <c r="Q598" s="55"/>
      <c r="R598" s="177"/>
      <c r="S598" s="454"/>
      <c r="T598" s="178"/>
      <c r="U598" s="178"/>
      <c r="V598" s="179"/>
      <c r="W598" s="180"/>
      <c r="X598" s="179"/>
      <c r="Y598" s="180"/>
      <c r="Z598" s="178"/>
      <c r="AA598" s="178"/>
      <c r="AB598" s="178"/>
      <c r="AC598" s="178"/>
      <c r="AD598" s="182"/>
      <c r="AE598" s="182"/>
      <c r="AF598" s="182"/>
      <c r="AG598" s="182"/>
      <c r="AH598" s="401"/>
      <c r="AI598" s="401"/>
      <c r="AJ598" s="401"/>
      <c r="AK598" s="401"/>
      <c r="AL598" s="401"/>
      <c r="AM598" s="189"/>
      <c r="AN598" s="829"/>
      <c r="AO598" s="830"/>
      <c r="AP598" s="401"/>
      <c r="AQ598" s="401"/>
      <c r="AR598" s="401"/>
      <c r="AS598" s="401"/>
      <c r="AT598" s="403"/>
      <c r="AU598" s="403"/>
      <c r="AV598" s="170"/>
      <c r="AW598" s="166"/>
      <c r="AX598" s="166"/>
      <c r="AY598" s="189"/>
      <c r="AZ598" s="189"/>
      <c r="BA598" s="196"/>
      <c r="BB598" s="629"/>
      <c r="BC598" s="190"/>
      <c r="BD598" s="510"/>
      <c r="BE598" s="510"/>
      <c r="BF598" s="177"/>
      <c r="BG598" s="177"/>
      <c r="BH598" s="166"/>
      <c r="BI598" s="474"/>
      <c r="BJ598" s="166"/>
      <c r="BK598" s="474"/>
      <c r="BL598" s="474"/>
      <c r="BM598" s="474"/>
      <c r="BN598" s="166"/>
      <c r="BO598" s="166"/>
      <c r="BP598" s="204"/>
      <c r="BQ598" s="475"/>
      <c r="BR598" s="205"/>
      <c r="BS598" s="509"/>
      <c r="BT598" s="509"/>
      <c r="BU598" s="459"/>
      <c r="BV598" s="459"/>
      <c r="BW598" s="1"/>
      <c r="BX598" s="1"/>
      <c r="BY598" s="546"/>
      <c r="BZ598" s="546"/>
      <c r="CA598" s="546"/>
      <c r="CB598" s="546"/>
      <c r="CC598" s="728"/>
      <c r="CD598" s="728"/>
      <c r="CE598" s="170"/>
    </row>
    <row r="599" spans="1:83" customFormat="1">
      <c r="A599" s="701"/>
      <c r="B599" s="447"/>
      <c r="C599" s="161"/>
      <c r="D599" s="162"/>
      <c r="E599" s="1"/>
      <c r="F599" s="811"/>
      <c r="G599" s="440"/>
      <c r="H599" s="1"/>
      <c r="I599" s="55"/>
      <c r="J599" s="170"/>
      <c r="K599" s="1"/>
      <c r="L599" s="170"/>
      <c r="M599" s="1"/>
      <c r="N599" s="458"/>
      <c r="O599" s="170"/>
      <c r="P599" s="441"/>
      <c r="Q599" s="55"/>
      <c r="R599" s="177"/>
      <c r="S599" s="454"/>
      <c r="T599" s="178"/>
      <c r="U599" s="178"/>
      <c r="V599" s="179"/>
      <c r="W599" s="180"/>
      <c r="X599" s="179"/>
      <c r="Y599" s="180"/>
      <c r="Z599" s="178"/>
      <c r="AA599" s="178"/>
      <c r="AB599" s="178"/>
      <c r="AC599" s="178"/>
      <c r="AD599" s="182"/>
      <c r="AE599" s="182"/>
      <c r="AF599" s="182"/>
      <c r="AG599" s="182"/>
      <c r="AH599" s="401"/>
      <c r="AI599" s="401"/>
      <c r="AJ599" s="401"/>
      <c r="AK599" s="401"/>
      <c r="AL599" s="401"/>
      <c r="AM599" s="189"/>
      <c r="AN599" s="829"/>
      <c r="AO599" s="830"/>
      <c r="AP599" s="401"/>
      <c r="AQ599" s="401"/>
      <c r="AR599" s="401"/>
      <c r="AS599" s="401"/>
      <c r="AT599" s="403"/>
      <c r="AU599" s="403"/>
      <c r="AV599" s="170"/>
      <c r="AW599" s="166"/>
      <c r="AX599" s="166"/>
      <c r="AY599" s="189"/>
      <c r="AZ599" s="189"/>
      <c r="BA599" s="196"/>
      <c r="BB599" s="629"/>
      <c r="BC599" s="190"/>
      <c r="BD599" s="510"/>
      <c r="BE599" s="510"/>
      <c r="BF599" s="177"/>
      <c r="BG599" s="177"/>
      <c r="BH599" s="166"/>
      <c r="BI599" s="474"/>
      <c r="BJ599" s="166"/>
      <c r="BK599" s="474"/>
      <c r="BL599" s="474"/>
      <c r="BM599" s="474"/>
      <c r="BN599" s="166"/>
      <c r="BO599" s="166"/>
      <c r="BP599" s="204"/>
      <c r="BQ599" s="475"/>
      <c r="BR599" s="205"/>
      <c r="BS599" s="509"/>
      <c r="BT599" s="509"/>
      <c r="BU599" s="459"/>
      <c r="BV599" s="459"/>
      <c r="BW599" s="1"/>
      <c r="BX599" s="1"/>
      <c r="BY599" s="546"/>
      <c r="BZ599" s="546"/>
      <c r="CA599" s="546"/>
      <c r="CB599" s="546"/>
      <c r="CC599" s="728"/>
      <c r="CD599" s="728"/>
      <c r="CE599" s="170"/>
    </row>
    <row r="600" spans="1:83" customFormat="1">
      <c r="A600" s="701"/>
      <c r="B600" s="447"/>
      <c r="C600" s="161"/>
      <c r="D600" s="162"/>
      <c r="E600" s="1"/>
      <c r="F600" s="811"/>
      <c r="G600" s="440"/>
      <c r="H600" s="1"/>
      <c r="I600" s="55"/>
      <c r="J600" s="457"/>
      <c r="K600" s="1"/>
      <c r="L600" s="170"/>
      <c r="M600" s="1"/>
      <c r="N600" s="458"/>
      <c r="O600" s="170"/>
      <c r="P600" s="441"/>
      <c r="Q600" s="55"/>
      <c r="R600" s="177"/>
      <c r="S600" s="454"/>
      <c r="T600" s="178"/>
      <c r="U600" s="178"/>
      <c r="V600" s="179"/>
      <c r="W600" s="180"/>
      <c r="X600" s="179"/>
      <c r="Y600" s="180"/>
      <c r="Z600" s="178"/>
      <c r="AA600" s="178"/>
      <c r="AB600" s="178"/>
      <c r="AC600" s="178"/>
      <c r="AD600" s="182"/>
      <c r="AE600" s="182"/>
      <c r="AF600" s="182"/>
      <c r="AG600" s="182"/>
      <c r="AH600" s="401"/>
      <c r="AI600" s="401"/>
      <c r="AJ600" s="401"/>
      <c r="AK600" s="401"/>
      <c r="AL600" s="401"/>
      <c r="AM600" s="189"/>
      <c r="AN600" s="829"/>
      <c r="AO600" s="830"/>
      <c r="AP600" s="401"/>
      <c r="AQ600" s="401"/>
      <c r="AR600" s="401"/>
      <c r="AS600" s="401"/>
      <c r="AT600" s="403"/>
      <c r="AU600" s="403"/>
      <c r="AV600" s="170"/>
      <c r="AW600" s="166"/>
      <c r="AX600" s="166"/>
      <c r="AY600" s="189"/>
      <c r="AZ600" s="189"/>
      <c r="BA600" s="196"/>
      <c r="BB600" s="629"/>
      <c r="BC600" s="190"/>
      <c r="BD600" s="510"/>
      <c r="BE600" s="510"/>
      <c r="BF600" s="177"/>
      <c r="BG600" s="177"/>
      <c r="BH600" s="166"/>
      <c r="BI600" s="474"/>
      <c r="BJ600" s="166"/>
      <c r="BK600" s="474"/>
      <c r="BL600" s="474"/>
      <c r="BM600" s="474"/>
      <c r="BN600" s="166"/>
      <c r="BO600" s="166"/>
      <c r="BP600" s="204"/>
      <c r="BQ600" s="475"/>
      <c r="BR600" s="205"/>
      <c r="BS600" s="509"/>
      <c r="BT600" s="509"/>
      <c r="BU600" s="459"/>
      <c r="BV600" s="459"/>
      <c r="BW600" s="1"/>
      <c r="BX600" s="1"/>
      <c r="BY600" s="546"/>
      <c r="BZ600" s="546"/>
      <c r="CA600" s="546"/>
      <c r="CB600" s="546"/>
      <c r="CC600" s="728"/>
      <c r="CD600" s="728"/>
      <c r="CE600" s="170"/>
    </row>
    <row r="601" spans="1:83" customFormat="1">
      <c r="A601" s="701"/>
      <c r="B601" s="447"/>
      <c r="C601" s="161"/>
      <c r="D601" s="162"/>
      <c r="E601" s="1"/>
      <c r="F601" s="811"/>
      <c r="G601" s="440"/>
      <c r="H601" s="1"/>
      <c r="I601" s="55"/>
      <c r="J601" s="170"/>
      <c r="K601" s="1"/>
      <c r="L601" s="170"/>
      <c r="M601" s="1"/>
      <c r="N601" s="458"/>
      <c r="O601" s="170"/>
      <c r="P601" s="441"/>
      <c r="Q601" s="55"/>
      <c r="R601" s="177"/>
      <c r="S601" s="454"/>
      <c r="T601" s="178"/>
      <c r="U601" s="178"/>
      <c r="V601" s="179"/>
      <c r="W601" s="180"/>
      <c r="X601" s="179"/>
      <c r="Y601" s="180"/>
      <c r="Z601" s="178"/>
      <c r="AA601" s="178"/>
      <c r="AB601" s="178"/>
      <c r="AC601" s="178"/>
      <c r="AD601" s="182"/>
      <c r="AE601" s="182"/>
      <c r="AF601" s="182"/>
      <c r="AG601" s="182"/>
      <c r="AH601" s="401"/>
      <c r="AI601" s="401"/>
      <c r="AJ601" s="401"/>
      <c r="AK601" s="401"/>
      <c r="AL601" s="401"/>
      <c r="AM601" s="189"/>
      <c r="AN601" s="829"/>
      <c r="AO601" s="830"/>
      <c r="AP601" s="401"/>
      <c r="AQ601" s="401"/>
      <c r="AR601" s="401"/>
      <c r="AS601" s="401"/>
      <c r="AT601" s="403"/>
      <c r="AU601" s="403"/>
      <c r="AV601" s="170"/>
      <c r="AW601" s="166"/>
      <c r="AX601" s="166"/>
      <c r="AY601" s="189"/>
      <c r="AZ601" s="189"/>
      <c r="BA601" s="196"/>
      <c r="BB601" s="629"/>
      <c r="BC601" s="190"/>
      <c r="BD601" s="510"/>
      <c r="BE601" s="510"/>
      <c r="BF601" s="177"/>
      <c r="BG601" s="177"/>
      <c r="BH601" s="166"/>
      <c r="BI601" s="474"/>
      <c r="BJ601" s="166"/>
      <c r="BK601" s="474"/>
      <c r="BL601" s="474"/>
      <c r="BM601" s="474"/>
      <c r="BN601" s="166"/>
      <c r="BO601" s="166"/>
      <c r="BP601" s="204"/>
      <c r="BQ601" s="475"/>
      <c r="BR601" s="205"/>
      <c r="BS601" s="509"/>
      <c r="BT601" s="509"/>
      <c r="BU601" s="459"/>
      <c r="BV601" s="459"/>
      <c r="BW601" s="1"/>
      <c r="BX601" s="1"/>
      <c r="BY601" s="546"/>
      <c r="BZ601" s="546"/>
      <c r="CA601" s="546"/>
      <c r="CB601" s="546"/>
      <c r="CC601" s="728"/>
      <c r="CD601" s="728"/>
      <c r="CE601" s="170"/>
    </row>
    <row r="602" spans="1:83" customFormat="1">
      <c r="A602" s="701"/>
      <c r="B602" s="447"/>
      <c r="C602" s="161"/>
      <c r="D602" s="162"/>
      <c r="E602" s="1"/>
      <c r="F602" s="811"/>
      <c r="G602" s="440"/>
      <c r="H602" s="1"/>
      <c r="I602" s="55"/>
      <c r="J602" s="170"/>
      <c r="K602" s="1"/>
      <c r="L602" s="170"/>
      <c r="M602" s="1"/>
      <c r="N602" s="458"/>
      <c r="O602" s="170"/>
      <c r="P602" s="441"/>
      <c r="Q602" s="55"/>
      <c r="R602" s="177"/>
      <c r="S602" s="454"/>
      <c r="T602" s="178"/>
      <c r="U602" s="178"/>
      <c r="V602" s="179"/>
      <c r="W602" s="180"/>
      <c r="X602" s="179"/>
      <c r="Y602" s="180"/>
      <c r="Z602" s="178"/>
      <c r="AA602" s="178"/>
      <c r="AB602" s="178"/>
      <c r="AC602" s="178"/>
      <c r="AD602" s="182"/>
      <c r="AE602" s="182"/>
      <c r="AF602" s="182"/>
      <c r="AG602" s="182"/>
      <c r="AH602" s="401"/>
      <c r="AI602" s="401"/>
      <c r="AJ602" s="401"/>
      <c r="AK602" s="401"/>
      <c r="AL602" s="401"/>
      <c r="AM602" s="189"/>
      <c r="AN602" s="829"/>
      <c r="AO602" s="830"/>
      <c r="AP602" s="401"/>
      <c r="AQ602" s="401"/>
      <c r="AR602" s="401"/>
      <c r="AS602" s="401"/>
      <c r="AT602" s="403"/>
      <c r="AU602" s="403"/>
      <c r="AV602" s="170"/>
      <c r="AW602" s="166"/>
      <c r="AX602" s="166"/>
      <c r="AY602" s="189"/>
      <c r="AZ602" s="189"/>
      <c r="BA602" s="196"/>
      <c r="BB602" s="629"/>
      <c r="BC602" s="190"/>
      <c r="BD602" s="510"/>
      <c r="BE602" s="510"/>
      <c r="BF602" s="177"/>
      <c r="BG602" s="177"/>
      <c r="BH602" s="166"/>
      <c r="BI602" s="474"/>
      <c r="BJ602" s="166"/>
      <c r="BK602" s="474"/>
      <c r="BL602" s="474"/>
      <c r="BM602" s="474"/>
      <c r="BN602" s="166"/>
      <c r="BO602" s="166"/>
      <c r="BP602" s="204"/>
      <c r="BQ602" s="475"/>
      <c r="BR602" s="205"/>
      <c r="BS602" s="509"/>
      <c r="BT602" s="509"/>
      <c r="BU602" s="459"/>
      <c r="BV602" s="459"/>
      <c r="BW602" s="1"/>
      <c r="BX602" s="1"/>
      <c r="BY602" s="546"/>
      <c r="BZ602" s="546"/>
      <c r="CA602" s="546"/>
      <c r="CB602" s="546"/>
      <c r="CC602" s="728"/>
      <c r="CD602" s="728"/>
      <c r="CE602" s="170"/>
    </row>
    <row r="603" spans="1:83" customFormat="1">
      <c r="A603" s="701"/>
      <c r="B603" s="447"/>
      <c r="C603" s="161"/>
      <c r="D603" s="162"/>
      <c r="E603" s="1"/>
      <c r="F603" s="811"/>
      <c r="G603" s="440"/>
      <c r="H603" s="1"/>
      <c r="I603" s="55"/>
      <c r="J603" s="457"/>
      <c r="K603" s="1"/>
      <c r="L603" s="170"/>
      <c r="M603" s="1"/>
      <c r="N603" s="458"/>
      <c r="O603" s="170"/>
      <c r="P603" s="441"/>
      <c r="Q603" s="55"/>
      <c r="R603" s="177"/>
      <c r="S603" s="454"/>
      <c r="T603" s="178"/>
      <c r="U603" s="178"/>
      <c r="V603" s="179"/>
      <c r="W603" s="180"/>
      <c r="X603" s="179"/>
      <c r="Y603" s="180"/>
      <c r="Z603" s="178"/>
      <c r="AA603" s="178"/>
      <c r="AB603" s="178"/>
      <c r="AC603" s="178"/>
      <c r="AD603" s="182"/>
      <c r="AE603" s="182"/>
      <c r="AF603" s="182"/>
      <c r="AG603" s="182"/>
      <c r="AH603" s="401"/>
      <c r="AI603" s="401"/>
      <c r="AJ603" s="401"/>
      <c r="AK603" s="401"/>
      <c r="AL603" s="401"/>
      <c r="AM603" s="189"/>
      <c r="AN603" s="829"/>
      <c r="AO603" s="830"/>
      <c r="AP603" s="401"/>
      <c r="AQ603" s="401"/>
      <c r="AR603" s="401"/>
      <c r="AS603" s="401"/>
      <c r="AT603" s="403"/>
      <c r="AU603" s="403"/>
      <c r="AV603" s="170"/>
      <c r="AW603" s="166"/>
      <c r="AX603" s="166"/>
      <c r="AY603" s="189"/>
      <c r="AZ603" s="189"/>
      <c r="BA603" s="196"/>
      <c r="BB603" s="629"/>
      <c r="BC603" s="190"/>
      <c r="BD603" s="510"/>
      <c r="BE603" s="510"/>
      <c r="BF603" s="177"/>
      <c r="BG603" s="177"/>
      <c r="BH603" s="166"/>
      <c r="BI603" s="474"/>
      <c r="BJ603" s="166"/>
      <c r="BK603" s="474"/>
      <c r="BL603" s="474"/>
      <c r="BM603" s="474"/>
      <c r="BN603" s="166"/>
      <c r="BO603" s="166"/>
      <c r="BP603" s="204"/>
      <c r="BQ603" s="475"/>
      <c r="BR603" s="205"/>
      <c r="BS603" s="509"/>
      <c r="BT603" s="509"/>
      <c r="BU603" s="459"/>
      <c r="BV603" s="459"/>
      <c r="BW603" s="1"/>
      <c r="BX603" s="1"/>
      <c r="BY603" s="546"/>
      <c r="BZ603" s="546"/>
      <c r="CA603" s="546"/>
      <c r="CB603" s="546"/>
      <c r="CC603" s="728"/>
      <c r="CD603" s="728"/>
      <c r="CE603" s="170"/>
    </row>
    <row r="604" spans="1:83" customFormat="1">
      <c r="A604" s="701"/>
      <c r="B604" s="447"/>
      <c r="C604" s="161"/>
      <c r="D604" s="162"/>
      <c r="E604" s="1"/>
      <c r="F604" s="811"/>
      <c r="G604" s="440"/>
      <c r="H604" s="1"/>
      <c r="I604" s="55"/>
      <c r="J604" s="170"/>
      <c r="K604" s="1"/>
      <c r="L604" s="170"/>
      <c r="M604" s="1"/>
      <c r="N604" s="458"/>
      <c r="O604" s="170"/>
      <c r="P604" s="441"/>
      <c r="Q604" s="55"/>
      <c r="R604" s="177"/>
      <c r="S604" s="454"/>
      <c r="T604" s="178"/>
      <c r="U604" s="178"/>
      <c r="V604" s="179"/>
      <c r="W604" s="180"/>
      <c r="X604" s="179"/>
      <c r="Y604" s="180"/>
      <c r="Z604" s="178"/>
      <c r="AA604" s="178"/>
      <c r="AB604" s="178"/>
      <c r="AC604" s="178"/>
      <c r="AD604" s="182"/>
      <c r="AE604" s="182"/>
      <c r="AF604" s="182"/>
      <c r="AG604" s="182"/>
      <c r="AH604" s="401"/>
      <c r="AI604" s="401"/>
      <c r="AJ604" s="401"/>
      <c r="AK604" s="401"/>
      <c r="AL604" s="401"/>
      <c r="AM604" s="189"/>
      <c r="AN604" s="829"/>
      <c r="AO604" s="830"/>
      <c r="AP604" s="401"/>
      <c r="AQ604" s="401"/>
      <c r="AR604" s="401"/>
      <c r="AS604" s="401"/>
      <c r="AT604" s="403"/>
      <c r="AU604" s="403"/>
      <c r="AV604" s="170"/>
      <c r="AW604" s="166"/>
      <c r="AX604" s="166"/>
      <c r="AY604" s="189"/>
      <c r="AZ604" s="189"/>
      <c r="BA604" s="196"/>
      <c r="BB604" s="629"/>
      <c r="BC604" s="190"/>
      <c r="BD604" s="510"/>
      <c r="BE604" s="510"/>
      <c r="BF604" s="177"/>
      <c r="BG604" s="177"/>
      <c r="BH604" s="166"/>
      <c r="BI604" s="474"/>
      <c r="BJ604" s="166"/>
      <c r="BK604" s="474"/>
      <c r="BL604" s="474"/>
      <c r="BM604" s="474"/>
      <c r="BN604" s="166"/>
      <c r="BO604" s="166"/>
      <c r="BP604" s="204"/>
      <c r="BQ604" s="475"/>
      <c r="BR604" s="205"/>
      <c r="BS604" s="509"/>
      <c r="BT604" s="509"/>
      <c r="BU604" s="459"/>
      <c r="BV604" s="459"/>
      <c r="BW604" s="1"/>
      <c r="BX604" s="1"/>
      <c r="BY604" s="546"/>
      <c r="BZ604" s="546"/>
      <c r="CA604" s="546"/>
      <c r="CB604" s="546"/>
      <c r="CC604" s="728"/>
      <c r="CD604" s="728"/>
      <c r="CE604" s="170"/>
    </row>
    <row r="605" spans="1:83" customFormat="1">
      <c r="A605" s="701"/>
      <c r="B605" s="447"/>
      <c r="C605" s="1"/>
      <c r="D605" s="538"/>
      <c r="E605" s="1"/>
      <c r="F605" s="811"/>
      <c r="G605" s="440"/>
      <c r="H605" s="1"/>
      <c r="I605" s="55"/>
      <c r="J605" s="171"/>
      <c r="K605" s="55"/>
      <c r="L605" s="171"/>
      <c r="M605" s="55"/>
      <c r="N605" s="172"/>
      <c r="O605" s="170"/>
      <c r="P605" s="139"/>
      <c r="Q605" s="172"/>
      <c r="R605" s="181"/>
      <c r="S605" s="455"/>
      <c r="T605" s="170"/>
      <c r="U605" s="170"/>
      <c r="V605" s="1"/>
      <c r="W605" s="173"/>
      <c r="X605" s="1"/>
      <c r="Y605" s="166"/>
      <c r="Z605" s="170"/>
      <c r="AA605" s="170"/>
      <c r="AB605" s="170"/>
      <c r="AC605" s="170"/>
      <c r="AD605" s="182"/>
      <c r="AE605" s="182"/>
      <c r="AF605" s="182"/>
      <c r="AG605" s="182"/>
      <c r="AH605" s="189"/>
      <c r="AI605" s="401"/>
      <c r="AJ605" s="189"/>
      <c r="AK605" s="401"/>
      <c r="AL605" s="401"/>
      <c r="AM605" s="189"/>
      <c r="AN605" s="782"/>
      <c r="AO605" s="189"/>
      <c r="AP605" s="401"/>
      <c r="AQ605" s="401"/>
      <c r="AR605" s="401"/>
      <c r="AS605" s="188"/>
      <c r="AT605" s="1"/>
      <c r="AU605" s="403"/>
      <c r="AV605" s="1"/>
      <c r="AW605" s="166"/>
      <c r="AX605" s="166"/>
      <c r="AY605" s="189"/>
      <c r="AZ605" s="189"/>
      <c r="BA605" s="196"/>
      <c r="BB605" s="629"/>
      <c r="BC605" s="197"/>
      <c r="BD605" s="510"/>
      <c r="BE605" s="510"/>
      <c r="BF605" s="177"/>
      <c r="BG605" s="177"/>
      <c r="BH605" s="166"/>
      <c r="BI605" s="474"/>
      <c r="BJ605" s="166"/>
      <c r="BK605" s="474"/>
      <c r="BL605" s="474"/>
      <c r="BM605" s="474"/>
      <c r="BN605" s="166"/>
      <c r="BO605" s="166"/>
      <c r="BP605" s="204"/>
      <c r="BQ605" s="475"/>
      <c r="BR605" s="205"/>
      <c r="BS605" s="509"/>
      <c r="BT605" s="509"/>
      <c r="BU605" s="459"/>
      <c r="BV605" s="459"/>
      <c r="BW605" s="1"/>
      <c r="BX605" s="1"/>
      <c r="BY605" s="546"/>
      <c r="BZ605" s="546"/>
      <c r="CA605" s="546"/>
      <c r="CB605" s="546"/>
      <c r="CC605" s="728"/>
      <c r="CD605" s="728"/>
      <c r="CE605" s="170"/>
    </row>
    <row r="606" spans="1:83" customFormat="1">
      <c r="A606" s="701"/>
      <c r="B606" s="447"/>
      <c r="C606" s="161"/>
      <c r="D606" s="162"/>
      <c r="E606" s="1"/>
      <c r="F606" s="811"/>
      <c r="G606" s="440"/>
      <c r="H606" s="1"/>
      <c r="I606" s="55"/>
      <c r="J606" s="170"/>
      <c r="K606" s="1"/>
      <c r="L606" s="170"/>
      <c r="M606" s="1"/>
      <c r="N606" s="458"/>
      <c r="O606" s="170"/>
      <c r="P606" s="441"/>
      <c r="Q606" s="55"/>
      <c r="R606" s="177"/>
      <c r="S606" s="454"/>
      <c r="T606" s="178"/>
      <c r="U606" s="178"/>
      <c r="V606" s="179"/>
      <c r="W606" s="180"/>
      <c r="X606" s="179"/>
      <c r="Y606" s="180"/>
      <c r="Z606" s="178"/>
      <c r="AA606" s="178"/>
      <c r="AB606" s="178"/>
      <c r="AC606" s="178"/>
      <c r="AD606" s="182"/>
      <c r="AE606" s="182"/>
      <c r="AF606" s="182"/>
      <c r="AG606" s="182"/>
      <c r="AH606" s="401"/>
      <c r="AI606" s="401"/>
      <c r="AJ606" s="401"/>
      <c r="AK606" s="401"/>
      <c r="AL606" s="401"/>
      <c r="AM606" s="189"/>
      <c r="AN606" s="829"/>
      <c r="AO606" s="830"/>
      <c r="AP606" s="401"/>
      <c r="AQ606" s="401"/>
      <c r="AR606" s="401"/>
      <c r="AS606" s="401"/>
      <c r="AT606" s="403"/>
      <c r="AU606" s="403"/>
      <c r="AV606" s="170"/>
      <c r="AW606" s="166"/>
      <c r="AX606" s="166"/>
      <c r="AY606" s="189"/>
      <c r="AZ606" s="189"/>
      <c r="BA606" s="196"/>
      <c r="BB606" s="629"/>
      <c r="BC606" s="190"/>
      <c r="BD606" s="510"/>
      <c r="BE606" s="510"/>
      <c r="BF606" s="177"/>
      <c r="BG606" s="177"/>
      <c r="BH606" s="166"/>
      <c r="BI606" s="474"/>
      <c r="BJ606" s="166"/>
      <c r="BK606" s="474"/>
      <c r="BL606" s="474"/>
      <c r="BM606" s="474"/>
      <c r="BN606" s="166"/>
      <c r="BO606" s="166"/>
      <c r="BP606" s="204"/>
      <c r="BQ606" s="475"/>
      <c r="BR606" s="205"/>
      <c r="BS606" s="509"/>
      <c r="BT606" s="509"/>
      <c r="BU606" s="459"/>
      <c r="BV606" s="459"/>
      <c r="BW606" s="1"/>
      <c r="BX606" s="1"/>
      <c r="BY606" s="546"/>
      <c r="BZ606" s="546"/>
      <c r="CA606" s="546"/>
      <c r="CB606" s="546"/>
      <c r="CC606" s="728"/>
      <c r="CD606" s="728"/>
      <c r="CE606" s="170"/>
    </row>
    <row r="607" spans="1:83" customFormat="1">
      <c r="A607" s="701"/>
      <c r="B607" s="447"/>
      <c r="C607" s="161"/>
      <c r="D607" s="162"/>
      <c r="E607" s="1"/>
      <c r="F607" s="811"/>
      <c r="G607" s="440"/>
      <c r="H607" s="1"/>
      <c r="I607" s="55"/>
      <c r="J607" s="170"/>
      <c r="K607" s="1"/>
      <c r="L607" s="170"/>
      <c r="M607" s="1"/>
      <c r="N607" s="458"/>
      <c r="O607" s="170"/>
      <c r="P607" s="441"/>
      <c r="Q607" s="55"/>
      <c r="R607" s="177"/>
      <c r="S607" s="454"/>
      <c r="T607" s="178"/>
      <c r="U607" s="178"/>
      <c r="V607" s="179"/>
      <c r="W607" s="180"/>
      <c r="X607" s="179"/>
      <c r="Y607" s="180"/>
      <c r="Z607" s="178"/>
      <c r="AA607" s="178"/>
      <c r="AB607" s="178"/>
      <c r="AC607" s="178"/>
      <c r="AD607" s="182"/>
      <c r="AE607" s="182"/>
      <c r="AF607" s="182"/>
      <c r="AG607" s="182"/>
      <c r="AH607" s="401"/>
      <c r="AI607" s="401"/>
      <c r="AJ607" s="401"/>
      <c r="AK607" s="401"/>
      <c r="AL607" s="401"/>
      <c r="AM607" s="189"/>
      <c r="AN607" s="829"/>
      <c r="AO607" s="830"/>
      <c r="AP607" s="401"/>
      <c r="AQ607" s="401"/>
      <c r="AR607" s="401"/>
      <c r="AS607" s="401"/>
      <c r="AT607" s="403"/>
      <c r="AU607" s="403"/>
      <c r="AV607" s="170"/>
      <c r="AW607" s="166"/>
      <c r="AX607" s="166"/>
      <c r="AY607" s="189"/>
      <c r="AZ607" s="189"/>
      <c r="BA607" s="196"/>
      <c r="BB607" s="629"/>
      <c r="BC607" s="190"/>
      <c r="BD607" s="510"/>
      <c r="BE607" s="510"/>
      <c r="BF607" s="177"/>
      <c r="BG607" s="177"/>
      <c r="BH607" s="166"/>
      <c r="BI607" s="474"/>
      <c r="BJ607" s="166"/>
      <c r="BK607" s="474"/>
      <c r="BL607" s="474"/>
      <c r="BM607" s="474"/>
      <c r="BN607" s="166"/>
      <c r="BO607" s="166"/>
      <c r="BP607" s="204"/>
      <c r="BQ607" s="475"/>
      <c r="BR607" s="205"/>
      <c r="BS607" s="509"/>
      <c r="BT607" s="509"/>
      <c r="BU607" s="459"/>
      <c r="BV607" s="459"/>
      <c r="BW607" s="1"/>
      <c r="BX607" s="1"/>
      <c r="BY607" s="546"/>
      <c r="BZ607" s="546"/>
      <c r="CA607" s="546"/>
      <c r="CB607" s="546"/>
      <c r="CC607" s="728"/>
      <c r="CD607" s="728"/>
      <c r="CE607" s="170"/>
    </row>
    <row r="608" spans="1:83" customFormat="1">
      <c r="A608" s="701"/>
      <c r="B608" s="447"/>
      <c r="C608" s="161"/>
      <c r="D608" s="162"/>
      <c r="E608" s="1"/>
      <c r="F608" s="811"/>
      <c r="G608" s="440"/>
      <c r="H608" s="1"/>
      <c r="I608" s="55"/>
      <c r="J608" s="170"/>
      <c r="K608" s="1"/>
      <c r="L608" s="170"/>
      <c r="M608" s="1"/>
      <c r="N608" s="166"/>
      <c r="O608" s="170"/>
      <c r="P608" s="441"/>
      <c r="Q608" s="55"/>
      <c r="R608" s="177"/>
      <c r="S608" s="454"/>
      <c r="T608" s="178"/>
      <c r="U608" s="178"/>
      <c r="V608" s="179"/>
      <c r="W608" s="180"/>
      <c r="X608" s="179"/>
      <c r="Y608" s="180"/>
      <c r="Z608" s="178"/>
      <c r="AA608" s="178"/>
      <c r="AB608" s="178"/>
      <c r="AC608" s="178"/>
      <c r="AD608" s="182"/>
      <c r="AE608" s="182"/>
      <c r="AF608" s="182"/>
      <c r="AG608" s="182"/>
      <c r="AH608" s="401"/>
      <c r="AI608" s="401"/>
      <c r="AJ608" s="182"/>
      <c r="AK608" s="401"/>
      <c r="AL608" s="401"/>
      <c r="AM608" s="189"/>
      <c r="AN608" s="829"/>
      <c r="AO608" s="830"/>
      <c r="AP608" s="401"/>
      <c r="AQ608" s="401"/>
      <c r="AR608" s="401"/>
      <c r="AS608" s="401"/>
      <c r="AT608" s="403"/>
      <c r="AU608" s="403"/>
      <c r="AV608" s="170"/>
      <c r="AW608" s="166"/>
      <c r="AX608" s="166"/>
      <c r="AY608" s="189"/>
      <c r="AZ608" s="189"/>
      <c r="BA608" s="196"/>
      <c r="BB608" s="629"/>
      <c r="BC608" s="190"/>
      <c r="BD608" s="510"/>
      <c r="BE608" s="510"/>
      <c r="BF608" s="177"/>
      <c r="BG608" s="177"/>
      <c r="BH608" s="166"/>
      <c r="BI608" s="474"/>
      <c r="BJ608" s="166"/>
      <c r="BK608" s="474"/>
      <c r="BL608" s="474"/>
      <c r="BM608" s="474"/>
      <c r="BN608" s="166"/>
      <c r="BO608" s="166"/>
      <c r="BP608" s="204"/>
      <c r="BQ608" s="475"/>
      <c r="BR608" s="205"/>
      <c r="BS608" s="509"/>
      <c r="BT608" s="509"/>
      <c r="BU608" s="459"/>
      <c r="BV608" s="459"/>
      <c r="BW608" s="1"/>
      <c r="BX608" s="1"/>
      <c r="BY608" s="546"/>
      <c r="BZ608" s="546"/>
      <c r="CA608" s="546"/>
      <c r="CB608" s="546"/>
      <c r="CC608" s="728"/>
      <c r="CD608" s="728"/>
      <c r="CE608" s="170"/>
    </row>
    <row r="609" spans="1:83" customFormat="1">
      <c r="A609" s="701"/>
      <c r="B609" s="447"/>
      <c r="C609" s="1"/>
      <c r="D609" s="538"/>
      <c r="E609" s="1"/>
      <c r="F609" s="811"/>
      <c r="G609" s="440"/>
      <c r="H609" s="371"/>
      <c r="I609" s="55"/>
      <c r="J609" s="370"/>
      <c r="K609" s="55"/>
      <c r="L609" s="370"/>
      <c r="M609" s="55"/>
      <c r="N609" s="452"/>
      <c r="O609" s="170"/>
      <c r="P609" s="139"/>
      <c r="Q609" s="369"/>
      <c r="R609" s="181"/>
      <c r="S609" s="455"/>
      <c r="T609" s="170"/>
      <c r="U609" s="170"/>
      <c r="V609" s="1"/>
      <c r="W609" s="173"/>
      <c r="X609" s="1"/>
      <c r="Y609" s="166"/>
      <c r="Z609" s="170"/>
      <c r="AA609" s="170"/>
      <c r="AB609" s="170"/>
      <c r="AC609" s="170"/>
      <c r="AD609" s="182"/>
      <c r="AE609" s="182"/>
      <c r="AF609" s="182"/>
      <c r="AG609" s="182"/>
      <c r="AH609" s="189"/>
      <c r="AI609" s="401"/>
      <c r="AJ609" s="189"/>
      <c r="AK609" s="401"/>
      <c r="AL609" s="401"/>
      <c r="AM609" s="189"/>
      <c r="AN609" s="829"/>
      <c r="AO609" s="830"/>
      <c r="AP609" s="401"/>
      <c r="AQ609" s="401"/>
      <c r="AR609" s="401"/>
      <c r="AS609" s="188"/>
      <c r="AT609" s="1"/>
      <c r="AU609" s="403"/>
      <c r="AV609" s="1"/>
      <c r="AW609" s="166"/>
      <c r="AX609" s="166"/>
      <c r="AY609" s="189"/>
      <c r="AZ609" s="189"/>
      <c r="BA609" s="196"/>
      <c r="BB609" s="629"/>
      <c r="BC609" s="197"/>
      <c r="BD609" s="510"/>
      <c r="BE609" s="510"/>
      <c r="BF609" s="177"/>
      <c r="BG609" s="177"/>
      <c r="BH609" s="166"/>
      <c r="BI609" s="474"/>
      <c r="BJ609" s="166"/>
      <c r="BK609" s="474"/>
      <c r="BL609" s="474"/>
      <c r="BM609" s="474"/>
      <c r="BN609" s="166"/>
      <c r="BO609" s="166"/>
      <c r="BP609" s="204"/>
      <c r="BQ609" s="475"/>
      <c r="BR609" s="205"/>
      <c r="BS609" s="509"/>
      <c r="BT609" s="509"/>
      <c r="BU609" s="459"/>
      <c r="BV609" s="459"/>
      <c r="BW609" s="1"/>
      <c r="BX609" s="1"/>
      <c r="BY609" s="546"/>
      <c r="BZ609" s="546"/>
      <c r="CA609" s="546"/>
      <c r="CB609" s="546"/>
      <c r="CC609" s="728"/>
      <c r="CD609" s="728"/>
      <c r="CE609" s="170"/>
    </row>
    <row r="610" spans="1:83" customFormat="1">
      <c r="A610" s="701"/>
      <c r="B610" s="447"/>
      <c r="C610" s="161"/>
      <c r="D610" s="162"/>
      <c r="E610" s="1"/>
      <c r="F610" s="811"/>
      <c r="G610" s="440"/>
      <c r="H610" s="1"/>
      <c r="I610" s="55"/>
      <c r="J610" s="170"/>
      <c r="K610" s="1"/>
      <c r="L610" s="170"/>
      <c r="M610" s="1"/>
      <c r="N610" s="458"/>
      <c r="O610" s="170"/>
      <c r="P610" s="441"/>
      <c r="Q610" s="55"/>
      <c r="R610" s="177"/>
      <c r="S610" s="454"/>
      <c r="T610" s="178"/>
      <c r="U610" s="178"/>
      <c r="V610" s="179"/>
      <c r="W610" s="180"/>
      <c r="X610" s="179"/>
      <c r="Y610" s="180"/>
      <c r="Z610" s="178"/>
      <c r="AA610" s="178"/>
      <c r="AB610" s="178"/>
      <c r="AC610" s="178"/>
      <c r="AD610" s="182"/>
      <c r="AE610" s="182"/>
      <c r="AF610" s="182"/>
      <c r="AG610" s="182"/>
      <c r="AH610" s="401"/>
      <c r="AI610" s="401"/>
      <c r="AJ610" s="401"/>
      <c r="AK610" s="401"/>
      <c r="AL610" s="401"/>
      <c r="AM610" s="189"/>
      <c r="AN610" s="829"/>
      <c r="AO610" s="830"/>
      <c r="AP610" s="401"/>
      <c r="AQ610" s="401"/>
      <c r="AR610" s="401"/>
      <c r="AS610" s="401"/>
      <c r="AT610" s="403"/>
      <c r="AU610" s="403"/>
      <c r="AV610" s="170"/>
      <c r="AW610" s="166"/>
      <c r="AX610" s="166"/>
      <c r="AY610" s="189"/>
      <c r="AZ610" s="189"/>
      <c r="BA610" s="196"/>
      <c r="BB610" s="629"/>
      <c r="BC610" s="190"/>
      <c r="BD610" s="510"/>
      <c r="BE610" s="510"/>
      <c r="BF610" s="177"/>
      <c r="BG610" s="177"/>
      <c r="BH610" s="166"/>
      <c r="BI610" s="474"/>
      <c r="BJ610" s="166"/>
      <c r="BK610" s="474"/>
      <c r="BL610" s="474"/>
      <c r="BM610" s="474"/>
      <c r="BN610" s="166"/>
      <c r="BO610" s="166"/>
      <c r="BP610" s="204"/>
      <c r="BQ610" s="475"/>
      <c r="BR610" s="205"/>
      <c r="BS610" s="509"/>
      <c r="BT610" s="509"/>
      <c r="BU610" s="459"/>
      <c r="BV610" s="459"/>
      <c r="BW610" s="1"/>
      <c r="BX610" s="1"/>
      <c r="BY610" s="546"/>
      <c r="BZ610" s="546"/>
      <c r="CA610" s="546"/>
      <c r="CB610" s="546"/>
      <c r="CC610" s="728"/>
      <c r="CD610" s="728"/>
      <c r="CE610" s="170"/>
    </row>
    <row r="611" spans="1:83" customFormat="1">
      <c r="A611" s="701"/>
      <c r="B611" s="447"/>
      <c r="C611" s="161"/>
      <c r="D611" s="162"/>
      <c r="E611" s="1"/>
      <c r="F611" s="811"/>
      <c r="G611" s="440"/>
      <c r="H611" s="1"/>
      <c r="I611" s="55"/>
      <c r="J611" s="170"/>
      <c r="K611" s="1"/>
      <c r="L611" s="457"/>
      <c r="M611" s="1"/>
      <c r="N611" s="458"/>
      <c r="O611" s="170"/>
      <c r="P611" s="441"/>
      <c r="Q611" s="55"/>
      <c r="R611" s="177"/>
      <c r="S611" s="454"/>
      <c r="T611" s="178"/>
      <c r="U611" s="178"/>
      <c r="V611" s="179"/>
      <c r="W611" s="180"/>
      <c r="X611" s="179"/>
      <c r="Y611" s="180"/>
      <c r="Z611" s="178"/>
      <c r="AA611" s="178"/>
      <c r="AB611" s="178"/>
      <c r="AC611" s="178"/>
      <c r="AD611" s="182"/>
      <c r="AE611" s="182"/>
      <c r="AF611" s="182"/>
      <c r="AG611" s="182"/>
      <c r="AH611" s="401"/>
      <c r="AI611" s="401"/>
      <c r="AJ611" s="401"/>
      <c r="AK611" s="401"/>
      <c r="AL611" s="401"/>
      <c r="AM611" s="189"/>
      <c r="AN611" s="829"/>
      <c r="AO611" s="830"/>
      <c r="AP611" s="401"/>
      <c r="AQ611" s="401"/>
      <c r="AR611" s="401"/>
      <c r="AS611" s="401"/>
      <c r="AT611" s="403"/>
      <c r="AU611" s="403"/>
      <c r="AV611" s="170"/>
      <c r="AW611" s="166"/>
      <c r="AX611" s="166"/>
      <c r="AY611" s="189"/>
      <c r="AZ611" s="189"/>
      <c r="BA611" s="196"/>
      <c r="BB611" s="629"/>
      <c r="BC611" s="190"/>
      <c r="BD611" s="510"/>
      <c r="BE611" s="510"/>
      <c r="BF611" s="177"/>
      <c r="BG611" s="177"/>
      <c r="BH611" s="166"/>
      <c r="BI611" s="474"/>
      <c r="BJ611" s="166"/>
      <c r="BK611" s="474"/>
      <c r="BL611" s="474"/>
      <c r="BM611" s="474"/>
      <c r="BN611" s="166"/>
      <c r="BO611" s="166"/>
      <c r="BP611" s="204"/>
      <c r="BQ611" s="475"/>
      <c r="BR611" s="205"/>
      <c r="BS611" s="509"/>
      <c r="BT611" s="509"/>
      <c r="BU611" s="459"/>
      <c r="BV611" s="459"/>
      <c r="BW611" s="1"/>
      <c r="BX611" s="1"/>
      <c r="BY611" s="546"/>
      <c r="BZ611" s="546"/>
      <c r="CA611" s="546"/>
      <c r="CB611" s="546"/>
      <c r="CC611" s="728"/>
      <c r="CD611" s="728"/>
      <c r="CE611" s="170"/>
    </row>
    <row r="612" spans="1:83" customFormat="1">
      <c r="A612" s="701"/>
      <c r="B612" s="447"/>
      <c r="C612" s="161"/>
      <c r="D612" s="162"/>
      <c r="E612" s="1"/>
      <c r="F612" s="811"/>
      <c r="G612" s="440"/>
      <c r="H612" s="1"/>
      <c r="I612" s="55"/>
      <c r="J612" s="170"/>
      <c r="K612" s="1"/>
      <c r="L612" s="170"/>
      <c r="M612" s="1"/>
      <c r="N612" s="458"/>
      <c r="O612" s="170"/>
      <c r="P612" s="441"/>
      <c r="Q612" s="55"/>
      <c r="R612" s="177"/>
      <c r="S612" s="454"/>
      <c r="T612" s="178"/>
      <c r="U612" s="178"/>
      <c r="V612" s="179"/>
      <c r="W612" s="180"/>
      <c r="X612" s="179"/>
      <c r="Y612" s="180"/>
      <c r="Z612" s="178"/>
      <c r="AA612" s="178"/>
      <c r="AB612" s="178"/>
      <c r="AC612" s="178"/>
      <c r="AD612" s="182"/>
      <c r="AE612" s="182"/>
      <c r="AF612" s="182"/>
      <c r="AG612" s="182"/>
      <c r="AH612" s="401"/>
      <c r="AI612" s="401"/>
      <c r="AJ612" s="401"/>
      <c r="AK612" s="401"/>
      <c r="AL612" s="401"/>
      <c r="AM612" s="189"/>
      <c r="AN612" s="829"/>
      <c r="AO612" s="830"/>
      <c r="AP612" s="401"/>
      <c r="AQ612" s="401"/>
      <c r="AR612" s="401"/>
      <c r="AS612" s="401"/>
      <c r="AT612" s="403"/>
      <c r="AU612" s="403"/>
      <c r="AV612" s="170"/>
      <c r="AW612" s="166"/>
      <c r="AX612" s="166"/>
      <c r="AY612" s="189"/>
      <c r="AZ612" s="189"/>
      <c r="BA612" s="196"/>
      <c r="BB612" s="629"/>
      <c r="BC612" s="190"/>
      <c r="BD612" s="510"/>
      <c r="BE612" s="510"/>
      <c r="BF612" s="177"/>
      <c r="BG612" s="177"/>
      <c r="BH612" s="166"/>
      <c r="BI612" s="474"/>
      <c r="BJ612" s="166"/>
      <c r="BK612" s="474"/>
      <c r="BL612" s="474"/>
      <c r="BM612" s="474"/>
      <c r="BN612" s="166"/>
      <c r="BO612" s="166"/>
      <c r="BP612" s="204"/>
      <c r="BQ612" s="475"/>
      <c r="BR612" s="205"/>
      <c r="BS612" s="509"/>
      <c r="BT612" s="509"/>
      <c r="BU612" s="459"/>
      <c r="BV612" s="459"/>
      <c r="BW612" s="1"/>
      <c r="BX612" s="1"/>
      <c r="BY612" s="546"/>
      <c r="BZ612" s="546"/>
      <c r="CA612" s="546"/>
      <c r="CB612" s="546"/>
      <c r="CC612" s="728"/>
      <c r="CD612" s="728"/>
      <c r="CE612" s="170"/>
    </row>
    <row r="613" spans="1:83" customFormat="1">
      <c r="A613" s="701"/>
      <c r="B613" s="447"/>
      <c r="C613" s="161"/>
      <c r="D613" s="162"/>
      <c r="E613" s="1"/>
      <c r="F613" s="811"/>
      <c r="G613" s="440"/>
      <c r="H613" s="1"/>
      <c r="I613" s="55"/>
      <c r="J613" s="170"/>
      <c r="K613" s="1"/>
      <c r="L613" s="170"/>
      <c r="M613" s="1"/>
      <c r="N613" s="458"/>
      <c r="O613" s="170"/>
      <c r="P613" s="441"/>
      <c r="Q613" s="55"/>
      <c r="R613" s="177"/>
      <c r="S613" s="454"/>
      <c r="T613" s="178"/>
      <c r="U613" s="178"/>
      <c r="V613" s="179"/>
      <c r="W613" s="180"/>
      <c r="X613" s="179"/>
      <c r="Y613" s="180"/>
      <c r="Z613" s="178"/>
      <c r="AA613" s="178"/>
      <c r="AB613" s="178"/>
      <c r="AC613" s="178"/>
      <c r="AD613" s="182"/>
      <c r="AE613" s="182"/>
      <c r="AF613" s="182"/>
      <c r="AG613" s="182"/>
      <c r="AH613" s="401"/>
      <c r="AI613" s="401"/>
      <c r="AJ613" s="401"/>
      <c r="AK613" s="401"/>
      <c r="AL613" s="401"/>
      <c r="AM613" s="189"/>
      <c r="AN613" s="829"/>
      <c r="AO613" s="830"/>
      <c r="AP613" s="401"/>
      <c r="AQ613" s="401"/>
      <c r="AR613" s="401"/>
      <c r="AS613" s="401"/>
      <c r="AT613" s="403"/>
      <c r="AU613" s="403"/>
      <c r="AV613" s="170"/>
      <c r="AW613" s="166"/>
      <c r="AX613" s="166"/>
      <c r="AY613" s="189"/>
      <c r="AZ613" s="189"/>
      <c r="BA613" s="196"/>
      <c r="BB613" s="629"/>
      <c r="BC613" s="190"/>
      <c r="BD613" s="510"/>
      <c r="BE613" s="510"/>
      <c r="BF613" s="177"/>
      <c r="BG613" s="177"/>
      <c r="BH613" s="166"/>
      <c r="BI613" s="474"/>
      <c r="BJ613" s="166"/>
      <c r="BK613" s="474"/>
      <c r="BL613" s="474"/>
      <c r="BM613" s="474"/>
      <c r="BN613" s="166"/>
      <c r="BO613" s="166"/>
      <c r="BP613" s="204"/>
      <c r="BQ613" s="475"/>
      <c r="BR613" s="205"/>
      <c r="BS613" s="509"/>
      <c r="BT613" s="509"/>
      <c r="BU613" s="459"/>
      <c r="BV613" s="459"/>
      <c r="BW613" s="1"/>
      <c r="BX613" s="1"/>
      <c r="BY613" s="546"/>
      <c r="BZ613" s="546"/>
      <c r="CA613" s="546"/>
      <c r="CB613" s="546"/>
      <c r="CC613" s="728"/>
      <c r="CD613" s="728"/>
      <c r="CE613" s="170"/>
    </row>
    <row r="614" spans="1:83" customFormat="1">
      <c r="A614" s="701"/>
      <c r="B614" s="447"/>
      <c r="C614" s="161"/>
      <c r="D614" s="162"/>
      <c r="E614" s="1"/>
      <c r="F614" s="811"/>
      <c r="G614" s="440"/>
      <c r="H614" s="1"/>
      <c r="I614" s="55"/>
      <c r="J614" s="170"/>
      <c r="K614" s="1"/>
      <c r="L614" s="170"/>
      <c r="M614" s="1"/>
      <c r="N614" s="458"/>
      <c r="O614" s="170"/>
      <c r="P614" s="441"/>
      <c r="Q614" s="55"/>
      <c r="R614" s="177"/>
      <c r="S614" s="454"/>
      <c r="T614" s="178"/>
      <c r="U614" s="178"/>
      <c r="V614" s="179"/>
      <c r="W614" s="180"/>
      <c r="X614" s="179"/>
      <c r="Y614" s="180"/>
      <c r="Z614" s="178"/>
      <c r="AA614" s="178"/>
      <c r="AB614" s="178"/>
      <c r="AC614" s="178"/>
      <c r="AD614" s="182"/>
      <c r="AE614" s="182"/>
      <c r="AF614" s="182"/>
      <c r="AG614" s="182"/>
      <c r="AH614" s="401"/>
      <c r="AI614" s="401"/>
      <c r="AJ614" s="401"/>
      <c r="AK614" s="401"/>
      <c r="AL614" s="401"/>
      <c r="AM614" s="189"/>
      <c r="AN614" s="829"/>
      <c r="AO614" s="830"/>
      <c r="AP614" s="401"/>
      <c r="AQ614" s="401"/>
      <c r="AR614" s="401"/>
      <c r="AS614" s="401"/>
      <c r="AT614" s="403"/>
      <c r="AU614" s="403"/>
      <c r="AV614" s="170"/>
      <c r="AW614" s="166"/>
      <c r="AX614" s="166"/>
      <c r="AY614" s="189"/>
      <c r="AZ614" s="189"/>
      <c r="BA614" s="196"/>
      <c r="BB614" s="629"/>
      <c r="BC614" s="190"/>
      <c r="BD614" s="510"/>
      <c r="BE614" s="510"/>
      <c r="BF614" s="177"/>
      <c r="BG614" s="177"/>
      <c r="BH614" s="166"/>
      <c r="BI614" s="474"/>
      <c r="BJ614" s="166"/>
      <c r="BK614" s="474"/>
      <c r="BL614" s="474"/>
      <c r="BM614" s="474"/>
      <c r="BN614" s="166"/>
      <c r="BO614" s="166"/>
      <c r="BP614" s="204"/>
      <c r="BQ614" s="475"/>
      <c r="BR614" s="205"/>
      <c r="BS614" s="509"/>
      <c r="BT614" s="509"/>
      <c r="BU614" s="459"/>
      <c r="BV614" s="459"/>
      <c r="BW614" s="1"/>
      <c r="BX614" s="1"/>
      <c r="BY614" s="546"/>
      <c r="BZ614" s="546"/>
      <c r="CA614" s="546"/>
      <c r="CB614" s="546"/>
      <c r="CC614" s="728"/>
      <c r="CD614" s="728"/>
      <c r="CE614" s="170"/>
    </row>
    <row r="615" spans="1:83" customFormat="1">
      <c r="A615" s="701"/>
      <c r="B615" s="447"/>
      <c r="C615" s="1"/>
      <c r="D615" s="538"/>
      <c r="E615" s="1"/>
      <c r="F615" s="811"/>
      <c r="G615" s="440"/>
      <c r="H615" s="1"/>
      <c r="J615" s="171"/>
      <c r="K615" s="55"/>
      <c r="L615" s="171"/>
      <c r="M615" s="55"/>
      <c r="N615" s="172"/>
      <c r="O615" s="170"/>
      <c r="P615" s="139"/>
      <c r="Q615" s="171"/>
      <c r="R615" s="181"/>
      <c r="S615" s="455"/>
      <c r="T615" s="170"/>
      <c r="U615" s="170"/>
      <c r="V615" s="1"/>
      <c r="W615" s="173"/>
      <c r="X615" s="1"/>
      <c r="Y615" s="166"/>
      <c r="Z615" s="170"/>
      <c r="AA615" s="170"/>
      <c r="AB615" s="170"/>
      <c r="AC615" s="170"/>
      <c r="AD615" s="182"/>
      <c r="AE615" s="182"/>
      <c r="AF615" s="182"/>
      <c r="AG615" s="182"/>
      <c r="AH615" s="189"/>
      <c r="AI615" s="401"/>
      <c r="AJ615" s="189"/>
      <c r="AK615" s="401"/>
      <c r="AL615" s="401"/>
      <c r="AM615" s="189"/>
      <c r="AN615" s="782"/>
      <c r="AO615" s="189"/>
      <c r="AP615" s="401"/>
      <c r="AQ615" s="401"/>
      <c r="AR615" s="401"/>
      <c r="AS615" s="188"/>
      <c r="AT615" s="1"/>
      <c r="AU615" s="403"/>
      <c r="AV615" s="1"/>
      <c r="AW615" s="166"/>
      <c r="AX615" s="166"/>
      <c r="AY615" s="189"/>
      <c r="AZ615" s="189"/>
      <c r="BA615" s="196"/>
      <c r="BB615" s="629"/>
      <c r="BC615" s="197"/>
      <c r="BD615" s="510"/>
      <c r="BE615" s="510"/>
      <c r="BF615" s="177"/>
      <c r="BG615" s="177"/>
      <c r="BH615" s="166"/>
      <c r="BI615" s="474"/>
      <c r="BJ615" s="166"/>
      <c r="BK615" s="474"/>
      <c r="BL615" s="474"/>
      <c r="BM615" s="474"/>
      <c r="BN615" s="166"/>
      <c r="BO615" s="166"/>
      <c r="BP615" s="204"/>
      <c r="BQ615" s="475"/>
      <c r="BR615" s="205"/>
      <c r="BS615" s="509"/>
      <c r="BT615" s="509"/>
      <c r="BU615" s="459"/>
      <c r="BV615" s="459"/>
      <c r="BW615" s="1"/>
      <c r="BX615" s="1"/>
      <c r="BY615" s="546"/>
      <c r="BZ615" s="546"/>
      <c r="CA615" s="546"/>
      <c r="CB615" s="546"/>
      <c r="CC615" s="728"/>
      <c r="CD615" s="728"/>
      <c r="CE615" s="170"/>
    </row>
    <row r="616" spans="1:83" customFormat="1">
      <c r="A616" s="701"/>
      <c r="B616" s="447"/>
      <c r="C616" s="161"/>
      <c r="D616" s="162"/>
      <c r="E616" s="1"/>
      <c r="F616" s="811"/>
      <c r="G616" s="440"/>
      <c r="H616" s="1"/>
      <c r="I616" s="55"/>
      <c r="J616" s="170"/>
      <c r="K616" s="1"/>
      <c r="L616" s="170"/>
      <c r="M616" s="1"/>
      <c r="N616" s="458"/>
      <c r="O616" s="170"/>
      <c r="P616" s="441"/>
      <c r="Q616" s="55"/>
      <c r="R616" s="177"/>
      <c r="S616" s="454"/>
      <c r="T616" s="178"/>
      <c r="U616" s="178"/>
      <c r="V616" s="179"/>
      <c r="W616" s="180"/>
      <c r="X616" s="179"/>
      <c r="Y616" s="180"/>
      <c r="Z616" s="178"/>
      <c r="AA616" s="178"/>
      <c r="AB616" s="178"/>
      <c r="AC616" s="178"/>
      <c r="AD616" s="182"/>
      <c r="AE616" s="182"/>
      <c r="AF616" s="182"/>
      <c r="AG616" s="182"/>
      <c r="AH616" s="401"/>
      <c r="AI616" s="401"/>
      <c r="AJ616" s="401"/>
      <c r="AK616" s="401"/>
      <c r="AL616" s="401"/>
      <c r="AM616" s="189"/>
      <c r="AN616" s="829"/>
      <c r="AO616" s="830"/>
      <c r="AP616" s="401"/>
      <c r="AQ616" s="401"/>
      <c r="AR616" s="401"/>
      <c r="AS616" s="401"/>
      <c r="AT616" s="403"/>
      <c r="AU616" s="403"/>
      <c r="AV616" s="170"/>
      <c r="AW616" s="166"/>
      <c r="AX616" s="166"/>
      <c r="AY616" s="189"/>
      <c r="AZ616" s="189"/>
      <c r="BA616" s="196"/>
      <c r="BB616" s="629"/>
      <c r="BC616" s="190"/>
      <c r="BD616" s="510"/>
      <c r="BE616" s="510"/>
      <c r="BF616" s="177"/>
      <c r="BG616" s="177"/>
      <c r="BH616" s="166"/>
      <c r="BI616" s="474"/>
      <c r="BJ616" s="166"/>
      <c r="BK616" s="474"/>
      <c r="BL616" s="474"/>
      <c r="BM616" s="474"/>
      <c r="BN616" s="166"/>
      <c r="BO616" s="166"/>
      <c r="BP616" s="204"/>
      <c r="BQ616" s="475"/>
      <c r="BR616" s="205"/>
      <c r="BS616" s="509"/>
      <c r="BT616" s="509"/>
      <c r="BU616" s="459"/>
      <c r="BV616" s="459"/>
      <c r="BW616" s="1"/>
      <c r="BX616" s="1"/>
      <c r="BY616" s="546"/>
      <c r="BZ616" s="546"/>
      <c r="CA616" s="546"/>
      <c r="CB616" s="546"/>
      <c r="CC616" s="728"/>
      <c r="CD616" s="728"/>
      <c r="CE616" s="170"/>
    </row>
    <row r="617" spans="1:83" customFormat="1">
      <c r="A617" s="701"/>
      <c r="B617" s="447"/>
      <c r="C617" s="161"/>
      <c r="D617" s="162"/>
      <c r="E617" s="1"/>
      <c r="F617" s="811"/>
      <c r="G617" s="440"/>
      <c r="H617" s="1"/>
      <c r="I617" s="55"/>
      <c r="J617" s="170"/>
      <c r="K617" s="1"/>
      <c r="L617" s="170"/>
      <c r="M617" s="1"/>
      <c r="N617" s="458"/>
      <c r="O617" s="170"/>
      <c r="P617" s="441"/>
      <c r="Q617" s="55"/>
      <c r="R617" s="177"/>
      <c r="S617" s="454"/>
      <c r="T617" s="178"/>
      <c r="U617" s="178"/>
      <c r="V617" s="179"/>
      <c r="W617" s="180"/>
      <c r="X617" s="179"/>
      <c r="Y617" s="180"/>
      <c r="Z617" s="178"/>
      <c r="AA617" s="178"/>
      <c r="AB617" s="178"/>
      <c r="AC617" s="178"/>
      <c r="AD617" s="182"/>
      <c r="AE617" s="182"/>
      <c r="AF617" s="182"/>
      <c r="AG617" s="182"/>
      <c r="AH617" s="401"/>
      <c r="AI617" s="401"/>
      <c r="AJ617" s="401"/>
      <c r="AK617" s="401"/>
      <c r="AL617" s="401"/>
      <c r="AM617" s="189"/>
      <c r="AN617" s="829"/>
      <c r="AO617" s="830"/>
      <c r="AP617" s="401"/>
      <c r="AQ617" s="401"/>
      <c r="AR617" s="401"/>
      <c r="AS617" s="401"/>
      <c r="AT617" s="403"/>
      <c r="AU617" s="403"/>
      <c r="AV617" s="170"/>
      <c r="AW617" s="166"/>
      <c r="AX617" s="166"/>
      <c r="AY617" s="189"/>
      <c r="AZ617" s="189"/>
      <c r="BA617" s="196"/>
      <c r="BB617" s="629"/>
      <c r="BC617" s="190"/>
      <c r="BD617" s="510"/>
      <c r="BE617" s="510"/>
      <c r="BF617" s="177"/>
      <c r="BG617" s="177"/>
      <c r="BH617" s="166"/>
      <c r="BI617" s="474"/>
      <c r="BJ617" s="166"/>
      <c r="BK617" s="474"/>
      <c r="BL617" s="474"/>
      <c r="BM617" s="474"/>
      <c r="BN617" s="166"/>
      <c r="BO617" s="166"/>
      <c r="BP617" s="204"/>
      <c r="BQ617" s="475"/>
      <c r="BR617" s="205"/>
      <c r="BS617" s="509"/>
      <c r="BT617" s="509"/>
      <c r="BU617" s="459"/>
      <c r="BV617" s="459"/>
      <c r="BW617" s="1"/>
      <c r="BX617" s="1"/>
      <c r="BY617" s="546"/>
      <c r="BZ617" s="546"/>
      <c r="CA617" s="546"/>
      <c r="CB617" s="546"/>
      <c r="CC617" s="728"/>
      <c r="CD617" s="728"/>
      <c r="CE617" s="170"/>
    </row>
    <row r="618" spans="1:83" customFormat="1">
      <c r="A618" s="701"/>
      <c r="B618" s="447"/>
      <c r="C618" s="161"/>
      <c r="D618" s="162"/>
      <c r="E618" s="1"/>
      <c r="F618" s="811"/>
      <c r="G618" s="440"/>
      <c r="H618" s="1"/>
      <c r="I618" s="55"/>
      <c r="J618" s="457"/>
      <c r="K618" s="1"/>
      <c r="L618" s="170"/>
      <c r="M618" s="1"/>
      <c r="N618" s="458"/>
      <c r="O618" s="170"/>
      <c r="P618" s="441"/>
      <c r="Q618" s="55"/>
      <c r="R618" s="177"/>
      <c r="S618" s="454"/>
      <c r="T618" s="178"/>
      <c r="U618" s="178"/>
      <c r="V618" s="179"/>
      <c r="W618" s="180"/>
      <c r="X618" s="179"/>
      <c r="Y618" s="180"/>
      <c r="Z618" s="178"/>
      <c r="AA618" s="178"/>
      <c r="AB618" s="178"/>
      <c r="AC618" s="178"/>
      <c r="AD618" s="182"/>
      <c r="AE618" s="182"/>
      <c r="AF618" s="182"/>
      <c r="AG618" s="182"/>
      <c r="AH618" s="401"/>
      <c r="AI618" s="401"/>
      <c r="AJ618" s="401"/>
      <c r="AK618" s="401"/>
      <c r="AL618" s="401"/>
      <c r="AM618" s="189"/>
      <c r="AN618" s="829"/>
      <c r="AO618" s="830"/>
      <c r="AP618" s="401"/>
      <c r="AQ618" s="401"/>
      <c r="AR618" s="401"/>
      <c r="AS618" s="401"/>
      <c r="AT618" s="403"/>
      <c r="AU618" s="403"/>
      <c r="AV618" s="170"/>
      <c r="AW618" s="166"/>
      <c r="AX618" s="166"/>
      <c r="AY618" s="189"/>
      <c r="AZ618" s="189"/>
      <c r="BA618" s="196"/>
      <c r="BB618" s="629"/>
      <c r="BC618" s="190"/>
      <c r="BD618" s="510"/>
      <c r="BE618" s="510"/>
      <c r="BF618" s="177"/>
      <c r="BG618" s="177"/>
      <c r="BH618" s="166"/>
      <c r="BI618" s="474"/>
      <c r="BJ618" s="166"/>
      <c r="BK618" s="474"/>
      <c r="BL618" s="474"/>
      <c r="BM618" s="474"/>
      <c r="BN618" s="166"/>
      <c r="BO618" s="166"/>
      <c r="BP618" s="204"/>
      <c r="BQ618" s="475"/>
      <c r="BR618" s="205"/>
      <c r="BS618" s="509"/>
      <c r="BT618" s="509"/>
      <c r="BU618" s="459"/>
      <c r="BV618" s="459"/>
      <c r="BW618" s="1"/>
      <c r="BX618" s="1"/>
      <c r="BY618" s="546"/>
      <c r="BZ618" s="546"/>
      <c r="CA618" s="546"/>
      <c r="CB618" s="546"/>
      <c r="CC618" s="728"/>
      <c r="CD618" s="728"/>
      <c r="CE618" s="170"/>
    </row>
    <row r="619" spans="1:83" customFormat="1">
      <c r="A619" s="701"/>
      <c r="B619" s="447"/>
      <c r="C619" s="161"/>
      <c r="D619" s="162"/>
      <c r="E619" s="1"/>
      <c r="F619" s="811"/>
      <c r="G619" s="440"/>
      <c r="H619" s="1"/>
      <c r="I619" s="55"/>
      <c r="J619" s="170"/>
      <c r="K619" s="1"/>
      <c r="L619" s="170"/>
      <c r="M619" s="1"/>
      <c r="N619" s="458"/>
      <c r="O619" s="170"/>
      <c r="P619" s="441"/>
      <c r="Q619" s="55"/>
      <c r="R619" s="177"/>
      <c r="S619" s="454"/>
      <c r="T619" s="178"/>
      <c r="U619" s="178"/>
      <c r="V619" s="179"/>
      <c r="W619" s="180"/>
      <c r="X619" s="179"/>
      <c r="Y619" s="180"/>
      <c r="Z619" s="178"/>
      <c r="AA619" s="178"/>
      <c r="AB619" s="178"/>
      <c r="AC619" s="178"/>
      <c r="AD619" s="182"/>
      <c r="AE619" s="182"/>
      <c r="AF619" s="182"/>
      <c r="AG619" s="182"/>
      <c r="AH619" s="401"/>
      <c r="AI619" s="401"/>
      <c r="AJ619" s="401"/>
      <c r="AK619" s="401"/>
      <c r="AL619" s="401"/>
      <c r="AM619" s="189"/>
      <c r="AN619" s="829"/>
      <c r="AO619" s="830"/>
      <c r="AP619" s="401"/>
      <c r="AQ619" s="401"/>
      <c r="AR619" s="401"/>
      <c r="AS619" s="401"/>
      <c r="AT619" s="403"/>
      <c r="AU619" s="403"/>
      <c r="AV619" s="170"/>
      <c r="AW619" s="166"/>
      <c r="AX619" s="166"/>
      <c r="AY619" s="189"/>
      <c r="AZ619" s="189"/>
      <c r="BA619" s="196"/>
      <c r="BB619" s="629"/>
      <c r="BC619" s="190"/>
      <c r="BD619" s="510"/>
      <c r="BE619" s="510"/>
      <c r="BF619" s="177"/>
      <c r="BG619" s="177"/>
      <c r="BH619" s="166"/>
      <c r="BI619" s="474"/>
      <c r="BJ619" s="166"/>
      <c r="BK619" s="474"/>
      <c r="BL619" s="474"/>
      <c r="BM619" s="474"/>
      <c r="BN619" s="166"/>
      <c r="BO619" s="166"/>
      <c r="BP619" s="204"/>
      <c r="BQ619" s="475"/>
      <c r="BR619" s="205"/>
      <c r="BS619" s="509"/>
      <c r="BT619" s="509"/>
      <c r="BU619" s="459"/>
      <c r="BV619" s="459"/>
      <c r="BW619" s="1"/>
      <c r="BX619" s="1"/>
      <c r="BY619" s="546"/>
      <c r="BZ619" s="546"/>
      <c r="CA619" s="546"/>
      <c r="CB619" s="546"/>
      <c r="CC619" s="728"/>
      <c r="CD619" s="728"/>
      <c r="CE619" s="170"/>
    </row>
    <row r="620" spans="1:83" customFormat="1">
      <c r="A620" s="701"/>
      <c r="B620" s="447"/>
      <c r="C620" s="161"/>
      <c r="D620" s="162"/>
      <c r="E620" s="1"/>
      <c r="F620" s="811"/>
      <c r="G620" s="440"/>
      <c r="H620" s="1"/>
      <c r="I620" s="55"/>
      <c r="J620" s="170"/>
      <c r="K620" s="1"/>
      <c r="L620" s="170"/>
      <c r="M620" s="1"/>
      <c r="N620" s="458"/>
      <c r="O620" s="170"/>
      <c r="P620" s="441"/>
      <c r="Q620" s="55"/>
      <c r="R620" s="177"/>
      <c r="S620" s="454"/>
      <c r="T620" s="178"/>
      <c r="U620" s="178"/>
      <c r="V620" s="179"/>
      <c r="W620" s="180"/>
      <c r="X620" s="179"/>
      <c r="Y620" s="180"/>
      <c r="Z620" s="178"/>
      <c r="AA620" s="178"/>
      <c r="AB620" s="178"/>
      <c r="AC620" s="178"/>
      <c r="AD620" s="182"/>
      <c r="AE620" s="182"/>
      <c r="AF620" s="182"/>
      <c r="AG620" s="182"/>
      <c r="AH620" s="401"/>
      <c r="AI620" s="401"/>
      <c r="AJ620" s="401"/>
      <c r="AK620" s="401"/>
      <c r="AL620" s="401"/>
      <c r="AM620" s="189"/>
      <c r="AN620" s="829"/>
      <c r="AO620" s="830"/>
      <c r="AP620" s="401"/>
      <c r="AQ620" s="401"/>
      <c r="AR620" s="401"/>
      <c r="AS620" s="401"/>
      <c r="AT620" s="403"/>
      <c r="AU620" s="403"/>
      <c r="AV620" s="170"/>
      <c r="AW620" s="166"/>
      <c r="AX620" s="166"/>
      <c r="AY620" s="189"/>
      <c r="AZ620" s="189"/>
      <c r="BA620" s="196"/>
      <c r="BB620" s="629"/>
      <c r="BC620" s="190"/>
      <c r="BD620" s="510"/>
      <c r="BE620" s="510"/>
      <c r="BF620" s="177"/>
      <c r="BG620" s="177"/>
      <c r="BH620" s="166"/>
      <c r="BI620" s="474"/>
      <c r="BJ620" s="166"/>
      <c r="BK620" s="474"/>
      <c r="BL620" s="474"/>
      <c r="BM620" s="474"/>
      <c r="BN620" s="166"/>
      <c r="BO620" s="166"/>
      <c r="BP620" s="204"/>
      <c r="BQ620" s="475"/>
      <c r="BR620" s="205"/>
      <c r="BS620" s="509"/>
      <c r="BT620" s="509"/>
      <c r="BU620" s="459"/>
      <c r="BV620" s="459"/>
      <c r="BW620" s="1"/>
      <c r="BX620" s="1"/>
      <c r="BY620" s="546"/>
      <c r="BZ620" s="546"/>
      <c r="CA620" s="546"/>
      <c r="CB620" s="546"/>
      <c r="CC620" s="728"/>
      <c r="CD620" s="728"/>
      <c r="CE620" s="170"/>
    </row>
    <row r="621" spans="1:83" customFormat="1">
      <c r="A621" s="701"/>
      <c r="B621" s="447"/>
      <c r="C621" s="161"/>
      <c r="D621" s="162"/>
      <c r="E621" s="1"/>
      <c r="F621" s="811"/>
      <c r="G621" s="440"/>
      <c r="H621" s="1"/>
      <c r="I621" s="55"/>
      <c r="J621" s="170"/>
      <c r="K621" s="1"/>
      <c r="L621" s="170"/>
      <c r="M621" s="1"/>
      <c r="N621" s="458"/>
      <c r="O621" s="170"/>
      <c r="P621" s="441"/>
      <c r="Q621" s="55"/>
      <c r="R621" s="177"/>
      <c r="S621" s="454"/>
      <c r="T621" s="178"/>
      <c r="U621" s="178"/>
      <c r="V621" s="179"/>
      <c r="W621" s="180"/>
      <c r="X621" s="179"/>
      <c r="Y621" s="180"/>
      <c r="Z621" s="178"/>
      <c r="AA621" s="178"/>
      <c r="AB621" s="178"/>
      <c r="AC621" s="178"/>
      <c r="AD621" s="182"/>
      <c r="AE621" s="182"/>
      <c r="AF621" s="182"/>
      <c r="AG621" s="182"/>
      <c r="AH621" s="401"/>
      <c r="AI621" s="401"/>
      <c r="AJ621" s="401"/>
      <c r="AK621" s="401"/>
      <c r="AL621" s="401"/>
      <c r="AM621" s="189"/>
      <c r="AN621" s="829"/>
      <c r="AO621" s="830"/>
      <c r="AP621" s="401"/>
      <c r="AQ621" s="401"/>
      <c r="AR621" s="401"/>
      <c r="AS621" s="401"/>
      <c r="AT621" s="402"/>
      <c r="AU621" s="403"/>
      <c r="AV621" s="170"/>
      <c r="AW621" s="166"/>
      <c r="AX621" s="166"/>
      <c r="AY621" s="189"/>
      <c r="AZ621" s="189"/>
      <c r="BA621" s="196"/>
      <c r="BB621" s="629"/>
      <c r="BC621" s="190"/>
      <c r="BD621" s="510"/>
      <c r="BE621" s="510"/>
      <c r="BF621" s="177"/>
      <c r="BG621" s="177"/>
      <c r="BH621" s="166"/>
      <c r="BI621" s="474"/>
      <c r="BJ621" s="166"/>
      <c r="BK621" s="474"/>
      <c r="BL621" s="474"/>
      <c r="BM621" s="474"/>
      <c r="BN621" s="166"/>
      <c r="BO621" s="166"/>
      <c r="BP621" s="204"/>
      <c r="BQ621" s="475"/>
      <c r="BR621" s="205"/>
      <c r="BS621" s="509"/>
      <c r="BT621" s="509"/>
      <c r="BU621" s="459"/>
      <c r="BV621" s="459"/>
      <c r="BW621" s="1"/>
      <c r="BX621" s="1"/>
      <c r="BY621" s="546"/>
      <c r="BZ621" s="546"/>
      <c r="CA621" s="546"/>
      <c r="CB621" s="546"/>
      <c r="CC621" s="728"/>
      <c r="CD621" s="728"/>
      <c r="CE621" s="170"/>
    </row>
    <row r="622" spans="1:83" customFormat="1">
      <c r="A622" s="701"/>
      <c r="B622" s="447"/>
      <c r="C622" s="161"/>
      <c r="D622" s="162"/>
      <c r="E622" s="1"/>
      <c r="F622" s="811"/>
      <c r="G622" s="440"/>
      <c r="H622" s="1"/>
      <c r="I622" s="55"/>
      <c r="J622" s="170"/>
      <c r="K622" s="1"/>
      <c r="L622" s="170"/>
      <c r="M622" s="1"/>
      <c r="N622" s="458"/>
      <c r="O622" s="170"/>
      <c r="P622" s="441"/>
      <c r="Q622" s="55"/>
      <c r="R622" s="177"/>
      <c r="S622" s="454"/>
      <c r="T622" s="178"/>
      <c r="U622" s="178"/>
      <c r="V622" s="179"/>
      <c r="W622" s="180"/>
      <c r="X622" s="179"/>
      <c r="Y622" s="180"/>
      <c r="Z622" s="178"/>
      <c r="AA622" s="178"/>
      <c r="AB622" s="178"/>
      <c r="AC622" s="178"/>
      <c r="AD622" s="182"/>
      <c r="AE622" s="182"/>
      <c r="AF622" s="182"/>
      <c r="AG622" s="182"/>
      <c r="AH622" s="401"/>
      <c r="AI622" s="401"/>
      <c r="AJ622" s="401"/>
      <c r="AK622" s="401"/>
      <c r="AL622" s="401"/>
      <c r="AM622" s="189"/>
      <c r="AN622" s="829"/>
      <c r="AO622" s="830"/>
      <c r="AP622" s="401"/>
      <c r="AQ622" s="401"/>
      <c r="AR622" s="401"/>
      <c r="AS622" s="401"/>
      <c r="AT622" s="403"/>
      <c r="AU622" s="403"/>
      <c r="AV622" s="170"/>
      <c r="AW622" s="166"/>
      <c r="AX622" s="166"/>
      <c r="AY622" s="189"/>
      <c r="AZ622" s="189"/>
      <c r="BA622" s="196"/>
      <c r="BB622" s="629"/>
      <c r="BC622" s="190"/>
      <c r="BD622" s="510"/>
      <c r="BE622" s="510"/>
      <c r="BF622" s="177"/>
      <c r="BG622" s="177"/>
      <c r="BH622" s="166"/>
      <c r="BI622" s="474"/>
      <c r="BJ622" s="166"/>
      <c r="BK622" s="474"/>
      <c r="BL622" s="474"/>
      <c r="BM622" s="474"/>
      <c r="BN622" s="166"/>
      <c r="BO622" s="166"/>
      <c r="BP622" s="204"/>
      <c r="BQ622" s="475"/>
      <c r="BR622" s="205"/>
      <c r="BS622" s="509"/>
      <c r="BT622" s="509"/>
      <c r="BU622" s="459"/>
      <c r="BV622" s="459"/>
      <c r="BW622" s="1"/>
      <c r="BX622" s="1"/>
      <c r="BY622" s="546"/>
      <c r="BZ622" s="546"/>
      <c r="CA622" s="546"/>
      <c r="CB622" s="546"/>
      <c r="CC622" s="728"/>
      <c r="CD622" s="728"/>
      <c r="CE622" s="170"/>
    </row>
    <row r="623" spans="1:83" customFormat="1">
      <c r="A623" s="701"/>
      <c r="B623" s="447"/>
      <c r="C623" s="1"/>
      <c r="D623" s="538"/>
      <c r="E623" s="1"/>
      <c r="F623" s="811"/>
      <c r="G623" s="440"/>
      <c r="H623" s="1"/>
      <c r="I623" s="55"/>
      <c r="J623" s="171"/>
      <c r="K623" s="55"/>
      <c r="L623" s="171"/>
      <c r="M623" s="55"/>
      <c r="N623" s="172"/>
      <c r="O623" s="170"/>
      <c r="P623" s="139"/>
      <c r="Q623" s="172"/>
      <c r="R623" s="181"/>
      <c r="S623" s="455"/>
      <c r="T623" s="170"/>
      <c r="U623" s="170"/>
      <c r="V623" s="1"/>
      <c r="W623" s="173"/>
      <c r="X623" s="1"/>
      <c r="Y623" s="166"/>
      <c r="Z623" s="170"/>
      <c r="AA623" s="170"/>
      <c r="AB623" s="170"/>
      <c r="AC623" s="170"/>
      <c r="AD623" s="182"/>
      <c r="AE623" s="182"/>
      <c r="AF623" s="182"/>
      <c r="AG623" s="182"/>
      <c r="AH623" s="189"/>
      <c r="AI623" s="401"/>
      <c r="AJ623" s="189"/>
      <c r="AK623" s="401"/>
      <c r="AL623" s="401"/>
      <c r="AM623" s="189"/>
      <c r="AN623" s="782"/>
      <c r="AO623" s="189"/>
      <c r="AP623" s="401"/>
      <c r="AQ623" s="401"/>
      <c r="AR623" s="401"/>
      <c r="AS623" s="188"/>
      <c r="AT623" s="1"/>
      <c r="AU623" s="403"/>
      <c r="AV623" s="1"/>
      <c r="AW623" s="166"/>
      <c r="AX623" s="166"/>
      <c r="AY623" s="189"/>
      <c r="AZ623" s="189"/>
      <c r="BA623" s="196"/>
      <c r="BB623" s="629"/>
      <c r="BC623" s="197"/>
      <c r="BD623" s="510"/>
      <c r="BE623" s="510"/>
      <c r="BF623" s="177"/>
      <c r="BG623" s="177"/>
      <c r="BH623" s="166"/>
      <c r="BI623" s="474"/>
      <c r="BJ623" s="166"/>
      <c r="BK623" s="474"/>
      <c r="BL623" s="474"/>
      <c r="BM623" s="474"/>
      <c r="BN623" s="166"/>
      <c r="BO623" s="166"/>
      <c r="BP623" s="204"/>
      <c r="BQ623" s="475"/>
      <c r="BR623" s="205"/>
      <c r="BS623" s="509"/>
      <c r="BT623" s="509"/>
      <c r="BU623" s="459"/>
      <c r="BV623" s="459"/>
      <c r="BW623" s="1"/>
      <c r="BX623" s="1"/>
      <c r="BY623" s="546"/>
      <c r="BZ623" s="546"/>
      <c r="CA623" s="546"/>
      <c r="CB623" s="546"/>
      <c r="CC623" s="728"/>
      <c r="CD623" s="728"/>
      <c r="CE623" s="170"/>
    </row>
    <row r="624" spans="1:83" customFormat="1">
      <c r="A624" s="701"/>
      <c r="B624" s="447"/>
      <c r="C624" s="161"/>
      <c r="D624" s="162"/>
      <c r="E624" s="1"/>
      <c r="F624" s="811"/>
      <c r="G624" s="440"/>
      <c r="H624" s="1"/>
      <c r="I624" s="55"/>
      <c r="J624" s="170"/>
      <c r="K624" s="1"/>
      <c r="L624" s="170"/>
      <c r="M624" s="1"/>
      <c r="N624" s="458"/>
      <c r="O624" s="170"/>
      <c r="P624" s="441"/>
      <c r="Q624" s="55"/>
      <c r="R624" s="177"/>
      <c r="S624" s="454"/>
      <c r="T624" s="178"/>
      <c r="U624" s="178"/>
      <c r="V624" s="179"/>
      <c r="W624" s="180"/>
      <c r="X624" s="179"/>
      <c r="Y624" s="180"/>
      <c r="Z624" s="178"/>
      <c r="AA624" s="178"/>
      <c r="AB624" s="178"/>
      <c r="AC624" s="178"/>
      <c r="AD624" s="182"/>
      <c r="AE624" s="182"/>
      <c r="AF624" s="182"/>
      <c r="AG624" s="182"/>
      <c r="AH624" s="401"/>
      <c r="AI624" s="401"/>
      <c r="AJ624" s="401"/>
      <c r="AK624" s="401"/>
      <c r="AL624" s="401"/>
      <c r="AM624" s="189"/>
      <c r="AN624" s="829"/>
      <c r="AO624" s="830"/>
      <c r="AP624" s="401"/>
      <c r="AQ624" s="401"/>
      <c r="AR624" s="401"/>
      <c r="AS624" s="401"/>
      <c r="AT624" s="403"/>
      <c r="AU624" s="403"/>
      <c r="AV624" s="170"/>
      <c r="AW624" s="166"/>
      <c r="AX624" s="166"/>
      <c r="AY624" s="189"/>
      <c r="AZ624" s="189"/>
      <c r="BA624" s="196"/>
      <c r="BB624" s="629"/>
      <c r="BC624" s="190"/>
      <c r="BD624" s="510"/>
      <c r="BE624" s="510"/>
      <c r="BF624" s="177"/>
      <c r="BG624" s="177"/>
      <c r="BH624" s="166"/>
      <c r="BI624" s="474"/>
      <c r="BJ624" s="166"/>
      <c r="BK624" s="474"/>
      <c r="BL624" s="474"/>
      <c r="BM624" s="474"/>
      <c r="BN624" s="166"/>
      <c r="BO624" s="166"/>
      <c r="BP624" s="204"/>
      <c r="BQ624" s="475"/>
      <c r="BR624" s="205"/>
      <c r="BS624" s="509"/>
      <c r="BT624" s="509"/>
      <c r="BU624" s="459"/>
      <c r="BV624" s="459"/>
      <c r="BW624" s="1"/>
      <c r="BX624" s="1"/>
      <c r="BY624" s="546"/>
      <c r="BZ624" s="546"/>
      <c r="CA624" s="546"/>
      <c r="CB624" s="546"/>
      <c r="CC624" s="728"/>
      <c r="CD624" s="728"/>
      <c r="CE624" s="170"/>
    </row>
    <row r="625" spans="1:83" customFormat="1">
      <c r="A625" s="701"/>
      <c r="B625" s="447"/>
      <c r="C625" s="161"/>
      <c r="D625" s="162"/>
      <c r="E625" s="1"/>
      <c r="F625" s="811"/>
      <c r="G625" s="440"/>
      <c r="H625" s="1"/>
      <c r="I625" s="55"/>
      <c r="J625" s="170"/>
      <c r="K625" s="1"/>
      <c r="L625" s="170"/>
      <c r="M625" s="1"/>
      <c r="N625" s="458"/>
      <c r="O625" s="170"/>
      <c r="P625" s="441"/>
      <c r="Q625" s="55"/>
      <c r="R625" s="177"/>
      <c r="S625" s="454"/>
      <c r="T625" s="178"/>
      <c r="U625" s="178"/>
      <c r="V625" s="179"/>
      <c r="W625" s="180"/>
      <c r="X625" s="179"/>
      <c r="Y625" s="180"/>
      <c r="Z625" s="178"/>
      <c r="AA625" s="178"/>
      <c r="AB625" s="178"/>
      <c r="AC625" s="178"/>
      <c r="AD625" s="182"/>
      <c r="AE625" s="182"/>
      <c r="AF625" s="182"/>
      <c r="AG625" s="182"/>
      <c r="AH625" s="401"/>
      <c r="AI625" s="401"/>
      <c r="AJ625" s="401"/>
      <c r="AK625" s="401"/>
      <c r="AL625" s="401"/>
      <c r="AM625" s="189"/>
      <c r="AN625" s="829"/>
      <c r="AO625" s="830"/>
      <c r="AP625" s="401"/>
      <c r="AQ625" s="401"/>
      <c r="AR625" s="401"/>
      <c r="AS625" s="401"/>
      <c r="AT625" s="403"/>
      <c r="AU625" s="403"/>
      <c r="AV625" s="170"/>
      <c r="AW625" s="166"/>
      <c r="AX625" s="166"/>
      <c r="AY625" s="189"/>
      <c r="AZ625" s="189"/>
      <c r="BA625" s="196"/>
      <c r="BB625" s="629"/>
      <c r="BC625" s="190"/>
      <c r="BD625" s="510"/>
      <c r="BE625" s="510"/>
      <c r="BF625" s="177"/>
      <c r="BG625" s="177"/>
      <c r="BH625" s="166"/>
      <c r="BI625" s="474"/>
      <c r="BJ625" s="166"/>
      <c r="BK625" s="474"/>
      <c r="BL625" s="474"/>
      <c r="BM625" s="474"/>
      <c r="BN625" s="166"/>
      <c r="BO625" s="166"/>
      <c r="BP625" s="204"/>
      <c r="BQ625" s="475"/>
      <c r="BR625" s="205"/>
      <c r="BS625" s="509"/>
      <c r="BT625" s="509"/>
      <c r="BU625" s="459"/>
      <c r="BV625" s="459"/>
      <c r="BW625" s="1"/>
      <c r="BX625" s="1"/>
      <c r="BY625" s="546"/>
      <c r="BZ625" s="546"/>
      <c r="CA625" s="546"/>
      <c r="CB625" s="546"/>
      <c r="CC625" s="728"/>
      <c r="CD625" s="728"/>
      <c r="CE625" s="170"/>
    </row>
    <row r="626" spans="1:83" customFormat="1">
      <c r="A626" s="701"/>
      <c r="B626" s="447"/>
      <c r="C626" s="161"/>
      <c r="D626" s="162"/>
      <c r="E626" s="1"/>
      <c r="F626" s="811"/>
      <c r="G626" s="440"/>
      <c r="H626" s="1"/>
      <c r="I626" s="55"/>
      <c r="J626" s="170"/>
      <c r="K626" s="1"/>
      <c r="L626" s="170"/>
      <c r="M626" s="1"/>
      <c r="N626" s="458"/>
      <c r="O626" s="170"/>
      <c r="P626" s="441"/>
      <c r="Q626" s="55"/>
      <c r="R626" s="177"/>
      <c r="S626" s="454"/>
      <c r="T626" s="178"/>
      <c r="U626" s="178"/>
      <c r="V626" s="179"/>
      <c r="W626" s="180"/>
      <c r="X626" s="179"/>
      <c r="Y626" s="180"/>
      <c r="Z626" s="178"/>
      <c r="AA626" s="178"/>
      <c r="AB626" s="178"/>
      <c r="AC626" s="178"/>
      <c r="AD626" s="182"/>
      <c r="AE626" s="182"/>
      <c r="AF626" s="182"/>
      <c r="AG626" s="182"/>
      <c r="AH626" s="401"/>
      <c r="AI626" s="401"/>
      <c r="AJ626" s="401"/>
      <c r="AK626" s="401"/>
      <c r="AL626" s="401"/>
      <c r="AM626" s="189"/>
      <c r="AN626" s="829"/>
      <c r="AO626" s="830"/>
      <c r="AP626" s="401"/>
      <c r="AQ626" s="401"/>
      <c r="AR626" s="401"/>
      <c r="AS626" s="401"/>
      <c r="AT626" s="403"/>
      <c r="AU626" s="403"/>
      <c r="AV626" s="170"/>
      <c r="AW626" s="166"/>
      <c r="AX626" s="166"/>
      <c r="AY626" s="189"/>
      <c r="AZ626" s="189"/>
      <c r="BA626" s="196"/>
      <c r="BB626" s="629"/>
      <c r="BC626" s="190"/>
      <c r="BD626" s="510"/>
      <c r="BE626" s="510"/>
      <c r="BF626" s="177"/>
      <c r="BG626" s="177"/>
      <c r="BH626" s="166"/>
      <c r="BI626" s="474"/>
      <c r="BJ626" s="166"/>
      <c r="BK626" s="474"/>
      <c r="BL626" s="474"/>
      <c r="BM626" s="474"/>
      <c r="BN626" s="166"/>
      <c r="BO626" s="166"/>
      <c r="BP626" s="204"/>
      <c r="BQ626" s="475"/>
      <c r="BR626" s="205"/>
      <c r="BS626" s="509"/>
      <c r="BT626" s="509"/>
      <c r="BU626" s="459"/>
      <c r="BV626" s="459"/>
      <c r="BW626" s="1"/>
      <c r="BX626" s="1"/>
      <c r="BY626" s="546"/>
      <c r="BZ626" s="546"/>
      <c r="CA626" s="546"/>
      <c r="CB626" s="546"/>
      <c r="CC626" s="728"/>
      <c r="CD626" s="728"/>
      <c r="CE626" s="170"/>
    </row>
    <row r="627" spans="1:83" customFormat="1">
      <c r="A627" s="701"/>
      <c r="B627" s="447"/>
      <c r="C627" s="161"/>
      <c r="D627" s="162"/>
      <c r="E627" s="1"/>
      <c r="F627" s="811"/>
      <c r="G627" s="440"/>
      <c r="H627" s="1"/>
      <c r="I627" s="55"/>
      <c r="J627" s="170"/>
      <c r="K627" s="1"/>
      <c r="L627" s="170"/>
      <c r="M627" s="1"/>
      <c r="N627" s="458"/>
      <c r="O627" s="170"/>
      <c r="P627" s="441"/>
      <c r="Q627" s="55"/>
      <c r="R627" s="177"/>
      <c r="S627" s="454"/>
      <c r="T627" s="178"/>
      <c r="U627" s="178"/>
      <c r="V627" s="179"/>
      <c r="W627" s="180"/>
      <c r="X627" s="179"/>
      <c r="Y627" s="180"/>
      <c r="Z627" s="178"/>
      <c r="AA627" s="178"/>
      <c r="AB627" s="178"/>
      <c r="AC627" s="178"/>
      <c r="AD627" s="182"/>
      <c r="AE627" s="182"/>
      <c r="AF627" s="182"/>
      <c r="AG627" s="182"/>
      <c r="AH627" s="401"/>
      <c r="AI627" s="401"/>
      <c r="AJ627" s="401"/>
      <c r="AK627" s="401"/>
      <c r="AL627" s="401"/>
      <c r="AM627" s="189"/>
      <c r="AN627" s="829"/>
      <c r="AO627" s="830"/>
      <c r="AP627" s="401"/>
      <c r="AQ627" s="401"/>
      <c r="AR627" s="401"/>
      <c r="AS627" s="401"/>
      <c r="AT627" s="403"/>
      <c r="AU627" s="403"/>
      <c r="AV627" s="170"/>
      <c r="AW627" s="166"/>
      <c r="AX627" s="166"/>
      <c r="AY627" s="189"/>
      <c r="AZ627" s="189"/>
      <c r="BA627" s="196"/>
      <c r="BB627" s="629"/>
      <c r="BC627" s="190"/>
      <c r="BD627" s="510"/>
      <c r="BE627" s="510"/>
      <c r="BF627" s="177"/>
      <c r="BG627" s="177"/>
      <c r="BH627" s="166"/>
      <c r="BI627" s="474"/>
      <c r="BJ627" s="166"/>
      <c r="BK627" s="474"/>
      <c r="BL627" s="474"/>
      <c r="BM627" s="474"/>
      <c r="BN627" s="166"/>
      <c r="BO627" s="166"/>
      <c r="BP627" s="204"/>
      <c r="BQ627" s="475"/>
      <c r="BR627" s="205"/>
      <c r="BS627" s="509"/>
      <c r="BT627" s="509"/>
      <c r="BU627" s="459"/>
      <c r="BV627" s="459"/>
      <c r="BW627" s="1"/>
      <c r="BX627" s="1"/>
      <c r="BY627" s="546"/>
      <c r="BZ627" s="546"/>
      <c r="CA627" s="546"/>
      <c r="CB627" s="546"/>
      <c r="CC627" s="728"/>
      <c r="CD627" s="728"/>
      <c r="CE627" s="170"/>
    </row>
    <row r="628" spans="1:83" customFormat="1">
      <c r="A628" s="701"/>
      <c r="B628" s="447"/>
      <c r="C628" s="1"/>
      <c r="D628" s="538"/>
      <c r="E628" s="1"/>
      <c r="F628" s="811"/>
      <c r="G628" s="440"/>
      <c r="H628" s="1"/>
      <c r="J628" s="171"/>
      <c r="K628" s="55"/>
      <c r="L628" s="171"/>
      <c r="M628" s="55"/>
      <c r="N628" s="172"/>
      <c r="O628" s="170"/>
      <c r="P628" s="139"/>
      <c r="Q628" s="171"/>
      <c r="R628" s="181"/>
      <c r="S628" s="455"/>
      <c r="T628" s="170"/>
      <c r="U628" s="170"/>
      <c r="V628" s="1"/>
      <c r="W628" s="173"/>
      <c r="X628" s="1"/>
      <c r="Y628" s="166"/>
      <c r="Z628" s="170"/>
      <c r="AA628" s="170"/>
      <c r="AB628" s="170"/>
      <c r="AC628" s="170"/>
      <c r="AD628" s="182"/>
      <c r="AE628" s="182"/>
      <c r="AF628" s="182"/>
      <c r="AG628" s="182"/>
      <c r="AH628" s="189"/>
      <c r="AI628" s="401"/>
      <c r="AJ628" s="189"/>
      <c r="AK628" s="401"/>
      <c r="AL628" s="401"/>
      <c r="AM628" s="189"/>
      <c r="AN628" s="782"/>
      <c r="AO628" s="189"/>
      <c r="AP628" s="401"/>
      <c r="AQ628" s="401"/>
      <c r="AR628" s="401"/>
      <c r="AS628" s="188"/>
      <c r="AT628" s="1"/>
      <c r="AU628" s="403"/>
      <c r="AV628" s="1"/>
      <c r="AW628" s="166"/>
      <c r="AX628" s="166"/>
      <c r="AY628" s="189"/>
      <c r="AZ628" s="189"/>
      <c r="BA628" s="196"/>
      <c r="BB628" s="629"/>
      <c r="BC628" s="197"/>
      <c r="BD628" s="510"/>
      <c r="BE628" s="510"/>
      <c r="BF628" s="177"/>
      <c r="BG628" s="177"/>
      <c r="BH628" s="166"/>
      <c r="BI628" s="474"/>
      <c r="BJ628" s="166"/>
      <c r="BK628" s="474"/>
      <c r="BL628" s="474"/>
      <c r="BM628" s="474"/>
      <c r="BN628" s="166"/>
      <c r="BO628" s="166"/>
      <c r="BP628" s="204"/>
      <c r="BQ628" s="475"/>
      <c r="BR628" s="205"/>
      <c r="BS628" s="509"/>
      <c r="BT628" s="509"/>
      <c r="BU628" s="459"/>
      <c r="BV628" s="459"/>
      <c r="BW628" s="1"/>
      <c r="BX628" s="1"/>
      <c r="BY628" s="546"/>
      <c r="BZ628" s="546"/>
      <c r="CA628" s="546"/>
      <c r="CB628" s="546"/>
      <c r="CC628" s="728"/>
      <c r="CD628" s="728"/>
      <c r="CE628" s="170"/>
    </row>
    <row r="629" spans="1:83" customFormat="1">
      <c r="A629" s="701"/>
      <c r="B629" s="447"/>
      <c r="C629" s="161"/>
      <c r="D629" s="162"/>
      <c r="E629" s="1"/>
      <c r="F629" s="811"/>
      <c r="G629" s="440"/>
      <c r="H629" s="1"/>
      <c r="I629" s="55"/>
      <c r="J629" s="170"/>
      <c r="K629" s="1"/>
      <c r="L629" s="170"/>
      <c r="M629" s="1"/>
      <c r="N629" s="458"/>
      <c r="O629" s="170"/>
      <c r="P629" s="441"/>
      <c r="Q629" s="55"/>
      <c r="R629" s="177"/>
      <c r="S629" s="454"/>
      <c r="T629" s="178"/>
      <c r="U629" s="178"/>
      <c r="V629" s="179"/>
      <c r="W629" s="180"/>
      <c r="X629" s="179"/>
      <c r="Y629" s="180"/>
      <c r="Z629" s="178"/>
      <c r="AA629" s="178"/>
      <c r="AB629" s="178"/>
      <c r="AC629" s="178"/>
      <c r="AD629" s="182"/>
      <c r="AE629" s="182"/>
      <c r="AF629" s="182"/>
      <c r="AG629" s="182"/>
      <c r="AH629" s="401"/>
      <c r="AI629" s="401"/>
      <c r="AJ629" s="401"/>
      <c r="AK629" s="401"/>
      <c r="AL629" s="401"/>
      <c r="AM629" s="189"/>
      <c r="AN629" s="829"/>
      <c r="AO629" s="830"/>
      <c r="AP629" s="401"/>
      <c r="AQ629" s="401"/>
      <c r="AR629" s="401"/>
      <c r="AS629" s="401"/>
      <c r="AT629" s="403"/>
      <c r="AU629" s="403"/>
      <c r="AV629" s="170"/>
      <c r="AW629" s="166"/>
      <c r="AX629" s="166"/>
      <c r="AY629" s="189"/>
      <c r="AZ629" s="189"/>
      <c r="BA629" s="196"/>
      <c r="BB629" s="629"/>
      <c r="BC629" s="190"/>
      <c r="BD629" s="510"/>
      <c r="BE629" s="510"/>
      <c r="BF629" s="177"/>
      <c r="BG629" s="177"/>
      <c r="BH629" s="166"/>
      <c r="BI629" s="474"/>
      <c r="BJ629" s="166"/>
      <c r="BK629" s="474"/>
      <c r="BL629" s="474"/>
      <c r="BM629" s="474"/>
      <c r="BN629" s="166"/>
      <c r="BO629" s="166"/>
      <c r="BP629" s="204"/>
      <c r="BQ629" s="475"/>
      <c r="BR629" s="205"/>
      <c r="BS629" s="509"/>
      <c r="BT629" s="509"/>
      <c r="BU629" s="459"/>
      <c r="BV629" s="459"/>
      <c r="BW629" s="1"/>
      <c r="BX629" s="1"/>
      <c r="BY629" s="546"/>
      <c r="BZ629" s="546"/>
      <c r="CA629" s="546"/>
      <c r="CB629" s="546"/>
      <c r="CC629" s="728"/>
      <c r="CD629" s="728"/>
      <c r="CE629" s="170"/>
    </row>
    <row r="630" spans="1:83" customFormat="1">
      <c r="A630" s="701"/>
      <c r="B630" s="447"/>
      <c r="C630" s="161"/>
      <c r="D630" s="162"/>
      <c r="E630" s="1"/>
      <c r="F630" s="811"/>
      <c r="G630" s="440"/>
      <c r="H630" s="1"/>
      <c r="I630" s="55"/>
      <c r="J630" s="170"/>
      <c r="K630" s="1"/>
      <c r="L630" s="170"/>
      <c r="M630" s="1"/>
      <c r="N630" s="458"/>
      <c r="O630" s="170"/>
      <c r="P630" s="441"/>
      <c r="Q630" s="55"/>
      <c r="R630" s="177"/>
      <c r="S630" s="454"/>
      <c r="T630" s="178"/>
      <c r="U630" s="178"/>
      <c r="V630" s="179"/>
      <c r="W630" s="180"/>
      <c r="X630" s="179"/>
      <c r="Y630" s="180"/>
      <c r="Z630" s="178"/>
      <c r="AA630" s="178"/>
      <c r="AB630" s="178"/>
      <c r="AC630" s="178"/>
      <c r="AD630" s="182"/>
      <c r="AE630" s="182"/>
      <c r="AF630" s="182"/>
      <c r="AG630" s="182"/>
      <c r="AH630" s="401"/>
      <c r="AI630" s="401"/>
      <c r="AJ630" s="401"/>
      <c r="AK630" s="401"/>
      <c r="AL630" s="401"/>
      <c r="AM630" s="189"/>
      <c r="AN630" s="829"/>
      <c r="AO630" s="830"/>
      <c r="AP630" s="401"/>
      <c r="AQ630" s="401"/>
      <c r="AR630" s="401"/>
      <c r="AS630" s="401"/>
      <c r="AT630" s="403"/>
      <c r="AU630" s="403"/>
      <c r="AV630" s="170"/>
      <c r="AW630" s="166"/>
      <c r="AX630" s="166"/>
      <c r="AY630" s="189"/>
      <c r="AZ630" s="189"/>
      <c r="BA630" s="196"/>
      <c r="BB630" s="629"/>
      <c r="BC630" s="190"/>
      <c r="BD630" s="510"/>
      <c r="BE630" s="510"/>
      <c r="BF630" s="177"/>
      <c r="BG630" s="177"/>
      <c r="BH630" s="166"/>
      <c r="BI630" s="474"/>
      <c r="BJ630" s="166"/>
      <c r="BK630" s="474"/>
      <c r="BL630" s="474"/>
      <c r="BM630" s="474"/>
      <c r="BN630" s="166"/>
      <c r="BO630" s="166"/>
      <c r="BP630" s="204"/>
      <c r="BQ630" s="475"/>
      <c r="BR630" s="205"/>
      <c r="BS630" s="509"/>
      <c r="BT630" s="509"/>
      <c r="BU630" s="459"/>
      <c r="BV630" s="459"/>
      <c r="BW630" s="1"/>
      <c r="BX630" s="1"/>
      <c r="BY630" s="546"/>
      <c r="BZ630" s="546"/>
      <c r="CA630" s="546"/>
      <c r="CB630" s="546"/>
      <c r="CC630" s="728"/>
      <c r="CD630" s="728"/>
      <c r="CE630" s="170"/>
    </row>
    <row r="631" spans="1:83" customFormat="1">
      <c r="A631" s="701"/>
      <c r="B631" s="447"/>
      <c r="C631" s="161"/>
      <c r="D631" s="162"/>
      <c r="E631" s="1"/>
      <c r="F631" s="811"/>
      <c r="G631" s="440"/>
      <c r="H631" s="1"/>
      <c r="I631" s="55"/>
      <c r="J631" s="457"/>
      <c r="K631" s="1"/>
      <c r="L631" s="170"/>
      <c r="M631" s="1"/>
      <c r="N631" s="458"/>
      <c r="O631" s="170"/>
      <c r="P631" s="441"/>
      <c r="Q631" s="55"/>
      <c r="R631" s="177"/>
      <c r="S631" s="454"/>
      <c r="T631" s="178"/>
      <c r="U631" s="178"/>
      <c r="V631" s="179"/>
      <c r="W631" s="180"/>
      <c r="X631" s="179"/>
      <c r="Y631" s="180"/>
      <c r="Z631" s="178"/>
      <c r="AA631" s="178"/>
      <c r="AB631" s="178"/>
      <c r="AC631" s="178"/>
      <c r="AD631" s="182"/>
      <c r="AE631" s="182"/>
      <c r="AF631" s="182"/>
      <c r="AG631" s="182"/>
      <c r="AH631" s="401"/>
      <c r="AI631" s="401"/>
      <c r="AJ631" s="401"/>
      <c r="AK631" s="401"/>
      <c r="AL631" s="401"/>
      <c r="AM631" s="189"/>
      <c r="AN631" s="829"/>
      <c r="AO631" s="830"/>
      <c r="AP631" s="401"/>
      <c r="AQ631" s="401"/>
      <c r="AR631" s="401"/>
      <c r="AS631" s="401"/>
      <c r="AT631" s="403"/>
      <c r="AU631" s="403"/>
      <c r="AV631" s="170"/>
      <c r="AW631" s="166"/>
      <c r="AX631" s="166"/>
      <c r="AY631" s="189"/>
      <c r="AZ631" s="189"/>
      <c r="BA631" s="196"/>
      <c r="BB631" s="629"/>
      <c r="BC631" s="190"/>
      <c r="BD631" s="510"/>
      <c r="BE631" s="510"/>
      <c r="BF631" s="177"/>
      <c r="BG631" s="177"/>
      <c r="BH631" s="166"/>
      <c r="BI631" s="474"/>
      <c r="BJ631" s="166"/>
      <c r="BK631" s="474"/>
      <c r="BL631" s="474"/>
      <c r="BM631" s="474"/>
      <c r="BN631" s="166"/>
      <c r="BO631" s="166"/>
      <c r="BP631" s="204"/>
      <c r="BQ631" s="475"/>
      <c r="BR631" s="205"/>
      <c r="BS631" s="509"/>
      <c r="BT631" s="509"/>
      <c r="BU631" s="459"/>
      <c r="BV631" s="459"/>
      <c r="BW631" s="1"/>
      <c r="BX631" s="1"/>
      <c r="BY631" s="546"/>
      <c r="BZ631" s="546"/>
      <c r="CA631" s="546"/>
      <c r="CB631" s="546"/>
      <c r="CC631" s="728"/>
      <c r="CD631" s="728"/>
      <c r="CE631" s="170"/>
    </row>
    <row r="632" spans="1:83" customFormat="1">
      <c r="A632" s="701"/>
      <c r="B632" s="447"/>
      <c r="C632" s="161"/>
      <c r="D632" s="162"/>
      <c r="E632" s="1"/>
      <c r="F632" s="811"/>
      <c r="G632" s="440"/>
      <c r="H632" s="1"/>
      <c r="I632" s="55"/>
      <c r="J632" s="170"/>
      <c r="K632" s="1"/>
      <c r="L632" s="170"/>
      <c r="M632" s="1"/>
      <c r="N632" s="458"/>
      <c r="O632" s="170"/>
      <c r="P632" s="441"/>
      <c r="Q632" s="55"/>
      <c r="R632" s="177"/>
      <c r="S632" s="454"/>
      <c r="T632" s="178"/>
      <c r="U632" s="178"/>
      <c r="V632" s="179"/>
      <c r="W632" s="180"/>
      <c r="X632" s="179"/>
      <c r="Y632" s="180"/>
      <c r="Z632" s="178"/>
      <c r="AA632" s="178"/>
      <c r="AB632" s="178"/>
      <c r="AC632" s="178"/>
      <c r="AD632" s="182"/>
      <c r="AE632" s="182"/>
      <c r="AF632" s="182"/>
      <c r="AG632" s="182"/>
      <c r="AH632" s="401"/>
      <c r="AI632" s="401"/>
      <c r="AJ632" s="401"/>
      <c r="AK632" s="401"/>
      <c r="AL632" s="401"/>
      <c r="AM632" s="189"/>
      <c r="AN632" s="829"/>
      <c r="AO632" s="830"/>
      <c r="AP632" s="401"/>
      <c r="AQ632" s="401"/>
      <c r="AR632" s="401"/>
      <c r="AS632" s="401"/>
      <c r="AT632" s="403"/>
      <c r="AU632" s="403"/>
      <c r="AV632" s="170"/>
      <c r="AW632" s="166"/>
      <c r="AX632" s="166"/>
      <c r="AY632" s="189"/>
      <c r="AZ632" s="189"/>
      <c r="BA632" s="196"/>
      <c r="BB632" s="629"/>
      <c r="BC632" s="190"/>
      <c r="BD632" s="510"/>
      <c r="BE632" s="510"/>
      <c r="BF632" s="177"/>
      <c r="BG632" s="177"/>
      <c r="BH632" s="166"/>
      <c r="BI632" s="474"/>
      <c r="BJ632" s="166"/>
      <c r="BK632" s="474"/>
      <c r="BL632" s="474"/>
      <c r="BM632" s="474"/>
      <c r="BN632" s="166"/>
      <c r="BO632" s="166"/>
      <c r="BP632" s="204"/>
      <c r="BQ632" s="475"/>
      <c r="BR632" s="205"/>
      <c r="BS632" s="509"/>
      <c r="BT632" s="509"/>
      <c r="BU632" s="459"/>
      <c r="BV632" s="459"/>
      <c r="BW632" s="1"/>
      <c r="BX632" s="1"/>
      <c r="BY632" s="546"/>
      <c r="BZ632" s="546"/>
      <c r="CA632" s="546"/>
      <c r="CB632" s="546"/>
      <c r="CC632" s="728"/>
      <c r="CD632" s="728"/>
      <c r="CE632" s="170"/>
    </row>
    <row r="633" spans="1:83" customFormat="1">
      <c r="A633" s="701"/>
      <c r="B633" s="447"/>
      <c r="C633" s="161"/>
      <c r="D633" s="162"/>
      <c r="E633" s="1"/>
      <c r="F633" s="811"/>
      <c r="G633" s="440"/>
      <c r="H633" s="1"/>
      <c r="I633" s="55"/>
      <c r="J633" s="170"/>
      <c r="K633" s="1"/>
      <c r="L633" s="170"/>
      <c r="M633" s="1"/>
      <c r="N633" s="458"/>
      <c r="O633" s="170"/>
      <c r="P633" s="441"/>
      <c r="Q633" s="55"/>
      <c r="R633" s="177"/>
      <c r="S633" s="454"/>
      <c r="T633" s="178"/>
      <c r="U633" s="178"/>
      <c r="V633" s="179"/>
      <c r="W633" s="180"/>
      <c r="X633" s="179"/>
      <c r="Y633" s="180"/>
      <c r="Z633" s="178"/>
      <c r="AA633" s="178"/>
      <c r="AB633" s="178"/>
      <c r="AC633" s="178"/>
      <c r="AD633" s="182"/>
      <c r="AE633" s="182"/>
      <c r="AF633" s="182"/>
      <c r="AG633" s="182"/>
      <c r="AH633" s="401"/>
      <c r="AI633" s="401"/>
      <c r="AJ633" s="401"/>
      <c r="AK633" s="401"/>
      <c r="AL633" s="401"/>
      <c r="AM633" s="189"/>
      <c r="AN633" s="829"/>
      <c r="AO633" s="830"/>
      <c r="AP633" s="401"/>
      <c r="AQ633" s="401"/>
      <c r="AR633" s="401"/>
      <c r="AS633" s="401"/>
      <c r="AT633" s="403"/>
      <c r="AU633" s="403"/>
      <c r="AV633" s="170"/>
      <c r="AW633" s="166"/>
      <c r="AX633" s="166"/>
      <c r="AY633" s="189"/>
      <c r="AZ633" s="189"/>
      <c r="BA633" s="196"/>
      <c r="BB633" s="629"/>
      <c r="BC633" s="190"/>
      <c r="BD633" s="510"/>
      <c r="BE633" s="510"/>
      <c r="BF633" s="177"/>
      <c r="BG633" s="177"/>
      <c r="BH633" s="166"/>
      <c r="BI633" s="474"/>
      <c r="BJ633" s="166"/>
      <c r="BK633" s="474"/>
      <c r="BL633" s="474"/>
      <c r="BM633" s="474"/>
      <c r="BN633" s="166"/>
      <c r="BO633" s="166"/>
      <c r="BP633" s="204"/>
      <c r="BQ633" s="475"/>
      <c r="BR633" s="205"/>
      <c r="BS633" s="509"/>
      <c r="BT633" s="509"/>
      <c r="BU633" s="459"/>
      <c r="BV633" s="459"/>
      <c r="BW633" s="1"/>
      <c r="BX633" s="1"/>
      <c r="BY633" s="546"/>
      <c r="BZ633" s="546"/>
      <c r="CA633" s="546"/>
      <c r="CB633" s="546"/>
      <c r="CC633" s="728"/>
      <c r="CD633" s="728"/>
      <c r="CE633" s="170"/>
    </row>
    <row r="634" spans="1:83" customFormat="1">
      <c r="A634" s="701"/>
      <c r="B634" s="447"/>
      <c r="C634" s="161"/>
      <c r="D634" s="162"/>
      <c r="E634" s="1"/>
      <c r="F634" s="811"/>
      <c r="G634" s="440"/>
      <c r="H634" s="1"/>
      <c r="I634" s="55"/>
      <c r="J634" s="170"/>
      <c r="K634" s="1"/>
      <c r="L634" s="170"/>
      <c r="M634" s="1"/>
      <c r="N634" s="458"/>
      <c r="O634" s="170"/>
      <c r="P634" s="441"/>
      <c r="Q634" s="55"/>
      <c r="R634" s="177"/>
      <c r="S634" s="454"/>
      <c r="T634" s="178"/>
      <c r="U634" s="178"/>
      <c r="V634" s="179"/>
      <c r="W634" s="180"/>
      <c r="X634" s="179"/>
      <c r="Y634" s="180"/>
      <c r="Z634" s="178"/>
      <c r="AA634" s="178"/>
      <c r="AB634" s="178"/>
      <c r="AC634" s="178"/>
      <c r="AD634" s="182"/>
      <c r="AE634" s="182"/>
      <c r="AF634" s="182"/>
      <c r="AG634" s="182"/>
      <c r="AH634" s="401"/>
      <c r="AI634" s="401"/>
      <c r="AJ634" s="401"/>
      <c r="AK634" s="401"/>
      <c r="AL634" s="401"/>
      <c r="AM634" s="189"/>
      <c r="AN634" s="829"/>
      <c r="AO634" s="830"/>
      <c r="AP634" s="401"/>
      <c r="AQ634" s="401"/>
      <c r="AR634" s="401"/>
      <c r="AS634" s="401"/>
      <c r="AT634" s="402"/>
      <c r="AU634" s="403"/>
      <c r="AV634" s="170"/>
      <c r="AW634" s="166"/>
      <c r="AX634" s="166"/>
      <c r="AY634" s="189"/>
      <c r="AZ634" s="189"/>
      <c r="BA634" s="196"/>
      <c r="BB634" s="629"/>
      <c r="BC634" s="190"/>
      <c r="BD634" s="510"/>
      <c r="BE634" s="510"/>
      <c r="BF634" s="177"/>
      <c r="BG634" s="177"/>
      <c r="BH634" s="166"/>
      <c r="BI634" s="474"/>
      <c r="BJ634" s="166"/>
      <c r="BK634" s="474"/>
      <c r="BL634" s="474"/>
      <c r="BM634" s="474"/>
      <c r="BN634" s="166"/>
      <c r="BO634" s="166"/>
      <c r="BP634" s="204"/>
      <c r="BQ634" s="475"/>
      <c r="BR634" s="205"/>
      <c r="BS634" s="509"/>
      <c r="BT634" s="509"/>
      <c r="BU634" s="459"/>
      <c r="BV634" s="459"/>
      <c r="BW634" s="1"/>
      <c r="BX634" s="1"/>
      <c r="BY634" s="546"/>
      <c r="BZ634" s="546"/>
      <c r="CA634" s="546"/>
      <c r="CB634" s="546"/>
      <c r="CC634" s="728"/>
      <c r="CD634" s="728"/>
      <c r="CE634" s="170"/>
    </row>
    <row r="635" spans="1:83" customFormat="1">
      <c r="A635" s="701"/>
      <c r="B635" s="447"/>
      <c r="C635" s="161"/>
      <c r="D635" s="162"/>
      <c r="E635" s="1"/>
      <c r="F635" s="811"/>
      <c r="G635" s="440"/>
      <c r="H635" s="1"/>
      <c r="I635" s="55"/>
      <c r="J635" s="170"/>
      <c r="K635" s="1"/>
      <c r="L635" s="170"/>
      <c r="M635" s="1"/>
      <c r="N635" s="458"/>
      <c r="O635" s="170"/>
      <c r="P635" s="441"/>
      <c r="Q635" s="55"/>
      <c r="R635" s="177"/>
      <c r="S635" s="454"/>
      <c r="T635" s="178"/>
      <c r="U635" s="178"/>
      <c r="V635" s="179"/>
      <c r="W635" s="180"/>
      <c r="X635" s="179"/>
      <c r="Y635" s="180"/>
      <c r="Z635" s="178"/>
      <c r="AA635" s="178"/>
      <c r="AB635" s="178"/>
      <c r="AC635" s="178"/>
      <c r="AD635" s="182"/>
      <c r="AE635" s="182"/>
      <c r="AF635" s="182"/>
      <c r="AG635" s="182"/>
      <c r="AH635" s="401"/>
      <c r="AI635" s="401"/>
      <c r="AJ635" s="401"/>
      <c r="AK635" s="401"/>
      <c r="AL635" s="401"/>
      <c r="AM635" s="189"/>
      <c r="AN635" s="829"/>
      <c r="AO635" s="830"/>
      <c r="AP635" s="401"/>
      <c r="AQ635" s="401"/>
      <c r="AR635" s="401"/>
      <c r="AS635" s="401"/>
      <c r="AT635" s="403"/>
      <c r="AU635" s="403"/>
      <c r="AV635" s="170"/>
      <c r="AW635" s="166"/>
      <c r="AX635" s="166"/>
      <c r="AY635" s="189"/>
      <c r="AZ635" s="189"/>
      <c r="BA635" s="196"/>
      <c r="BB635" s="629"/>
      <c r="BC635" s="190"/>
      <c r="BD635" s="510"/>
      <c r="BE635" s="510"/>
      <c r="BF635" s="177"/>
      <c r="BG635" s="177"/>
      <c r="BH635" s="166"/>
      <c r="BI635" s="474"/>
      <c r="BJ635" s="166"/>
      <c r="BK635" s="474"/>
      <c r="BL635" s="474"/>
      <c r="BM635" s="474"/>
      <c r="BN635" s="166"/>
      <c r="BO635" s="166"/>
      <c r="BP635" s="204"/>
      <c r="BQ635" s="475"/>
      <c r="BR635" s="205"/>
      <c r="BS635" s="509"/>
      <c r="BT635" s="509"/>
      <c r="BU635" s="459"/>
      <c r="BV635" s="459"/>
      <c r="BW635" s="1"/>
      <c r="BX635" s="1"/>
      <c r="BY635" s="546"/>
      <c r="BZ635" s="546"/>
      <c r="CA635" s="546"/>
      <c r="CB635" s="546"/>
      <c r="CC635" s="728"/>
      <c r="CD635" s="728"/>
      <c r="CE635" s="170"/>
    </row>
    <row r="636" spans="1:83" customFormat="1">
      <c r="A636" s="701"/>
      <c r="B636" s="447"/>
      <c r="C636" s="1"/>
      <c r="D636" s="538"/>
      <c r="E636" s="1"/>
      <c r="F636" s="811"/>
      <c r="G636" s="440"/>
      <c r="H636" s="1"/>
      <c r="I636" s="55"/>
      <c r="J636" s="171"/>
      <c r="K636" s="55"/>
      <c r="L636" s="171"/>
      <c r="M636" s="55"/>
      <c r="N636" s="172"/>
      <c r="O636" s="170"/>
      <c r="P636" s="139"/>
      <c r="Q636" s="172"/>
      <c r="R636" s="181"/>
      <c r="S636" s="455"/>
      <c r="T636" s="170"/>
      <c r="U636" s="170"/>
      <c r="V636" s="1"/>
      <c r="W636" s="173"/>
      <c r="X636" s="1"/>
      <c r="Y636" s="166"/>
      <c r="Z636" s="170"/>
      <c r="AA636" s="170"/>
      <c r="AB636" s="170"/>
      <c r="AC636" s="170"/>
      <c r="AD636" s="182"/>
      <c r="AE636" s="182"/>
      <c r="AF636" s="182"/>
      <c r="AG636" s="182"/>
      <c r="AH636" s="189"/>
      <c r="AI636" s="401"/>
      <c r="AJ636" s="189"/>
      <c r="AK636" s="401"/>
      <c r="AL636" s="401"/>
      <c r="AM636" s="189"/>
      <c r="AN636" s="782"/>
      <c r="AO636" s="189"/>
      <c r="AP636" s="401"/>
      <c r="AQ636" s="401"/>
      <c r="AR636" s="401"/>
      <c r="AS636" s="188"/>
      <c r="AT636" s="1"/>
      <c r="AU636" s="403"/>
      <c r="AV636" s="1"/>
      <c r="AW636" s="166"/>
      <c r="AX636" s="166"/>
      <c r="AY636" s="189"/>
      <c r="AZ636" s="189"/>
      <c r="BA636" s="196"/>
      <c r="BB636" s="629"/>
      <c r="BC636" s="197"/>
      <c r="BD636" s="510"/>
      <c r="BE636" s="510"/>
      <c r="BF636" s="177"/>
      <c r="BG636" s="177"/>
      <c r="BH636" s="166"/>
      <c r="BI636" s="474"/>
      <c r="BJ636" s="166"/>
      <c r="BK636" s="474"/>
      <c r="BL636" s="474"/>
      <c r="BM636" s="474"/>
      <c r="BN636" s="166"/>
      <c r="BO636" s="166"/>
      <c r="BP636" s="204"/>
      <c r="BQ636" s="475"/>
      <c r="BR636" s="205"/>
      <c r="BS636" s="509"/>
      <c r="BT636" s="509"/>
      <c r="BU636" s="459"/>
      <c r="BV636" s="459"/>
      <c r="BW636" s="1"/>
      <c r="BX636" s="1"/>
      <c r="BY636" s="546"/>
      <c r="BZ636" s="546"/>
      <c r="CA636" s="546"/>
      <c r="CB636" s="546"/>
      <c r="CC636" s="728"/>
      <c r="CD636" s="728"/>
      <c r="CE636" s="170"/>
    </row>
    <row r="637" spans="1:83" customFormat="1">
      <c r="A637" s="701"/>
      <c r="B637" s="447"/>
      <c r="C637" s="161"/>
      <c r="D637" s="162"/>
      <c r="E637" s="1"/>
      <c r="F637" s="811"/>
      <c r="G637" s="440"/>
      <c r="H637" s="1"/>
      <c r="I637" s="55"/>
      <c r="J637" s="170"/>
      <c r="K637" s="1"/>
      <c r="L637" s="170"/>
      <c r="M637" s="1"/>
      <c r="N637" s="458"/>
      <c r="O637" s="170"/>
      <c r="P637" s="441"/>
      <c r="Q637" s="55"/>
      <c r="R637" s="177"/>
      <c r="S637" s="454"/>
      <c r="T637" s="178"/>
      <c r="U637" s="178"/>
      <c r="V637" s="179"/>
      <c r="W637" s="180"/>
      <c r="X637" s="179"/>
      <c r="Y637" s="180"/>
      <c r="Z637" s="178"/>
      <c r="AA637" s="178"/>
      <c r="AB637" s="178"/>
      <c r="AC637" s="178"/>
      <c r="AD637" s="182"/>
      <c r="AE637" s="182"/>
      <c r="AF637" s="182"/>
      <c r="AG637" s="182"/>
      <c r="AH637" s="401"/>
      <c r="AI637" s="401"/>
      <c r="AJ637" s="401"/>
      <c r="AK637" s="401"/>
      <c r="AL637" s="401"/>
      <c r="AM637" s="189"/>
      <c r="AN637" s="829"/>
      <c r="AO637" s="830"/>
      <c r="AP637" s="401"/>
      <c r="AQ637" s="401"/>
      <c r="AR637" s="401"/>
      <c r="AS637" s="401"/>
      <c r="AT637" s="403"/>
      <c r="AU637" s="403"/>
      <c r="AV637" s="170"/>
      <c r="AW637" s="166"/>
      <c r="AX637" s="166"/>
      <c r="AY637" s="189"/>
      <c r="AZ637" s="189"/>
      <c r="BA637" s="196"/>
      <c r="BB637" s="629"/>
      <c r="BC637" s="190"/>
      <c r="BD637" s="510"/>
      <c r="BE637" s="510"/>
      <c r="BF637" s="177"/>
      <c r="BG637" s="177"/>
      <c r="BH637" s="166"/>
      <c r="BI637" s="474"/>
      <c r="BJ637" s="166"/>
      <c r="BK637" s="474"/>
      <c r="BL637" s="474"/>
      <c r="BM637" s="474"/>
      <c r="BN637" s="166"/>
      <c r="BO637" s="166"/>
      <c r="BP637" s="204"/>
      <c r="BQ637" s="475"/>
      <c r="BR637" s="205"/>
      <c r="BS637" s="509"/>
      <c r="BT637" s="509"/>
      <c r="BU637" s="459"/>
      <c r="BV637" s="459"/>
      <c r="BW637" s="1"/>
      <c r="BX637" s="1"/>
      <c r="BY637" s="546"/>
      <c r="BZ637" s="546"/>
      <c r="CA637" s="546"/>
      <c r="CB637" s="546"/>
      <c r="CC637" s="728"/>
      <c r="CD637" s="728"/>
      <c r="CE637" s="170"/>
    </row>
    <row r="638" spans="1:83" customFormat="1">
      <c r="A638" s="701"/>
      <c r="B638" s="447"/>
      <c r="C638" s="161"/>
      <c r="D638" s="162"/>
      <c r="E638" s="1"/>
      <c r="F638" s="811"/>
      <c r="G638" s="440"/>
      <c r="H638" s="1"/>
      <c r="I638" s="55"/>
      <c r="J638" s="170"/>
      <c r="K638" s="1"/>
      <c r="L638" s="170"/>
      <c r="M638" s="1"/>
      <c r="N638" s="458"/>
      <c r="O638" s="170"/>
      <c r="P638" s="441"/>
      <c r="Q638" s="55"/>
      <c r="R638" s="177"/>
      <c r="S638" s="454"/>
      <c r="T638" s="178"/>
      <c r="U638" s="178"/>
      <c r="V638" s="179"/>
      <c r="W638" s="180"/>
      <c r="X638" s="179"/>
      <c r="Y638" s="180"/>
      <c r="Z638" s="178"/>
      <c r="AA638" s="178"/>
      <c r="AB638" s="178"/>
      <c r="AC638" s="178"/>
      <c r="AD638" s="182"/>
      <c r="AE638" s="182"/>
      <c r="AF638" s="182"/>
      <c r="AG638" s="182"/>
      <c r="AH638" s="401"/>
      <c r="AI638" s="401"/>
      <c r="AJ638" s="401"/>
      <c r="AK638" s="401"/>
      <c r="AL638" s="401"/>
      <c r="AM638" s="189"/>
      <c r="AN638" s="829"/>
      <c r="AO638" s="830"/>
      <c r="AP638" s="401"/>
      <c r="AQ638" s="401"/>
      <c r="AR638" s="401"/>
      <c r="AS638" s="401"/>
      <c r="AT638" s="403"/>
      <c r="AU638" s="403"/>
      <c r="AV638" s="170"/>
      <c r="AW638" s="166"/>
      <c r="AX638" s="166"/>
      <c r="AY638" s="189"/>
      <c r="AZ638" s="189"/>
      <c r="BA638" s="196"/>
      <c r="BB638" s="629"/>
      <c r="BC638" s="190"/>
      <c r="BD638" s="510"/>
      <c r="BE638" s="510"/>
      <c r="BF638" s="177"/>
      <c r="BG638" s="177"/>
      <c r="BH638" s="166"/>
      <c r="BI638" s="474"/>
      <c r="BJ638" s="166"/>
      <c r="BK638" s="474"/>
      <c r="BL638" s="474"/>
      <c r="BM638" s="474"/>
      <c r="BN638" s="166"/>
      <c r="BO638" s="166"/>
      <c r="BP638" s="204"/>
      <c r="BQ638" s="475"/>
      <c r="BR638" s="205"/>
      <c r="BS638" s="509"/>
      <c r="BT638" s="509"/>
      <c r="BU638" s="459"/>
      <c r="BV638" s="459"/>
      <c r="BW638" s="1"/>
      <c r="BX638" s="1"/>
      <c r="BY638" s="546"/>
      <c r="BZ638" s="546"/>
      <c r="CA638" s="546"/>
      <c r="CB638" s="546"/>
      <c r="CC638" s="728"/>
      <c r="CD638" s="728"/>
      <c r="CE638" s="170"/>
    </row>
    <row r="639" spans="1:83" customFormat="1">
      <c r="A639" s="701"/>
      <c r="B639" s="447"/>
      <c r="C639" s="161"/>
      <c r="D639" s="162"/>
      <c r="E639" s="1"/>
      <c r="F639" s="811"/>
      <c r="G639" s="440"/>
      <c r="H639" s="1"/>
      <c r="I639" s="55"/>
      <c r="J639" s="170"/>
      <c r="K639" s="1"/>
      <c r="L639" s="170"/>
      <c r="M639" s="1"/>
      <c r="N639" s="458"/>
      <c r="O639" s="170"/>
      <c r="P639" s="441"/>
      <c r="Q639" s="55"/>
      <c r="R639" s="177"/>
      <c r="S639" s="454"/>
      <c r="T639" s="178"/>
      <c r="U639" s="178"/>
      <c r="V639" s="179"/>
      <c r="W639" s="180"/>
      <c r="X639" s="179"/>
      <c r="Y639" s="180"/>
      <c r="Z639" s="178"/>
      <c r="AA639" s="178"/>
      <c r="AB639" s="178"/>
      <c r="AC639" s="178"/>
      <c r="AD639" s="182"/>
      <c r="AE639" s="182"/>
      <c r="AF639" s="182"/>
      <c r="AG639" s="182"/>
      <c r="AH639" s="401"/>
      <c r="AI639" s="401"/>
      <c r="AJ639" s="401"/>
      <c r="AK639" s="401"/>
      <c r="AL639" s="401"/>
      <c r="AM639" s="189"/>
      <c r="AN639" s="829"/>
      <c r="AO639" s="830"/>
      <c r="AP639" s="401"/>
      <c r="AQ639" s="401"/>
      <c r="AR639" s="401"/>
      <c r="AS639" s="401"/>
      <c r="AT639" s="403"/>
      <c r="AU639" s="403"/>
      <c r="AV639" s="170"/>
      <c r="AW639" s="166"/>
      <c r="AX639" s="166"/>
      <c r="AY639" s="189"/>
      <c r="AZ639" s="189"/>
      <c r="BA639" s="196"/>
      <c r="BB639" s="629"/>
      <c r="BC639" s="190"/>
      <c r="BD639" s="510"/>
      <c r="BE639" s="510"/>
      <c r="BF639" s="177"/>
      <c r="BG639" s="177"/>
      <c r="BH639" s="166"/>
      <c r="BI639" s="474"/>
      <c r="BJ639" s="166"/>
      <c r="BK639" s="474"/>
      <c r="BL639" s="474"/>
      <c r="BM639" s="474"/>
      <c r="BN639" s="166"/>
      <c r="BO639" s="166"/>
      <c r="BP639" s="204"/>
      <c r="BQ639" s="475"/>
      <c r="BR639" s="205"/>
      <c r="BS639" s="509"/>
      <c r="BT639" s="509"/>
      <c r="BU639" s="459"/>
      <c r="BV639" s="459"/>
      <c r="BW639" s="1"/>
      <c r="BX639" s="1"/>
      <c r="BY639" s="546"/>
      <c r="BZ639" s="546"/>
      <c r="CA639" s="546"/>
      <c r="CB639" s="546"/>
      <c r="CC639" s="728"/>
      <c r="CD639" s="728"/>
      <c r="CE639" s="170"/>
    </row>
    <row r="640" spans="1:83" customFormat="1">
      <c r="A640" s="701"/>
      <c r="B640" s="447"/>
      <c r="C640" s="161"/>
      <c r="D640" s="162"/>
      <c r="E640" s="1"/>
      <c r="F640" s="811"/>
      <c r="G640" s="440"/>
      <c r="H640" s="1"/>
      <c r="I640" s="55"/>
      <c r="J640" s="170"/>
      <c r="K640" s="1"/>
      <c r="L640" s="170"/>
      <c r="M640" s="1"/>
      <c r="N640" s="458"/>
      <c r="O640" s="170"/>
      <c r="P640" s="441"/>
      <c r="Q640" s="55"/>
      <c r="R640" s="177"/>
      <c r="S640" s="454"/>
      <c r="T640" s="178"/>
      <c r="U640" s="178"/>
      <c r="V640" s="179"/>
      <c r="W640" s="180"/>
      <c r="X640" s="179"/>
      <c r="Y640" s="180"/>
      <c r="Z640" s="178"/>
      <c r="AA640" s="178"/>
      <c r="AB640" s="178"/>
      <c r="AC640" s="178"/>
      <c r="AD640" s="182"/>
      <c r="AE640" s="182"/>
      <c r="AF640" s="182"/>
      <c r="AG640" s="182"/>
      <c r="AH640" s="401"/>
      <c r="AI640" s="401"/>
      <c r="AJ640" s="401"/>
      <c r="AK640" s="401"/>
      <c r="AL640" s="401"/>
      <c r="AM640" s="189"/>
      <c r="AN640" s="829"/>
      <c r="AO640" s="830"/>
      <c r="AP640" s="401"/>
      <c r="AQ640" s="401"/>
      <c r="AR640" s="401"/>
      <c r="AS640" s="401"/>
      <c r="AT640" s="403"/>
      <c r="AU640" s="403"/>
      <c r="AV640" s="170"/>
      <c r="AW640" s="166"/>
      <c r="AX640" s="166"/>
      <c r="AY640" s="189"/>
      <c r="AZ640" s="189"/>
      <c r="BA640" s="196"/>
      <c r="BB640" s="629"/>
      <c r="BC640" s="190"/>
      <c r="BD640" s="510"/>
      <c r="BE640" s="510"/>
      <c r="BF640" s="177"/>
      <c r="BG640" s="177"/>
      <c r="BH640" s="166"/>
      <c r="BI640" s="474"/>
      <c r="BJ640" s="166"/>
      <c r="BK640" s="474"/>
      <c r="BL640" s="474"/>
      <c r="BM640" s="474"/>
      <c r="BN640" s="166"/>
      <c r="BO640" s="166"/>
      <c r="BP640" s="204"/>
      <c r="BQ640" s="475"/>
      <c r="BR640" s="205"/>
      <c r="BS640" s="509"/>
      <c r="BT640" s="509"/>
      <c r="BU640" s="459"/>
      <c r="BV640" s="459"/>
      <c r="BW640" s="1"/>
      <c r="BX640" s="1"/>
      <c r="BY640" s="546"/>
      <c r="BZ640" s="546"/>
      <c r="CA640" s="546"/>
      <c r="CB640" s="546"/>
      <c r="CC640" s="728"/>
      <c r="CD640" s="728"/>
      <c r="CE640" s="170"/>
    </row>
    <row r="641" spans="1:83" customFormat="1">
      <c r="A641" s="701"/>
      <c r="B641" s="447"/>
      <c r="C641" s="1"/>
      <c r="D641" s="538"/>
      <c r="E641" s="1"/>
      <c r="F641" s="811"/>
      <c r="G641" s="440"/>
      <c r="H641" s="1"/>
      <c r="J641" s="171"/>
      <c r="K641" s="55"/>
      <c r="L641" s="171"/>
      <c r="M641" s="55"/>
      <c r="N641" s="172"/>
      <c r="O641" s="170"/>
      <c r="P641" s="139"/>
      <c r="Q641" s="171"/>
      <c r="R641" s="181"/>
      <c r="S641" s="455"/>
      <c r="T641" s="170"/>
      <c r="U641" s="170"/>
      <c r="V641" s="1"/>
      <c r="W641" s="173"/>
      <c r="X641" s="1"/>
      <c r="Y641" s="166"/>
      <c r="Z641" s="170"/>
      <c r="AA641" s="170"/>
      <c r="AB641" s="170"/>
      <c r="AC641" s="170"/>
      <c r="AD641" s="182"/>
      <c r="AE641" s="182"/>
      <c r="AF641" s="182"/>
      <c r="AG641" s="182"/>
      <c r="AH641" s="189"/>
      <c r="AI641" s="401"/>
      <c r="AJ641" s="189"/>
      <c r="AK641" s="401"/>
      <c r="AL641" s="401"/>
      <c r="AM641" s="189"/>
      <c r="AN641" s="782"/>
      <c r="AO641" s="189"/>
      <c r="AP641" s="401"/>
      <c r="AQ641" s="401"/>
      <c r="AR641" s="401"/>
      <c r="AS641" s="188"/>
      <c r="AT641" s="1"/>
      <c r="AU641" s="403"/>
      <c r="AV641" s="1"/>
      <c r="AW641" s="166"/>
      <c r="AX641" s="166"/>
      <c r="AY641" s="189"/>
      <c r="AZ641" s="189"/>
      <c r="BA641" s="196"/>
      <c r="BB641" s="629"/>
      <c r="BC641" s="197"/>
      <c r="BD641" s="510"/>
      <c r="BE641" s="510"/>
      <c r="BF641" s="177"/>
      <c r="BG641" s="177"/>
      <c r="BH641" s="166"/>
      <c r="BI641" s="474"/>
      <c r="BJ641" s="166"/>
      <c r="BK641" s="474"/>
      <c r="BL641" s="474"/>
      <c r="BM641" s="474"/>
      <c r="BN641" s="166"/>
      <c r="BO641" s="166"/>
      <c r="BP641" s="204"/>
      <c r="BQ641" s="475"/>
      <c r="BR641" s="205"/>
      <c r="BS641" s="509"/>
      <c r="BT641" s="509"/>
      <c r="BU641" s="459"/>
      <c r="BV641" s="459"/>
      <c r="BW641" s="1"/>
      <c r="BX641" s="1"/>
      <c r="BY641" s="546"/>
      <c r="BZ641" s="546"/>
      <c r="CA641" s="546"/>
      <c r="CB641" s="546"/>
      <c r="CC641" s="728"/>
      <c r="CD641" s="728"/>
      <c r="CE641" s="170"/>
    </row>
    <row r="642" spans="1:83" customFormat="1">
      <c r="A642" s="701"/>
      <c r="B642" s="447"/>
      <c r="C642" s="161"/>
      <c r="D642" s="162"/>
      <c r="E642" s="1"/>
      <c r="F642" s="811"/>
      <c r="G642" s="440"/>
      <c r="H642" s="1"/>
      <c r="I642" s="55"/>
      <c r="J642" s="170"/>
      <c r="K642" s="1"/>
      <c r="L642" s="170"/>
      <c r="M642" s="1"/>
      <c r="N642" s="458"/>
      <c r="O642" s="170"/>
      <c r="P642" s="441"/>
      <c r="Q642" s="55"/>
      <c r="R642" s="177"/>
      <c r="S642" s="454"/>
      <c r="T642" s="178"/>
      <c r="U642" s="178"/>
      <c r="V642" s="179"/>
      <c r="W642" s="180"/>
      <c r="X642" s="179"/>
      <c r="Y642" s="180"/>
      <c r="Z642" s="178"/>
      <c r="AA642" s="178"/>
      <c r="AB642" s="178"/>
      <c r="AC642" s="178"/>
      <c r="AD642" s="182"/>
      <c r="AE642" s="182"/>
      <c r="AF642" s="182"/>
      <c r="AG642" s="182"/>
      <c r="AH642" s="401"/>
      <c r="AI642" s="401"/>
      <c r="AJ642" s="401"/>
      <c r="AK642" s="401"/>
      <c r="AL642" s="401"/>
      <c r="AM642" s="189"/>
      <c r="AN642" s="829"/>
      <c r="AO642" s="830"/>
      <c r="AP642" s="401"/>
      <c r="AQ642" s="401"/>
      <c r="AR642" s="401"/>
      <c r="AS642" s="401"/>
      <c r="AT642" s="403"/>
      <c r="AU642" s="403"/>
      <c r="AV642" s="170"/>
      <c r="AW642" s="166"/>
      <c r="AX642" s="166"/>
      <c r="AY642" s="189"/>
      <c r="AZ642" s="189"/>
      <c r="BA642" s="196"/>
      <c r="BB642" s="629"/>
      <c r="BC642" s="190"/>
      <c r="BD642" s="510"/>
      <c r="BE642" s="510"/>
      <c r="BF642" s="177"/>
      <c r="BG642" s="177"/>
      <c r="BH642" s="166"/>
      <c r="BI642" s="474"/>
      <c r="BJ642" s="166"/>
      <c r="BK642" s="474"/>
      <c r="BL642" s="474"/>
      <c r="BM642" s="474"/>
      <c r="BN642" s="166"/>
      <c r="BO642" s="166"/>
      <c r="BP642" s="204"/>
      <c r="BQ642" s="475"/>
      <c r="BR642" s="205"/>
      <c r="BS642" s="509"/>
      <c r="BT642" s="509"/>
      <c r="BU642" s="459"/>
      <c r="BV642" s="459"/>
      <c r="BW642" s="1"/>
      <c r="BX642" s="1"/>
      <c r="BY642" s="546"/>
      <c r="BZ642" s="546"/>
      <c r="CA642" s="546"/>
      <c r="CB642" s="546"/>
      <c r="CC642" s="728"/>
      <c r="CD642" s="728"/>
      <c r="CE642" s="170"/>
    </row>
    <row r="643" spans="1:83" customFormat="1">
      <c r="A643" s="701"/>
      <c r="B643" s="447"/>
      <c r="C643" s="161"/>
      <c r="D643" s="162"/>
      <c r="E643" s="1"/>
      <c r="F643" s="811"/>
      <c r="G643" s="440"/>
      <c r="H643" s="1"/>
      <c r="I643" s="55"/>
      <c r="J643" s="170"/>
      <c r="K643" s="1"/>
      <c r="L643" s="170"/>
      <c r="M643" s="1"/>
      <c r="N643" s="458"/>
      <c r="O643" s="170"/>
      <c r="P643" s="441"/>
      <c r="Q643" s="55"/>
      <c r="R643" s="177"/>
      <c r="S643" s="454"/>
      <c r="T643" s="178"/>
      <c r="U643" s="178"/>
      <c r="V643" s="179"/>
      <c r="W643" s="180"/>
      <c r="X643" s="179"/>
      <c r="Y643" s="180"/>
      <c r="Z643" s="178"/>
      <c r="AA643" s="178"/>
      <c r="AB643" s="178"/>
      <c r="AC643" s="178"/>
      <c r="AD643" s="182"/>
      <c r="AE643" s="182"/>
      <c r="AF643" s="182"/>
      <c r="AG643" s="182"/>
      <c r="AH643" s="401"/>
      <c r="AI643" s="401"/>
      <c r="AJ643" s="401"/>
      <c r="AK643" s="401"/>
      <c r="AL643" s="401"/>
      <c r="AM643" s="189"/>
      <c r="AN643" s="829"/>
      <c r="AO643" s="830"/>
      <c r="AP643" s="401"/>
      <c r="AQ643" s="401"/>
      <c r="AR643" s="401"/>
      <c r="AS643" s="401"/>
      <c r="AT643" s="403"/>
      <c r="AU643" s="403"/>
      <c r="AV643" s="170"/>
      <c r="AW643" s="166"/>
      <c r="AX643" s="166"/>
      <c r="AY643" s="189"/>
      <c r="AZ643" s="189"/>
      <c r="BA643" s="196"/>
      <c r="BB643" s="629"/>
      <c r="BC643" s="190"/>
      <c r="BD643" s="510"/>
      <c r="BE643" s="510"/>
      <c r="BF643" s="177"/>
      <c r="BG643" s="177"/>
      <c r="BH643" s="166"/>
      <c r="BI643" s="474"/>
      <c r="BJ643" s="166"/>
      <c r="BK643" s="474"/>
      <c r="BL643" s="474"/>
      <c r="BM643" s="474"/>
      <c r="BN643" s="166"/>
      <c r="BO643" s="166"/>
      <c r="BP643" s="204"/>
      <c r="BQ643" s="475"/>
      <c r="BR643" s="205"/>
      <c r="BS643" s="509"/>
      <c r="BT643" s="509"/>
      <c r="BU643" s="459"/>
      <c r="BV643" s="459"/>
      <c r="BW643" s="1"/>
      <c r="BX643" s="1"/>
      <c r="BY643" s="546"/>
      <c r="BZ643" s="546"/>
      <c r="CA643" s="546"/>
      <c r="CB643" s="546"/>
      <c r="CC643" s="728"/>
      <c r="CD643" s="728"/>
      <c r="CE643" s="170"/>
    </row>
    <row r="644" spans="1:83" customFormat="1">
      <c r="A644" s="701"/>
      <c r="B644" s="447"/>
      <c r="C644" s="161"/>
      <c r="D644" s="162"/>
      <c r="E644" s="1"/>
      <c r="F644" s="811"/>
      <c r="G644" s="440"/>
      <c r="H644" s="1"/>
      <c r="I644" s="55"/>
      <c r="J644" s="457"/>
      <c r="K644" s="1"/>
      <c r="L644" s="170"/>
      <c r="M644" s="1"/>
      <c r="N644" s="458"/>
      <c r="O644" s="170"/>
      <c r="P644" s="441"/>
      <c r="Q644" s="55"/>
      <c r="R644" s="177"/>
      <c r="S644" s="454"/>
      <c r="T644" s="178"/>
      <c r="U644" s="178"/>
      <c r="V644" s="179"/>
      <c r="W644" s="180"/>
      <c r="X644" s="179"/>
      <c r="Y644" s="180"/>
      <c r="Z644" s="178"/>
      <c r="AA644" s="178"/>
      <c r="AB644" s="178"/>
      <c r="AC644" s="178"/>
      <c r="AD644" s="182"/>
      <c r="AE644" s="182"/>
      <c r="AF644" s="182"/>
      <c r="AG644" s="182"/>
      <c r="AH644" s="401"/>
      <c r="AI644" s="401"/>
      <c r="AJ644" s="401"/>
      <c r="AK644" s="401"/>
      <c r="AL644" s="401"/>
      <c r="AM644" s="189"/>
      <c r="AN644" s="829"/>
      <c r="AO644" s="830"/>
      <c r="AP644" s="401"/>
      <c r="AQ644" s="401"/>
      <c r="AR644" s="401"/>
      <c r="AS644" s="401"/>
      <c r="AT644" s="403"/>
      <c r="AU644" s="403"/>
      <c r="AV644" s="170"/>
      <c r="AW644" s="166"/>
      <c r="AX644" s="166"/>
      <c r="AY644" s="189"/>
      <c r="AZ644" s="189"/>
      <c r="BA644" s="196"/>
      <c r="BB644" s="629"/>
      <c r="BC644" s="190"/>
      <c r="BD644" s="510"/>
      <c r="BE644" s="510"/>
      <c r="BF644" s="177"/>
      <c r="BG644" s="177"/>
      <c r="BH644" s="166"/>
      <c r="BI644" s="474"/>
      <c r="BJ644" s="166"/>
      <c r="BK644" s="474"/>
      <c r="BL644" s="474"/>
      <c r="BM644" s="474"/>
      <c r="BN644" s="166"/>
      <c r="BO644" s="166"/>
      <c r="BP644" s="204"/>
      <c r="BQ644" s="475"/>
      <c r="BR644" s="205"/>
      <c r="BS644" s="509"/>
      <c r="BT644" s="509"/>
      <c r="BU644" s="459"/>
      <c r="BV644" s="459"/>
      <c r="BW644" s="1"/>
      <c r="BX644" s="1"/>
      <c r="BY644" s="546"/>
      <c r="BZ644" s="546"/>
      <c r="CA644" s="546"/>
      <c r="CB644" s="546"/>
      <c r="CC644" s="728"/>
      <c r="CD644" s="728"/>
      <c r="CE644" s="170"/>
    </row>
    <row r="645" spans="1:83" customFormat="1">
      <c r="A645" s="701"/>
      <c r="B645" s="447"/>
      <c r="C645" s="161"/>
      <c r="D645" s="162"/>
      <c r="E645" s="1"/>
      <c r="F645" s="811"/>
      <c r="G645" s="440"/>
      <c r="H645" s="1"/>
      <c r="I645" s="55"/>
      <c r="J645" s="170"/>
      <c r="K645" s="1"/>
      <c r="L645" s="170"/>
      <c r="M645" s="1"/>
      <c r="N645" s="458"/>
      <c r="O645" s="170"/>
      <c r="P645" s="441"/>
      <c r="Q645" s="55"/>
      <c r="R645" s="177"/>
      <c r="S645" s="454"/>
      <c r="T645" s="178"/>
      <c r="U645" s="178"/>
      <c r="V645" s="179"/>
      <c r="W645" s="180"/>
      <c r="X645" s="179"/>
      <c r="Y645" s="180"/>
      <c r="Z645" s="178"/>
      <c r="AA645" s="178"/>
      <c r="AB645" s="178"/>
      <c r="AC645" s="178"/>
      <c r="AD645" s="182"/>
      <c r="AE645" s="182"/>
      <c r="AF645" s="182"/>
      <c r="AG645" s="182"/>
      <c r="AH645" s="401"/>
      <c r="AI645" s="401"/>
      <c r="AJ645" s="401"/>
      <c r="AK645" s="401"/>
      <c r="AL645" s="401"/>
      <c r="AM645" s="189"/>
      <c r="AN645" s="829"/>
      <c r="AO645" s="830"/>
      <c r="AP645" s="401"/>
      <c r="AQ645" s="401"/>
      <c r="AR645" s="401"/>
      <c r="AS645" s="401"/>
      <c r="AT645" s="403"/>
      <c r="AU645" s="403"/>
      <c r="AV645" s="170"/>
      <c r="AW645" s="166"/>
      <c r="AX645" s="166"/>
      <c r="AY645" s="189"/>
      <c r="AZ645" s="189"/>
      <c r="BA645" s="196"/>
      <c r="BB645" s="629"/>
      <c r="BC645" s="190"/>
      <c r="BD645" s="510"/>
      <c r="BE645" s="510"/>
      <c r="BF645" s="177"/>
      <c r="BG645" s="177"/>
      <c r="BH645" s="166"/>
      <c r="BI645" s="474"/>
      <c r="BJ645" s="166"/>
      <c r="BK645" s="474"/>
      <c r="BL645" s="474"/>
      <c r="BM645" s="474"/>
      <c r="BN645" s="166"/>
      <c r="BO645" s="166"/>
      <c r="BP645" s="204"/>
      <c r="BQ645" s="475"/>
      <c r="BR645" s="205"/>
      <c r="BS645" s="509"/>
      <c r="BT645" s="509"/>
      <c r="BU645" s="459"/>
      <c r="BV645" s="459"/>
      <c r="BW645" s="1"/>
      <c r="BX645" s="1"/>
      <c r="BY645" s="546"/>
      <c r="BZ645" s="546"/>
      <c r="CA645" s="546"/>
      <c r="CB645" s="546"/>
      <c r="CC645" s="728"/>
      <c r="CD645" s="728"/>
      <c r="CE645" s="170"/>
    </row>
    <row r="646" spans="1:83" customFormat="1">
      <c r="A646" s="701"/>
      <c r="B646" s="447"/>
      <c r="C646" s="161"/>
      <c r="D646" s="162"/>
      <c r="E646" s="1"/>
      <c r="F646" s="811"/>
      <c r="G646" s="440"/>
      <c r="H646" s="1"/>
      <c r="I646" s="55"/>
      <c r="J646" s="170"/>
      <c r="K646" s="1"/>
      <c r="L646" s="170"/>
      <c r="M646" s="1"/>
      <c r="N646" s="458"/>
      <c r="O646" s="170"/>
      <c r="P646" s="441"/>
      <c r="Q646" s="55"/>
      <c r="R646" s="177"/>
      <c r="S646" s="454"/>
      <c r="T646" s="178"/>
      <c r="U646" s="178"/>
      <c r="V646" s="179"/>
      <c r="W646" s="180"/>
      <c r="X646" s="179"/>
      <c r="Y646" s="180"/>
      <c r="Z646" s="178"/>
      <c r="AA646" s="178"/>
      <c r="AB646" s="178"/>
      <c r="AC646" s="178"/>
      <c r="AD646" s="182"/>
      <c r="AE646" s="182"/>
      <c r="AF646" s="182"/>
      <c r="AG646" s="182"/>
      <c r="AH646" s="401"/>
      <c r="AI646" s="401"/>
      <c r="AJ646" s="401"/>
      <c r="AK646" s="401"/>
      <c r="AL646" s="401"/>
      <c r="AM646" s="189"/>
      <c r="AN646" s="829"/>
      <c r="AO646" s="830"/>
      <c r="AP646" s="401"/>
      <c r="AQ646" s="401"/>
      <c r="AR646" s="401"/>
      <c r="AS646" s="401"/>
      <c r="AT646" s="403"/>
      <c r="AU646" s="403"/>
      <c r="AV646" s="170"/>
      <c r="AW646" s="166"/>
      <c r="AX646" s="166"/>
      <c r="AY646" s="189"/>
      <c r="AZ646" s="189"/>
      <c r="BA646" s="196"/>
      <c r="BB646" s="629"/>
      <c r="BC646" s="190"/>
      <c r="BD646" s="510"/>
      <c r="BE646" s="510"/>
      <c r="BF646" s="177"/>
      <c r="BG646" s="177"/>
      <c r="BH646" s="166"/>
      <c r="BI646" s="474"/>
      <c r="BJ646" s="166"/>
      <c r="BK646" s="474"/>
      <c r="BL646" s="474"/>
      <c r="BM646" s="474"/>
      <c r="BN646" s="166"/>
      <c r="BO646" s="166"/>
      <c r="BP646" s="204"/>
      <c r="BQ646" s="475"/>
      <c r="BR646" s="205"/>
      <c r="BS646" s="509"/>
      <c r="BT646" s="509"/>
      <c r="BU646" s="459"/>
      <c r="BV646" s="459"/>
      <c r="BW646" s="1"/>
      <c r="BX646" s="1"/>
      <c r="BY646" s="546"/>
      <c r="BZ646" s="546"/>
      <c r="CA646" s="546"/>
      <c r="CB646" s="546"/>
      <c r="CC646" s="728"/>
      <c r="CD646" s="728"/>
      <c r="CE646" s="170"/>
    </row>
    <row r="647" spans="1:83" customFormat="1">
      <c r="A647" s="701"/>
      <c r="B647" s="447"/>
      <c r="C647" s="161"/>
      <c r="D647" s="162"/>
      <c r="E647" s="1"/>
      <c r="F647" s="811"/>
      <c r="G647" s="440"/>
      <c r="H647" s="1"/>
      <c r="I647" s="55"/>
      <c r="J647" s="170"/>
      <c r="K647" s="1"/>
      <c r="L647" s="170"/>
      <c r="M647" s="1"/>
      <c r="N647" s="458"/>
      <c r="O647" s="170"/>
      <c r="P647" s="441"/>
      <c r="Q647" s="55"/>
      <c r="R647" s="177"/>
      <c r="S647" s="454"/>
      <c r="T647" s="178"/>
      <c r="U647" s="178"/>
      <c r="V647" s="179"/>
      <c r="W647" s="180"/>
      <c r="X647" s="179"/>
      <c r="Y647" s="180"/>
      <c r="Z647" s="178"/>
      <c r="AA647" s="178"/>
      <c r="AB647" s="178"/>
      <c r="AC647" s="178"/>
      <c r="AD647" s="182"/>
      <c r="AE647" s="182"/>
      <c r="AF647" s="182"/>
      <c r="AG647" s="182"/>
      <c r="AH647" s="401"/>
      <c r="AI647" s="401"/>
      <c r="AJ647" s="401"/>
      <c r="AK647" s="401"/>
      <c r="AL647" s="401"/>
      <c r="AM647" s="189"/>
      <c r="AN647" s="829"/>
      <c r="AO647" s="830"/>
      <c r="AP647" s="401"/>
      <c r="AQ647" s="401"/>
      <c r="AR647" s="401"/>
      <c r="AS647" s="401"/>
      <c r="AT647" s="403"/>
      <c r="AU647" s="403"/>
      <c r="AV647" s="170"/>
      <c r="AW647" s="166"/>
      <c r="AX647" s="166"/>
      <c r="AY647" s="189"/>
      <c r="AZ647" s="189"/>
      <c r="BA647" s="196"/>
      <c r="BB647" s="629"/>
      <c r="BC647" s="190"/>
      <c r="BD647" s="510"/>
      <c r="BE647" s="510"/>
      <c r="BF647" s="177"/>
      <c r="BG647" s="177"/>
      <c r="BH647" s="166"/>
      <c r="BI647" s="474"/>
      <c r="BJ647" s="166"/>
      <c r="BK647" s="474"/>
      <c r="BL647" s="474"/>
      <c r="BM647" s="474"/>
      <c r="BN647" s="166"/>
      <c r="BO647" s="166"/>
      <c r="BP647" s="204"/>
      <c r="BQ647" s="475"/>
      <c r="BR647" s="205"/>
      <c r="BS647" s="509"/>
      <c r="BT647" s="509"/>
      <c r="BU647" s="459"/>
      <c r="BV647" s="459"/>
      <c r="BW647" s="1"/>
      <c r="BX647" s="1"/>
      <c r="BY647" s="546"/>
      <c r="BZ647" s="546"/>
      <c r="CA647" s="546"/>
      <c r="CB647" s="546"/>
      <c r="CC647" s="728"/>
      <c r="CD647" s="728"/>
      <c r="CE647" s="170"/>
    </row>
    <row r="648" spans="1:83" customFormat="1">
      <c r="A648" s="701"/>
      <c r="B648" s="447"/>
      <c r="C648" s="161"/>
      <c r="D648" s="162"/>
      <c r="E648" s="1"/>
      <c r="F648" s="811"/>
      <c r="G648" s="440"/>
      <c r="H648" s="1"/>
      <c r="I648" s="55"/>
      <c r="J648" s="170"/>
      <c r="K648" s="1"/>
      <c r="L648" s="170"/>
      <c r="M648" s="1"/>
      <c r="N648" s="458"/>
      <c r="O648" s="170"/>
      <c r="P648" s="441"/>
      <c r="Q648" s="55"/>
      <c r="R648" s="177"/>
      <c r="S648" s="454"/>
      <c r="T648" s="178"/>
      <c r="U648" s="178"/>
      <c r="V648" s="179"/>
      <c r="W648" s="180"/>
      <c r="X648" s="179"/>
      <c r="Y648" s="180"/>
      <c r="Z648" s="178"/>
      <c r="AA648" s="178"/>
      <c r="AB648" s="178"/>
      <c r="AC648" s="178"/>
      <c r="AD648" s="182"/>
      <c r="AE648" s="182"/>
      <c r="AF648" s="182"/>
      <c r="AG648" s="182"/>
      <c r="AH648" s="401"/>
      <c r="AI648" s="401"/>
      <c r="AJ648" s="401"/>
      <c r="AK648" s="401"/>
      <c r="AL648" s="401"/>
      <c r="AM648" s="189"/>
      <c r="AN648" s="829"/>
      <c r="AO648" s="830"/>
      <c r="AP648" s="401"/>
      <c r="AQ648" s="401"/>
      <c r="AR648" s="401"/>
      <c r="AS648" s="401"/>
      <c r="AT648" s="403"/>
      <c r="AU648" s="403"/>
      <c r="AV648" s="170"/>
      <c r="AW648" s="166"/>
      <c r="AX648" s="166"/>
      <c r="AY648" s="189"/>
      <c r="AZ648" s="189"/>
      <c r="BA648" s="196"/>
      <c r="BB648" s="629"/>
      <c r="BC648" s="190"/>
      <c r="BD648" s="510"/>
      <c r="BE648" s="510"/>
      <c r="BF648" s="177"/>
      <c r="BG648" s="177"/>
      <c r="BH648" s="166"/>
      <c r="BI648" s="474"/>
      <c r="BJ648" s="166"/>
      <c r="BK648" s="474"/>
      <c r="BL648" s="474"/>
      <c r="BM648" s="474"/>
      <c r="BN648" s="166"/>
      <c r="BO648" s="166"/>
      <c r="BP648" s="204"/>
      <c r="BQ648" s="475"/>
      <c r="BR648" s="205"/>
      <c r="BS648" s="509"/>
      <c r="BT648" s="509"/>
      <c r="BU648" s="459"/>
      <c r="BV648" s="459"/>
      <c r="BW648" s="1"/>
      <c r="BX648" s="1"/>
      <c r="BY648" s="546"/>
      <c r="BZ648" s="546"/>
      <c r="CA648" s="546"/>
      <c r="CB648" s="546"/>
      <c r="CC648" s="728"/>
      <c r="CD648" s="728"/>
      <c r="CE648" s="170"/>
    </row>
    <row r="649" spans="1:83" customFormat="1">
      <c r="A649" s="701"/>
      <c r="B649" s="447"/>
      <c r="C649" s="161"/>
      <c r="D649" s="162"/>
      <c r="E649" s="1"/>
      <c r="F649" s="811"/>
      <c r="G649" s="440"/>
      <c r="H649" s="1"/>
      <c r="I649" s="55"/>
      <c r="J649" s="170"/>
      <c r="K649" s="1"/>
      <c r="L649" s="170"/>
      <c r="M649" s="1"/>
      <c r="N649" s="458"/>
      <c r="O649" s="170"/>
      <c r="P649" s="441"/>
      <c r="Q649" s="55"/>
      <c r="R649" s="177"/>
      <c r="S649" s="454"/>
      <c r="T649" s="178"/>
      <c r="U649" s="178"/>
      <c r="V649" s="179"/>
      <c r="W649" s="180"/>
      <c r="X649" s="179"/>
      <c r="Y649" s="180"/>
      <c r="Z649" s="178"/>
      <c r="AA649" s="178"/>
      <c r="AB649" s="178"/>
      <c r="AC649" s="178"/>
      <c r="AD649" s="182"/>
      <c r="AE649" s="182"/>
      <c r="AF649" s="182"/>
      <c r="AG649" s="182"/>
      <c r="AH649" s="401"/>
      <c r="AI649" s="401"/>
      <c r="AJ649" s="401"/>
      <c r="AK649" s="401"/>
      <c r="AL649" s="401"/>
      <c r="AM649" s="189"/>
      <c r="AN649" s="829"/>
      <c r="AO649" s="830"/>
      <c r="AP649" s="401"/>
      <c r="AQ649" s="401"/>
      <c r="AR649" s="401"/>
      <c r="AS649" s="401"/>
      <c r="AT649" s="403"/>
      <c r="AU649" s="403"/>
      <c r="AV649" s="170"/>
      <c r="AW649" s="166"/>
      <c r="AX649" s="166"/>
      <c r="AY649" s="189"/>
      <c r="AZ649" s="189"/>
      <c r="BA649" s="196"/>
      <c r="BB649" s="629"/>
      <c r="BC649" s="190"/>
      <c r="BD649" s="510"/>
      <c r="BE649" s="510"/>
      <c r="BF649" s="177"/>
      <c r="BG649" s="177"/>
      <c r="BH649" s="166"/>
      <c r="BI649" s="474"/>
      <c r="BJ649" s="166"/>
      <c r="BK649" s="474"/>
      <c r="BL649" s="474"/>
      <c r="BM649" s="474"/>
      <c r="BN649" s="166"/>
      <c r="BO649" s="166"/>
      <c r="BP649" s="204"/>
      <c r="BQ649" s="475"/>
      <c r="BR649" s="205"/>
      <c r="BS649" s="509"/>
      <c r="BT649" s="509"/>
      <c r="BU649" s="459"/>
      <c r="BV649" s="459"/>
      <c r="BW649" s="1"/>
      <c r="BX649" s="1"/>
      <c r="BY649" s="546"/>
      <c r="BZ649" s="546"/>
      <c r="CA649" s="546"/>
      <c r="CB649" s="546"/>
      <c r="CC649" s="728"/>
      <c r="CD649" s="728"/>
      <c r="CE649" s="170"/>
    </row>
    <row r="650" spans="1:83" customFormat="1">
      <c r="A650" s="701"/>
      <c r="B650" s="447"/>
      <c r="C650" s="161"/>
      <c r="D650" s="162"/>
      <c r="E650" s="1"/>
      <c r="F650" s="811"/>
      <c r="G650" s="440"/>
      <c r="H650" s="1"/>
      <c r="I650" s="55"/>
      <c r="J650" s="170"/>
      <c r="K650" s="1"/>
      <c r="L650" s="170"/>
      <c r="M650" s="1"/>
      <c r="N650" s="458"/>
      <c r="O650" s="170"/>
      <c r="P650" s="441"/>
      <c r="Q650" s="55"/>
      <c r="R650" s="177"/>
      <c r="S650" s="454"/>
      <c r="T650" s="178"/>
      <c r="U650" s="178"/>
      <c r="V650" s="179"/>
      <c r="W650" s="180"/>
      <c r="X650" s="179"/>
      <c r="Y650" s="180"/>
      <c r="Z650" s="178"/>
      <c r="AA650" s="178"/>
      <c r="AB650" s="178"/>
      <c r="AC650" s="178"/>
      <c r="AD650" s="182"/>
      <c r="AE650" s="182"/>
      <c r="AF650" s="182"/>
      <c r="AG650" s="182"/>
      <c r="AH650" s="401"/>
      <c r="AI650" s="401"/>
      <c r="AJ650" s="401"/>
      <c r="AK650" s="401"/>
      <c r="AL650" s="401"/>
      <c r="AM650" s="189"/>
      <c r="AN650" s="829"/>
      <c r="AO650" s="830"/>
      <c r="AP650" s="401"/>
      <c r="AQ650" s="401"/>
      <c r="AR650" s="401"/>
      <c r="AS650" s="401"/>
      <c r="AT650" s="403"/>
      <c r="AU650" s="403"/>
      <c r="AV650" s="170"/>
      <c r="AW650" s="166"/>
      <c r="AX650" s="166"/>
      <c r="AY650" s="189"/>
      <c r="AZ650" s="189"/>
      <c r="BA650" s="196"/>
      <c r="BB650" s="629"/>
      <c r="BC650" s="190"/>
      <c r="BD650" s="510"/>
      <c r="BE650" s="510"/>
      <c r="BF650" s="177"/>
      <c r="BG650" s="177"/>
      <c r="BH650" s="166"/>
      <c r="BI650" s="474"/>
      <c r="BJ650" s="166"/>
      <c r="BK650" s="474"/>
      <c r="BL650" s="474"/>
      <c r="BM650" s="474"/>
      <c r="BN650" s="166"/>
      <c r="BO650" s="166"/>
      <c r="BP650" s="204"/>
      <c r="BQ650" s="475"/>
      <c r="BR650" s="205"/>
      <c r="BS650" s="509"/>
      <c r="BT650" s="509"/>
      <c r="BU650" s="459"/>
      <c r="BV650" s="459"/>
      <c r="BW650" s="1"/>
      <c r="BX650" s="1"/>
      <c r="BY650" s="546"/>
      <c r="BZ650" s="546"/>
      <c r="CA650" s="546"/>
      <c r="CB650" s="546"/>
      <c r="CC650" s="728"/>
      <c r="CD650" s="728"/>
      <c r="CE650" s="170"/>
    </row>
    <row r="651" spans="1:83" customFormat="1">
      <c r="A651" s="701"/>
      <c r="B651" s="447"/>
      <c r="C651" s="161"/>
      <c r="D651" s="162"/>
      <c r="E651" s="1"/>
      <c r="F651" s="811"/>
      <c r="G651" s="440"/>
      <c r="H651" s="1"/>
      <c r="I651" s="55"/>
      <c r="J651" s="170"/>
      <c r="K651" s="1"/>
      <c r="L651" s="170"/>
      <c r="M651" s="1"/>
      <c r="N651" s="458"/>
      <c r="O651" s="170"/>
      <c r="P651" s="441"/>
      <c r="Q651" s="55"/>
      <c r="R651" s="177"/>
      <c r="S651" s="454"/>
      <c r="T651" s="178"/>
      <c r="U651" s="178"/>
      <c r="V651" s="179"/>
      <c r="W651" s="180"/>
      <c r="X651" s="179"/>
      <c r="Y651" s="180"/>
      <c r="Z651" s="178"/>
      <c r="AA651" s="178"/>
      <c r="AB651" s="178"/>
      <c r="AC651" s="178"/>
      <c r="AD651" s="182"/>
      <c r="AE651" s="182"/>
      <c r="AF651" s="182"/>
      <c r="AG651" s="182"/>
      <c r="AH651" s="401"/>
      <c r="AI651" s="401"/>
      <c r="AJ651" s="401"/>
      <c r="AK651" s="401"/>
      <c r="AL651" s="401"/>
      <c r="AM651" s="189"/>
      <c r="AN651" s="829"/>
      <c r="AO651" s="830"/>
      <c r="AP651" s="401"/>
      <c r="AQ651" s="401"/>
      <c r="AR651" s="401"/>
      <c r="AS651" s="401"/>
      <c r="AT651" s="403"/>
      <c r="AU651" s="403"/>
      <c r="AV651" s="170"/>
      <c r="AW651" s="166"/>
      <c r="AX651" s="166"/>
      <c r="AY651" s="189"/>
      <c r="AZ651" s="189"/>
      <c r="BA651" s="196"/>
      <c r="BB651" s="629"/>
      <c r="BC651" s="190"/>
      <c r="BD651" s="510"/>
      <c r="BE651" s="510"/>
      <c r="BF651" s="177"/>
      <c r="BG651" s="177"/>
      <c r="BH651" s="166"/>
      <c r="BI651" s="474"/>
      <c r="BJ651" s="166"/>
      <c r="BK651" s="474"/>
      <c r="BL651" s="474"/>
      <c r="BM651" s="474"/>
      <c r="BN651" s="166"/>
      <c r="BO651" s="166"/>
      <c r="BP651" s="204"/>
      <c r="BQ651" s="475"/>
      <c r="BR651" s="205"/>
      <c r="BS651" s="509"/>
      <c r="BT651" s="509"/>
      <c r="BU651" s="459"/>
      <c r="BV651" s="459"/>
      <c r="BW651" s="1"/>
      <c r="BX651" s="1"/>
      <c r="BY651" s="546"/>
      <c r="BZ651" s="546"/>
      <c r="CA651" s="546"/>
      <c r="CB651" s="546"/>
      <c r="CC651" s="728"/>
      <c r="CD651" s="728"/>
      <c r="CE651" s="170"/>
    </row>
    <row r="652" spans="1:83" customFormat="1">
      <c r="A652" s="701"/>
      <c r="B652" s="447"/>
      <c r="C652" s="161"/>
      <c r="D652" s="162"/>
      <c r="E652" s="1"/>
      <c r="F652" s="811"/>
      <c r="G652" s="440"/>
      <c r="H652" s="1"/>
      <c r="I652" s="55"/>
      <c r="J652" s="170"/>
      <c r="K652" s="1"/>
      <c r="L652" s="170"/>
      <c r="M652" s="1"/>
      <c r="N652" s="458"/>
      <c r="O652" s="170"/>
      <c r="P652" s="441"/>
      <c r="Q652" s="55"/>
      <c r="R652" s="177"/>
      <c r="S652" s="454"/>
      <c r="T652" s="178"/>
      <c r="U652" s="178"/>
      <c r="V652" s="179"/>
      <c r="W652" s="180"/>
      <c r="X652" s="179"/>
      <c r="Y652" s="180"/>
      <c r="Z652" s="178"/>
      <c r="AA652" s="178"/>
      <c r="AB652" s="178"/>
      <c r="AC652" s="178"/>
      <c r="AD652" s="182"/>
      <c r="AE652" s="182"/>
      <c r="AF652" s="182"/>
      <c r="AG652" s="182"/>
      <c r="AH652" s="401"/>
      <c r="AI652" s="401"/>
      <c r="AJ652" s="401"/>
      <c r="AK652" s="401"/>
      <c r="AL652" s="401"/>
      <c r="AM652" s="189"/>
      <c r="AN652" s="829"/>
      <c r="AO652" s="830"/>
      <c r="AP652" s="401"/>
      <c r="AQ652" s="401"/>
      <c r="AR652" s="401"/>
      <c r="AS652" s="401"/>
      <c r="AT652" s="403"/>
      <c r="AU652" s="403"/>
      <c r="AV652" s="170"/>
      <c r="AW652" s="166"/>
      <c r="AX652" s="166"/>
      <c r="AY652" s="189"/>
      <c r="AZ652" s="189"/>
      <c r="BA652" s="196"/>
      <c r="BB652" s="629"/>
      <c r="BC652" s="190"/>
      <c r="BD652" s="510"/>
      <c r="BE652" s="510"/>
      <c r="BF652" s="177"/>
      <c r="BG652" s="177"/>
      <c r="BH652" s="166"/>
      <c r="BI652" s="474"/>
      <c r="BJ652" s="166"/>
      <c r="BK652" s="474"/>
      <c r="BL652" s="474"/>
      <c r="BM652" s="474"/>
      <c r="BN652" s="166"/>
      <c r="BO652" s="166"/>
      <c r="BP652" s="204"/>
      <c r="BQ652" s="475"/>
      <c r="BR652" s="205"/>
      <c r="BS652" s="509"/>
      <c r="BT652" s="509"/>
      <c r="BU652" s="459"/>
      <c r="BV652" s="459"/>
      <c r="BW652" s="1"/>
      <c r="BX652" s="1"/>
      <c r="BY652" s="546"/>
      <c r="BZ652" s="546"/>
      <c r="CA652" s="546"/>
      <c r="CB652" s="546"/>
      <c r="CC652" s="728"/>
      <c r="CD652" s="728"/>
      <c r="CE652" s="170"/>
    </row>
    <row r="653" spans="1:83" customFormat="1">
      <c r="A653" s="701"/>
      <c r="B653" s="447"/>
      <c r="C653" s="161"/>
      <c r="D653" s="162"/>
      <c r="E653" s="1"/>
      <c r="F653" s="811"/>
      <c r="G653" s="440"/>
      <c r="H653" s="1"/>
      <c r="I653" s="55"/>
      <c r="J653" s="170"/>
      <c r="K653" s="1"/>
      <c r="L653" s="170"/>
      <c r="M653" s="1"/>
      <c r="N653" s="458"/>
      <c r="O653" s="170"/>
      <c r="P653" s="441"/>
      <c r="Q653" s="55"/>
      <c r="R653" s="177"/>
      <c r="S653" s="454"/>
      <c r="T653" s="178"/>
      <c r="U653" s="178"/>
      <c r="V653" s="179"/>
      <c r="W653" s="180"/>
      <c r="X653" s="179"/>
      <c r="Y653" s="180"/>
      <c r="Z653" s="178"/>
      <c r="AA653" s="178"/>
      <c r="AB653" s="178"/>
      <c r="AC653" s="178"/>
      <c r="AD653" s="182"/>
      <c r="AE653" s="182"/>
      <c r="AF653" s="182"/>
      <c r="AG653" s="182"/>
      <c r="AH653" s="401"/>
      <c r="AI653" s="401"/>
      <c r="AJ653" s="401"/>
      <c r="AK653" s="401"/>
      <c r="AL653" s="401"/>
      <c r="AM653" s="189"/>
      <c r="AN653" s="829"/>
      <c r="AO653" s="830"/>
      <c r="AP653" s="401"/>
      <c r="AQ653" s="401"/>
      <c r="AR653" s="401"/>
      <c r="AS653" s="401"/>
      <c r="AT653" s="403"/>
      <c r="AU653" s="403"/>
      <c r="AV653" s="170"/>
      <c r="AW653" s="166"/>
      <c r="AX653" s="166"/>
      <c r="AY653" s="189"/>
      <c r="AZ653" s="189"/>
      <c r="BA653" s="196"/>
      <c r="BB653" s="629"/>
      <c r="BC653" s="190"/>
      <c r="BD653" s="510"/>
      <c r="BE653" s="510"/>
      <c r="BF653" s="177"/>
      <c r="BG653" s="177"/>
      <c r="BH653" s="166"/>
      <c r="BI653" s="474"/>
      <c r="BJ653" s="166"/>
      <c r="BK653" s="474"/>
      <c r="BL653" s="474"/>
      <c r="BM653" s="474"/>
      <c r="BN653" s="166"/>
      <c r="BO653" s="166"/>
      <c r="BP653" s="204"/>
      <c r="BQ653" s="475"/>
      <c r="BR653" s="205"/>
      <c r="BS653" s="509"/>
      <c r="BT653" s="509"/>
      <c r="BU653" s="459"/>
      <c r="BV653" s="459"/>
      <c r="BW653" s="1"/>
      <c r="BX653" s="1"/>
      <c r="BY653" s="546"/>
      <c r="BZ653" s="546"/>
      <c r="CA653" s="546"/>
      <c r="CB653" s="546"/>
      <c r="CC653" s="728"/>
      <c r="CD653" s="728"/>
      <c r="CE653" s="170"/>
    </row>
    <row r="654" spans="1:83" customFormat="1">
      <c r="A654" s="701"/>
      <c r="B654" s="447"/>
      <c r="C654" s="161"/>
      <c r="D654" s="162"/>
      <c r="E654" s="1"/>
      <c r="F654" s="811"/>
      <c r="G654" s="440"/>
      <c r="H654" s="1"/>
      <c r="I654" s="55"/>
      <c r="J654" s="170"/>
      <c r="K654" s="1"/>
      <c r="L654" s="170"/>
      <c r="M654" s="1"/>
      <c r="N654" s="458"/>
      <c r="O654" s="170"/>
      <c r="P654" s="441"/>
      <c r="Q654" s="55"/>
      <c r="R654" s="177"/>
      <c r="S654" s="454"/>
      <c r="T654" s="178"/>
      <c r="U654" s="178"/>
      <c r="V654" s="179"/>
      <c r="W654" s="180"/>
      <c r="X654" s="179"/>
      <c r="Y654" s="180"/>
      <c r="Z654" s="178"/>
      <c r="AA654" s="178"/>
      <c r="AB654" s="178"/>
      <c r="AC654" s="178"/>
      <c r="AD654" s="182"/>
      <c r="AE654" s="182"/>
      <c r="AF654" s="182"/>
      <c r="AG654" s="182"/>
      <c r="AH654" s="401"/>
      <c r="AI654" s="401"/>
      <c r="AJ654" s="401"/>
      <c r="AK654" s="401"/>
      <c r="AL654" s="401"/>
      <c r="AM654" s="189"/>
      <c r="AN654" s="829"/>
      <c r="AO654" s="830"/>
      <c r="AP654" s="401"/>
      <c r="AQ654" s="401"/>
      <c r="AR654" s="401"/>
      <c r="AS654" s="401"/>
      <c r="AT654" s="403"/>
      <c r="AU654" s="403"/>
      <c r="AV654" s="170"/>
      <c r="AW654" s="166"/>
      <c r="AX654" s="166"/>
      <c r="AY654" s="189"/>
      <c r="AZ654" s="189"/>
      <c r="BA654" s="196"/>
      <c r="BB654" s="629"/>
      <c r="BC654" s="190"/>
      <c r="BD654" s="510"/>
      <c r="BE654" s="510"/>
      <c r="BF654" s="177"/>
      <c r="BG654" s="177"/>
      <c r="BH654" s="166"/>
      <c r="BI654" s="474"/>
      <c r="BJ654" s="166"/>
      <c r="BK654" s="474"/>
      <c r="BL654" s="474"/>
      <c r="BM654" s="474"/>
      <c r="BN654" s="166"/>
      <c r="BO654" s="166"/>
      <c r="BP654" s="204"/>
      <c r="BQ654" s="475"/>
      <c r="BR654" s="205"/>
      <c r="BS654" s="509"/>
      <c r="BT654" s="509"/>
      <c r="BU654" s="459"/>
      <c r="BV654" s="459"/>
      <c r="BW654" s="1"/>
      <c r="BX654" s="1"/>
      <c r="BY654" s="546"/>
      <c r="BZ654" s="546"/>
      <c r="CA654" s="546"/>
      <c r="CB654" s="546"/>
      <c r="CC654" s="728"/>
      <c r="CD654" s="728"/>
      <c r="CE654" s="170"/>
    </row>
    <row r="655" spans="1:83" customFormat="1">
      <c r="A655" s="701"/>
      <c r="B655" s="447"/>
      <c r="C655" s="161"/>
      <c r="D655" s="162"/>
      <c r="E655" s="1"/>
      <c r="F655" s="811"/>
      <c r="G655" s="440"/>
      <c r="H655" s="1"/>
      <c r="I655" s="55"/>
      <c r="J655" s="170"/>
      <c r="K655" s="1"/>
      <c r="L655" s="170"/>
      <c r="M655" s="1"/>
      <c r="N655" s="458"/>
      <c r="O655" s="170"/>
      <c r="P655" s="441"/>
      <c r="Q655" s="55"/>
      <c r="R655" s="177"/>
      <c r="S655" s="454"/>
      <c r="T655" s="178"/>
      <c r="U655" s="178"/>
      <c r="V655" s="179"/>
      <c r="W655" s="180"/>
      <c r="X655" s="179"/>
      <c r="Y655" s="180"/>
      <c r="Z655" s="178"/>
      <c r="AA655" s="178"/>
      <c r="AB655" s="178"/>
      <c r="AC655" s="178"/>
      <c r="AD655" s="182"/>
      <c r="AE655" s="182"/>
      <c r="AF655" s="182"/>
      <c r="AG655" s="182"/>
      <c r="AH655" s="401"/>
      <c r="AI655" s="401"/>
      <c r="AJ655" s="401"/>
      <c r="AK655" s="401"/>
      <c r="AL655" s="401"/>
      <c r="AM655" s="189"/>
      <c r="AN655" s="829"/>
      <c r="AO655" s="830"/>
      <c r="AP655" s="401"/>
      <c r="AQ655" s="401"/>
      <c r="AR655" s="401"/>
      <c r="AS655" s="401"/>
      <c r="AT655" s="403"/>
      <c r="AU655" s="403"/>
      <c r="AV655" s="170"/>
      <c r="AW655" s="166"/>
      <c r="AX655" s="166"/>
      <c r="AY655" s="189"/>
      <c r="AZ655" s="189"/>
      <c r="BA655" s="196"/>
      <c r="BB655" s="629"/>
      <c r="BC655" s="190"/>
      <c r="BD655" s="510"/>
      <c r="BE655" s="510"/>
      <c r="BF655" s="177"/>
      <c r="BG655" s="177"/>
      <c r="BH655" s="166"/>
      <c r="BI655" s="474"/>
      <c r="BJ655" s="166"/>
      <c r="BK655" s="474"/>
      <c r="BL655" s="474"/>
      <c r="BM655" s="474"/>
      <c r="BN655" s="166"/>
      <c r="BO655" s="166"/>
      <c r="BP655" s="204"/>
      <c r="BQ655" s="475"/>
      <c r="BR655" s="205"/>
      <c r="BS655" s="509"/>
      <c r="BT655" s="509"/>
      <c r="BU655" s="459"/>
      <c r="BV655" s="459"/>
      <c r="BW655" s="1"/>
      <c r="BX655" s="1"/>
      <c r="BY655" s="546"/>
      <c r="BZ655" s="546"/>
      <c r="CA655" s="546"/>
      <c r="CB655" s="546"/>
      <c r="CC655" s="728"/>
      <c r="CD655" s="728"/>
      <c r="CE655" s="170"/>
    </row>
    <row r="656" spans="1:83" customFormat="1">
      <c r="A656" s="701"/>
      <c r="B656" s="447"/>
      <c r="C656" s="1"/>
      <c r="D656" s="538"/>
      <c r="E656" s="1"/>
      <c r="F656" s="811"/>
      <c r="G656" s="440"/>
      <c r="H656" s="1"/>
      <c r="J656" s="171"/>
      <c r="K656" s="55"/>
      <c r="L656" s="171"/>
      <c r="M656" s="55"/>
      <c r="N656" s="172"/>
      <c r="O656" s="170"/>
      <c r="P656" s="139"/>
      <c r="Q656" s="171"/>
      <c r="R656" s="181"/>
      <c r="S656" s="455"/>
      <c r="T656" s="170"/>
      <c r="U656" s="170"/>
      <c r="V656" s="1"/>
      <c r="W656" s="173"/>
      <c r="X656" s="1"/>
      <c r="Y656" s="166"/>
      <c r="Z656" s="170"/>
      <c r="AA656" s="170"/>
      <c r="AB656" s="170"/>
      <c r="AC656" s="170"/>
      <c r="AD656" s="182"/>
      <c r="AE656" s="182"/>
      <c r="AF656" s="182"/>
      <c r="AG656" s="182"/>
      <c r="AH656" s="189"/>
      <c r="AI656" s="401"/>
      <c r="AJ656" s="189"/>
      <c r="AK656" s="401"/>
      <c r="AL656" s="401"/>
      <c r="AM656" s="189"/>
      <c r="AN656" s="782"/>
      <c r="AO656" s="189"/>
      <c r="AP656" s="401"/>
      <c r="AQ656" s="401"/>
      <c r="AR656" s="401"/>
      <c r="AS656" s="188"/>
      <c r="AT656" s="1"/>
      <c r="AU656" s="403"/>
      <c r="AV656" s="1"/>
      <c r="AW656" s="166"/>
      <c r="AX656" s="166"/>
      <c r="AY656" s="189"/>
      <c r="AZ656" s="189"/>
      <c r="BA656" s="196"/>
      <c r="BB656" s="629"/>
      <c r="BC656" s="197"/>
      <c r="BD656" s="510"/>
      <c r="BE656" s="510"/>
      <c r="BF656" s="177"/>
      <c r="BG656" s="177"/>
      <c r="BH656" s="166"/>
      <c r="BI656" s="474"/>
      <c r="BJ656" s="166"/>
      <c r="BK656" s="474"/>
      <c r="BL656" s="474"/>
      <c r="BM656" s="474"/>
      <c r="BN656" s="166"/>
      <c r="BO656" s="166"/>
      <c r="BP656" s="204"/>
      <c r="BQ656" s="475"/>
      <c r="BR656" s="205"/>
      <c r="BS656" s="509"/>
      <c r="BT656" s="509"/>
      <c r="BU656" s="459"/>
      <c r="BV656" s="459"/>
      <c r="BW656" s="1"/>
      <c r="BX656" s="1"/>
      <c r="BY656" s="546"/>
      <c r="BZ656" s="546"/>
      <c r="CA656" s="546"/>
      <c r="CB656" s="546"/>
      <c r="CC656" s="728"/>
      <c r="CD656" s="728"/>
      <c r="CE656" s="170"/>
    </row>
    <row r="657" spans="1:83" customFormat="1">
      <c r="A657" s="701"/>
      <c r="B657" s="447"/>
      <c r="C657" s="161"/>
      <c r="D657" s="162"/>
      <c r="E657" s="1"/>
      <c r="F657" s="811"/>
      <c r="G657" s="440"/>
      <c r="H657" s="1"/>
      <c r="I657" s="55"/>
      <c r="J657" s="170"/>
      <c r="K657" s="1"/>
      <c r="L657" s="170"/>
      <c r="M657" s="1"/>
      <c r="N657" s="458"/>
      <c r="O657" s="170"/>
      <c r="P657" s="441"/>
      <c r="Q657" s="55"/>
      <c r="R657" s="177"/>
      <c r="S657" s="454"/>
      <c r="T657" s="178"/>
      <c r="U657" s="178"/>
      <c r="V657" s="179"/>
      <c r="W657" s="180"/>
      <c r="X657" s="179"/>
      <c r="Y657" s="180"/>
      <c r="Z657" s="178"/>
      <c r="AA657" s="178"/>
      <c r="AB657" s="178"/>
      <c r="AC657" s="178"/>
      <c r="AD657" s="182"/>
      <c r="AE657" s="182"/>
      <c r="AF657" s="182"/>
      <c r="AG657" s="182"/>
      <c r="AH657" s="401"/>
      <c r="AI657" s="401"/>
      <c r="AJ657" s="401"/>
      <c r="AK657" s="401"/>
      <c r="AL657" s="401"/>
      <c r="AM657" s="189"/>
      <c r="AN657" s="829"/>
      <c r="AO657" s="830"/>
      <c r="AP657" s="401"/>
      <c r="AQ657" s="401"/>
      <c r="AR657" s="401"/>
      <c r="AS657" s="401"/>
      <c r="AT657" s="403"/>
      <c r="AU657" s="403"/>
      <c r="AV657" s="170"/>
      <c r="AW657" s="166"/>
      <c r="AX657" s="166"/>
      <c r="AY657" s="189"/>
      <c r="AZ657" s="189"/>
      <c r="BA657" s="196"/>
      <c r="BB657" s="629"/>
      <c r="BC657" s="190"/>
      <c r="BD657" s="510"/>
      <c r="BE657" s="510"/>
      <c r="BF657" s="177"/>
      <c r="BG657" s="177"/>
      <c r="BH657" s="166"/>
      <c r="BI657" s="474"/>
      <c r="BJ657" s="166"/>
      <c r="BK657" s="474"/>
      <c r="BL657" s="474"/>
      <c r="BM657" s="474"/>
      <c r="BN657" s="166"/>
      <c r="BO657" s="166"/>
      <c r="BP657" s="204"/>
      <c r="BQ657" s="475"/>
      <c r="BR657" s="205"/>
      <c r="BS657" s="509"/>
      <c r="BT657" s="509"/>
      <c r="BU657" s="459"/>
      <c r="BV657" s="459"/>
      <c r="BW657" s="1"/>
      <c r="BX657" s="1"/>
      <c r="BY657" s="546"/>
      <c r="BZ657" s="546"/>
      <c r="CA657" s="546"/>
      <c r="CB657" s="546"/>
      <c r="CC657" s="728"/>
      <c r="CD657" s="728"/>
      <c r="CE657" s="170"/>
    </row>
    <row r="658" spans="1:83" customFormat="1">
      <c r="A658" s="701"/>
      <c r="B658" s="447"/>
      <c r="C658" s="161"/>
      <c r="D658" s="162"/>
      <c r="E658" s="1"/>
      <c r="F658" s="811"/>
      <c r="G658" s="440"/>
      <c r="H658" s="1"/>
      <c r="I658" s="55"/>
      <c r="J658" s="170"/>
      <c r="K658" s="1"/>
      <c r="L658" s="170"/>
      <c r="M658" s="1"/>
      <c r="N658" s="458"/>
      <c r="O658" s="170"/>
      <c r="P658" s="441"/>
      <c r="Q658" s="55"/>
      <c r="R658" s="177"/>
      <c r="S658" s="454"/>
      <c r="T658" s="178"/>
      <c r="U658" s="178"/>
      <c r="V658" s="179"/>
      <c r="W658" s="180"/>
      <c r="X658" s="179"/>
      <c r="Y658" s="180"/>
      <c r="Z658" s="178"/>
      <c r="AA658" s="178"/>
      <c r="AB658" s="178"/>
      <c r="AC658" s="178"/>
      <c r="AD658" s="182"/>
      <c r="AE658" s="182"/>
      <c r="AF658" s="182"/>
      <c r="AG658" s="182"/>
      <c r="AH658" s="401"/>
      <c r="AI658" s="401"/>
      <c r="AJ658" s="401"/>
      <c r="AK658" s="401"/>
      <c r="AL658" s="401"/>
      <c r="AM658" s="189"/>
      <c r="AN658" s="829"/>
      <c r="AO658" s="830"/>
      <c r="AP658" s="401"/>
      <c r="AQ658" s="401"/>
      <c r="AR658" s="401"/>
      <c r="AS658" s="401"/>
      <c r="AT658" s="403"/>
      <c r="AU658" s="403"/>
      <c r="AV658" s="170"/>
      <c r="AW658" s="166"/>
      <c r="AX658" s="166"/>
      <c r="AY658" s="189"/>
      <c r="AZ658" s="189"/>
      <c r="BA658" s="196"/>
      <c r="BB658" s="629"/>
      <c r="BC658" s="190"/>
      <c r="BD658" s="510"/>
      <c r="BE658" s="510"/>
      <c r="BF658" s="177"/>
      <c r="BG658" s="177"/>
      <c r="BH658" s="166"/>
      <c r="BI658" s="474"/>
      <c r="BJ658" s="166"/>
      <c r="BK658" s="474"/>
      <c r="BL658" s="474"/>
      <c r="BM658" s="474"/>
      <c r="BN658" s="166"/>
      <c r="BO658" s="166"/>
      <c r="BP658" s="204"/>
      <c r="BQ658" s="475"/>
      <c r="BR658" s="205"/>
      <c r="BS658" s="509"/>
      <c r="BT658" s="509"/>
      <c r="BU658" s="459"/>
      <c r="BV658" s="459"/>
      <c r="BW658" s="1"/>
      <c r="BX658" s="1"/>
      <c r="BY658" s="546"/>
      <c r="BZ658" s="546"/>
      <c r="CA658" s="546"/>
      <c r="CB658" s="546"/>
      <c r="CC658" s="728"/>
      <c r="CD658" s="728"/>
      <c r="CE658" s="170"/>
    </row>
    <row r="659" spans="1:83" customFormat="1">
      <c r="A659" s="701"/>
      <c r="B659" s="447"/>
      <c r="C659" s="161"/>
      <c r="D659" s="162"/>
      <c r="E659" s="1"/>
      <c r="F659" s="811"/>
      <c r="G659" s="440"/>
      <c r="H659" s="1"/>
      <c r="I659" s="55"/>
      <c r="J659" s="457"/>
      <c r="K659" s="1"/>
      <c r="L659" s="170"/>
      <c r="M659" s="1"/>
      <c r="N659" s="458"/>
      <c r="O659" s="170"/>
      <c r="P659" s="441"/>
      <c r="Q659" s="55"/>
      <c r="R659" s="177"/>
      <c r="S659" s="454"/>
      <c r="T659" s="178"/>
      <c r="U659" s="178"/>
      <c r="V659" s="179"/>
      <c r="W659" s="180"/>
      <c r="X659" s="179"/>
      <c r="Y659" s="180"/>
      <c r="Z659" s="178"/>
      <c r="AA659" s="178"/>
      <c r="AB659" s="178"/>
      <c r="AC659" s="178"/>
      <c r="AD659" s="182"/>
      <c r="AE659" s="182"/>
      <c r="AF659" s="182"/>
      <c r="AG659" s="182"/>
      <c r="AH659" s="401"/>
      <c r="AI659" s="401"/>
      <c r="AJ659" s="401"/>
      <c r="AK659" s="401"/>
      <c r="AL659" s="401"/>
      <c r="AM659" s="189"/>
      <c r="AN659" s="829"/>
      <c r="AO659" s="830"/>
      <c r="AP659" s="401"/>
      <c r="AQ659" s="401"/>
      <c r="AR659" s="401"/>
      <c r="AS659" s="401"/>
      <c r="AT659" s="403"/>
      <c r="AU659" s="403"/>
      <c r="AV659" s="170"/>
      <c r="AW659" s="166"/>
      <c r="AX659" s="166"/>
      <c r="AY659" s="189"/>
      <c r="AZ659" s="189"/>
      <c r="BA659" s="196"/>
      <c r="BB659" s="629"/>
      <c r="BC659" s="190"/>
      <c r="BD659" s="510"/>
      <c r="BE659" s="510"/>
      <c r="BF659" s="177"/>
      <c r="BG659" s="177"/>
      <c r="BH659" s="166"/>
      <c r="BI659" s="474"/>
      <c r="BJ659" s="166"/>
      <c r="BK659" s="474"/>
      <c r="BL659" s="474"/>
      <c r="BM659" s="474"/>
      <c r="BN659" s="166"/>
      <c r="BO659" s="166"/>
      <c r="BP659" s="204"/>
      <c r="BQ659" s="475"/>
      <c r="BR659" s="205"/>
      <c r="BS659" s="509"/>
      <c r="BT659" s="509"/>
      <c r="BU659" s="459"/>
      <c r="BV659" s="459"/>
      <c r="BW659" s="1"/>
      <c r="BX659" s="1"/>
      <c r="BY659" s="546"/>
      <c r="BZ659" s="546"/>
      <c r="CA659" s="546"/>
      <c r="CB659" s="546"/>
      <c r="CC659" s="728"/>
      <c r="CD659" s="728"/>
      <c r="CE659" s="170"/>
    </row>
    <row r="660" spans="1:83" customFormat="1">
      <c r="A660" s="701"/>
      <c r="B660" s="447"/>
      <c r="C660" s="161"/>
      <c r="D660" s="162"/>
      <c r="E660" s="1"/>
      <c r="F660" s="811"/>
      <c r="G660" s="440"/>
      <c r="H660" s="1"/>
      <c r="I660" s="55"/>
      <c r="J660" s="170"/>
      <c r="K660" s="1"/>
      <c r="L660" s="170"/>
      <c r="M660" s="1"/>
      <c r="N660" s="458"/>
      <c r="O660" s="170"/>
      <c r="P660" s="441"/>
      <c r="Q660" s="55"/>
      <c r="R660" s="177"/>
      <c r="S660" s="454"/>
      <c r="T660" s="178"/>
      <c r="U660" s="178"/>
      <c r="V660" s="179"/>
      <c r="W660" s="180"/>
      <c r="X660" s="179"/>
      <c r="Y660" s="180"/>
      <c r="Z660" s="178"/>
      <c r="AA660" s="178"/>
      <c r="AB660" s="178"/>
      <c r="AC660" s="178"/>
      <c r="AD660" s="182"/>
      <c r="AE660" s="182"/>
      <c r="AF660" s="182"/>
      <c r="AG660" s="182"/>
      <c r="AH660" s="401"/>
      <c r="AI660" s="401"/>
      <c r="AJ660" s="401"/>
      <c r="AK660" s="401"/>
      <c r="AL660" s="401"/>
      <c r="AM660" s="189"/>
      <c r="AN660" s="829"/>
      <c r="AO660" s="830"/>
      <c r="AP660" s="401"/>
      <c r="AQ660" s="401"/>
      <c r="AR660" s="401"/>
      <c r="AS660" s="401"/>
      <c r="AT660" s="403"/>
      <c r="AU660" s="403"/>
      <c r="AV660" s="170"/>
      <c r="AW660" s="166"/>
      <c r="AX660" s="166"/>
      <c r="AY660" s="189"/>
      <c r="AZ660" s="189"/>
      <c r="BA660" s="196"/>
      <c r="BB660" s="629"/>
      <c r="BC660" s="190"/>
      <c r="BD660" s="510"/>
      <c r="BE660" s="510"/>
      <c r="BF660" s="177"/>
      <c r="BG660" s="177"/>
      <c r="BH660" s="166"/>
      <c r="BI660" s="474"/>
      <c r="BJ660" s="166"/>
      <c r="BK660" s="474"/>
      <c r="BL660" s="474"/>
      <c r="BM660" s="474"/>
      <c r="BN660" s="166"/>
      <c r="BO660" s="166"/>
      <c r="BP660" s="204"/>
      <c r="BQ660" s="475"/>
      <c r="BR660" s="205"/>
      <c r="BS660" s="509"/>
      <c r="BT660" s="509"/>
      <c r="BU660" s="459"/>
      <c r="BV660" s="459"/>
      <c r="BW660" s="1"/>
      <c r="BX660" s="1"/>
      <c r="BY660" s="546"/>
      <c r="BZ660" s="546"/>
      <c r="CA660" s="546"/>
      <c r="CB660" s="546"/>
      <c r="CC660" s="728"/>
      <c r="CD660" s="728"/>
      <c r="CE660" s="170"/>
    </row>
    <row r="661" spans="1:83" customFormat="1">
      <c r="A661" s="701"/>
      <c r="B661" s="447"/>
      <c r="C661" s="161"/>
      <c r="D661" s="162"/>
      <c r="E661" s="1"/>
      <c r="F661" s="811"/>
      <c r="G661" s="440"/>
      <c r="H661" s="1"/>
      <c r="I661" s="55"/>
      <c r="J661" s="170"/>
      <c r="K661" s="1"/>
      <c r="L661" s="170"/>
      <c r="M661" s="1"/>
      <c r="N661" s="458"/>
      <c r="O661" s="170"/>
      <c r="P661" s="441"/>
      <c r="Q661" s="55"/>
      <c r="R661" s="177"/>
      <c r="S661" s="454"/>
      <c r="T661" s="178"/>
      <c r="U661" s="178"/>
      <c r="V661" s="179"/>
      <c r="W661" s="180"/>
      <c r="X661" s="179"/>
      <c r="Y661" s="180"/>
      <c r="Z661" s="178"/>
      <c r="AA661" s="178"/>
      <c r="AB661" s="178"/>
      <c r="AC661" s="178"/>
      <c r="AD661" s="182"/>
      <c r="AE661" s="182"/>
      <c r="AF661" s="182"/>
      <c r="AG661" s="182"/>
      <c r="AH661" s="401"/>
      <c r="AI661" s="401"/>
      <c r="AJ661" s="401"/>
      <c r="AK661" s="401"/>
      <c r="AL661" s="401"/>
      <c r="AM661" s="189"/>
      <c r="AN661" s="829"/>
      <c r="AO661" s="830"/>
      <c r="AP661" s="401"/>
      <c r="AQ661" s="401"/>
      <c r="AR661" s="401"/>
      <c r="AS661" s="401"/>
      <c r="AT661" s="403"/>
      <c r="AU661" s="403"/>
      <c r="AV661" s="170"/>
      <c r="AW661" s="166"/>
      <c r="AX661" s="166"/>
      <c r="AY661" s="189"/>
      <c r="AZ661" s="189"/>
      <c r="BA661" s="196"/>
      <c r="BB661" s="629"/>
      <c r="BC661" s="190"/>
      <c r="BD661" s="510"/>
      <c r="BE661" s="510"/>
      <c r="BF661" s="177"/>
      <c r="BG661" s="177"/>
      <c r="BH661" s="166"/>
      <c r="BI661" s="474"/>
      <c r="BJ661" s="166"/>
      <c r="BK661" s="474"/>
      <c r="BL661" s="474"/>
      <c r="BM661" s="474"/>
      <c r="BN661" s="166"/>
      <c r="BO661" s="166"/>
      <c r="BP661" s="204"/>
      <c r="BQ661" s="475"/>
      <c r="BR661" s="205"/>
      <c r="BS661" s="509"/>
      <c r="BT661" s="509"/>
      <c r="BU661" s="459"/>
      <c r="BV661" s="459"/>
      <c r="BW661" s="1"/>
      <c r="BX661" s="1"/>
      <c r="BY661" s="546"/>
      <c r="BZ661" s="546"/>
      <c r="CA661" s="546"/>
      <c r="CB661" s="546"/>
      <c r="CC661" s="728"/>
      <c r="CD661" s="728"/>
      <c r="CE661" s="170"/>
    </row>
    <row r="662" spans="1:83" customFormat="1">
      <c r="A662" s="701"/>
      <c r="B662" s="447"/>
      <c r="C662" s="161"/>
      <c r="D662" s="162"/>
      <c r="E662" s="1"/>
      <c r="F662" s="811"/>
      <c r="G662" s="440"/>
      <c r="H662" s="1"/>
      <c r="I662" s="55"/>
      <c r="J662" s="170"/>
      <c r="K662" s="1"/>
      <c r="L662" s="170"/>
      <c r="M662" s="1"/>
      <c r="N662" s="458"/>
      <c r="O662" s="170"/>
      <c r="P662" s="441"/>
      <c r="Q662" s="55"/>
      <c r="R662" s="177"/>
      <c r="S662" s="454"/>
      <c r="T662" s="178"/>
      <c r="U662" s="178"/>
      <c r="V662" s="179"/>
      <c r="W662" s="180"/>
      <c r="X662" s="179"/>
      <c r="Y662" s="180"/>
      <c r="Z662" s="178"/>
      <c r="AA662" s="178"/>
      <c r="AB662" s="178"/>
      <c r="AC662" s="178"/>
      <c r="AD662" s="182"/>
      <c r="AE662" s="182"/>
      <c r="AF662" s="182"/>
      <c r="AG662" s="182"/>
      <c r="AH662" s="401"/>
      <c r="AI662" s="401"/>
      <c r="AJ662" s="401"/>
      <c r="AK662" s="401"/>
      <c r="AL662" s="401"/>
      <c r="AM662" s="189"/>
      <c r="AN662" s="829"/>
      <c r="AO662" s="830"/>
      <c r="AP662" s="401"/>
      <c r="AQ662" s="401"/>
      <c r="AR662" s="401"/>
      <c r="AS662" s="401"/>
      <c r="AT662" s="403"/>
      <c r="AU662" s="403"/>
      <c r="AV662" s="170"/>
      <c r="AW662" s="166"/>
      <c r="AX662" s="166"/>
      <c r="AY662" s="189"/>
      <c r="AZ662" s="189"/>
      <c r="BA662" s="196"/>
      <c r="BB662" s="629"/>
      <c r="BC662" s="190"/>
      <c r="BD662" s="510"/>
      <c r="BE662" s="510"/>
      <c r="BF662" s="177"/>
      <c r="BG662" s="177"/>
      <c r="BH662" s="166"/>
      <c r="BI662" s="474"/>
      <c r="BJ662" s="166"/>
      <c r="BK662" s="474"/>
      <c r="BL662" s="474"/>
      <c r="BM662" s="474"/>
      <c r="BN662" s="166"/>
      <c r="BO662" s="166"/>
      <c r="BP662" s="204"/>
      <c r="BQ662" s="475"/>
      <c r="BR662" s="205"/>
      <c r="BS662" s="509"/>
      <c r="BT662" s="509"/>
      <c r="BU662" s="459"/>
      <c r="BV662" s="459"/>
      <c r="BW662" s="1"/>
      <c r="BX662" s="1"/>
      <c r="BY662" s="546"/>
      <c r="BZ662" s="546"/>
      <c r="CA662" s="546"/>
      <c r="CB662" s="546"/>
      <c r="CC662" s="728"/>
      <c r="CD662" s="728"/>
      <c r="CE662" s="170"/>
    </row>
    <row r="663" spans="1:83" customFormat="1">
      <c r="A663" s="701"/>
      <c r="B663" s="447"/>
      <c r="C663" s="161"/>
      <c r="D663" s="162"/>
      <c r="E663" s="1"/>
      <c r="F663" s="811"/>
      <c r="G663" s="440"/>
      <c r="H663" s="1"/>
      <c r="I663" s="55"/>
      <c r="J663" s="170"/>
      <c r="K663" s="1"/>
      <c r="L663" s="170"/>
      <c r="M663" s="1"/>
      <c r="N663" s="458"/>
      <c r="O663" s="170"/>
      <c r="P663" s="441"/>
      <c r="Q663" s="55"/>
      <c r="R663" s="177"/>
      <c r="S663" s="454"/>
      <c r="T663" s="178"/>
      <c r="U663" s="178"/>
      <c r="V663" s="179"/>
      <c r="W663" s="180"/>
      <c r="X663" s="179"/>
      <c r="Y663" s="180"/>
      <c r="Z663" s="178"/>
      <c r="AA663" s="178"/>
      <c r="AB663" s="178"/>
      <c r="AC663" s="178"/>
      <c r="AD663" s="182"/>
      <c r="AE663" s="182"/>
      <c r="AF663" s="182"/>
      <c r="AG663" s="182"/>
      <c r="AH663" s="401"/>
      <c r="AI663" s="401"/>
      <c r="AJ663" s="401"/>
      <c r="AK663" s="401"/>
      <c r="AL663" s="401"/>
      <c r="AM663" s="189"/>
      <c r="AN663" s="829"/>
      <c r="AO663" s="830"/>
      <c r="AP663" s="401"/>
      <c r="AQ663" s="401"/>
      <c r="AR663" s="401"/>
      <c r="AS663" s="401"/>
      <c r="AT663" s="403"/>
      <c r="AU663" s="403"/>
      <c r="AV663" s="170"/>
      <c r="AW663" s="166"/>
      <c r="AX663" s="166"/>
      <c r="AY663" s="189"/>
      <c r="AZ663" s="189"/>
      <c r="BA663" s="196"/>
      <c r="BB663" s="629"/>
      <c r="BC663" s="190"/>
      <c r="BD663" s="510"/>
      <c r="BE663" s="510"/>
      <c r="BF663" s="177"/>
      <c r="BG663" s="177"/>
      <c r="BH663" s="166"/>
      <c r="BI663" s="474"/>
      <c r="BJ663" s="166"/>
      <c r="BK663" s="474"/>
      <c r="BL663" s="474"/>
      <c r="BM663" s="474"/>
      <c r="BN663" s="166"/>
      <c r="BO663" s="166"/>
      <c r="BP663" s="204"/>
      <c r="BQ663" s="475"/>
      <c r="BR663" s="205"/>
      <c r="BS663" s="509"/>
      <c r="BT663" s="509"/>
      <c r="BU663" s="459"/>
      <c r="BV663" s="459"/>
      <c r="BW663" s="1"/>
      <c r="BX663" s="1"/>
      <c r="BY663" s="546"/>
      <c r="BZ663" s="546"/>
      <c r="CA663" s="546"/>
      <c r="CB663" s="546"/>
      <c r="CC663" s="728"/>
      <c r="CD663" s="728"/>
      <c r="CE663" s="170"/>
    </row>
    <row r="664" spans="1:83" customFormat="1">
      <c r="A664" s="701"/>
      <c r="B664" s="447"/>
      <c r="C664" s="1"/>
      <c r="D664" s="538"/>
      <c r="E664" s="1"/>
      <c r="F664" s="811"/>
      <c r="G664" s="440"/>
      <c r="H664" s="1"/>
      <c r="J664" s="171"/>
      <c r="K664" s="55"/>
      <c r="L664" s="171"/>
      <c r="M664" s="55"/>
      <c r="N664" s="172"/>
      <c r="O664" s="170"/>
      <c r="P664" s="139"/>
      <c r="Q664" s="171"/>
      <c r="R664" s="181"/>
      <c r="S664" s="455"/>
      <c r="T664" s="170"/>
      <c r="U664" s="170"/>
      <c r="V664" s="1"/>
      <c r="W664" s="173"/>
      <c r="X664" s="1"/>
      <c r="Y664" s="166"/>
      <c r="Z664" s="170"/>
      <c r="AA664" s="170"/>
      <c r="AB664" s="170"/>
      <c r="AC664" s="170"/>
      <c r="AD664" s="182"/>
      <c r="AE664" s="182"/>
      <c r="AF664" s="182"/>
      <c r="AG664" s="182"/>
      <c r="AH664" s="189"/>
      <c r="AI664" s="401"/>
      <c r="AJ664" s="189"/>
      <c r="AK664" s="401"/>
      <c r="AL664" s="401"/>
      <c r="AM664" s="189"/>
      <c r="AN664" s="782"/>
      <c r="AO664" s="189"/>
      <c r="AP664" s="401"/>
      <c r="AQ664" s="401"/>
      <c r="AR664" s="401"/>
      <c r="AS664" s="188"/>
      <c r="AT664" s="1"/>
      <c r="AU664" s="403"/>
      <c r="AV664" s="1"/>
      <c r="AW664" s="166"/>
      <c r="AX664" s="166"/>
      <c r="AY664" s="189"/>
      <c r="AZ664" s="189"/>
      <c r="BA664" s="196"/>
      <c r="BB664" s="629"/>
      <c r="BC664" s="197"/>
      <c r="BD664" s="510"/>
      <c r="BE664" s="510"/>
      <c r="BF664" s="177"/>
      <c r="BG664" s="177"/>
      <c r="BH664" s="166"/>
      <c r="BI664" s="474"/>
      <c r="BJ664" s="166"/>
      <c r="BK664" s="474"/>
      <c r="BL664" s="474"/>
      <c r="BM664" s="474"/>
      <c r="BN664" s="166"/>
      <c r="BO664" s="166"/>
      <c r="BP664" s="204"/>
      <c r="BQ664" s="475"/>
      <c r="BR664" s="205"/>
      <c r="BS664" s="509"/>
      <c r="BT664" s="509"/>
      <c r="BU664" s="459"/>
      <c r="BV664" s="459"/>
      <c r="BW664" s="1"/>
      <c r="BX664" s="1"/>
      <c r="BY664" s="546"/>
      <c r="BZ664" s="546"/>
      <c r="CA664" s="546"/>
      <c r="CB664" s="546"/>
      <c r="CC664" s="728"/>
      <c r="CD664" s="728"/>
      <c r="CE664" s="170"/>
    </row>
    <row r="665" spans="1:83" customFormat="1">
      <c r="A665" s="701"/>
      <c r="B665" s="447"/>
      <c r="C665" s="161"/>
      <c r="D665" s="162"/>
      <c r="E665" s="1"/>
      <c r="F665" s="811"/>
      <c r="G665" s="440"/>
      <c r="H665" s="1"/>
      <c r="I665" s="55"/>
      <c r="J665" s="170"/>
      <c r="K665" s="1"/>
      <c r="L665" s="170"/>
      <c r="M665" s="1"/>
      <c r="N665" s="458"/>
      <c r="O665" s="170"/>
      <c r="P665" s="441"/>
      <c r="Q665" s="55"/>
      <c r="R665" s="177"/>
      <c r="S665" s="454"/>
      <c r="T665" s="178"/>
      <c r="U665" s="178"/>
      <c r="V665" s="179"/>
      <c r="W665" s="180"/>
      <c r="X665" s="179"/>
      <c r="Y665" s="180"/>
      <c r="Z665" s="178"/>
      <c r="AA665" s="178"/>
      <c r="AB665" s="178"/>
      <c r="AC665" s="178"/>
      <c r="AD665" s="182"/>
      <c r="AE665" s="182"/>
      <c r="AF665" s="182"/>
      <c r="AG665" s="182"/>
      <c r="AH665" s="401"/>
      <c r="AI665" s="401"/>
      <c r="AJ665" s="401"/>
      <c r="AK665" s="401"/>
      <c r="AL665" s="401"/>
      <c r="AM665" s="189"/>
      <c r="AN665" s="829"/>
      <c r="AO665" s="830"/>
      <c r="AP665" s="401"/>
      <c r="AQ665" s="401"/>
      <c r="AR665" s="401"/>
      <c r="AS665" s="401"/>
      <c r="AT665" s="403"/>
      <c r="AU665" s="403"/>
      <c r="AV665" s="170"/>
      <c r="AW665" s="166"/>
      <c r="AX665" s="166"/>
      <c r="AY665" s="189"/>
      <c r="AZ665" s="189"/>
      <c r="BA665" s="196"/>
      <c r="BB665" s="629"/>
      <c r="BC665" s="190"/>
      <c r="BD665" s="510"/>
      <c r="BE665" s="510"/>
      <c r="BF665" s="177"/>
      <c r="BG665" s="177"/>
      <c r="BH665" s="166"/>
      <c r="BI665" s="474"/>
      <c r="BJ665" s="166"/>
      <c r="BK665" s="474"/>
      <c r="BL665" s="474"/>
      <c r="BM665" s="474"/>
      <c r="BN665" s="166"/>
      <c r="BO665" s="166"/>
      <c r="BP665" s="204"/>
      <c r="BQ665" s="475"/>
      <c r="BR665" s="205"/>
      <c r="BS665" s="509"/>
      <c r="BT665" s="509"/>
      <c r="BU665" s="459"/>
      <c r="BV665" s="459"/>
      <c r="BW665" s="1"/>
      <c r="BX665" s="1"/>
      <c r="BY665" s="546"/>
      <c r="BZ665" s="546"/>
      <c r="CA665" s="546"/>
      <c r="CB665" s="546"/>
      <c r="CC665" s="728"/>
      <c r="CD665" s="728"/>
      <c r="CE665" s="170"/>
    </row>
    <row r="666" spans="1:83" customFormat="1">
      <c r="A666" s="701"/>
      <c r="B666" s="447"/>
      <c r="C666" s="161"/>
      <c r="D666" s="162"/>
      <c r="E666" s="1"/>
      <c r="F666" s="811"/>
      <c r="G666" s="440"/>
      <c r="H666" s="1"/>
      <c r="I666" s="55"/>
      <c r="J666" s="170"/>
      <c r="K666" s="1"/>
      <c r="L666" s="170"/>
      <c r="M666" s="1"/>
      <c r="N666" s="458"/>
      <c r="O666" s="170"/>
      <c r="P666" s="441"/>
      <c r="Q666" s="55"/>
      <c r="R666" s="177"/>
      <c r="S666" s="454"/>
      <c r="T666" s="178"/>
      <c r="U666" s="178"/>
      <c r="V666" s="179"/>
      <c r="W666" s="180"/>
      <c r="X666" s="179"/>
      <c r="Y666" s="180"/>
      <c r="Z666" s="178"/>
      <c r="AA666" s="178"/>
      <c r="AB666" s="178"/>
      <c r="AC666" s="178"/>
      <c r="AD666" s="182"/>
      <c r="AE666" s="182"/>
      <c r="AF666" s="182"/>
      <c r="AG666" s="182"/>
      <c r="AH666" s="401"/>
      <c r="AI666" s="401"/>
      <c r="AJ666" s="401"/>
      <c r="AK666" s="401"/>
      <c r="AL666" s="401"/>
      <c r="AM666" s="189"/>
      <c r="AN666" s="829"/>
      <c r="AO666" s="830"/>
      <c r="AP666" s="401"/>
      <c r="AQ666" s="401"/>
      <c r="AR666" s="401"/>
      <c r="AS666" s="401"/>
      <c r="AT666" s="403"/>
      <c r="AU666" s="403"/>
      <c r="AV666" s="170"/>
      <c r="AW666" s="166"/>
      <c r="AX666" s="166"/>
      <c r="AY666" s="189"/>
      <c r="AZ666" s="189"/>
      <c r="BA666" s="196"/>
      <c r="BB666" s="629"/>
      <c r="BC666" s="190"/>
      <c r="BD666" s="510"/>
      <c r="BE666" s="510"/>
      <c r="BF666" s="177"/>
      <c r="BG666" s="177"/>
      <c r="BH666" s="166"/>
      <c r="BI666" s="474"/>
      <c r="BJ666" s="166"/>
      <c r="BK666" s="474"/>
      <c r="BL666" s="474"/>
      <c r="BM666" s="474"/>
      <c r="BN666" s="166"/>
      <c r="BO666" s="166"/>
      <c r="BP666" s="204"/>
      <c r="BQ666" s="475"/>
      <c r="BR666" s="205"/>
      <c r="BS666" s="509"/>
      <c r="BT666" s="509"/>
      <c r="BU666" s="459"/>
      <c r="BV666" s="459"/>
      <c r="BW666" s="1"/>
      <c r="BX666" s="1"/>
      <c r="BY666" s="546"/>
      <c r="BZ666" s="546"/>
      <c r="CA666" s="546"/>
      <c r="CB666" s="546"/>
      <c r="CC666" s="728"/>
      <c r="CD666" s="728"/>
      <c r="CE666" s="170"/>
    </row>
    <row r="667" spans="1:83" customFormat="1">
      <c r="A667" s="701"/>
      <c r="B667" s="447"/>
      <c r="C667" s="161"/>
      <c r="D667" s="162"/>
      <c r="E667" s="1"/>
      <c r="F667" s="811"/>
      <c r="G667" s="440"/>
      <c r="H667" s="1"/>
      <c r="I667" s="55"/>
      <c r="J667" s="457"/>
      <c r="K667" s="1"/>
      <c r="L667" s="170"/>
      <c r="M667" s="1"/>
      <c r="N667" s="458"/>
      <c r="O667" s="170"/>
      <c r="P667" s="441"/>
      <c r="Q667" s="55"/>
      <c r="R667" s="177"/>
      <c r="S667" s="454"/>
      <c r="T667" s="178"/>
      <c r="U667" s="178"/>
      <c r="V667" s="179"/>
      <c r="W667" s="180"/>
      <c r="X667" s="179"/>
      <c r="Y667" s="180"/>
      <c r="Z667" s="178"/>
      <c r="AA667" s="178"/>
      <c r="AB667" s="178"/>
      <c r="AC667" s="178"/>
      <c r="AD667" s="182"/>
      <c r="AE667" s="182"/>
      <c r="AF667" s="182"/>
      <c r="AG667" s="182"/>
      <c r="AH667" s="401"/>
      <c r="AI667" s="401"/>
      <c r="AJ667" s="401"/>
      <c r="AK667" s="401"/>
      <c r="AL667" s="401"/>
      <c r="AM667" s="189"/>
      <c r="AN667" s="829"/>
      <c r="AO667" s="830"/>
      <c r="AP667" s="401"/>
      <c r="AQ667" s="401"/>
      <c r="AR667" s="401"/>
      <c r="AS667" s="401"/>
      <c r="AT667" s="403"/>
      <c r="AU667" s="403"/>
      <c r="AV667" s="170"/>
      <c r="AW667" s="166"/>
      <c r="AX667" s="166"/>
      <c r="AY667" s="189"/>
      <c r="AZ667" s="189"/>
      <c r="BA667" s="196"/>
      <c r="BB667" s="629"/>
      <c r="BC667" s="190"/>
      <c r="BD667" s="510"/>
      <c r="BE667" s="510"/>
      <c r="BF667" s="177"/>
      <c r="BG667" s="177"/>
      <c r="BH667" s="166"/>
      <c r="BI667" s="474"/>
      <c r="BJ667" s="166"/>
      <c r="BK667" s="474"/>
      <c r="BL667" s="474"/>
      <c r="BM667" s="474"/>
      <c r="BN667" s="166"/>
      <c r="BO667" s="166"/>
      <c r="BP667" s="204"/>
      <c r="BQ667" s="475"/>
      <c r="BR667" s="205"/>
      <c r="BS667" s="509"/>
      <c r="BT667" s="509"/>
      <c r="BU667" s="459"/>
      <c r="BV667" s="459"/>
      <c r="BW667" s="1"/>
      <c r="BX667" s="1"/>
      <c r="BY667" s="546"/>
      <c r="BZ667" s="546"/>
      <c r="CA667" s="546"/>
      <c r="CB667" s="546"/>
      <c r="CC667" s="728"/>
      <c r="CD667" s="728"/>
      <c r="CE667" s="170"/>
    </row>
    <row r="668" spans="1:83" customFormat="1">
      <c r="A668" s="701"/>
      <c r="B668" s="447"/>
      <c r="C668" s="161"/>
      <c r="D668" s="162"/>
      <c r="E668" s="1"/>
      <c r="F668" s="811"/>
      <c r="G668" s="440"/>
      <c r="H668" s="1"/>
      <c r="I668" s="55"/>
      <c r="J668" s="170"/>
      <c r="K668" s="1"/>
      <c r="L668" s="170"/>
      <c r="M668" s="1"/>
      <c r="N668" s="458"/>
      <c r="O668" s="170"/>
      <c r="P668" s="441"/>
      <c r="Q668" s="55"/>
      <c r="R668" s="177"/>
      <c r="S668" s="454"/>
      <c r="T668" s="178"/>
      <c r="U668" s="178"/>
      <c r="V668" s="179"/>
      <c r="W668" s="180"/>
      <c r="X668" s="179"/>
      <c r="Y668" s="180"/>
      <c r="Z668" s="178"/>
      <c r="AA668" s="178"/>
      <c r="AB668" s="178"/>
      <c r="AC668" s="178"/>
      <c r="AD668" s="182"/>
      <c r="AE668" s="182"/>
      <c r="AF668" s="182"/>
      <c r="AG668" s="182"/>
      <c r="AH668" s="401"/>
      <c r="AI668" s="401"/>
      <c r="AJ668" s="401"/>
      <c r="AK668" s="401"/>
      <c r="AL668" s="401"/>
      <c r="AM668" s="189"/>
      <c r="AN668" s="829"/>
      <c r="AO668" s="830"/>
      <c r="AP668" s="401"/>
      <c r="AQ668" s="401"/>
      <c r="AR668" s="401"/>
      <c r="AS668" s="401"/>
      <c r="AT668" s="403"/>
      <c r="AU668" s="403"/>
      <c r="AV668" s="170"/>
      <c r="AW668" s="166"/>
      <c r="AX668" s="166"/>
      <c r="AY668" s="189"/>
      <c r="AZ668" s="189"/>
      <c r="BA668" s="196"/>
      <c r="BB668" s="629"/>
      <c r="BC668" s="190"/>
      <c r="BD668" s="510"/>
      <c r="BE668" s="510"/>
      <c r="BF668" s="177"/>
      <c r="BG668" s="177"/>
      <c r="BH668" s="166"/>
      <c r="BI668" s="474"/>
      <c r="BJ668" s="166"/>
      <c r="BK668" s="474"/>
      <c r="BL668" s="474"/>
      <c r="BM668" s="474"/>
      <c r="BN668" s="166"/>
      <c r="BO668" s="166"/>
      <c r="BP668" s="204"/>
      <c r="BQ668" s="475"/>
      <c r="BR668" s="205"/>
      <c r="BS668" s="509"/>
      <c r="BT668" s="509"/>
      <c r="BU668" s="459"/>
      <c r="BV668" s="459"/>
      <c r="BW668" s="1"/>
      <c r="BX668" s="1"/>
      <c r="BY668" s="546"/>
      <c r="BZ668" s="546"/>
      <c r="CA668" s="546"/>
      <c r="CB668" s="546"/>
      <c r="CC668" s="728"/>
      <c r="CD668" s="728"/>
      <c r="CE668" s="170"/>
    </row>
    <row r="669" spans="1:83" customFormat="1">
      <c r="A669" s="701"/>
      <c r="B669" s="447"/>
      <c r="C669" s="161"/>
      <c r="D669" s="162"/>
      <c r="E669" s="1"/>
      <c r="F669" s="811"/>
      <c r="G669" s="440"/>
      <c r="H669" s="1"/>
      <c r="I669" s="55"/>
      <c r="J669" s="170"/>
      <c r="K669" s="1"/>
      <c r="L669" s="170"/>
      <c r="M669" s="1"/>
      <c r="N669" s="458"/>
      <c r="O669" s="170"/>
      <c r="P669" s="441"/>
      <c r="Q669" s="55"/>
      <c r="R669" s="177"/>
      <c r="S669" s="454"/>
      <c r="T669" s="178"/>
      <c r="U669" s="178"/>
      <c r="V669" s="179"/>
      <c r="W669" s="180"/>
      <c r="X669" s="179"/>
      <c r="Y669" s="180"/>
      <c r="Z669" s="178"/>
      <c r="AA669" s="178"/>
      <c r="AB669" s="178"/>
      <c r="AC669" s="178"/>
      <c r="AD669" s="182"/>
      <c r="AE669" s="182"/>
      <c r="AF669" s="182"/>
      <c r="AG669" s="182"/>
      <c r="AH669" s="401"/>
      <c r="AI669" s="401"/>
      <c r="AJ669" s="401"/>
      <c r="AK669" s="401"/>
      <c r="AL669" s="401"/>
      <c r="AM669" s="189"/>
      <c r="AN669" s="829"/>
      <c r="AO669" s="830"/>
      <c r="AP669" s="401"/>
      <c r="AQ669" s="401"/>
      <c r="AR669" s="401"/>
      <c r="AS669" s="401"/>
      <c r="AT669" s="403"/>
      <c r="AU669" s="403"/>
      <c r="AV669" s="170"/>
      <c r="AW669" s="166"/>
      <c r="AX669" s="166"/>
      <c r="AY669" s="189"/>
      <c r="AZ669" s="189"/>
      <c r="BA669" s="196"/>
      <c r="BB669" s="629"/>
      <c r="BC669" s="190"/>
      <c r="BD669" s="510"/>
      <c r="BE669" s="510"/>
      <c r="BF669" s="177"/>
      <c r="BG669" s="177"/>
      <c r="BH669" s="166"/>
      <c r="BI669" s="474"/>
      <c r="BJ669" s="166"/>
      <c r="BK669" s="474"/>
      <c r="BL669" s="474"/>
      <c r="BM669" s="474"/>
      <c r="BN669" s="166"/>
      <c r="BO669" s="166"/>
      <c r="BP669" s="204"/>
      <c r="BQ669" s="475"/>
      <c r="BR669" s="205"/>
      <c r="BS669" s="509"/>
      <c r="BT669" s="509"/>
      <c r="BU669" s="459"/>
      <c r="BV669" s="459"/>
      <c r="BW669" s="1"/>
      <c r="BX669" s="1"/>
      <c r="BY669" s="546"/>
      <c r="BZ669" s="546"/>
      <c r="CA669" s="546"/>
      <c r="CB669" s="546"/>
      <c r="CC669" s="728"/>
      <c r="CD669" s="728"/>
      <c r="CE669" s="170"/>
    </row>
    <row r="670" spans="1:83" customFormat="1">
      <c r="A670" s="701"/>
      <c r="B670" s="447"/>
      <c r="C670" s="161"/>
      <c r="D670" s="162"/>
      <c r="E670" s="1"/>
      <c r="F670" s="811"/>
      <c r="G670" s="440"/>
      <c r="H670" s="1"/>
      <c r="I670" s="55"/>
      <c r="J670" s="457"/>
      <c r="K670" s="1"/>
      <c r="L670" s="170"/>
      <c r="M670" s="1"/>
      <c r="N670" s="458"/>
      <c r="O670" s="170"/>
      <c r="P670" s="441"/>
      <c r="Q670" s="55"/>
      <c r="R670" s="177"/>
      <c r="S670" s="454"/>
      <c r="T670" s="178"/>
      <c r="U670" s="178"/>
      <c r="V670" s="179"/>
      <c r="W670" s="180"/>
      <c r="X670" s="179"/>
      <c r="Y670" s="180"/>
      <c r="Z670" s="178"/>
      <c r="AA670" s="178"/>
      <c r="AB670" s="178"/>
      <c r="AC670" s="178"/>
      <c r="AD670" s="182"/>
      <c r="AE670" s="182"/>
      <c r="AF670" s="182"/>
      <c r="AG670" s="182"/>
      <c r="AH670" s="401"/>
      <c r="AI670" s="401"/>
      <c r="AJ670" s="401"/>
      <c r="AK670" s="401"/>
      <c r="AL670" s="401"/>
      <c r="AM670" s="189"/>
      <c r="AN670" s="829"/>
      <c r="AO670" s="830"/>
      <c r="AP670" s="401"/>
      <c r="AQ670" s="401"/>
      <c r="AR670" s="401"/>
      <c r="AS670" s="401"/>
      <c r="AT670" s="403"/>
      <c r="AU670" s="403"/>
      <c r="AV670" s="170"/>
      <c r="AW670" s="166"/>
      <c r="AX670" s="166"/>
      <c r="AY670" s="189"/>
      <c r="AZ670" s="189"/>
      <c r="BA670" s="196"/>
      <c r="BB670" s="629"/>
      <c r="BC670" s="190"/>
      <c r="BD670" s="510"/>
      <c r="BE670" s="510"/>
      <c r="BF670" s="177"/>
      <c r="BG670" s="177"/>
      <c r="BH670" s="166"/>
      <c r="BI670" s="474"/>
      <c r="BJ670" s="166"/>
      <c r="BK670" s="474"/>
      <c r="BL670" s="474"/>
      <c r="BM670" s="474"/>
      <c r="BN670" s="166"/>
      <c r="BO670" s="166"/>
      <c r="BP670" s="204"/>
      <c r="BQ670" s="475"/>
      <c r="BR670" s="205"/>
      <c r="BS670" s="509"/>
      <c r="BT670" s="509"/>
      <c r="BU670" s="459"/>
      <c r="BV670" s="459"/>
      <c r="BW670" s="1"/>
      <c r="BX670" s="1"/>
      <c r="BY670" s="546"/>
      <c r="BZ670" s="546"/>
      <c r="CA670" s="546"/>
      <c r="CB670" s="546"/>
      <c r="CC670" s="728"/>
      <c r="CD670" s="728"/>
      <c r="CE670" s="170"/>
    </row>
    <row r="671" spans="1:83" customFormat="1">
      <c r="A671" s="701"/>
      <c r="B671" s="447"/>
      <c r="C671" s="161"/>
      <c r="D671" s="162"/>
      <c r="E671" s="1"/>
      <c r="F671" s="811"/>
      <c r="G671" s="440"/>
      <c r="H671" s="1"/>
      <c r="I671" s="55"/>
      <c r="J671" s="457"/>
      <c r="K671" s="1"/>
      <c r="L671" s="170"/>
      <c r="M671" s="1"/>
      <c r="N671" s="458"/>
      <c r="O671" s="170"/>
      <c r="P671" s="441"/>
      <c r="Q671" s="55"/>
      <c r="R671" s="177"/>
      <c r="S671" s="454"/>
      <c r="T671" s="178"/>
      <c r="U671" s="178"/>
      <c r="V671" s="179"/>
      <c r="W671" s="180"/>
      <c r="X671" s="179"/>
      <c r="Y671" s="180"/>
      <c r="Z671" s="178"/>
      <c r="AA671" s="178"/>
      <c r="AB671" s="178"/>
      <c r="AC671" s="178"/>
      <c r="AD671" s="182"/>
      <c r="AE671" s="182"/>
      <c r="AF671" s="182"/>
      <c r="AG671" s="182"/>
      <c r="AH671" s="401"/>
      <c r="AI671" s="401"/>
      <c r="AJ671" s="401"/>
      <c r="AK671" s="401"/>
      <c r="AL671" s="401"/>
      <c r="AM671" s="189"/>
      <c r="AN671" s="829"/>
      <c r="AO671" s="830"/>
      <c r="AP671" s="401"/>
      <c r="AQ671" s="401"/>
      <c r="AR671" s="401"/>
      <c r="AS671" s="401"/>
      <c r="AT671" s="403"/>
      <c r="AU671" s="403"/>
      <c r="AV671" s="170"/>
      <c r="AW671" s="166"/>
      <c r="AX671" s="166"/>
      <c r="AY671" s="189"/>
      <c r="AZ671" s="189"/>
      <c r="BA671" s="196"/>
      <c r="BB671" s="629"/>
      <c r="BC671" s="190"/>
      <c r="BD671" s="510"/>
      <c r="BE671" s="510"/>
      <c r="BF671" s="177"/>
      <c r="BG671" s="177"/>
      <c r="BH671" s="166"/>
      <c r="BI671" s="474"/>
      <c r="BJ671" s="166"/>
      <c r="BK671" s="474"/>
      <c r="BL671" s="474"/>
      <c r="BM671" s="474"/>
      <c r="BN671" s="166"/>
      <c r="BO671" s="166"/>
      <c r="BP671" s="204"/>
      <c r="BQ671" s="475"/>
      <c r="BR671" s="205"/>
      <c r="BS671" s="509"/>
      <c r="BT671" s="509"/>
      <c r="BU671" s="459"/>
      <c r="BV671" s="459"/>
      <c r="BW671" s="1"/>
      <c r="BX671" s="1"/>
      <c r="BY671" s="546"/>
      <c r="BZ671" s="546"/>
      <c r="CA671" s="546"/>
      <c r="CB671" s="546"/>
      <c r="CC671" s="728"/>
      <c r="CD671" s="728"/>
      <c r="CE671" s="170"/>
    </row>
    <row r="672" spans="1:83" customFormat="1">
      <c r="A672" s="701"/>
      <c r="B672" s="447"/>
      <c r="C672" s="161"/>
      <c r="D672" s="162"/>
      <c r="E672" s="1"/>
      <c r="F672" s="811"/>
      <c r="G672" s="440"/>
      <c r="H672" s="1"/>
      <c r="I672" s="55"/>
      <c r="J672" s="170"/>
      <c r="K672" s="1"/>
      <c r="L672" s="170"/>
      <c r="M672" s="1"/>
      <c r="N672" s="458"/>
      <c r="O672" s="170"/>
      <c r="P672" s="441"/>
      <c r="Q672" s="55"/>
      <c r="R672" s="177"/>
      <c r="S672" s="454"/>
      <c r="T672" s="178"/>
      <c r="U672" s="178"/>
      <c r="V672" s="179"/>
      <c r="W672" s="180"/>
      <c r="X672" s="179"/>
      <c r="Y672" s="180"/>
      <c r="Z672" s="178"/>
      <c r="AA672" s="178"/>
      <c r="AB672" s="178"/>
      <c r="AC672" s="178"/>
      <c r="AD672" s="182"/>
      <c r="AE672" s="182"/>
      <c r="AF672" s="182"/>
      <c r="AG672" s="182"/>
      <c r="AH672" s="401"/>
      <c r="AI672" s="401"/>
      <c r="AJ672" s="401"/>
      <c r="AK672" s="401"/>
      <c r="AL672" s="401"/>
      <c r="AM672" s="189"/>
      <c r="AN672" s="829"/>
      <c r="AO672" s="830"/>
      <c r="AP672" s="401"/>
      <c r="AQ672" s="401"/>
      <c r="AR672" s="401"/>
      <c r="AS672" s="401"/>
      <c r="AT672" s="403"/>
      <c r="AU672" s="403"/>
      <c r="AV672" s="170"/>
      <c r="AW672" s="166"/>
      <c r="AX672" s="166"/>
      <c r="AY672" s="189"/>
      <c r="AZ672" s="189"/>
      <c r="BA672" s="196"/>
      <c r="BB672" s="629"/>
      <c r="BC672" s="190"/>
      <c r="BD672" s="510"/>
      <c r="BE672" s="510"/>
      <c r="BF672" s="177"/>
      <c r="BG672" s="177"/>
      <c r="BH672" s="166"/>
      <c r="BI672" s="474"/>
      <c r="BJ672" s="166"/>
      <c r="BK672" s="474"/>
      <c r="BL672" s="474"/>
      <c r="BM672" s="474"/>
      <c r="BN672" s="166"/>
      <c r="BO672" s="166"/>
      <c r="BP672" s="204"/>
      <c r="BQ672" s="475"/>
      <c r="BR672" s="205"/>
      <c r="BS672" s="509"/>
      <c r="BT672" s="509"/>
      <c r="BU672" s="459"/>
      <c r="BV672" s="459"/>
      <c r="BW672" s="1"/>
      <c r="BX672" s="1"/>
      <c r="BY672" s="546"/>
      <c r="BZ672" s="546"/>
      <c r="CA672" s="546"/>
      <c r="CB672" s="546"/>
      <c r="CC672" s="728"/>
      <c r="CD672" s="728"/>
      <c r="CE672" s="170"/>
    </row>
    <row r="673" spans="1:83" customFormat="1">
      <c r="A673" s="701"/>
      <c r="B673" s="447"/>
      <c r="C673" s="161"/>
      <c r="D673" s="162"/>
      <c r="E673" s="1"/>
      <c r="F673" s="811"/>
      <c r="G673" s="440"/>
      <c r="H673" s="1"/>
      <c r="I673" s="55"/>
      <c r="J673" s="170"/>
      <c r="K673" s="1"/>
      <c r="L673" s="170"/>
      <c r="M673" s="1"/>
      <c r="N673" s="458"/>
      <c r="O673" s="170"/>
      <c r="P673" s="441"/>
      <c r="Q673" s="55"/>
      <c r="R673" s="177"/>
      <c r="S673" s="454"/>
      <c r="T673" s="178"/>
      <c r="U673" s="178"/>
      <c r="V673" s="179"/>
      <c r="W673" s="180"/>
      <c r="X673" s="179"/>
      <c r="Y673" s="180"/>
      <c r="Z673" s="178"/>
      <c r="AA673" s="178"/>
      <c r="AB673" s="178"/>
      <c r="AC673" s="178"/>
      <c r="AD673" s="182"/>
      <c r="AE673" s="182"/>
      <c r="AF673" s="182"/>
      <c r="AG673" s="182"/>
      <c r="AH673" s="401"/>
      <c r="AI673" s="401"/>
      <c r="AJ673" s="401"/>
      <c r="AK673" s="401"/>
      <c r="AL673" s="401"/>
      <c r="AM673" s="189"/>
      <c r="AN673" s="829"/>
      <c r="AO673" s="830"/>
      <c r="AP673" s="401"/>
      <c r="AQ673" s="401"/>
      <c r="AR673" s="401"/>
      <c r="AS673" s="401"/>
      <c r="AT673" s="403"/>
      <c r="AU673" s="403"/>
      <c r="AV673" s="170"/>
      <c r="AW673" s="166"/>
      <c r="AX673" s="166"/>
      <c r="AY673" s="189"/>
      <c r="AZ673" s="189"/>
      <c r="BA673" s="196"/>
      <c r="BB673" s="629"/>
      <c r="BC673" s="190"/>
      <c r="BD673" s="510"/>
      <c r="BE673" s="510"/>
      <c r="BF673" s="177"/>
      <c r="BG673" s="177"/>
      <c r="BH673" s="166"/>
      <c r="BI673" s="474"/>
      <c r="BJ673" s="166"/>
      <c r="BK673" s="474"/>
      <c r="BL673" s="474"/>
      <c r="BM673" s="474"/>
      <c r="BN673" s="166"/>
      <c r="BO673" s="166"/>
      <c r="BP673" s="204"/>
      <c r="BQ673" s="475"/>
      <c r="BR673" s="205"/>
      <c r="BS673" s="509"/>
      <c r="BT673" s="509"/>
      <c r="BU673" s="459"/>
      <c r="BV673" s="459"/>
      <c r="BW673" s="1"/>
      <c r="BX673" s="1"/>
      <c r="BY673" s="546"/>
      <c r="BZ673" s="546"/>
      <c r="CA673" s="546"/>
      <c r="CB673" s="546"/>
      <c r="CC673" s="728"/>
      <c r="CD673" s="728"/>
      <c r="CE673" s="170"/>
    </row>
    <row r="674" spans="1:83" customFormat="1">
      <c r="A674" s="701"/>
      <c r="B674" s="447"/>
      <c r="C674" s="1"/>
      <c r="D674" s="538"/>
      <c r="E674" s="1"/>
      <c r="F674" s="811"/>
      <c r="G674" s="440"/>
      <c r="H674" s="1"/>
      <c r="J674" s="171"/>
      <c r="K674" s="55"/>
      <c r="L674" s="171"/>
      <c r="M674" s="55"/>
      <c r="N674" s="172"/>
      <c r="O674" s="170"/>
      <c r="P674" s="139"/>
      <c r="Q674" s="171"/>
      <c r="R674" s="181"/>
      <c r="S674" s="455"/>
      <c r="T674" s="170"/>
      <c r="U674" s="170"/>
      <c r="V674" s="1"/>
      <c r="W674" s="173"/>
      <c r="X674" s="1"/>
      <c r="Y674" s="166"/>
      <c r="Z674" s="170"/>
      <c r="AA674" s="170"/>
      <c r="AB674" s="170"/>
      <c r="AC674" s="170"/>
      <c r="AD674" s="182"/>
      <c r="AE674" s="182"/>
      <c r="AF674" s="182"/>
      <c r="AG674" s="182"/>
      <c r="AH674" s="189"/>
      <c r="AI674" s="401"/>
      <c r="AJ674" s="189"/>
      <c r="AK674" s="401"/>
      <c r="AL674" s="401"/>
      <c r="AM674" s="189"/>
      <c r="AN674" s="782"/>
      <c r="AO674" s="189"/>
      <c r="AP674" s="401"/>
      <c r="AQ674" s="401"/>
      <c r="AR674" s="401"/>
      <c r="AS674" s="188"/>
      <c r="AT674" s="1"/>
      <c r="AU674" s="403"/>
      <c r="AV674" s="1"/>
      <c r="AW674" s="166"/>
      <c r="AX674" s="166"/>
      <c r="AY674" s="189"/>
      <c r="AZ674" s="189"/>
      <c r="BA674" s="196"/>
      <c r="BB674" s="629"/>
      <c r="BC674" s="197"/>
      <c r="BD674" s="510"/>
      <c r="BE674" s="510"/>
      <c r="BF674" s="177"/>
      <c r="BG674" s="177"/>
      <c r="BH674" s="166"/>
      <c r="BI674" s="474"/>
      <c r="BJ674" s="166"/>
      <c r="BK674" s="474"/>
      <c r="BL674" s="474"/>
      <c r="BM674" s="474"/>
      <c r="BN674" s="166"/>
      <c r="BO674" s="166"/>
      <c r="BP674" s="204"/>
      <c r="BQ674" s="475"/>
      <c r="BR674" s="205"/>
      <c r="BS674" s="509"/>
      <c r="BT674" s="509"/>
      <c r="BU674" s="459"/>
      <c r="BV674" s="459"/>
      <c r="BW674" s="1"/>
      <c r="BX674" s="1"/>
      <c r="BY674" s="546"/>
      <c r="BZ674" s="546"/>
      <c r="CA674" s="546"/>
      <c r="CB674" s="546"/>
      <c r="CC674" s="728"/>
      <c r="CD674" s="728"/>
      <c r="CE674" s="170"/>
    </row>
    <row r="675" spans="1:83" customFormat="1">
      <c r="A675" s="701"/>
      <c r="B675" s="447"/>
      <c r="C675" s="161"/>
      <c r="D675" s="162"/>
      <c r="E675" s="1"/>
      <c r="F675" s="811"/>
      <c r="G675" s="440"/>
      <c r="H675" s="1"/>
      <c r="I675" s="55"/>
      <c r="J675" s="170"/>
      <c r="K675" s="1"/>
      <c r="L675" s="170"/>
      <c r="M675" s="1"/>
      <c r="N675" s="458"/>
      <c r="O675" s="170"/>
      <c r="P675" s="441"/>
      <c r="Q675" s="55"/>
      <c r="R675" s="177"/>
      <c r="S675" s="454"/>
      <c r="T675" s="178"/>
      <c r="U675" s="178"/>
      <c r="V675" s="179"/>
      <c r="W675" s="180"/>
      <c r="X675" s="179"/>
      <c r="Y675" s="180"/>
      <c r="Z675" s="178"/>
      <c r="AA675" s="178"/>
      <c r="AB675" s="178"/>
      <c r="AC675" s="178"/>
      <c r="AD675" s="182"/>
      <c r="AE675" s="182"/>
      <c r="AF675" s="182"/>
      <c r="AG675" s="182"/>
      <c r="AH675" s="401"/>
      <c r="AI675" s="401"/>
      <c r="AJ675" s="401"/>
      <c r="AK675" s="401"/>
      <c r="AL675" s="401"/>
      <c r="AM675" s="189"/>
      <c r="AN675" s="829"/>
      <c r="AO675" s="830"/>
      <c r="AP675" s="401"/>
      <c r="AQ675" s="401"/>
      <c r="AR675" s="401"/>
      <c r="AS675" s="401"/>
      <c r="AT675" s="403"/>
      <c r="AU675" s="403"/>
      <c r="AV675" s="170"/>
      <c r="AW675" s="166"/>
      <c r="AX675" s="166"/>
      <c r="AY675" s="189"/>
      <c r="AZ675" s="189"/>
      <c r="BA675" s="196"/>
      <c r="BB675" s="629"/>
      <c r="BC675" s="190"/>
      <c r="BD675" s="510"/>
      <c r="BE675" s="510"/>
      <c r="BF675" s="177"/>
      <c r="BG675" s="177"/>
      <c r="BH675" s="166"/>
      <c r="BI675" s="474"/>
      <c r="BJ675" s="166"/>
      <c r="BK675" s="474"/>
      <c r="BL675" s="474"/>
      <c r="BM675" s="474"/>
      <c r="BN675" s="166"/>
      <c r="BO675" s="166"/>
      <c r="BP675" s="204"/>
      <c r="BQ675" s="475"/>
      <c r="BR675" s="205"/>
      <c r="BS675" s="509"/>
      <c r="BT675" s="509"/>
      <c r="BU675" s="459"/>
      <c r="BV675" s="459"/>
      <c r="BW675" s="1"/>
      <c r="BX675" s="1"/>
      <c r="BY675" s="546"/>
      <c r="BZ675" s="546"/>
      <c r="CA675" s="546"/>
      <c r="CB675" s="546"/>
      <c r="CC675" s="728"/>
      <c r="CD675" s="728"/>
      <c r="CE675" s="170"/>
    </row>
    <row r="676" spans="1:83" customFormat="1">
      <c r="A676" s="701"/>
      <c r="B676" s="447"/>
      <c r="C676" s="161"/>
      <c r="D676" s="162"/>
      <c r="E676" s="1"/>
      <c r="F676" s="811"/>
      <c r="G676" s="440"/>
      <c r="H676" s="1"/>
      <c r="I676" s="55"/>
      <c r="J676" s="170"/>
      <c r="K676" s="1"/>
      <c r="L676" s="170"/>
      <c r="M676" s="1"/>
      <c r="N676" s="458"/>
      <c r="O676" s="170"/>
      <c r="P676" s="441"/>
      <c r="Q676" s="55"/>
      <c r="R676" s="177"/>
      <c r="S676" s="454"/>
      <c r="T676" s="178"/>
      <c r="U676" s="178"/>
      <c r="V676" s="179"/>
      <c r="W676" s="180"/>
      <c r="X676" s="179"/>
      <c r="Y676" s="180"/>
      <c r="Z676" s="178"/>
      <c r="AA676" s="178"/>
      <c r="AB676" s="178"/>
      <c r="AC676" s="178"/>
      <c r="AD676" s="182"/>
      <c r="AE676" s="182"/>
      <c r="AF676" s="182"/>
      <c r="AG676" s="182"/>
      <c r="AH676" s="401"/>
      <c r="AI676" s="401"/>
      <c r="AJ676" s="401"/>
      <c r="AK676" s="401"/>
      <c r="AL676" s="401"/>
      <c r="AM676" s="189"/>
      <c r="AN676" s="829"/>
      <c r="AO676" s="830"/>
      <c r="AP676" s="401"/>
      <c r="AQ676" s="401"/>
      <c r="AR676" s="401"/>
      <c r="AS676" s="401"/>
      <c r="AT676" s="403"/>
      <c r="AU676" s="403"/>
      <c r="AV676" s="170"/>
      <c r="AW676" s="166"/>
      <c r="AX676" s="166"/>
      <c r="AY676" s="189"/>
      <c r="AZ676" s="189"/>
      <c r="BA676" s="196"/>
      <c r="BB676" s="629"/>
      <c r="BC676" s="190"/>
      <c r="BD676" s="510"/>
      <c r="BE676" s="510"/>
      <c r="BF676" s="177"/>
      <c r="BG676" s="177"/>
      <c r="BH676" s="166"/>
      <c r="BI676" s="474"/>
      <c r="BJ676" s="166"/>
      <c r="BK676" s="474"/>
      <c r="BL676" s="474"/>
      <c r="BM676" s="474"/>
      <c r="BN676" s="166"/>
      <c r="BO676" s="166"/>
      <c r="BP676" s="204"/>
      <c r="BQ676" s="475"/>
      <c r="BR676" s="205"/>
      <c r="BS676" s="509"/>
      <c r="BT676" s="509"/>
      <c r="BU676" s="459"/>
      <c r="BV676" s="459"/>
      <c r="BW676" s="1"/>
      <c r="BX676" s="1"/>
      <c r="BY676" s="546"/>
      <c r="BZ676" s="546"/>
      <c r="CA676" s="546"/>
      <c r="CB676" s="546"/>
      <c r="CC676" s="728"/>
      <c r="CD676" s="728"/>
      <c r="CE676" s="170"/>
    </row>
    <row r="677" spans="1:83" customFormat="1">
      <c r="A677" s="701"/>
      <c r="B677" s="447"/>
      <c r="C677" s="161"/>
      <c r="D677" s="162"/>
      <c r="E677" s="1"/>
      <c r="F677" s="811"/>
      <c r="G677" s="440"/>
      <c r="H677" s="1"/>
      <c r="I677" s="55"/>
      <c r="J677" s="457"/>
      <c r="K677" s="1"/>
      <c r="L677" s="170"/>
      <c r="M677" s="1"/>
      <c r="N677" s="458"/>
      <c r="O677" s="170"/>
      <c r="P677" s="441"/>
      <c r="Q677" s="55"/>
      <c r="R677" s="177"/>
      <c r="S677" s="454"/>
      <c r="T677" s="178"/>
      <c r="U677" s="178"/>
      <c r="V677" s="179"/>
      <c r="W677" s="180"/>
      <c r="X677" s="179"/>
      <c r="Y677" s="180"/>
      <c r="Z677" s="178"/>
      <c r="AA677" s="178"/>
      <c r="AB677" s="178"/>
      <c r="AC677" s="178"/>
      <c r="AD677" s="182"/>
      <c r="AE677" s="182"/>
      <c r="AF677" s="182"/>
      <c r="AG677" s="182"/>
      <c r="AH677" s="401"/>
      <c r="AI677" s="401"/>
      <c r="AJ677" s="401"/>
      <c r="AK677" s="401"/>
      <c r="AL677" s="401"/>
      <c r="AM677" s="189"/>
      <c r="AN677" s="829"/>
      <c r="AO677" s="830"/>
      <c r="AP677" s="401"/>
      <c r="AQ677" s="401"/>
      <c r="AR677" s="401"/>
      <c r="AS677" s="401"/>
      <c r="AT677" s="403"/>
      <c r="AU677" s="403"/>
      <c r="AV677" s="170"/>
      <c r="AW677" s="166"/>
      <c r="AX677" s="166"/>
      <c r="AY677" s="189"/>
      <c r="AZ677" s="189"/>
      <c r="BA677" s="196"/>
      <c r="BB677" s="629"/>
      <c r="BC677" s="190"/>
      <c r="BD677" s="510"/>
      <c r="BE677" s="510"/>
      <c r="BF677" s="177"/>
      <c r="BG677" s="177"/>
      <c r="BH677" s="166"/>
      <c r="BI677" s="474"/>
      <c r="BJ677" s="166"/>
      <c r="BK677" s="474"/>
      <c r="BL677" s="474"/>
      <c r="BM677" s="474"/>
      <c r="BN677" s="166"/>
      <c r="BO677" s="166"/>
      <c r="BP677" s="204"/>
      <c r="BQ677" s="475"/>
      <c r="BR677" s="205"/>
      <c r="BS677" s="509"/>
      <c r="BT677" s="509"/>
      <c r="BU677" s="459"/>
      <c r="BV677" s="459"/>
      <c r="BW677" s="1"/>
      <c r="BX677" s="1"/>
      <c r="BY677" s="546"/>
      <c r="BZ677" s="546"/>
      <c r="CA677" s="546"/>
      <c r="CB677" s="546"/>
      <c r="CC677" s="728"/>
      <c r="CD677" s="728"/>
      <c r="CE677" s="170"/>
    </row>
    <row r="678" spans="1:83" customFormat="1">
      <c r="A678" s="701"/>
      <c r="B678" s="447"/>
      <c r="C678" s="161"/>
      <c r="D678" s="162"/>
      <c r="E678" s="1"/>
      <c r="F678" s="811"/>
      <c r="G678" s="440"/>
      <c r="H678" s="1"/>
      <c r="I678" s="55"/>
      <c r="J678" s="457"/>
      <c r="K678" s="1"/>
      <c r="L678" s="170"/>
      <c r="M678" s="1"/>
      <c r="N678" s="458"/>
      <c r="O678" s="170"/>
      <c r="P678" s="441"/>
      <c r="Q678" s="55"/>
      <c r="R678" s="177"/>
      <c r="S678" s="454"/>
      <c r="T678" s="178"/>
      <c r="U678" s="178"/>
      <c r="V678" s="179"/>
      <c r="W678" s="180"/>
      <c r="X678" s="179"/>
      <c r="Y678" s="180"/>
      <c r="Z678" s="178"/>
      <c r="AA678" s="178"/>
      <c r="AB678" s="178"/>
      <c r="AC678" s="178"/>
      <c r="AD678" s="182"/>
      <c r="AE678" s="182"/>
      <c r="AF678" s="182"/>
      <c r="AG678" s="182"/>
      <c r="AH678" s="401"/>
      <c r="AI678" s="401"/>
      <c r="AJ678" s="401"/>
      <c r="AK678" s="401"/>
      <c r="AL678" s="401"/>
      <c r="AM678" s="189"/>
      <c r="AN678" s="829"/>
      <c r="AO678" s="830"/>
      <c r="AP678" s="401"/>
      <c r="AQ678" s="401"/>
      <c r="AR678" s="401"/>
      <c r="AS678" s="401"/>
      <c r="AT678" s="403"/>
      <c r="AU678" s="403"/>
      <c r="AV678" s="170"/>
      <c r="AW678" s="166"/>
      <c r="AX678" s="166"/>
      <c r="AY678" s="189"/>
      <c r="AZ678" s="189"/>
      <c r="BA678" s="196"/>
      <c r="BB678" s="629"/>
      <c r="BC678" s="190"/>
      <c r="BD678" s="510"/>
      <c r="BE678" s="510"/>
      <c r="BF678" s="177"/>
      <c r="BG678" s="177"/>
      <c r="BH678" s="166"/>
      <c r="BI678" s="474"/>
      <c r="BJ678" s="166"/>
      <c r="BK678" s="474"/>
      <c r="BL678" s="474"/>
      <c r="BM678" s="474"/>
      <c r="BN678" s="166"/>
      <c r="BO678" s="166"/>
      <c r="BP678" s="204"/>
      <c r="BQ678" s="475"/>
      <c r="BR678" s="205"/>
      <c r="BS678" s="509"/>
      <c r="BT678" s="509"/>
      <c r="BU678" s="459"/>
      <c r="BV678" s="459"/>
      <c r="BW678" s="1"/>
      <c r="BX678" s="1"/>
      <c r="BY678" s="546"/>
      <c r="BZ678" s="546"/>
      <c r="CA678" s="546"/>
      <c r="CB678" s="546"/>
      <c r="CC678" s="728"/>
      <c r="CD678" s="728"/>
      <c r="CE678" s="170"/>
    </row>
    <row r="679" spans="1:83" customFormat="1">
      <c r="A679" s="701"/>
      <c r="B679" s="447"/>
      <c r="C679" s="161"/>
      <c r="D679" s="162"/>
      <c r="E679" s="1"/>
      <c r="F679" s="811"/>
      <c r="G679" s="440"/>
      <c r="H679" s="1"/>
      <c r="I679" s="55"/>
      <c r="J679" s="170"/>
      <c r="K679" s="1"/>
      <c r="L679" s="170"/>
      <c r="M679" s="1"/>
      <c r="N679" s="458"/>
      <c r="O679" s="170"/>
      <c r="P679" s="441"/>
      <c r="Q679" s="55"/>
      <c r="R679" s="177"/>
      <c r="S679" s="454"/>
      <c r="T679" s="178"/>
      <c r="U679" s="178"/>
      <c r="V679" s="179"/>
      <c r="W679" s="180"/>
      <c r="X679" s="179"/>
      <c r="Y679" s="180"/>
      <c r="Z679" s="178"/>
      <c r="AA679" s="178"/>
      <c r="AB679" s="178"/>
      <c r="AC679" s="178"/>
      <c r="AD679" s="182"/>
      <c r="AE679" s="182"/>
      <c r="AF679" s="182"/>
      <c r="AG679" s="182"/>
      <c r="AH679" s="401"/>
      <c r="AI679" s="401"/>
      <c r="AJ679" s="401"/>
      <c r="AK679" s="401"/>
      <c r="AL679" s="401"/>
      <c r="AM679" s="189"/>
      <c r="AN679" s="829"/>
      <c r="AO679" s="830"/>
      <c r="AP679" s="401"/>
      <c r="AQ679" s="401"/>
      <c r="AR679" s="401"/>
      <c r="AS679" s="401"/>
      <c r="AT679" s="403"/>
      <c r="AU679" s="403"/>
      <c r="AV679" s="170"/>
      <c r="AW679" s="166"/>
      <c r="AX679" s="166"/>
      <c r="AY679" s="189"/>
      <c r="AZ679" s="189"/>
      <c r="BA679" s="196"/>
      <c r="BB679" s="629"/>
      <c r="BC679" s="190"/>
      <c r="BD679" s="510"/>
      <c r="BE679" s="510"/>
      <c r="BF679" s="177"/>
      <c r="BG679" s="177"/>
      <c r="BH679" s="166"/>
      <c r="BI679" s="474"/>
      <c r="BJ679" s="166"/>
      <c r="BK679" s="474"/>
      <c r="BL679" s="474"/>
      <c r="BM679" s="474"/>
      <c r="BN679" s="166"/>
      <c r="BO679" s="166"/>
      <c r="BP679" s="204"/>
      <c r="BQ679" s="475"/>
      <c r="BR679" s="205"/>
      <c r="BS679" s="509"/>
      <c r="BT679" s="509"/>
      <c r="BU679" s="459"/>
      <c r="BV679" s="459"/>
      <c r="BW679" s="1"/>
      <c r="BX679" s="1"/>
      <c r="BY679" s="546"/>
      <c r="BZ679" s="546"/>
      <c r="CA679" s="546"/>
      <c r="CB679" s="546"/>
      <c r="CC679" s="728"/>
      <c r="CD679" s="728"/>
      <c r="CE679" s="170"/>
    </row>
    <row r="680" spans="1:83" customFormat="1">
      <c r="A680" s="701"/>
      <c r="B680" s="447"/>
      <c r="C680" s="161"/>
      <c r="D680" s="162"/>
      <c r="E680" s="1"/>
      <c r="F680" s="811"/>
      <c r="G680" s="440"/>
      <c r="H680" s="1"/>
      <c r="I680" s="55"/>
      <c r="J680" s="457"/>
      <c r="K680" s="1"/>
      <c r="L680" s="170"/>
      <c r="M680" s="1"/>
      <c r="N680" s="458"/>
      <c r="O680" s="170"/>
      <c r="P680" s="441"/>
      <c r="Q680" s="55"/>
      <c r="R680" s="177"/>
      <c r="S680" s="454"/>
      <c r="T680" s="178"/>
      <c r="U680" s="178"/>
      <c r="V680" s="179"/>
      <c r="W680" s="180"/>
      <c r="X680" s="179"/>
      <c r="Y680" s="180"/>
      <c r="Z680" s="178"/>
      <c r="AA680" s="178"/>
      <c r="AB680" s="178"/>
      <c r="AC680" s="178"/>
      <c r="AD680" s="182"/>
      <c r="AE680" s="182"/>
      <c r="AF680" s="182"/>
      <c r="AG680" s="182"/>
      <c r="AH680" s="401"/>
      <c r="AI680" s="401"/>
      <c r="AJ680" s="401"/>
      <c r="AK680" s="401"/>
      <c r="AL680" s="401"/>
      <c r="AM680" s="189"/>
      <c r="AN680" s="829"/>
      <c r="AO680" s="830"/>
      <c r="AP680" s="401"/>
      <c r="AQ680" s="401"/>
      <c r="AR680" s="401"/>
      <c r="AS680" s="401"/>
      <c r="AT680" s="403"/>
      <c r="AU680" s="403"/>
      <c r="AV680" s="170"/>
      <c r="AW680" s="166"/>
      <c r="AX680" s="166"/>
      <c r="AY680" s="189"/>
      <c r="AZ680" s="189"/>
      <c r="BA680" s="196"/>
      <c r="BB680" s="629"/>
      <c r="BC680" s="190"/>
      <c r="BD680" s="510"/>
      <c r="BE680" s="510"/>
      <c r="BF680" s="177"/>
      <c r="BG680" s="177"/>
      <c r="BH680" s="166"/>
      <c r="BI680" s="474"/>
      <c r="BJ680" s="166"/>
      <c r="BK680" s="474"/>
      <c r="BL680" s="474"/>
      <c r="BM680" s="474"/>
      <c r="BN680" s="166"/>
      <c r="BO680" s="166"/>
      <c r="BP680" s="204"/>
      <c r="BQ680" s="475"/>
      <c r="BR680" s="205"/>
      <c r="BS680" s="509"/>
      <c r="BT680" s="509"/>
      <c r="BU680" s="459"/>
      <c r="BV680" s="459"/>
      <c r="BW680" s="1"/>
      <c r="BX680" s="1"/>
      <c r="BY680" s="546"/>
      <c r="BZ680" s="546"/>
      <c r="CA680" s="546"/>
      <c r="CB680" s="546"/>
      <c r="CC680" s="728"/>
      <c r="CD680" s="728"/>
      <c r="CE680" s="170"/>
    </row>
    <row r="681" spans="1:83" customFormat="1">
      <c r="A681" s="701"/>
      <c r="B681" s="447"/>
      <c r="C681" s="161"/>
      <c r="D681" s="162"/>
      <c r="E681" s="1"/>
      <c r="F681" s="811"/>
      <c r="G681" s="440"/>
      <c r="H681" s="1"/>
      <c r="I681" s="55"/>
      <c r="J681" s="457"/>
      <c r="K681" s="1"/>
      <c r="L681" s="170"/>
      <c r="M681" s="1"/>
      <c r="N681" s="458"/>
      <c r="O681" s="170"/>
      <c r="P681" s="441"/>
      <c r="Q681" s="55"/>
      <c r="R681" s="177"/>
      <c r="S681" s="454"/>
      <c r="T681" s="178"/>
      <c r="U681" s="178"/>
      <c r="V681" s="179"/>
      <c r="W681" s="180"/>
      <c r="X681" s="179"/>
      <c r="Y681" s="180"/>
      <c r="Z681" s="178"/>
      <c r="AA681" s="178"/>
      <c r="AB681" s="178"/>
      <c r="AC681" s="178"/>
      <c r="AD681" s="182"/>
      <c r="AE681" s="182"/>
      <c r="AF681" s="182"/>
      <c r="AG681" s="182"/>
      <c r="AH681" s="401"/>
      <c r="AI681" s="401"/>
      <c r="AJ681" s="401"/>
      <c r="AK681" s="401"/>
      <c r="AL681" s="401"/>
      <c r="AM681" s="189"/>
      <c r="AN681" s="829"/>
      <c r="AO681" s="830"/>
      <c r="AP681" s="401"/>
      <c r="AQ681" s="401"/>
      <c r="AR681" s="401"/>
      <c r="AS681" s="401"/>
      <c r="AT681" s="403"/>
      <c r="AU681" s="403"/>
      <c r="AV681" s="170"/>
      <c r="AW681" s="166"/>
      <c r="AX681" s="166"/>
      <c r="AY681" s="189"/>
      <c r="AZ681" s="189"/>
      <c r="BA681" s="196"/>
      <c r="BB681" s="629"/>
      <c r="BC681" s="190"/>
      <c r="BD681" s="510"/>
      <c r="BE681" s="510"/>
      <c r="BF681" s="177"/>
      <c r="BG681" s="177"/>
      <c r="BH681" s="166"/>
      <c r="BI681" s="474"/>
      <c r="BJ681" s="166"/>
      <c r="BK681" s="474"/>
      <c r="BL681" s="474"/>
      <c r="BM681" s="474"/>
      <c r="BN681" s="166"/>
      <c r="BO681" s="166"/>
      <c r="BP681" s="204"/>
      <c r="BQ681" s="475"/>
      <c r="BR681" s="205"/>
      <c r="BS681" s="509"/>
      <c r="BT681" s="509"/>
      <c r="BU681" s="459"/>
      <c r="BV681" s="459"/>
      <c r="BW681" s="1"/>
      <c r="BX681" s="1"/>
      <c r="BY681" s="546"/>
      <c r="BZ681" s="546"/>
      <c r="CA681" s="546"/>
      <c r="CB681" s="546"/>
      <c r="CC681" s="728"/>
      <c r="CD681" s="728"/>
      <c r="CE681" s="170"/>
    </row>
    <row r="682" spans="1:83" customFormat="1">
      <c r="A682" s="701"/>
      <c r="B682" s="447"/>
      <c r="C682" s="161"/>
      <c r="D682" s="162"/>
      <c r="E682" s="1"/>
      <c r="F682" s="811"/>
      <c r="G682" s="440"/>
      <c r="H682" s="1"/>
      <c r="I682" s="55"/>
      <c r="J682" s="170"/>
      <c r="K682" s="1"/>
      <c r="L682" s="170"/>
      <c r="M682" s="1"/>
      <c r="N682" s="458"/>
      <c r="O682" s="170"/>
      <c r="P682" s="441"/>
      <c r="Q682" s="55"/>
      <c r="R682" s="177"/>
      <c r="S682" s="454"/>
      <c r="T682" s="178"/>
      <c r="U682" s="178"/>
      <c r="V682" s="179"/>
      <c r="W682" s="180"/>
      <c r="X682" s="179"/>
      <c r="Y682" s="180"/>
      <c r="Z682" s="178"/>
      <c r="AA682" s="178"/>
      <c r="AB682" s="178"/>
      <c r="AC682" s="178"/>
      <c r="AD682" s="182"/>
      <c r="AE682" s="182"/>
      <c r="AF682" s="182"/>
      <c r="AG682" s="182"/>
      <c r="AH682" s="401"/>
      <c r="AI682" s="401"/>
      <c r="AJ682" s="401"/>
      <c r="AK682" s="401"/>
      <c r="AL682" s="401"/>
      <c r="AM682" s="189"/>
      <c r="AN682" s="829"/>
      <c r="AO682" s="830"/>
      <c r="AP682" s="401"/>
      <c r="AQ682" s="401"/>
      <c r="AR682" s="401"/>
      <c r="AS682" s="401"/>
      <c r="AT682" s="403"/>
      <c r="AU682" s="403"/>
      <c r="AV682" s="170"/>
      <c r="AW682" s="166"/>
      <c r="AX682" s="166"/>
      <c r="AY682" s="189"/>
      <c r="AZ682" s="189"/>
      <c r="BA682" s="196"/>
      <c r="BB682" s="629"/>
      <c r="BC682" s="190"/>
      <c r="BD682" s="510"/>
      <c r="BE682" s="510"/>
      <c r="BF682" s="177"/>
      <c r="BG682" s="177"/>
      <c r="BH682" s="166"/>
      <c r="BI682" s="474"/>
      <c r="BJ682" s="166"/>
      <c r="BK682" s="474"/>
      <c r="BL682" s="474"/>
      <c r="BM682" s="474"/>
      <c r="BN682" s="166"/>
      <c r="BO682" s="166"/>
      <c r="BP682" s="204"/>
      <c r="BQ682" s="475"/>
      <c r="BR682" s="205"/>
      <c r="BS682" s="509"/>
      <c r="BT682" s="509"/>
      <c r="BU682" s="459"/>
      <c r="BV682" s="459"/>
      <c r="BW682" s="1"/>
      <c r="BX682" s="1"/>
      <c r="BY682" s="546"/>
      <c r="BZ682" s="546"/>
      <c r="CA682" s="546"/>
      <c r="CB682" s="546"/>
      <c r="CC682" s="728"/>
      <c r="CD682" s="728"/>
      <c r="CE682" s="170"/>
    </row>
    <row r="683" spans="1:83" customFormat="1">
      <c r="A683" s="701"/>
      <c r="B683" s="447"/>
      <c r="C683" s="161"/>
      <c r="D683" s="162"/>
      <c r="E683" s="1"/>
      <c r="F683" s="811"/>
      <c r="G683" s="440"/>
      <c r="H683" s="1"/>
      <c r="I683" s="55"/>
      <c r="J683" s="170"/>
      <c r="K683" s="1"/>
      <c r="L683" s="170"/>
      <c r="M683" s="1"/>
      <c r="N683" s="458"/>
      <c r="O683" s="170"/>
      <c r="P683" s="441"/>
      <c r="Q683" s="55"/>
      <c r="R683" s="177"/>
      <c r="S683" s="454"/>
      <c r="T683" s="178"/>
      <c r="U683" s="178"/>
      <c r="V683" s="179"/>
      <c r="W683" s="180"/>
      <c r="X683" s="179"/>
      <c r="Y683" s="180"/>
      <c r="Z683" s="178"/>
      <c r="AA683" s="178"/>
      <c r="AB683" s="178"/>
      <c r="AC683" s="178"/>
      <c r="AD683" s="182"/>
      <c r="AE683" s="182"/>
      <c r="AF683" s="182"/>
      <c r="AG683" s="182"/>
      <c r="AH683" s="401"/>
      <c r="AI683" s="401"/>
      <c r="AJ683" s="401"/>
      <c r="AK683" s="401"/>
      <c r="AL683" s="401"/>
      <c r="AM683" s="189"/>
      <c r="AN683" s="829"/>
      <c r="AO683" s="830"/>
      <c r="AP683" s="401"/>
      <c r="AQ683" s="401"/>
      <c r="AR683" s="401"/>
      <c r="AS683" s="401"/>
      <c r="AT683" s="403"/>
      <c r="AU683" s="403"/>
      <c r="AV683" s="170"/>
      <c r="AW683" s="166"/>
      <c r="AX683" s="166"/>
      <c r="AY683" s="189"/>
      <c r="AZ683" s="189"/>
      <c r="BA683" s="196"/>
      <c r="BB683" s="629"/>
      <c r="BC683" s="190"/>
      <c r="BD683" s="510"/>
      <c r="BE683" s="510"/>
      <c r="BF683" s="177"/>
      <c r="BG683" s="177"/>
      <c r="BH683" s="166"/>
      <c r="BI683" s="474"/>
      <c r="BJ683" s="166"/>
      <c r="BK683" s="474"/>
      <c r="BL683" s="474"/>
      <c r="BM683" s="474"/>
      <c r="BN683" s="166"/>
      <c r="BO683" s="166"/>
      <c r="BP683" s="204"/>
      <c r="BQ683" s="475"/>
      <c r="BR683" s="205"/>
      <c r="BS683" s="509"/>
      <c r="BT683" s="509"/>
      <c r="BU683" s="459"/>
      <c r="BV683" s="459"/>
      <c r="BW683" s="1"/>
      <c r="BX683" s="1"/>
      <c r="BY683" s="546"/>
      <c r="BZ683" s="546"/>
      <c r="CA683" s="546"/>
      <c r="CB683" s="546"/>
      <c r="CC683" s="728"/>
      <c r="CD683" s="728"/>
      <c r="CE683" s="170"/>
    </row>
    <row r="684" spans="1:83" customFormat="1">
      <c r="A684" s="701"/>
      <c r="B684" s="447"/>
      <c r="C684" s="1"/>
      <c r="D684" s="538"/>
      <c r="E684" s="1"/>
      <c r="F684" s="811"/>
      <c r="G684" s="440"/>
      <c r="H684" s="1"/>
      <c r="J684" s="171"/>
      <c r="K684" s="55"/>
      <c r="L684" s="171"/>
      <c r="M684" s="55"/>
      <c r="N684" s="172"/>
      <c r="O684" s="170"/>
      <c r="P684" s="139"/>
      <c r="Q684" s="171"/>
      <c r="R684" s="181"/>
      <c r="S684" s="455"/>
      <c r="T684" s="170"/>
      <c r="U684" s="170"/>
      <c r="V684" s="1"/>
      <c r="W684" s="173"/>
      <c r="X684" s="1"/>
      <c r="Y684" s="166"/>
      <c r="Z684" s="170"/>
      <c r="AA684" s="170"/>
      <c r="AB684" s="170"/>
      <c r="AC684" s="170"/>
      <c r="AD684" s="182"/>
      <c r="AE684" s="182"/>
      <c r="AF684" s="182"/>
      <c r="AG684" s="182"/>
      <c r="AH684" s="189"/>
      <c r="AI684" s="401"/>
      <c r="AJ684" s="189"/>
      <c r="AK684" s="401"/>
      <c r="AL684" s="401"/>
      <c r="AM684" s="189"/>
      <c r="AN684" s="782"/>
      <c r="AO684" s="189"/>
      <c r="AP684" s="401"/>
      <c r="AQ684" s="401"/>
      <c r="AR684" s="401"/>
      <c r="AS684" s="188"/>
      <c r="AT684" s="1"/>
      <c r="AU684" s="403"/>
      <c r="AV684" s="1"/>
      <c r="AW684" s="166"/>
      <c r="AX684" s="166"/>
      <c r="AY684" s="189"/>
      <c r="AZ684" s="189"/>
      <c r="BA684" s="196"/>
      <c r="BB684" s="629"/>
      <c r="BC684" s="197"/>
      <c r="BD684" s="510"/>
      <c r="BE684" s="510"/>
      <c r="BF684" s="177"/>
      <c r="BG684" s="177"/>
      <c r="BH684" s="166"/>
      <c r="BI684" s="474"/>
      <c r="BJ684" s="166"/>
      <c r="BK684" s="474"/>
      <c r="BL684" s="474"/>
      <c r="BM684" s="474"/>
      <c r="BN684" s="166"/>
      <c r="BO684" s="166"/>
      <c r="BP684" s="204"/>
      <c r="BQ684" s="475"/>
      <c r="BR684" s="205"/>
      <c r="BS684" s="509"/>
      <c r="BT684" s="509"/>
      <c r="BU684" s="459"/>
      <c r="BV684" s="459"/>
      <c r="BW684" s="1"/>
      <c r="BX684" s="1"/>
      <c r="BY684" s="546"/>
      <c r="BZ684" s="546"/>
      <c r="CA684" s="546"/>
      <c r="CB684" s="546"/>
      <c r="CC684" s="728"/>
      <c r="CD684" s="728"/>
      <c r="CE684" s="170"/>
    </row>
    <row r="685" spans="1:83" customFormat="1">
      <c r="A685" s="701"/>
      <c r="B685" s="447"/>
      <c r="C685" s="161"/>
      <c r="D685" s="162"/>
      <c r="E685" s="1"/>
      <c r="F685" s="811"/>
      <c r="G685" s="440"/>
      <c r="H685" s="1"/>
      <c r="I685" s="55"/>
      <c r="J685" s="170"/>
      <c r="K685" s="1"/>
      <c r="L685" s="170"/>
      <c r="M685" s="1"/>
      <c r="N685" s="458"/>
      <c r="O685" s="170"/>
      <c r="P685" s="441"/>
      <c r="Q685" s="55"/>
      <c r="R685" s="177"/>
      <c r="S685" s="454"/>
      <c r="T685" s="178"/>
      <c r="U685" s="178"/>
      <c r="V685" s="179"/>
      <c r="W685" s="180"/>
      <c r="X685" s="179"/>
      <c r="Y685" s="180"/>
      <c r="Z685" s="178"/>
      <c r="AA685" s="178"/>
      <c r="AB685" s="178"/>
      <c r="AC685" s="178"/>
      <c r="AD685" s="182"/>
      <c r="AE685" s="182"/>
      <c r="AF685" s="182"/>
      <c r="AG685" s="182"/>
      <c r="AH685" s="401"/>
      <c r="AI685" s="401"/>
      <c r="AJ685" s="401"/>
      <c r="AK685" s="401"/>
      <c r="AL685" s="401"/>
      <c r="AM685" s="189"/>
      <c r="AN685" s="829"/>
      <c r="AO685" s="830"/>
      <c r="AP685" s="401"/>
      <c r="AQ685" s="401"/>
      <c r="AR685" s="401"/>
      <c r="AS685" s="401"/>
      <c r="AT685" s="403"/>
      <c r="AU685" s="403"/>
      <c r="AV685" s="170"/>
      <c r="AW685" s="166"/>
      <c r="AX685" s="166"/>
      <c r="AY685" s="189"/>
      <c r="AZ685" s="189"/>
      <c r="BA685" s="196"/>
      <c r="BB685" s="629"/>
      <c r="BC685" s="190"/>
      <c r="BD685" s="510"/>
      <c r="BE685" s="510"/>
      <c r="BF685" s="177"/>
      <c r="BG685" s="177"/>
      <c r="BH685" s="166"/>
      <c r="BI685" s="474"/>
      <c r="BJ685" s="166"/>
      <c r="BK685" s="474"/>
      <c r="BL685" s="474"/>
      <c r="BM685" s="474"/>
      <c r="BN685" s="166"/>
      <c r="BO685" s="166"/>
      <c r="BP685" s="204"/>
      <c r="BQ685" s="475"/>
      <c r="BR685" s="205"/>
      <c r="BS685" s="509"/>
      <c r="BT685" s="509"/>
      <c r="BU685" s="459"/>
      <c r="BV685" s="459"/>
      <c r="BW685" s="1"/>
      <c r="BX685" s="1"/>
      <c r="BY685" s="546"/>
      <c r="BZ685" s="546"/>
      <c r="CA685" s="546"/>
      <c r="CB685" s="546"/>
      <c r="CC685" s="728"/>
      <c r="CD685" s="728"/>
      <c r="CE685" s="170"/>
    </row>
    <row r="686" spans="1:83" customFormat="1">
      <c r="A686" s="701"/>
      <c r="B686" s="447"/>
      <c r="C686" s="161"/>
      <c r="D686" s="162"/>
      <c r="E686" s="1"/>
      <c r="F686" s="811"/>
      <c r="G686" s="440"/>
      <c r="H686" s="1"/>
      <c r="I686" s="55"/>
      <c r="J686" s="170"/>
      <c r="K686" s="1"/>
      <c r="L686" s="170"/>
      <c r="M686" s="1"/>
      <c r="N686" s="458"/>
      <c r="O686" s="170"/>
      <c r="P686" s="441"/>
      <c r="Q686" s="55"/>
      <c r="R686" s="177"/>
      <c r="S686" s="454"/>
      <c r="T686" s="178"/>
      <c r="U686" s="178"/>
      <c r="V686" s="179"/>
      <c r="W686" s="180"/>
      <c r="X686" s="179"/>
      <c r="Y686" s="180"/>
      <c r="Z686" s="178"/>
      <c r="AA686" s="178"/>
      <c r="AB686" s="178"/>
      <c r="AC686" s="178"/>
      <c r="AD686" s="182"/>
      <c r="AE686" s="182"/>
      <c r="AF686" s="182"/>
      <c r="AG686" s="182"/>
      <c r="AH686" s="401"/>
      <c r="AI686" s="401"/>
      <c r="AJ686" s="401"/>
      <c r="AK686" s="401"/>
      <c r="AL686" s="401"/>
      <c r="AM686" s="189"/>
      <c r="AN686" s="829"/>
      <c r="AO686" s="830"/>
      <c r="AP686" s="401"/>
      <c r="AQ686" s="401"/>
      <c r="AR686" s="401"/>
      <c r="AS686" s="401"/>
      <c r="AT686" s="403"/>
      <c r="AU686" s="403"/>
      <c r="AV686" s="170"/>
      <c r="AW686" s="166"/>
      <c r="AX686" s="166"/>
      <c r="AY686" s="189"/>
      <c r="AZ686" s="189"/>
      <c r="BA686" s="196"/>
      <c r="BB686" s="629"/>
      <c r="BC686" s="190"/>
      <c r="BD686" s="510"/>
      <c r="BE686" s="510"/>
      <c r="BF686" s="177"/>
      <c r="BG686" s="177"/>
      <c r="BH686" s="166"/>
      <c r="BI686" s="474"/>
      <c r="BJ686" s="166"/>
      <c r="BK686" s="474"/>
      <c r="BL686" s="474"/>
      <c r="BM686" s="474"/>
      <c r="BN686" s="166"/>
      <c r="BO686" s="166"/>
      <c r="BP686" s="204"/>
      <c r="BQ686" s="475"/>
      <c r="BR686" s="205"/>
      <c r="BS686" s="509"/>
      <c r="BT686" s="509"/>
      <c r="BU686" s="459"/>
      <c r="BV686" s="459"/>
      <c r="BW686" s="1"/>
      <c r="BX686" s="1"/>
      <c r="BY686" s="546"/>
      <c r="BZ686" s="546"/>
      <c r="CA686" s="546"/>
      <c r="CB686" s="546"/>
      <c r="CC686" s="728"/>
      <c r="CD686" s="728"/>
      <c r="CE686" s="170"/>
    </row>
    <row r="687" spans="1:83" customFormat="1">
      <c r="A687" s="701"/>
      <c r="B687" s="447"/>
      <c r="C687" s="161"/>
      <c r="D687" s="162"/>
      <c r="E687" s="1"/>
      <c r="F687" s="811"/>
      <c r="G687" s="440"/>
      <c r="H687" s="1"/>
      <c r="I687" s="55"/>
      <c r="J687" s="457"/>
      <c r="K687" s="1"/>
      <c r="L687" s="170"/>
      <c r="M687" s="1"/>
      <c r="N687" s="458"/>
      <c r="O687" s="170"/>
      <c r="P687" s="441"/>
      <c r="Q687" s="55"/>
      <c r="R687" s="177"/>
      <c r="S687" s="454"/>
      <c r="T687" s="178"/>
      <c r="U687" s="178"/>
      <c r="V687" s="179"/>
      <c r="W687" s="180"/>
      <c r="X687" s="179"/>
      <c r="Y687" s="180"/>
      <c r="Z687" s="178"/>
      <c r="AA687" s="178"/>
      <c r="AB687" s="178"/>
      <c r="AC687" s="178"/>
      <c r="AD687" s="182"/>
      <c r="AE687" s="182"/>
      <c r="AF687" s="182"/>
      <c r="AG687" s="182"/>
      <c r="AH687" s="401"/>
      <c r="AI687" s="401"/>
      <c r="AJ687" s="401"/>
      <c r="AK687" s="401"/>
      <c r="AL687" s="401"/>
      <c r="AM687" s="189"/>
      <c r="AN687" s="829"/>
      <c r="AO687" s="830"/>
      <c r="AP687" s="401"/>
      <c r="AQ687" s="401"/>
      <c r="AR687" s="401"/>
      <c r="AS687" s="401"/>
      <c r="AT687" s="403"/>
      <c r="AU687" s="403"/>
      <c r="AV687" s="170"/>
      <c r="AW687" s="166"/>
      <c r="AX687" s="166"/>
      <c r="AY687" s="189"/>
      <c r="AZ687" s="189"/>
      <c r="BA687" s="196"/>
      <c r="BB687" s="629"/>
      <c r="BC687" s="190"/>
      <c r="BD687" s="510"/>
      <c r="BE687" s="510"/>
      <c r="BF687" s="177"/>
      <c r="BG687" s="177"/>
      <c r="BH687" s="166"/>
      <c r="BI687" s="474"/>
      <c r="BJ687" s="166"/>
      <c r="BK687" s="474"/>
      <c r="BL687" s="474"/>
      <c r="BM687" s="474"/>
      <c r="BN687" s="166"/>
      <c r="BO687" s="166"/>
      <c r="BP687" s="204"/>
      <c r="BQ687" s="475"/>
      <c r="BR687" s="205"/>
      <c r="BS687" s="509"/>
      <c r="BT687" s="509"/>
      <c r="BU687" s="459"/>
      <c r="BV687" s="459"/>
      <c r="BW687" s="1"/>
      <c r="BX687" s="1"/>
      <c r="BY687" s="546"/>
      <c r="BZ687" s="546"/>
      <c r="CA687" s="546"/>
      <c r="CB687" s="546"/>
      <c r="CC687" s="728"/>
      <c r="CD687" s="728"/>
      <c r="CE687" s="170"/>
    </row>
    <row r="688" spans="1:83" customFormat="1">
      <c r="A688" s="701"/>
      <c r="B688" s="447"/>
      <c r="C688" s="161"/>
      <c r="D688" s="162"/>
      <c r="E688" s="1"/>
      <c r="F688" s="811"/>
      <c r="G688" s="440"/>
      <c r="H688" s="1"/>
      <c r="I688" s="55"/>
      <c r="J688" s="170"/>
      <c r="K688" s="1"/>
      <c r="L688" s="170"/>
      <c r="M688" s="1"/>
      <c r="N688" s="458"/>
      <c r="O688" s="170"/>
      <c r="P688" s="441"/>
      <c r="Q688" s="55"/>
      <c r="R688" s="177"/>
      <c r="S688" s="454"/>
      <c r="T688" s="178"/>
      <c r="U688" s="178"/>
      <c r="V688" s="179"/>
      <c r="W688" s="180"/>
      <c r="X688" s="179"/>
      <c r="Y688" s="180"/>
      <c r="Z688" s="178"/>
      <c r="AA688" s="178"/>
      <c r="AB688" s="178"/>
      <c r="AC688" s="178"/>
      <c r="AD688" s="182"/>
      <c r="AE688" s="182"/>
      <c r="AF688" s="182"/>
      <c r="AG688" s="182"/>
      <c r="AH688" s="401"/>
      <c r="AI688" s="401"/>
      <c r="AJ688" s="401"/>
      <c r="AK688" s="401"/>
      <c r="AL688" s="401"/>
      <c r="AM688" s="189"/>
      <c r="AN688" s="829"/>
      <c r="AO688" s="830"/>
      <c r="AP688" s="401"/>
      <c r="AQ688" s="401"/>
      <c r="AR688" s="401"/>
      <c r="AS688" s="401"/>
      <c r="AT688" s="403"/>
      <c r="AU688" s="403"/>
      <c r="AV688" s="170"/>
      <c r="AW688" s="166"/>
      <c r="AX688" s="166"/>
      <c r="AY688" s="189"/>
      <c r="AZ688" s="189"/>
      <c r="BA688" s="196"/>
      <c r="BB688" s="629"/>
      <c r="BC688" s="190"/>
      <c r="BD688" s="510"/>
      <c r="BE688" s="510"/>
      <c r="BF688" s="177"/>
      <c r="BG688" s="177"/>
      <c r="BH688" s="166"/>
      <c r="BI688" s="474"/>
      <c r="BJ688" s="166"/>
      <c r="BK688" s="474"/>
      <c r="BL688" s="474"/>
      <c r="BM688" s="474"/>
      <c r="BN688" s="166"/>
      <c r="BO688" s="166"/>
      <c r="BP688" s="204"/>
      <c r="BQ688" s="475"/>
      <c r="BR688" s="205"/>
      <c r="BS688" s="509"/>
      <c r="BT688" s="509"/>
      <c r="BU688" s="459"/>
      <c r="BV688" s="459"/>
      <c r="BW688" s="1"/>
      <c r="BX688" s="1"/>
      <c r="BY688" s="546"/>
      <c r="BZ688" s="546"/>
      <c r="CA688" s="546"/>
      <c r="CB688" s="546"/>
      <c r="CC688" s="728"/>
      <c r="CD688" s="728"/>
      <c r="CE688" s="170"/>
    </row>
    <row r="689" spans="1:83" customFormat="1">
      <c r="A689" s="701"/>
      <c r="B689" s="447"/>
      <c r="C689" s="161"/>
      <c r="D689" s="162"/>
      <c r="E689" s="1"/>
      <c r="F689" s="811"/>
      <c r="G689" s="440"/>
      <c r="H689" s="1"/>
      <c r="I689" s="55"/>
      <c r="J689" s="170"/>
      <c r="K689" s="1"/>
      <c r="L689" s="170"/>
      <c r="M689" s="1"/>
      <c r="N689" s="458"/>
      <c r="O689" s="170"/>
      <c r="P689" s="441"/>
      <c r="Q689" s="55"/>
      <c r="R689" s="177"/>
      <c r="S689" s="454"/>
      <c r="T689" s="178"/>
      <c r="U689" s="178"/>
      <c r="V689" s="179"/>
      <c r="W689" s="180"/>
      <c r="X689" s="179"/>
      <c r="Y689" s="180"/>
      <c r="Z689" s="178"/>
      <c r="AA689" s="178"/>
      <c r="AB689" s="178"/>
      <c r="AC689" s="178"/>
      <c r="AD689" s="182"/>
      <c r="AE689" s="182"/>
      <c r="AF689" s="182"/>
      <c r="AG689" s="182"/>
      <c r="AH689" s="401"/>
      <c r="AI689" s="401"/>
      <c r="AJ689" s="401"/>
      <c r="AK689" s="401"/>
      <c r="AL689" s="401"/>
      <c r="AM689" s="189"/>
      <c r="AN689" s="829"/>
      <c r="AO689" s="830"/>
      <c r="AP689" s="401"/>
      <c r="AQ689" s="401"/>
      <c r="AR689" s="401"/>
      <c r="AS689" s="401"/>
      <c r="AT689" s="403"/>
      <c r="AU689" s="403"/>
      <c r="AV689" s="170"/>
      <c r="AW689" s="166"/>
      <c r="AX689" s="166"/>
      <c r="AY689" s="189"/>
      <c r="AZ689" s="189"/>
      <c r="BA689" s="196"/>
      <c r="BB689" s="629"/>
      <c r="BC689" s="190"/>
      <c r="BD689" s="510"/>
      <c r="BE689" s="510"/>
      <c r="BF689" s="177"/>
      <c r="BG689" s="177"/>
      <c r="BH689" s="166"/>
      <c r="BI689" s="474"/>
      <c r="BJ689" s="166"/>
      <c r="BK689" s="474"/>
      <c r="BL689" s="474"/>
      <c r="BM689" s="474"/>
      <c r="BN689" s="166"/>
      <c r="BO689" s="166"/>
      <c r="BP689" s="204"/>
      <c r="BQ689" s="475"/>
      <c r="BR689" s="205"/>
      <c r="BS689" s="509"/>
      <c r="BT689" s="509"/>
      <c r="BU689" s="459"/>
      <c r="BV689" s="459"/>
      <c r="BW689" s="1"/>
      <c r="BX689" s="1"/>
      <c r="BY689" s="546"/>
      <c r="BZ689" s="546"/>
      <c r="CA689" s="546"/>
      <c r="CB689" s="546"/>
      <c r="CC689" s="728"/>
      <c r="CD689" s="728"/>
      <c r="CE689" s="170"/>
    </row>
    <row r="690" spans="1:83" customFormat="1">
      <c r="A690" s="701"/>
      <c r="B690" s="447"/>
      <c r="C690" s="161"/>
      <c r="D690" s="162"/>
      <c r="E690" s="1"/>
      <c r="F690" s="811"/>
      <c r="G690" s="440"/>
      <c r="H690" s="1"/>
      <c r="I690" s="55"/>
      <c r="J690" s="170"/>
      <c r="K690" s="1"/>
      <c r="L690" s="170"/>
      <c r="M690" s="1"/>
      <c r="N690" s="458"/>
      <c r="O690" s="170"/>
      <c r="P690" s="441"/>
      <c r="Q690" s="55"/>
      <c r="R690" s="177"/>
      <c r="S690" s="454"/>
      <c r="T690" s="178"/>
      <c r="U690" s="178"/>
      <c r="V690" s="179"/>
      <c r="W690" s="180"/>
      <c r="X690" s="179"/>
      <c r="Y690" s="180"/>
      <c r="Z690" s="178"/>
      <c r="AA690" s="178"/>
      <c r="AB690" s="178"/>
      <c r="AC690" s="178"/>
      <c r="AD690" s="182"/>
      <c r="AE690" s="182"/>
      <c r="AF690" s="182"/>
      <c r="AG690" s="182"/>
      <c r="AH690" s="401"/>
      <c r="AI690" s="401"/>
      <c r="AJ690" s="401"/>
      <c r="AK690" s="401"/>
      <c r="AL690" s="401"/>
      <c r="AM690" s="189"/>
      <c r="AN690" s="829"/>
      <c r="AO690" s="830"/>
      <c r="AP690" s="401"/>
      <c r="AQ690" s="401"/>
      <c r="AR690" s="401"/>
      <c r="AS690" s="401"/>
      <c r="AT690" s="403"/>
      <c r="AU690" s="403"/>
      <c r="AV690" s="170"/>
      <c r="AW690" s="166"/>
      <c r="AX690" s="166"/>
      <c r="AY690" s="189"/>
      <c r="AZ690" s="189"/>
      <c r="BA690" s="196"/>
      <c r="BB690" s="629"/>
      <c r="BC690" s="190"/>
      <c r="BD690" s="510"/>
      <c r="BE690" s="510"/>
      <c r="BF690" s="177"/>
      <c r="BG690" s="177"/>
      <c r="BH690" s="166"/>
      <c r="BI690" s="474"/>
      <c r="BJ690" s="166"/>
      <c r="BK690" s="474"/>
      <c r="BL690" s="474"/>
      <c r="BM690" s="474"/>
      <c r="BN690" s="166"/>
      <c r="BO690" s="166"/>
      <c r="BP690" s="204"/>
      <c r="BQ690" s="475"/>
      <c r="BR690" s="205"/>
      <c r="BS690" s="509"/>
      <c r="BT690" s="509"/>
      <c r="BU690" s="459"/>
      <c r="BV690" s="459"/>
      <c r="BW690" s="1"/>
      <c r="BX690" s="1"/>
      <c r="BY690" s="546"/>
      <c r="BZ690" s="546"/>
      <c r="CA690" s="546"/>
      <c r="CB690" s="546"/>
      <c r="CC690" s="728"/>
      <c r="CD690" s="728"/>
      <c r="CE690" s="170"/>
    </row>
    <row r="691" spans="1:83" customFormat="1">
      <c r="A691" s="701"/>
      <c r="B691" s="447"/>
      <c r="C691" s="161"/>
      <c r="D691" s="162"/>
      <c r="E691" s="1"/>
      <c r="F691" s="811"/>
      <c r="G691" s="440"/>
      <c r="H691" s="1"/>
      <c r="I691" s="55"/>
      <c r="J691" s="170"/>
      <c r="K691" s="1"/>
      <c r="L691" s="170"/>
      <c r="M691" s="1"/>
      <c r="N691" s="458"/>
      <c r="O691" s="170"/>
      <c r="P691" s="441"/>
      <c r="Q691" s="55"/>
      <c r="R691" s="177"/>
      <c r="S691" s="454"/>
      <c r="T691" s="178"/>
      <c r="U691" s="178"/>
      <c r="V691" s="179"/>
      <c r="W691" s="180"/>
      <c r="X691" s="179"/>
      <c r="Y691" s="180"/>
      <c r="Z691" s="178"/>
      <c r="AA691" s="178"/>
      <c r="AB691" s="178"/>
      <c r="AC691" s="178"/>
      <c r="AD691" s="182"/>
      <c r="AE691" s="182"/>
      <c r="AF691" s="182"/>
      <c r="AG691" s="182"/>
      <c r="AH691" s="401"/>
      <c r="AI691" s="401"/>
      <c r="AJ691" s="401"/>
      <c r="AK691" s="401"/>
      <c r="AL691" s="401"/>
      <c r="AM691" s="189"/>
      <c r="AN691" s="829"/>
      <c r="AO691" s="830"/>
      <c r="AP691" s="401"/>
      <c r="AQ691" s="401"/>
      <c r="AR691" s="401"/>
      <c r="AS691" s="401"/>
      <c r="AT691" s="403"/>
      <c r="AU691" s="403"/>
      <c r="AV691" s="170"/>
      <c r="AW691" s="166"/>
      <c r="AX691" s="166"/>
      <c r="AY691" s="189"/>
      <c r="AZ691" s="189"/>
      <c r="BA691" s="196"/>
      <c r="BB691" s="629"/>
      <c r="BC691" s="190"/>
      <c r="BD691" s="510"/>
      <c r="BE691" s="510"/>
      <c r="BF691" s="177"/>
      <c r="BG691" s="177"/>
      <c r="BH691" s="166"/>
      <c r="BI691" s="474"/>
      <c r="BJ691" s="166"/>
      <c r="BK691" s="474"/>
      <c r="BL691" s="474"/>
      <c r="BM691" s="474"/>
      <c r="BN691" s="166"/>
      <c r="BO691" s="166"/>
      <c r="BP691" s="204"/>
      <c r="BQ691" s="475"/>
      <c r="BR691" s="205"/>
      <c r="BS691" s="509"/>
      <c r="BT691" s="509"/>
      <c r="BU691" s="459"/>
      <c r="BV691" s="459"/>
      <c r="BW691" s="1"/>
      <c r="BX691" s="1"/>
      <c r="BY691" s="546"/>
      <c r="BZ691" s="546"/>
      <c r="CA691" s="546"/>
      <c r="CB691" s="546"/>
      <c r="CC691" s="728"/>
      <c r="CD691" s="728"/>
      <c r="CE691" s="170"/>
    </row>
    <row r="692" spans="1:83" customFormat="1">
      <c r="A692" s="701"/>
      <c r="B692" s="447"/>
      <c r="C692" s="161"/>
      <c r="D692" s="162"/>
      <c r="E692" s="1"/>
      <c r="F692" s="811"/>
      <c r="G692" s="440"/>
      <c r="H692" s="1"/>
      <c r="I692" s="55"/>
      <c r="J692" s="170"/>
      <c r="K692" s="1"/>
      <c r="L692" s="170"/>
      <c r="M692" s="1"/>
      <c r="N692" s="458"/>
      <c r="O692" s="170"/>
      <c r="P692" s="441"/>
      <c r="Q692" s="55"/>
      <c r="R692" s="177"/>
      <c r="S692" s="454"/>
      <c r="T692" s="178"/>
      <c r="U692" s="178"/>
      <c r="V692" s="179"/>
      <c r="W692" s="180"/>
      <c r="X692" s="179"/>
      <c r="Y692" s="180"/>
      <c r="Z692" s="178"/>
      <c r="AA692" s="178"/>
      <c r="AB692" s="178"/>
      <c r="AC692" s="178"/>
      <c r="AD692" s="182"/>
      <c r="AE692" s="182"/>
      <c r="AF692" s="182"/>
      <c r="AG692" s="182"/>
      <c r="AH692" s="401"/>
      <c r="AI692" s="401"/>
      <c r="AJ692" s="401"/>
      <c r="AK692" s="401"/>
      <c r="AL692" s="401"/>
      <c r="AM692" s="189"/>
      <c r="AN692" s="829"/>
      <c r="AO692" s="830"/>
      <c r="AP692" s="401"/>
      <c r="AQ692" s="401"/>
      <c r="AR692" s="401"/>
      <c r="AS692" s="401"/>
      <c r="AT692" s="403"/>
      <c r="AU692" s="403"/>
      <c r="AV692" s="170"/>
      <c r="AW692" s="166"/>
      <c r="AX692" s="166"/>
      <c r="AY692" s="189"/>
      <c r="AZ692" s="189"/>
      <c r="BA692" s="196"/>
      <c r="BB692" s="629"/>
      <c r="BC692" s="190"/>
      <c r="BD692" s="510"/>
      <c r="BE692" s="510"/>
      <c r="BF692" s="177"/>
      <c r="BG692" s="177"/>
      <c r="BH692" s="166"/>
      <c r="BI692" s="474"/>
      <c r="BJ692" s="166"/>
      <c r="BK692" s="474"/>
      <c r="BL692" s="474"/>
      <c r="BM692" s="474"/>
      <c r="BN692" s="166"/>
      <c r="BO692" s="166"/>
      <c r="BP692" s="204"/>
      <c r="BQ692" s="475"/>
      <c r="BR692" s="205"/>
      <c r="BS692" s="509"/>
      <c r="BT692" s="509"/>
      <c r="BU692" s="459"/>
      <c r="BV692" s="459"/>
      <c r="BW692" s="1"/>
      <c r="BX692" s="1"/>
      <c r="BY692" s="546"/>
      <c r="BZ692" s="546"/>
      <c r="CA692" s="546"/>
      <c r="CB692" s="546"/>
      <c r="CC692" s="728"/>
      <c r="CD692" s="728"/>
      <c r="CE692" s="170"/>
    </row>
    <row r="693" spans="1:83" customFormat="1">
      <c r="A693" s="701"/>
      <c r="B693" s="447"/>
      <c r="C693" s="1"/>
      <c r="D693" s="538"/>
      <c r="E693" s="1"/>
      <c r="F693" s="811"/>
      <c r="G693" s="440"/>
      <c r="H693" s="1"/>
      <c r="I693" s="55"/>
      <c r="J693" s="171"/>
      <c r="K693" s="55"/>
      <c r="L693" s="171"/>
      <c r="M693" s="55"/>
      <c r="N693" s="172"/>
      <c r="O693" s="170"/>
      <c r="P693" s="139"/>
      <c r="Q693" s="172"/>
      <c r="R693" s="181"/>
      <c r="S693" s="455"/>
      <c r="T693" s="170"/>
      <c r="U693" s="170"/>
      <c r="V693" s="1"/>
      <c r="W693" s="173"/>
      <c r="X693" s="1"/>
      <c r="Y693" s="166"/>
      <c r="Z693" s="170"/>
      <c r="AA693" s="170"/>
      <c r="AB693" s="170"/>
      <c r="AC693" s="170"/>
      <c r="AD693" s="182"/>
      <c r="AE693" s="182"/>
      <c r="AF693" s="182"/>
      <c r="AG693" s="182"/>
      <c r="AH693" s="189"/>
      <c r="AI693" s="401"/>
      <c r="AJ693" s="189"/>
      <c r="AK693" s="401"/>
      <c r="AL693" s="401"/>
      <c r="AM693" s="189"/>
      <c r="AN693" s="782"/>
      <c r="AO693" s="189"/>
      <c r="AP693" s="401"/>
      <c r="AQ693" s="401"/>
      <c r="AR693" s="401"/>
      <c r="AS693" s="188"/>
      <c r="AT693" s="1"/>
      <c r="AU693" s="403"/>
      <c r="AV693" s="1"/>
      <c r="AW693" s="166"/>
      <c r="AX693" s="166"/>
      <c r="AY693" s="189"/>
      <c r="AZ693" s="189"/>
      <c r="BA693" s="196"/>
      <c r="BB693" s="629"/>
      <c r="BC693" s="197"/>
      <c r="BD693" s="510"/>
      <c r="BE693" s="510"/>
      <c r="BF693" s="177"/>
      <c r="BG693" s="177"/>
      <c r="BH693" s="166"/>
      <c r="BI693" s="474"/>
      <c r="BJ693" s="166"/>
      <c r="BK693" s="474"/>
      <c r="BL693" s="474"/>
      <c r="BM693" s="474"/>
      <c r="BN693" s="166"/>
      <c r="BO693" s="166"/>
      <c r="BP693" s="204"/>
      <c r="BQ693" s="475"/>
      <c r="BR693" s="205"/>
      <c r="BS693" s="509"/>
      <c r="BT693" s="509"/>
      <c r="BU693" s="459"/>
      <c r="BV693" s="459"/>
      <c r="BW693" s="1"/>
      <c r="BX693" s="1"/>
      <c r="BY693" s="546"/>
      <c r="BZ693" s="546"/>
      <c r="CA693" s="546"/>
      <c r="CB693" s="546"/>
      <c r="CC693" s="728"/>
      <c r="CD693" s="728"/>
      <c r="CE693" s="170"/>
    </row>
    <row r="694" spans="1:83" customFormat="1">
      <c r="A694" s="701"/>
      <c r="B694" s="447"/>
      <c r="C694" s="161"/>
      <c r="D694" s="162"/>
      <c r="E694" s="1"/>
      <c r="F694" s="811"/>
      <c r="G694" s="440"/>
      <c r="H694" s="1"/>
      <c r="I694" s="55"/>
      <c r="J694" s="170"/>
      <c r="K694" s="1"/>
      <c r="L694" s="170"/>
      <c r="M694" s="1"/>
      <c r="N694" s="458"/>
      <c r="O694" s="170"/>
      <c r="P694" s="441"/>
      <c r="Q694" s="55"/>
      <c r="R694" s="177"/>
      <c r="S694" s="454"/>
      <c r="T694" s="178"/>
      <c r="U694" s="178"/>
      <c r="V694" s="179"/>
      <c r="W694" s="180"/>
      <c r="X694" s="179"/>
      <c r="Y694" s="180"/>
      <c r="Z694" s="178"/>
      <c r="AA694" s="178"/>
      <c r="AB694" s="178"/>
      <c r="AC694" s="178"/>
      <c r="AD694" s="182"/>
      <c r="AE694" s="182"/>
      <c r="AF694" s="182"/>
      <c r="AG694" s="182"/>
      <c r="AH694" s="401"/>
      <c r="AI694" s="401"/>
      <c r="AJ694" s="401"/>
      <c r="AK694" s="401"/>
      <c r="AL694" s="401"/>
      <c r="AM694" s="189"/>
      <c r="AN694" s="829"/>
      <c r="AO694" s="830"/>
      <c r="AP694" s="401"/>
      <c r="AQ694" s="401"/>
      <c r="AR694" s="401"/>
      <c r="AS694" s="401"/>
      <c r="AT694" s="403"/>
      <c r="AU694" s="403"/>
      <c r="AV694" s="170"/>
      <c r="AW694" s="166"/>
      <c r="AX694" s="166"/>
      <c r="AY694" s="189"/>
      <c r="AZ694" s="189"/>
      <c r="BA694" s="196"/>
      <c r="BB694" s="629"/>
      <c r="BC694" s="190"/>
      <c r="BD694" s="510"/>
      <c r="BE694" s="510"/>
      <c r="BF694" s="177"/>
      <c r="BG694" s="177"/>
      <c r="BH694" s="166"/>
      <c r="BI694" s="474"/>
      <c r="BJ694" s="166"/>
      <c r="BK694" s="474"/>
      <c r="BL694" s="474"/>
      <c r="BM694" s="474"/>
      <c r="BN694" s="166"/>
      <c r="BO694" s="166"/>
      <c r="BP694" s="204"/>
      <c r="BQ694" s="475"/>
      <c r="BR694" s="205"/>
      <c r="BS694" s="509"/>
      <c r="BT694" s="509"/>
      <c r="BU694" s="459"/>
      <c r="BV694" s="459"/>
      <c r="BW694" s="1"/>
      <c r="BX694" s="1"/>
      <c r="BY694" s="546"/>
      <c r="BZ694" s="546"/>
      <c r="CA694" s="546"/>
      <c r="CB694" s="546"/>
      <c r="CC694" s="728"/>
      <c r="CD694" s="728"/>
      <c r="CE694" s="170"/>
    </row>
    <row r="695" spans="1:83" customFormat="1">
      <c r="A695" s="701"/>
      <c r="B695" s="447"/>
      <c r="C695" s="161"/>
      <c r="D695" s="162"/>
      <c r="E695" s="1"/>
      <c r="F695" s="811"/>
      <c r="G695" s="440"/>
      <c r="H695" s="1"/>
      <c r="I695" s="55"/>
      <c r="J695" s="170"/>
      <c r="K695" s="1"/>
      <c r="L695" s="170"/>
      <c r="M695" s="1"/>
      <c r="N695" s="458"/>
      <c r="O695" s="170"/>
      <c r="P695" s="725"/>
      <c r="Q695" s="55"/>
      <c r="R695" s="177"/>
      <c r="S695" s="454"/>
      <c r="T695" s="178"/>
      <c r="U695" s="178"/>
      <c r="V695" s="179"/>
      <c r="W695" s="180"/>
      <c r="X695" s="179"/>
      <c r="Y695" s="180"/>
      <c r="Z695" s="178"/>
      <c r="AA695" s="178"/>
      <c r="AB695" s="178"/>
      <c r="AC695" s="178"/>
      <c r="AD695" s="182"/>
      <c r="AE695" s="182"/>
      <c r="AF695" s="182"/>
      <c r="AG695" s="182"/>
      <c r="AH695" s="401"/>
      <c r="AI695" s="401"/>
      <c r="AJ695" s="401"/>
      <c r="AK695" s="401"/>
      <c r="AL695" s="401"/>
      <c r="AM695" s="189"/>
      <c r="AN695" s="829"/>
      <c r="AO695" s="830"/>
      <c r="AP695" s="401"/>
      <c r="AQ695" s="401"/>
      <c r="AR695" s="401"/>
      <c r="AS695" s="401"/>
      <c r="AT695" s="403"/>
      <c r="AU695" s="403"/>
      <c r="AV695" s="170"/>
      <c r="AW695" s="166"/>
      <c r="AX695" s="166"/>
      <c r="AY695" s="189"/>
      <c r="AZ695" s="189"/>
      <c r="BA695" s="196"/>
      <c r="BB695" s="629"/>
      <c r="BC695" s="190"/>
      <c r="BD695" s="510"/>
      <c r="BE695" s="510"/>
      <c r="BF695" s="177"/>
      <c r="BG695" s="177"/>
      <c r="BH695" s="166"/>
      <c r="BI695" s="474"/>
      <c r="BJ695" s="166"/>
      <c r="BK695" s="474"/>
      <c r="BL695" s="474"/>
      <c r="BM695" s="474"/>
      <c r="BN695" s="166"/>
      <c r="BO695" s="166"/>
      <c r="BP695" s="204"/>
      <c r="BQ695" s="475"/>
      <c r="BR695" s="205"/>
      <c r="BS695" s="509"/>
      <c r="BT695" s="509"/>
      <c r="BU695" s="459"/>
      <c r="BV695" s="459"/>
      <c r="BW695" s="1"/>
      <c r="BX695" s="1"/>
      <c r="BY695" s="546"/>
      <c r="BZ695" s="546"/>
      <c r="CA695" s="546"/>
      <c r="CB695" s="546"/>
      <c r="CC695" s="728"/>
      <c r="CD695" s="728"/>
      <c r="CE695" s="170"/>
    </row>
    <row r="696" spans="1:83" customFormat="1">
      <c r="A696" s="701"/>
      <c r="B696" s="447"/>
      <c r="C696" s="161"/>
      <c r="D696" s="162"/>
      <c r="E696" s="1"/>
      <c r="F696" s="811"/>
      <c r="G696" s="440"/>
      <c r="H696" s="1"/>
      <c r="I696" s="55"/>
      <c r="J696" s="170"/>
      <c r="K696" s="1"/>
      <c r="L696" s="170"/>
      <c r="M696" s="1"/>
      <c r="N696" s="458"/>
      <c r="O696" s="170"/>
      <c r="P696" s="441"/>
      <c r="Q696" s="55"/>
      <c r="R696" s="177"/>
      <c r="S696" s="454"/>
      <c r="T696" s="178"/>
      <c r="U696" s="178"/>
      <c r="V696" s="179"/>
      <c r="W696" s="180"/>
      <c r="X696" s="179"/>
      <c r="Y696" s="180"/>
      <c r="Z696" s="178"/>
      <c r="AA696" s="178"/>
      <c r="AB696" s="178"/>
      <c r="AC696" s="178"/>
      <c r="AD696" s="182"/>
      <c r="AE696" s="182"/>
      <c r="AF696" s="182"/>
      <c r="AG696" s="182"/>
      <c r="AH696" s="401"/>
      <c r="AI696" s="401"/>
      <c r="AJ696" s="401"/>
      <c r="AK696" s="401"/>
      <c r="AL696" s="401"/>
      <c r="AM696" s="189"/>
      <c r="AN696" s="829"/>
      <c r="AO696" s="830"/>
      <c r="AP696" s="401"/>
      <c r="AQ696" s="401"/>
      <c r="AR696" s="401"/>
      <c r="AS696" s="401"/>
      <c r="AT696" s="403"/>
      <c r="AU696" s="403"/>
      <c r="AV696" s="170"/>
      <c r="AW696" s="166"/>
      <c r="AX696" s="166"/>
      <c r="AY696" s="189"/>
      <c r="AZ696" s="189"/>
      <c r="BA696" s="196"/>
      <c r="BB696" s="629"/>
      <c r="BC696" s="190"/>
      <c r="BD696" s="510"/>
      <c r="BE696" s="510"/>
      <c r="BF696" s="177"/>
      <c r="BG696" s="177"/>
      <c r="BH696" s="166"/>
      <c r="BI696" s="474"/>
      <c r="BJ696" s="166"/>
      <c r="BK696" s="474"/>
      <c r="BL696" s="474"/>
      <c r="BM696" s="474"/>
      <c r="BN696" s="166"/>
      <c r="BO696" s="166"/>
      <c r="BP696" s="204"/>
      <c r="BQ696" s="475"/>
      <c r="BR696" s="205"/>
      <c r="BS696" s="509"/>
      <c r="BT696" s="509"/>
      <c r="BU696" s="459"/>
      <c r="BV696" s="459"/>
      <c r="BW696" s="1"/>
      <c r="BX696" s="1"/>
      <c r="BY696" s="546"/>
      <c r="BZ696" s="546"/>
      <c r="CA696" s="546"/>
      <c r="CB696" s="546"/>
      <c r="CC696" s="728"/>
      <c r="CD696" s="728"/>
      <c r="CE696" s="170"/>
    </row>
    <row r="697" spans="1:83" customFormat="1">
      <c r="A697" s="701"/>
      <c r="B697" s="447"/>
      <c r="C697" s="161"/>
      <c r="D697" s="162"/>
      <c r="E697" s="1"/>
      <c r="F697" s="811"/>
      <c r="G697" s="440"/>
      <c r="H697" s="1"/>
      <c r="I697" s="55"/>
      <c r="J697" s="170"/>
      <c r="K697" s="1"/>
      <c r="L697" s="170"/>
      <c r="M697" s="1"/>
      <c r="N697" s="458"/>
      <c r="O697" s="170"/>
      <c r="P697" s="441"/>
      <c r="Q697" s="55"/>
      <c r="R697" s="177"/>
      <c r="S697" s="454"/>
      <c r="T697" s="178"/>
      <c r="U697" s="178"/>
      <c r="V697" s="179"/>
      <c r="W697" s="180"/>
      <c r="X697" s="179"/>
      <c r="Y697" s="180"/>
      <c r="Z697" s="178"/>
      <c r="AA697" s="178"/>
      <c r="AB697" s="178"/>
      <c r="AC697" s="178"/>
      <c r="AD697" s="182"/>
      <c r="AE697" s="182"/>
      <c r="AF697" s="182"/>
      <c r="AG697" s="182"/>
      <c r="AH697" s="401"/>
      <c r="AI697" s="401"/>
      <c r="AJ697" s="401"/>
      <c r="AK697" s="401"/>
      <c r="AL697" s="401"/>
      <c r="AM697" s="189"/>
      <c r="AN697" s="829"/>
      <c r="AO697" s="830"/>
      <c r="AP697" s="401"/>
      <c r="AQ697" s="401"/>
      <c r="AR697" s="401"/>
      <c r="AS697" s="401"/>
      <c r="AT697" s="403"/>
      <c r="AU697" s="403"/>
      <c r="AV697" s="170"/>
      <c r="AW697" s="166"/>
      <c r="AX697" s="166"/>
      <c r="AY697" s="189"/>
      <c r="AZ697" s="189"/>
      <c r="BA697" s="196"/>
      <c r="BB697" s="629"/>
      <c r="BC697" s="190"/>
      <c r="BD697" s="510"/>
      <c r="BE697" s="510"/>
      <c r="BF697" s="177"/>
      <c r="BG697" s="177"/>
      <c r="BH697" s="166"/>
      <c r="BI697" s="474"/>
      <c r="BJ697" s="166"/>
      <c r="BK697" s="474"/>
      <c r="BL697" s="474"/>
      <c r="BM697" s="474"/>
      <c r="BN697" s="166"/>
      <c r="BO697" s="166"/>
      <c r="BP697" s="204"/>
      <c r="BQ697" s="475"/>
      <c r="BR697" s="205"/>
      <c r="BS697" s="509"/>
      <c r="BT697" s="509"/>
      <c r="BU697" s="459"/>
      <c r="BV697" s="459"/>
      <c r="BW697" s="1"/>
      <c r="BX697" s="1"/>
      <c r="BY697" s="546"/>
      <c r="BZ697" s="546"/>
      <c r="CA697" s="546"/>
      <c r="CB697" s="546"/>
      <c r="CC697" s="728"/>
      <c r="CD697" s="728"/>
      <c r="CE697" s="170"/>
    </row>
    <row r="698" spans="1:83" customFormat="1">
      <c r="A698" s="701"/>
      <c r="B698" s="447"/>
      <c r="C698" s="161"/>
      <c r="D698" s="162"/>
      <c r="E698" s="1"/>
      <c r="F698" s="811"/>
      <c r="G698" s="440"/>
      <c r="H698" s="1"/>
      <c r="I698" s="55"/>
      <c r="J698" s="170"/>
      <c r="K698" s="1"/>
      <c r="L698" s="170"/>
      <c r="M698" s="1"/>
      <c r="N698" s="458"/>
      <c r="O698" s="170"/>
      <c r="P698" s="441"/>
      <c r="Q698" s="55"/>
      <c r="R698" s="177"/>
      <c r="S698" s="454"/>
      <c r="T698" s="178"/>
      <c r="U698" s="178"/>
      <c r="V698" s="179"/>
      <c r="W698" s="180"/>
      <c r="X698" s="179"/>
      <c r="Y698" s="180"/>
      <c r="Z698" s="178"/>
      <c r="AA698" s="178"/>
      <c r="AB698" s="178"/>
      <c r="AC698" s="178"/>
      <c r="AD698" s="182"/>
      <c r="AE698" s="182"/>
      <c r="AF698" s="182"/>
      <c r="AG698" s="182"/>
      <c r="AH698" s="401"/>
      <c r="AI698" s="401"/>
      <c r="AJ698" s="401"/>
      <c r="AK698" s="401"/>
      <c r="AL698" s="401"/>
      <c r="AM698" s="189"/>
      <c r="AN698" s="829"/>
      <c r="AO698" s="830"/>
      <c r="AP698" s="401"/>
      <c r="AQ698" s="401"/>
      <c r="AR698" s="401"/>
      <c r="AS698" s="401"/>
      <c r="AT698" s="403"/>
      <c r="AU698" s="403"/>
      <c r="AV698" s="170"/>
      <c r="AW698" s="166"/>
      <c r="AX698" s="166"/>
      <c r="AY698" s="189"/>
      <c r="AZ698" s="189"/>
      <c r="BA698" s="196"/>
      <c r="BB698" s="629"/>
      <c r="BC698" s="190"/>
      <c r="BD698" s="510"/>
      <c r="BE698" s="510"/>
      <c r="BF698" s="177"/>
      <c r="BG698" s="177"/>
      <c r="BH698" s="166"/>
      <c r="BI698" s="474"/>
      <c r="BJ698" s="166"/>
      <c r="BK698" s="474"/>
      <c r="BL698" s="474"/>
      <c r="BM698" s="474"/>
      <c r="BN698" s="166"/>
      <c r="BO698" s="166"/>
      <c r="BP698" s="204"/>
      <c r="BQ698" s="475"/>
      <c r="BR698" s="205"/>
      <c r="BS698" s="509"/>
      <c r="BT698" s="509"/>
      <c r="BU698" s="459"/>
      <c r="BV698" s="459"/>
      <c r="BW698" s="1"/>
      <c r="BX698" s="1"/>
      <c r="BY698" s="546"/>
      <c r="BZ698" s="546"/>
      <c r="CA698" s="546"/>
      <c r="CB698" s="546"/>
      <c r="CC698" s="728"/>
      <c r="CD698" s="728"/>
      <c r="CE698" s="170"/>
    </row>
    <row r="699" spans="1:83" customFormat="1">
      <c r="A699" s="701"/>
      <c r="B699" s="447"/>
      <c r="C699" s="161"/>
      <c r="D699" s="162"/>
      <c r="E699" s="1"/>
      <c r="F699" s="811"/>
      <c r="G699" s="440"/>
      <c r="H699" s="1"/>
      <c r="I699" s="55"/>
      <c r="J699" s="170"/>
      <c r="K699" s="1"/>
      <c r="L699" s="170"/>
      <c r="M699" s="1"/>
      <c r="N699" s="458"/>
      <c r="O699" s="170"/>
      <c r="P699" s="441"/>
      <c r="Q699" s="55"/>
      <c r="R699" s="177"/>
      <c r="S699" s="454"/>
      <c r="T699" s="178"/>
      <c r="U699" s="178"/>
      <c r="V699" s="179"/>
      <c r="W699" s="180"/>
      <c r="X699" s="179"/>
      <c r="Y699" s="180"/>
      <c r="Z699" s="178"/>
      <c r="AA699" s="178"/>
      <c r="AB699" s="178"/>
      <c r="AC699" s="178"/>
      <c r="AD699" s="182"/>
      <c r="AE699" s="182"/>
      <c r="AF699" s="182"/>
      <c r="AG699" s="182"/>
      <c r="AH699" s="401"/>
      <c r="AI699" s="401"/>
      <c r="AJ699" s="401"/>
      <c r="AK699" s="401"/>
      <c r="AL699" s="401"/>
      <c r="AM699" s="189"/>
      <c r="AN699" s="829"/>
      <c r="AO699" s="830"/>
      <c r="AP699" s="401"/>
      <c r="AQ699" s="401"/>
      <c r="AR699" s="401"/>
      <c r="AS699" s="401"/>
      <c r="AT699" s="403"/>
      <c r="AU699" s="403"/>
      <c r="AV699" s="170"/>
      <c r="AW699" s="166"/>
      <c r="AX699" s="166"/>
      <c r="AY699" s="189"/>
      <c r="AZ699" s="189"/>
      <c r="BA699" s="196"/>
      <c r="BB699" s="629"/>
      <c r="BC699" s="190"/>
      <c r="BD699" s="510"/>
      <c r="BE699" s="510"/>
      <c r="BF699" s="177"/>
      <c r="BG699" s="177"/>
      <c r="BH699" s="166"/>
      <c r="BI699" s="474"/>
      <c r="BJ699" s="166"/>
      <c r="BK699" s="474"/>
      <c r="BL699" s="474"/>
      <c r="BM699" s="474"/>
      <c r="BN699" s="166"/>
      <c r="BO699" s="166"/>
      <c r="BP699" s="204"/>
      <c r="BQ699" s="475"/>
      <c r="BR699" s="205"/>
      <c r="BS699" s="509"/>
      <c r="BT699" s="509"/>
      <c r="BU699" s="459"/>
      <c r="BV699" s="459"/>
      <c r="BW699" s="1"/>
      <c r="BX699" s="1"/>
      <c r="BY699" s="546"/>
      <c r="BZ699" s="546"/>
      <c r="CA699" s="546"/>
      <c r="CB699" s="546"/>
      <c r="CC699" s="728"/>
      <c r="CD699" s="728"/>
      <c r="CE699" s="170"/>
    </row>
    <row r="700" spans="1:83" customFormat="1">
      <c r="A700" s="701"/>
      <c r="B700" s="447"/>
      <c r="C700" s="161"/>
      <c r="D700" s="162"/>
      <c r="E700" s="1"/>
      <c r="F700" s="811"/>
      <c r="G700" s="440"/>
      <c r="H700" s="1"/>
      <c r="I700" s="55"/>
      <c r="J700" s="170"/>
      <c r="K700" s="1"/>
      <c r="L700" s="170"/>
      <c r="M700" s="1"/>
      <c r="N700" s="458"/>
      <c r="O700" s="170"/>
      <c r="P700" s="441"/>
      <c r="Q700" s="55"/>
      <c r="R700" s="177"/>
      <c r="S700" s="454"/>
      <c r="T700" s="178"/>
      <c r="U700" s="178"/>
      <c r="V700" s="179"/>
      <c r="W700" s="180"/>
      <c r="X700" s="179"/>
      <c r="Y700" s="180"/>
      <c r="Z700" s="178"/>
      <c r="AA700" s="178"/>
      <c r="AB700" s="178"/>
      <c r="AC700" s="178"/>
      <c r="AD700" s="182"/>
      <c r="AE700" s="182"/>
      <c r="AF700" s="182"/>
      <c r="AG700" s="182"/>
      <c r="AH700" s="401"/>
      <c r="AI700" s="401"/>
      <c r="AJ700" s="401"/>
      <c r="AK700" s="401"/>
      <c r="AL700" s="401"/>
      <c r="AM700" s="189"/>
      <c r="AN700" s="829"/>
      <c r="AO700" s="830"/>
      <c r="AP700" s="401"/>
      <c r="AQ700" s="401"/>
      <c r="AR700" s="401"/>
      <c r="AS700" s="401"/>
      <c r="AT700" s="403"/>
      <c r="AU700" s="403"/>
      <c r="AV700" s="170"/>
      <c r="AW700" s="166"/>
      <c r="AX700" s="166"/>
      <c r="AY700" s="189"/>
      <c r="AZ700" s="189"/>
      <c r="BA700" s="196"/>
      <c r="BB700" s="629"/>
      <c r="BC700" s="190"/>
      <c r="BD700" s="510"/>
      <c r="BE700" s="510"/>
      <c r="BF700" s="177"/>
      <c r="BG700" s="177"/>
      <c r="BH700" s="166"/>
      <c r="BI700" s="474"/>
      <c r="BJ700" s="166"/>
      <c r="BK700" s="474"/>
      <c r="BL700" s="474"/>
      <c r="BM700" s="474"/>
      <c r="BN700" s="166"/>
      <c r="BO700" s="166"/>
      <c r="BP700" s="204"/>
      <c r="BQ700" s="475"/>
      <c r="BR700" s="205"/>
      <c r="BS700" s="509"/>
      <c r="BT700" s="509"/>
      <c r="BU700" s="459"/>
      <c r="BV700" s="459"/>
      <c r="BW700" s="1"/>
      <c r="BX700" s="1"/>
      <c r="BY700" s="546"/>
      <c r="BZ700" s="546"/>
      <c r="CA700" s="546"/>
      <c r="CB700" s="546"/>
      <c r="CC700" s="728"/>
      <c r="CD700" s="728"/>
      <c r="CE700" s="170"/>
    </row>
    <row r="701" spans="1:83" customFormat="1">
      <c r="A701" s="701"/>
      <c r="B701" s="447"/>
      <c r="C701" s="1"/>
      <c r="D701" s="538"/>
      <c r="E701" s="1"/>
      <c r="F701" s="811"/>
      <c r="G701" s="440"/>
      <c r="H701" s="1"/>
      <c r="J701" s="171"/>
      <c r="K701" s="55"/>
      <c r="L701" s="171"/>
      <c r="M701" s="55"/>
      <c r="N701" s="172"/>
      <c r="O701" s="170"/>
      <c r="P701" s="139"/>
      <c r="Q701" s="171"/>
      <c r="R701" s="181"/>
      <c r="S701" s="455"/>
      <c r="T701" s="170"/>
      <c r="U701" s="170"/>
      <c r="V701" s="1"/>
      <c r="W701" s="173"/>
      <c r="X701" s="1"/>
      <c r="Y701" s="166"/>
      <c r="Z701" s="170"/>
      <c r="AA701" s="170"/>
      <c r="AB701" s="170"/>
      <c r="AC701" s="170"/>
      <c r="AD701" s="182"/>
      <c r="AE701" s="182"/>
      <c r="AF701" s="182"/>
      <c r="AG701" s="182"/>
      <c r="AH701" s="189"/>
      <c r="AI701" s="401"/>
      <c r="AJ701" s="189"/>
      <c r="AK701" s="401"/>
      <c r="AL701" s="401"/>
      <c r="AM701" s="189"/>
      <c r="AN701" s="782"/>
      <c r="AO701" s="189"/>
      <c r="AP701" s="401"/>
      <c r="AQ701" s="401"/>
      <c r="AR701" s="401"/>
      <c r="AS701" s="188"/>
      <c r="AT701" s="1"/>
      <c r="AU701" s="403"/>
      <c r="AV701" s="1"/>
      <c r="AW701" s="166"/>
      <c r="AX701" s="166"/>
      <c r="AY701" s="189"/>
      <c r="AZ701" s="189"/>
      <c r="BA701" s="196"/>
      <c r="BB701" s="629"/>
      <c r="BC701" s="197"/>
      <c r="BD701" s="510"/>
      <c r="BE701" s="510"/>
      <c r="BF701" s="177"/>
      <c r="BG701" s="177"/>
      <c r="BH701" s="166"/>
      <c r="BI701" s="474"/>
      <c r="BJ701" s="166"/>
      <c r="BK701" s="474"/>
      <c r="BL701" s="474"/>
      <c r="BM701" s="474"/>
      <c r="BN701" s="166"/>
      <c r="BO701" s="166"/>
      <c r="BP701" s="204"/>
      <c r="BQ701" s="475"/>
      <c r="BR701" s="205"/>
      <c r="BS701" s="509"/>
      <c r="BT701" s="509"/>
      <c r="BU701" s="459"/>
      <c r="BV701" s="459"/>
      <c r="BW701" s="1"/>
      <c r="BX701" s="1"/>
      <c r="BY701" s="546"/>
      <c r="BZ701" s="546"/>
      <c r="CA701" s="546"/>
      <c r="CB701" s="546"/>
      <c r="CC701" s="728"/>
      <c r="CD701" s="728"/>
      <c r="CE701" s="170"/>
    </row>
    <row r="702" spans="1:83" customFormat="1">
      <c r="A702" s="701"/>
      <c r="B702" s="447"/>
      <c r="C702" s="161"/>
      <c r="D702" s="162"/>
      <c r="E702" s="1"/>
      <c r="F702" s="811"/>
      <c r="G702" s="440"/>
      <c r="H702" s="1"/>
      <c r="I702" s="55"/>
      <c r="J702" s="170"/>
      <c r="K702" s="1"/>
      <c r="L702" s="170"/>
      <c r="M702" s="1"/>
      <c r="N702" s="458"/>
      <c r="O702" s="170"/>
      <c r="P702" s="441"/>
      <c r="Q702" s="55"/>
      <c r="R702" s="177"/>
      <c r="S702" s="454"/>
      <c r="T702" s="178"/>
      <c r="U702" s="178"/>
      <c r="V702" s="179"/>
      <c r="W702" s="180"/>
      <c r="X702" s="179"/>
      <c r="Y702" s="180"/>
      <c r="Z702" s="178"/>
      <c r="AA702" s="178"/>
      <c r="AB702" s="178"/>
      <c r="AC702" s="178"/>
      <c r="AD702" s="182"/>
      <c r="AE702" s="182"/>
      <c r="AF702" s="182"/>
      <c r="AG702" s="182"/>
      <c r="AH702" s="401"/>
      <c r="AI702" s="401"/>
      <c r="AJ702" s="401"/>
      <c r="AK702" s="401"/>
      <c r="AL702" s="401"/>
      <c r="AM702" s="189"/>
      <c r="AN702" s="829"/>
      <c r="AO702" s="830"/>
      <c r="AP702" s="401"/>
      <c r="AQ702" s="401"/>
      <c r="AR702" s="401"/>
      <c r="AS702" s="401"/>
      <c r="AT702" s="403"/>
      <c r="AU702" s="403"/>
      <c r="AV702" s="170"/>
      <c r="AW702" s="166"/>
      <c r="AX702" s="166"/>
      <c r="AY702" s="189"/>
      <c r="AZ702" s="189"/>
      <c r="BA702" s="196"/>
      <c r="BB702" s="629"/>
      <c r="BC702" s="190"/>
      <c r="BD702" s="510"/>
      <c r="BE702" s="510"/>
      <c r="BF702" s="177"/>
      <c r="BG702" s="177"/>
      <c r="BH702" s="166"/>
      <c r="BI702" s="474"/>
      <c r="BJ702" s="166"/>
      <c r="BK702" s="474"/>
      <c r="BL702" s="474"/>
      <c r="BM702" s="474"/>
      <c r="BN702" s="166"/>
      <c r="BO702" s="166"/>
      <c r="BP702" s="204"/>
      <c r="BQ702" s="475"/>
      <c r="BR702" s="205"/>
      <c r="BS702" s="509"/>
      <c r="BT702" s="509"/>
      <c r="BU702" s="459"/>
      <c r="BV702" s="459"/>
      <c r="BW702" s="1"/>
      <c r="BX702" s="1"/>
      <c r="BY702" s="546"/>
      <c r="BZ702" s="546"/>
      <c r="CA702" s="546"/>
      <c r="CB702" s="546"/>
      <c r="CC702" s="728"/>
      <c r="CD702" s="728"/>
      <c r="CE702" s="170"/>
    </row>
    <row r="703" spans="1:83" customFormat="1">
      <c r="A703" s="701"/>
      <c r="B703" s="447"/>
      <c r="C703" s="161"/>
      <c r="D703" s="162"/>
      <c r="E703" s="1"/>
      <c r="F703" s="811"/>
      <c r="G703" s="440"/>
      <c r="H703" s="1"/>
      <c r="I703" s="55"/>
      <c r="J703" s="170"/>
      <c r="K703" s="1"/>
      <c r="L703" s="170"/>
      <c r="M703" s="1"/>
      <c r="N703" s="458"/>
      <c r="O703" s="170"/>
      <c r="P703" s="441"/>
      <c r="Q703" s="55"/>
      <c r="R703" s="177"/>
      <c r="S703" s="454"/>
      <c r="T703" s="178"/>
      <c r="U703" s="178"/>
      <c r="V703" s="179"/>
      <c r="W703" s="180"/>
      <c r="X703" s="179"/>
      <c r="Y703" s="180"/>
      <c r="Z703" s="178"/>
      <c r="AA703" s="178"/>
      <c r="AB703" s="178"/>
      <c r="AC703" s="178"/>
      <c r="AD703" s="182"/>
      <c r="AE703" s="182"/>
      <c r="AF703" s="182"/>
      <c r="AG703" s="182"/>
      <c r="AH703" s="401"/>
      <c r="AI703" s="401"/>
      <c r="AJ703" s="401"/>
      <c r="AK703" s="401"/>
      <c r="AL703" s="401"/>
      <c r="AM703" s="189"/>
      <c r="AN703" s="829"/>
      <c r="AO703" s="830"/>
      <c r="AP703" s="401"/>
      <c r="AQ703" s="401"/>
      <c r="AR703" s="401"/>
      <c r="AS703" s="401"/>
      <c r="AT703" s="403"/>
      <c r="AU703" s="403"/>
      <c r="AV703" s="170"/>
      <c r="AW703" s="166"/>
      <c r="AX703" s="166"/>
      <c r="AY703" s="189"/>
      <c r="AZ703" s="189"/>
      <c r="BA703" s="196"/>
      <c r="BB703" s="629"/>
      <c r="BC703" s="190"/>
      <c r="BD703" s="510"/>
      <c r="BE703" s="510"/>
      <c r="BF703" s="177"/>
      <c r="BG703" s="177"/>
      <c r="BH703" s="166"/>
      <c r="BI703" s="474"/>
      <c r="BJ703" s="166"/>
      <c r="BK703" s="474"/>
      <c r="BL703" s="474"/>
      <c r="BM703" s="474"/>
      <c r="BN703" s="166"/>
      <c r="BO703" s="166"/>
      <c r="BP703" s="204"/>
      <c r="BQ703" s="475"/>
      <c r="BR703" s="205"/>
      <c r="BS703" s="509"/>
      <c r="BT703" s="509"/>
      <c r="BU703" s="459"/>
      <c r="BV703" s="459"/>
      <c r="BW703" s="1"/>
      <c r="BX703" s="1"/>
      <c r="BY703" s="546"/>
      <c r="BZ703" s="546"/>
      <c r="CA703" s="546"/>
      <c r="CB703" s="546"/>
      <c r="CC703" s="728"/>
      <c r="CD703" s="728"/>
      <c r="CE703" s="170"/>
    </row>
    <row r="704" spans="1:83" customFormat="1">
      <c r="A704" s="701"/>
      <c r="B704" s="447"/>
      <c r="C704" s="161"/>
      <c r="D704" s="162"/>
      <c r="E704" s="1"/>
      <c r="F704" s="811"/>
      <c r="G704" s="440"/>
      <c r="H704" s="1"/>
      <c r="I704" s="55"/>
      <c r="J704" s="457"/>
      <c r="K704" s="1"/>
      <c r="L704" s="170"/>
      <c r="M704" s="1"/>
      <c r="N704" s="458"/>
      <c r="O704" s="170"/>
      <c r="P704" s="441"/>
      <c r="Q704" s="55"/>
      <c r="R704" s="177"/>
      <c r="S704" s="454"/>
      <c r="T704" s="178"/>
      <c r="U704" s="178"/>
      <c r="V704" s="179"/>
      <c r="W704" s="180"/>
      <c r="X704" s="179"/>
      <c r="Y704" s="180"/>
      <c r="Z704" s="178"/>
      <c r="AA704" s="178"/>
      <c r="AB704" s="178"/>
      <c r="AC704" s="178"/>
      <c r="AD704" s="182"/>
      <c r="AE704" s="182"/>
      <c r="AF704" s="182"/>
      <c r="AG704" s="182"/>
      <c r="AH704" s="401"/>
      <c r="AI704" s="401"/>
      <c r="AJ704" s="401"/>
      <c r="AK704" s="401"/>
      <c r="AL704" s="401"/>
      <c r="AM704" s="189"/>
      <c r="AN704" s="829"/>
      <c r="AO704" s="830"/>
      <c r="AP704" s="401"/>
      <c r="AQ704" s="401"/>
      <c r="AR704" s="401"/>
      <c r="AS704" s="401"/>
      <c r="AT704" s="403"/>
      <c r="AU704" s="403"/>
      <c r="AV704" s="170"/>
      <c r="AW704" s="166"/>
      <c r="AX704" s="166"/>
      <c r="AY704" s="189"/>
      <c r="AZ704" s="189"/>
      <c r="BA704" s="196"/>
      <c r="BB704" s="629"/>
      <c r="BC704" s="190"/>
      <c r="BD704" s="510"/>
      <c r="BE704" s="510"/>
      <c r="BF704" s="177"/>
      <c r="BG704" s="177"/>
      <c r="BH704" s="166"/>
      <c r="BI704" s="474"/>
      <c r="BJ704" s="166"/>
      <c r="BK704" s="474"/>
      <c r="BL704" s="474"/>
      <c r="BM704" s="474"/>
      <c r="BN704" s="166"/>
      <c r="BO704" s="166"/>
      <c r="BP704" s="204"/>
      <c r="BQ704" s="475"/>
      <c r="BR704" s="205"/>
      <c r="BS704" s="509"/>
      <c r="BT704" s="509"/>
      <c r="BU704" s="459"/>
      <c r="BV704" s="459"/>
      <c r="BW704" s="1"/>
      <c r="BX704" s="1"/>
      <c r="BY704" s="546"/>
      <c r="BZ704" s="546"/>
      <c r="CA704" s="546"/>
      <c r="CB704" s="546"/>
      <c r="CC704" s="728"/>
      <c r="CD704" s="728"/>
      <c r="CE704" s="170"/>
    </row>
    <row r="705" spans="1:83" customFormat="1">
      <c r="A705" s="701"/>
      <c r="B705" s="447"/>
      <c r="C705" s="161"/>
      <c r="D705" s="162"/>
      <c r="E705" s="1"/>
      <c r="F705" s="811"/>
      <c r="G705" s="440"/>
      <c r="H705" s="1"/>
      <c r="I705" s="55"/>
      <c r="J705" s="170"/>
      <c r="K705" s="1"/>
      <c r="L705" s="170"/>
      <c r="M705" s="1"/>
      <c r="N705" s="458"/>
      <c r="O705" s="170"/>
      <c r="P705" s="441"/>
      <c r="Q705" s="55"/>
      <c r="R705" s="177"/>
      <c r="S705" s="454"/>
      <c r="T705" s="178"/>
      <c r="U705" s="178"/>
      <c r="V705" s="179"/>
      <c r="W705" s="180"/>
      <c r="X705" s="179"/>
      <c r="Y705" s="180"/>
      <c r="Z705" s="178"/>
      <c r="AA705" s="178"/>
      <c r="AB705" s="178"/>
      <c r="AC705" s="178"/>
      <c r="AD705" s="182"/>
      <c r="AE705" s="182"/>
      <c r="AF705" s="182"/>
      <c r="AG705" s="182"/>
      <c r="AH705" s="401"/>
      <c r="AI705" s="401"/>
      <c r="AJ705" s="401"/>
      <c r="AK705" s="401"/>
      <c r="AL705" s="401"/>
      <c r="AM705" s="189"/>
      <c r="AN705" s="829"/>
      <c r="AO705" s="830"/>
      <c r="AP705" s="401"/>
      <c r="AQ705" s="401"/>
      <c r="AR705" s="401"/>
      <c r="AS705" s="401"/>
      <c r="AT705" s="403"/>
      <c r="AU705" s="403"/>
      <c r="AV705" s="170"/>
      <c r="AW705" s="166"/>
      <c r="AX705" s="166"/>
      <c r="AY705" s="189"/>
      <c r="AZ705" s="189"/>
      <c r="BA705" s="196"/>
      <c r="BB705" s="629"/>
      <c r="BC705" s="190"/>
      <c r="BD705" s="510"/>
      <c r="BE705" s="510"/>
      <c r="BF705" s="177"/>
      <c r="BG705" s="177"/>
      <c r="BH705" s="166"/>
      <c r="BI705" s="474"/>
      <c r="BJ705" s="166"/>
      <c r="BK705" s="474"/>
      <c r="BL705" s="474"/>
      <c r="BM705" s="474"/>
      <c r="BN705" s="166"/>
      <c r="BO705" s="166"/>
      <c r="BP705" s="204"/>
      <c r="BQ705" s="475"/>
      <c r="BR705" s="205"/>
      <c r="BS705" s="509"/>
      <c r="BT705" s="509"/>
      <c r="BU705" s="459"/>
      <c r="BV705" s="459"/>
      <c r="BW705" s="1"/>
      <c r="BX705" s="1"/>
      <c r="BY705" s="546"/>
      <c r="BZ705" s="546"/>
      <c r="CA705" s="546"/>
      <c r="CB705" s="546"/>
      <c r="CC705" s="728"/>
      <c r="CD705" s="728"/>
      <c r="CE705" s="170"/>
    </row>
    <row r="706" spans="1:83" customFormat="1">
      <c r="A706" s="701"/>
      <c r="B706" s="447"/>
      <c r="C706" s="161"/>
      <c r="D706" s="162"/>
      <c r="E706" s="1"/>
      <c r="F706" s="811"/>
      <c r="G706" s="440"/>
      <c r="H706" s="1"/>
      <c r="I706" s="55"/>
      <c r="J706" s="170"/>
      <c r="K706" s="1"/>
      <c r="L706" s="170"/>
      <c r="M706" s="1"/>
      <c r="N706" s="458"/>
      <c r="O706" s="170"/>
      <c r="P706" s="441"/>
      <c r="Q706" s="55"/>
      <c r="R706" s="177"/>
      <c r="S706" s="454"/>
      <c r="T706" s="178"/>
      <c r="U706" s="178"/>
      <c r="V706" s="179"/>
      <c r="W706" s="180"/>
      <c r="X706" s="179"/>
      <c r="Y706" s="180"/>
      <c r="Z706" s="178"/>
      <c r="AA706" s="178"/>
      <c r="AB706" s="178"/>
      <c r="AC706" s="178"/>
      <c r="AD706" s="182"/>
      <c r="AE706" s="182"/>
      <c r="AF706" s="182"/>
      <c r="AG706" s="182"/>
      <c r="AH706" s="401"/>
      <c r="AI706" s="401"/>
      <c r="AJ706" s="401"/>
      <c r="AK706" s="401"/>
      <c r="AL706" s="401"/>
      <c r="AM706" s="189"/>
      <c r="AN706" s="829"/>
      <c r="AO706" s="830"/>
      <c r="AP706" s="401"/>
      <c r="AQ706" s="401"/>
      <c r="AR706" s="401"/>
      <c r="AS706" s="401"/>
      <c r="AT706" s="403"/>
      <c r="AU706" s="403"/>
      <c r="AV706" s="170"/>
      <c r="AW706" s="166"/>
      <c r="AX706" s="166"/>
      <c r="AY706" s="189"/>
      <c r="AZ706" s="189"/>
      <c r="BA706" s="196"/>
      <c r="BB706" s="629"/>
      <c r="BC706" s="190"/>
      <c r="BD706" s="510"/>
      <c r="BE706" s="510"/>
      <c r="BF706" s="177"/>
      <c r="BG706" s="177"/>
      <c r="BH706" s="166"/>
      <c r="BI706" s="474"/>
      <c r="BJ706" s="166"/>
      <c r="BK706" s="474"/>
      <c r="BL706" s="474"/>
      <c r="BM706" s="474"/>
      <c r="BN706" s="166"/>
      <c r="BO706" s="166"/>
      <c r="BP706" s="204"/>
      <c r="BQ706" s="475"/>
      <c r="BR706" s="205"/>
      <c r="BS706" s="509"/>
      <c r="BT706" s="509"/>
      <c r="BU706" s="459"/>
      <c r="BV706" s="459"/>
      <c r="BW706" s="1"/>
      <c r="BX706" s="1"/>
      <c r="BY706" s="546"/>
      <c r="BZ706" s="546"/>
      <c r="CA706" s="546"/>
      <c r="CB706" s="546"/>
      <c r="CC706" s="728"/>
      <c r="CD706" s="728"/>
      <c r="CE706" s="170"/>
    </row>
    <row r="707" spans="1:83" customFormat="1">
      <c r="A707" s="701"/>
      <c r="B707" s="447"/>
      <c r="C707" s="161"/>
      <c r="D707" s="162"/>
      <c r="E707" s="1"/>
      <c r="F707" s="811"/>
      <c r="G707" s="440"/>
      <c r="H707" s="1"/>
      <c r="I707" s="55"/>
      <c r="J707" s="170"/>
      <c r="K707" s="1"/>
      <c r="L707" s="170"/>
      <c r="M707" s="1"/>
      <c r="N707" s="458"/>
      <c r="O707" s="170"/>
      <c r="P707" s="441"/>
      <c r="Q707" s="55"/>
      <c r="R707" s="177"/>
      <c r="S707" s="454"/>
      <c r="T707" s="178"/>
      <c r="U707" s="178"/>
      <c r="V707" s="179"/>
      <c r="W707" s="180"/>
      <c r="X707" s="179"/>
      <c r="Y707" s="180"/>
      <c r="Z707" s="178"/>
      <c r="AA707" s="178"/>
      <c r="AB707" s="178"/>
      <c r="AC707" s="178"/>
      <c r="AD707" s="182"/>
      <c r="AE707" s="182"/>
      <c r="AF707" s="182"/>
      <c r="AG707" s="182"/>
      <c r="AH707" s="401"/>
      <c r="AI707" s="401"/>
      <c r="AJ707" s="401"/>
      <c r="AK707" s="401"/>
      <c r="AL707" s="401"/>
      <c r="AM707" s="189"/>
      <c r="AN707" s="829"/>
      <c r="AO707" s="830"/>
      <c r="AP707" s="401"/>
      <c r="AQ707" s="401"/>
      <c r="AR707" s="401"/>
      <c r="AS707" s="401"/>
      <c r="AT707" s="403"/>
      <c r="AU707" s="403"/>
      <c r="AV707" s="170"/>
      <c r="AW707" s="166"/>
      <c r="AX707" s="166"/>
      <c r="AY707" s="189"/>
      <c r="AZ707" s="189"/>
      <c r="BA707" s="196"/>
      <c r="BB707" s="629"/>
      <c r="BC707" s="190"/>
      <c r="BD707" s="510"/>
      <c r="BE707" s="510"/>
      <c r="BF707" s="177"/>
      <c r="BG707" s="177"/>
      <c r="BH707" s="166"/>
      <c r="BI707" s="474"/>
      <c r="BJ707" s="166"/>
      <c r="BK707" s="474"/>
      <c r="BL707" s="474"/>
      <c r="BM707" s="474"/>
      <c r="BN707" s="166"/>
      <c r="BO707" s="166"/>
      <c r="BP707" s="204"/>
      <c r="BQ707" s="475"/>
      <c r="BR707" s="205"/>
      <c r="BS707" s="509"/>
      <c r="BT707" s="509"/>
      <c r="BU707" s="459"/>
      <c r="BV707" s="459"/>
      <c r="BW707" s="1"/>
      <c r="BX707" s="1"/>
      <c r="BY707" s="546"/>
      <c r="BZ707" s="546"/>
      <c r="CA707" s="546"/>
      <c r="CB707" s="546"/>
      <c r="CC707" s="728"/>
      <c r="CD707" s="728"/>
      <c r="CE707" s="170"/>
    </row>
    <row r="708" spans="1:83" customFormat="1">
      <c r="A708" s="701"/>
      <c r="B708" s="447"/>
      <c r="C708" s="161"/>
      <c r="D708" s="162"/>
      <c r="E708" s="1"/>
      <c r="F708" s="811"/>
      <c r="G708" s="440"/>
      <c r="H708" s="1"/>
      <c r="I708" s="55"/>
      <c r="J708" s="170"/>
      <c r="K708" s="1"/>
      <c r="L708" s="170"/>
      <c r="M708" s="1"/>
      <c r="N708" s="458"/>
      <c r="O708" s="170"/>
      <c r="P708" s="441"/>
      <c r="Q708" s="55"/>
      <c r="R708" s="177"/>
      <c r="S708" s="454"/>
      <c r="T708" s="178"/>
      <c r="U708" s="178"/>
      <c r="V708" s="179"/>
      <c r="W708" s="180"/>
      <c r="X708" s="179"/>
      <c r="Y708" s="180"/>
      <c r="Z708" s="178"/>
      <c r="AA708" s="178"/>
      <c r="AB708" s="178"/>
      <c r="AC708" s="178"/>
      <c r="AD708" s="182"/>
      <c r="AE708" s="182"/>
      <c r="AF708" s="182"/>
      <c r="AG708" s="182"/>
      <c r="AH708" s="401"/>
      <c r="AI708" s="401"/>
      <c r="AJ708" s="401"/>
      <c r="AK708" s="401"/>
      <c r="AL708" s="401"/>
      <c r="AM708" s="189"/>
      <c r="AN708" s="829"/>
      <c r="AO708" s="830"/>
      <c r="AP708" s="401"/>
      <c r="AQ708" s="401"/>
      <c r="AR708" s="401"/>
      <c r="AS708" s="401"/>
      <c r="AT708" s="403"/>
      <c r="AU708" s="403"/>
      <c r="AV708" s="170"/>
      <c r="AW708" s="166"/>
      <c r="AX708" s="166"/>
      <c r="AY708" s="189"/>
      <c r="AZ708" s="189"/>
      <c r="BA708" s="196"/>
      <c r="BB708" s="629"/>
      <c r="BC708" s="190"/>
      <c r="BD708" s="510"/>
      <c r="BE708" s="510"/>
      <c r="BF708" s="177"/>
      <c r="BG708" s="177"/>
      <c r="BH708" s="166"/>
      <c r="BI708" s="474"/>
      <c r="BJ708" s="166"/>
      <c r="BK708" s="474"/>
      <c r="BL708" s="474"/>
      <c r="BM708" s="474"/>
      <c r="BN708" s="166"/>
      <c r="BO708" s="166"/>
      <c r="BP708" s="204"/>
      <c r="BQ708" s="475"/>
      <c r="BR708" s="205"/>
      <c r="BS708" s="509"/>
      <c r="BT708" s="509"/>
      <c r="BU708" s="459"/>
      <c r="BV708" s="459"/>
      <c r="BW708" s="1"/>
      <c r="BX708" s="1"/>
      <c r="BY708" s="546"/>
      <c r="BZ708" s="546"/>
      <c r="CA708" s="546"/>
      <c r="CB708" s="546"/>
      <c r="CC708" s="728"/>
      <c r="CD708" s="728"/>
      <c r="CE708" s="170"/>
    </row>
    <row r="709" spans="1:83" customFormat="1">
      <c r="A709" s="701"/>
      <c r="B709" s="447"/>
      <c r="C709" s="1"/>
      <c r="D709" s="538"/>
      <c r="E709" s="1"/>
      <c r="F709" s="811"/>
      <c r="G709" s="440"/>
      <c r="H709" s="1"/>
      <c r="I709" s="55"/>
      <c r="J709" s="171"/>
      <c r="K709" s="55"/>
      <c r="L709" s="171"/>
      <c r="M709" s="55"/>
      <c r="N709" s="172"/>
      <c r="O709" s="170"/>
      <c r="P709" s="139"/>
      <c r="Q709" s="172"/>
      <c r="R709" s="181"/>
      <c r="S709" s="455"/>
      <c r="T709" s="170"/>
      <c r="U709" s="170"/>
      <c r="V709" s="1"/>
      <c r="W709" s="173"/>
      <c r="X709" s="1"/>
      <c r="Y709" s="166"/>
      <c r="Z709" s="170"/>
      <c r="AA709" s="170"/>
      <c r="AB709" s="170"/>
      <c r="AC709" s="170"/>
      <c r="AD709" s="182"/>
      <c r="AE709" s="182"/>
      <c r="AF709" s="182"/>
      <c r="AG709" s="182"/>
      <c r="AH709" s="189"/>
      <c r="AI709" s="401"/>
      <c r="AJ709" s="189"/>
      <c r="AK709" s="401"/>
      <c r="AL709" s="401"/>
      <c r="AM709" s="189"/>
      <c r="AN709" s="782"/>
      <c r="AO709" s="189"/>
      <c r="AP709" s="401"/>
      <c r="AQ709" s="401"/>
      <c r="AR709" s="401"/>
      <c r="AS709" s="188"/>
      <c r="AT709" s="1"/>
      <c r="AU709" s="403"/>
      <c r="AV709" s="1"/>
      <c r="AW709" s="166"/>
      <c r="AX709" s="166"/>
      <c r="AY709" s="189"/>
      <c r="AZ709" s="189"/>
      <c r="BA709" s="196"/>
      <c r="BB709" s="629"/>
      <c r="BC709" s="197"/>
      <c r="BD709" s="510"/>
      <c r="BE709" s="510"/>
      <c r="BF709" s="177"/>
      <c r="BG709" s="177"/>
      <c r="BH709" s="166"/>
      <c r="BI709" s="474"/>
      <c r="BJ709" s="166"/>
      <c r="BK709" s="474"/>
      <c r="BL709" s="474"/>
      <c r="BM709" s="474"/>
      <c r="BN709" s="166"/>
      <c r="BO709" s="166"/>
      <c r="BP709" s="204"/>
      <c r="BQ709" s="475"/>
      <c r="BR709" s="205"/>
      <c r="BS709" s="509"/>
      <c r="BT709" s="509"/>
      <c r="BU709" s="459"/>
      <c r="BV709" s="459"/>
      <c r="BW709" s="1"/>
      <c r="BX709" s="1"/>
      <c r="BY709" s="546"/>
      <c r="BZ709" s="546"/>
      <c r="CA709" s="546"/>
      <c r="CB709" s="546"/>
      <c r="CC709" s="728"/>
      <c r="CD709" s="728"/>
      <c r="CE709" s="170"/>
    </row>
    <row r="710" spans="1:83" customFormat="1">
      <c r="A710" s="701"/>
      <c r="B710" s="447"/>
      <c r="C710" s="161"/>
      <c r="D710" s="162"/>
      <c r="E710" s="1"/>
      <c r="F710" s="811"/>
      <c r="G710" s="440"/>
      <c r="H710" s="1"/>
      <c r="I710" s="55"/>
      <c r="J710" s="170"/>
      <c r="K710" s="1"/>
      <c r="L710" s="170"/>
      <c r="M710" s="1"/>
      <c r="N710" s="458"/>
      <c r="O710" s="170"/>
      <c r="P710" s="441"/>
      <c r="Q710" s="55"/>
      <c r="R710" s="177"/>
      <c r="S710" s="454"/>
      <c r="T710" s="178"/>
      <c r="U710" s="178"/>
      <c r="V710" s="179"/>
      <c r="W710" s="180"/>
      <c r="X710" s="179"/>
      <c r="Y710" s="180"/>
      <c r="Z710" s="178"/>
      <c r="AA710" s="178"/>
      <c r="AB710" s="178"/>
      <c r="AC710" s="178"/>
      <c r="AD710" s="182"/>
      <c r="AE710" s="182"/>
      <c r="AF710" s="182"/>
      <c r="AG710" s="182"/>
      <c r="AH710" s="401"/>
      <c r="AI710" s="401"/>
      <c r="AJ710" s="401"/>
      <c r="AK710" s="401"/>
      <c r="AL710" s="401"/>
      <c r="AM710" s="189"/>
      <c r="AN710" s="829"/>
      <c r="AO710" s="830"/>
      <c r="AP710" s="401"/>
      <c r="AQ710" s="401"/>
      <c r="AR710" s="401"/>
      <c r="AS710" s="401"/>
      <c r="AT710" s="403"/>
      <c r="AU710" s="403"/>
      <c r="AV710" s="170"/>
      <c r="AW710" s="166"/>
      <c r="AX710" s="166"/>
      <c r="AY710" s="189"/>
      <c r="AZ710" s="189"/>
      <c r="BA710" s="196"/>
      <c r="BB710" s="629"/>
      <c r="BC710" s="190"/>
      <c r="BD710" s="510"/>
      <c r="BE710" s="510"/>
      <c r="BF710" s="177"/>
      <c r="BG710" s="177"/>
      <c r="BH710" s="166"/>
      <c r="BI710" s="474"/>
      <c r="BJ710" s="166"/>
      <c r="BK710" s="474"/>
      <c r="BL710" s="474"/>
      <c r="BM710" s="474"/>
      <c r="BN710" s="166"/>
      <c r="BO710" s="166"/>
      <c r="BP710" s="204"/>
      <c r="BQ710" s="475"/>
      <c r="BR710" s="205"/>
      <c r="BS710" s="509"/>
      <c r="BT710" s="509"/>
      <c r="BU710" s="459"/>
      <c r="BV710" s="459"/>
      <c r="BW710" s="1"/>
      <c r="BX710" s="1"/>
      <c r="BY710" s="546"/>
      <c r="BZ710" s="546"/>
      <c r="CA710" s="546"/>
      <c r="CB710" s="546"/>
      <c r="CC710" s="728"/>
      <c r="CD710" s="728"/>
      <c r="CE710" s="170"/>
    </row>
    <row r="711" spans="1:83" customFormat="1">
      <c r="A711" s="701"/>
      <c r="B711" s="447"/>
      <c r="C711" s="161"/>
      <c r="D711" s="162"/>
      <c r="E711" s="1"/>
      <c r="F711" s="811"/>
      <c r="G711" s="440"/>
      <c r="H711" s="1"/>
      <c r="I711" s="55"/>
      <c r="J711" s="170"/>
      <c r="K711" s="1"/>
      <c r="L711" s="170"/>
      <c r="M711" s="1"/>
      <c r="N711" s="458"/>
      <c r="O711" s="170"/>
      <c r="P711" s="441"/>
      <c r="Q711" s="55"/>
      <c r="R711" s="177"/>
      <c r="S711" s="454"/>
      <c r="T711" s="178"/>
      <c r="U711" s="178"/>
      <c r="V711" s="179"/>
      <c r="W711" s="180"/>
      <c r="X711" s="179"/>
      <c r="Y711" s="180"/>
      <c r="Z711" s="178"/>
      <c r="AA711" s="178"/>
      <c r="AB711" s="178"/>
      <c r="AC711" s="178"/>
      <c r="AD711" s="182"/>
      <c r="AE711" s="182"/>
      <c r="AF711" s="182"/>
      <c r="AG711" s="182"/>
      <c r="AH711" s="401"/>
      <c r="AI711" s="401"/>
      <c r="AJ711" s="401"/>
      <c r="AK711" s="401"/>
      <c r="AL711" s="401"/>
      <c r="AM711" s="189"/>
      <c r="AN711" s="829"/>
      <c r="AO711" s="830"/>
      <c r="AP711" s="401"/>
      <c r="AQ711" s="401"/>
      <c r="AR711" s="401"/>
      <c r="AS711" s="401"/>
      <c r="AT711" s="403"/>
      <c r="AU711" s="403"/>
      <c r="AV711" s="170"/>
      <c r="AW711" s="166"/>
      <c r="AX711" s="166"/>
      <c r="AY711" s="189"/>
      <c r="AZ711" s="189"/>
      <c r="BA711" s="196"/>
      <c r="BB711" s="629"/>
      <c r="BC711" s="190"/>
      <c r="BD711" s="510"/>
      <c r="BE711" s="510"/>
      <c r="BF711" s="177"/>
      <c r="BG711" s="177"/>
      <c r="BH711" s="166"/>
      <c r="BI711" s="474"/>
      <c r="BJ711" s="166"/>
      <c r="BK711" s="474"/>
      <c r="BL711" s="474"/>
      <c r="BM711" s="474"/>
      <c r="BN711" s="166"/>
      <c r="BO711" s="166"/>
      <c r="BP711" s="204"/>
      <c r="BQ711" s="475"/>
      <c r="BR711" s="205"/>
      <c r="BS711" s="509"/>
      <c r="BT711" s="509"/>
      <c r="BU711" s="459"/>
      <c r="BV711" s="459"/>
      <c r="BW711" s="1"/>
      <c r="BX711" s="1"/>
      <c r="BY711" s="546"/>
      <c r="BZ711" s="546"/>
      <c r="CA711" s="546"/>
      <c r="CB711" s="546"/>
      <c r="CC711" s="728"/>
      <c r="CD711" s="728"/>
      <c r="CE711" s="170"/>
    </row>
    <row r="712" spans="1:83" customFormat="1">
      <c r="A712" s="701"/>
      <c r="B712" s="447"/>
      <c r="C712" s="161"/>
      <c r="D712" s="162"/>
      <c r="E712" s="1"/>
      <c r="F712" s="811"/>
      <c r="G712" s="440"/>
      <c r="H712" s="1"/>
      <c r="I712" s="55"/>
      <c r="J712" s="170"/>
      <c r="K712" s="1"/>
      <c r="L712" s="170"/>
      <c r="M712" s="1"/>
      <c r="N712" s="166"/>
      <c r="O712" s="170"/>
      <c r="P712" s="441"/>
      <c r="Q712" s="55"/>
      <c r="R712" s="177"/>
      <c r="S712" s="454"/>
      <c r="T712" s="178"/>
      <c r="U712" s="178"/>
      <c r="V712" s="179"/>
      <c r="W712" s="180"/>
      <c r="X712" s="179"/>
      <c r="Y712" s="180"/>
      <c r="Z712" s="178"/>
      <c r="AA712" s="178"/>
      <c r="AB712" s="178"/>
      <c r="AC712" s="178"/>
      <c r="AD712" s="182"/>
      <c r="AE712" s="182"/>
      <c r="AF712" s="182"/>
      <c r="AG712" s="182"/>
      <c r="AH712" s="401"/>
      <c r="AI712" s="401"/>
      <c r="AJ712" s="182"/>
      <c r="AK712" s="401"/>
      <c r="AL712" s="401"/>
      <c r="AM712" s="189"/>
      <c r="AN712" s="829"/>
      <c r="AO712" s="830"/>
      <c r="AP712" s="401"/>
      <c r="AQ712" s="401"/>
      <c r="AR712" s="401"/>
      <c r="AS712" s="401"/>
      <c r="AT712" s="403"/>
      <c r="AU712" s="403"/>
      <c r="AV712" s="170"/>
      <c r="AW712" s="166"/>
      <c r="AX712" s="166"/>
      <c r="AY712" s="189"/>
      <c r="AZ712" s="189"/>
      <c r="BA712" s="196"/>
      <c r="BB712" s="629"/>
      <c r="BC712" s="190"/>
      <c r="BD712" s="510"/>
      <c r="BE712" s="510"/>
      <c r="BF712" s="177"/>
      <c r="BG712" s="177"/>
      <c r="BH712" s="166"/>
      <c r="BI712" s="474"/>
      <c r="BJ712" s="166"/>
      <c r="BK712" s="474"/>
      <c r="BL712" s="474"/>
      <c r="BM712" s="474"/>
      <c r="BN712" s="166"/>
      <c r="BO712" s="166"/>
      <c r="BP712" s="204"/>
      <c r="BQ712" s="475"/>
      <c r="BR712" s="205"/>
      <c r="BS712" s="509"/>
      <c r="BT712" s="509"/>
      <c r="BU712" s="459"/>
      <c r="BV712" s="459"/>
      <c r="BW712" s="1"/>
      <c r="BX712" s="1"/>
      <c r="BY712" s="546"/>
      <c r="BZ712" s="546"/>
      <c r="CA712" s="546"/>
      <c r="CB712" s="546"/>
      <c r="CC712" s="728"/>
      <c r="CD712" s="728"/>
      <c r="CE712" s="170"/>
    </row>
    <row r="713" spans="1:83" customFormat="1">
      <c r="A713" s="701"/>
      <c r="B713" s="447"/>
      <c r="C713" s="1"/>
      <c r="D713" s="538"/>
      <c r="E713" s="1"/>
      <c r="F713" s="811"/>
      <c r="G713" s="440"/>
      <c r="H713" s="371"/>
      <c r="I713" s="55"/>
      <c r="J713" s="370"/>
      <c r="K713" s="55"/>
      <c r="L713" s="370"/>
      <c r="M713" s="55"/>
      <c r="N713" s="452"/>
      <c r="O713" s="170"/>
      <c r="P713" s="139"/>
      <c r="Q713" s="369"/>
      <c r="R713" s="181"/>
      <c r="S713" s="455"/>
      <c r="T713" s="170"/>
      <c r="U713" s="170"/>
      <c r="V713" s="1"/>
      <c r="W713" s="173"/>
      <c r="X713" s="1"/>
      <c r="Y713" s="166"/>
      <c r="Z713" s="170"/>
      <c r="AA713" s="170"/>
      <c r="AB713" s="170"/>
      <c r="AC713" s="170"/>
      <c r="AD713" s="182"/>
      <c r="AE713" s="182"/>
      <c r="AF713" s="182"/>
      <c r="AG713" s="182"/>
      <c r="AH713" s="189"/>
      <c r="AI713" s="401"/>
      <c r="AJ713" s="189"/>
      <c r="AK713" s="401"/>
      <c r="AL713" s="401"/>
      <c r="AM713" s="189"/>
      <c r="AN713" s="829"/>
      <c r="AO713" s="830"/>
      <c r="AP713" s="401"/>
      <c r="AQ713" s="401"/>
      <c r="AR713" s="401"/>
      <c r="AS713" s="188"/>
      <c r="AT713" s="1"/>
      <c r="AU713" s="403"/>
      <c r="AV713" s="1"/>
      <c r="AW713" s="166"/>
      <c r="AX713" s="166"/>
      <c r="AY713" s="189"/>
      <c r="AZ713" s="189"/>
      <c r="BA713" s="196"/>
      <c r="BB713" s="629"/>
      <c r="BC713" s="197"/>
      <c r="BD713" s="510"/>
      <c r="BE713" s="510"/>
      <c r="BF713" s="177"/>
      <c r="BG713" s="177"/>
      <c r="BH713" s="166"/>
      <c r="BI713" s="474"/>
      <c r="BJ713" s="166"/>
      <c r="BK713" s="474"/>
      <c r="BL713" s="474"/>
      <c r="BM713" s="474"/>
      <c r="BN713" s="166"/>
      <c r="BO713" s="166"/>
      <c r="BP713" s="204"/>
      <c r="BQ713" s="475"/>
      <c r="BR713" s="205"/>
      <c r="BS713" s="509"/>
      <c r="BT713" s="509"/>
      <c r="BU713" s="459"/>
      <c r="BV713" s="459"/>
      <c r="BW713" s="1"/>
      <c r="BX713" s="1"/>
      <c r="BY713" s="546"/>
      <c r="BZ713" s="546"/>
      <c r="CA713" s="546"/>
      <c r="CB713" s="546"/>
      <c r="CC713" s="728"/>
      <c r="CD713" s="728"/>
      <c r="CE713" s="170"/>
    </row>
    <row r="714" spans="1:83" customFormat="1">
      <c r="A714" s="701"/>
      <c r="B714" s="447"/>
      <c r="C714" s="161"/>
      <c r="D714" s="162"/>
      <c r="E714" s="1"/>
      <c r="F714" s="811"/>
      <c r="G714" s="440"/>
      <c r="H714" s="1"/>
      <c r="I714" s="55"/>
      <c r="J714" s="170"/>
      <c r="K714" s="1"/>
      <c r="L714" s="170"/>
      <c r="M714" s="1"/>
      <c r="N714" s="458"/>
      <c r="O714" s="170"/>
      <c r="P714" s="441"/>
      <c r="Q714" s="55"/>
      <c r="R714" s="177"/>
      <c r="S714" s="454"/>
      <c r="T714" s="178"/>
      <c r="U714" s="178"/>
      <c r="V714" s="179"/>
      <c r="W714" s="180"/>
      <c r="X714" s="179"/>
      <c r="Y714" s="180"/>
      <c r="Z714" s="178"/>
      <c r="AA714" s="178"/>
      <c r="AB714" s="178"/>
      <c r="AC714" s="178"/>
      <c r="AD714" s="182"/>
      <c r="AE714" s="182"/>
      <c r="AF714" s="182"/>
      <c r="AG714" s="182"/>
      <c r="AH714" s="401"/>
      <c r="AI714" s="401"/>
      <c r="AJ714" s="401"/>
      <c r="AK714" s="401"/>
      <c r="AL714" s="401"/>
      <c r="AM714" s="189"/>
      <c r="AN714" s="829"/>
      <c r="AO714" s="830"/>
      <c r="AP714" s="401"/>
      <c r="AQ714" s="401"/>
      <c r="AR714" s="401"/>
      <c r="AS714" s="401"/>
      <c r="AT714" s="403"/>
      <c r="AU714" s="403"/>
      <c r="AV714" s="170"/>
      <c r="AW714" s="166"/>
      <c r="AX714" s="166"/>
      <c r="AY714" s="189"/>
      <c r="AZ714" s="189"/>
      <c r="BA714" s="196"/>
      <c r="BB714" s="629"/>
      <c r="BC714" s="190"/>
      <c r="BD714" s="510"/>
      <c r="BE714" s="510"/>
      <c r="BF714" s="177"/>
      <c r="BG714" s="177"/>
      <c r="BH714" s="166"/>
      <c r="BI714" s="474"/>
      <c r="BJ714" s="166"/>
      <c r="BK714" s="474"/>
      <c r="BL714" s="474"/>
      <c r="BM714" s="474"/>
      <c r="BN714" s="166"/>
      <c r="BO714" s="166"/>
      <c r="BP714" s="204"/>
      <c r="BQ714" s="475"/>
      <c r="BR714" s="205"/>
      <c r="BS714" s="509"/>
      <c r="BT714" s="509"/>
      <c r="BU714" s="459"/>
      <c r="BV714" s="459"/>
      <c r="BW714" s="1"/>
      <c r="BX714" s="1"/>
      <c r="BY714" s="546"/>
      <c r="BZ714" s="546"/>
      <c r="CA714" s="546"/>
      <c r="CB714" s="546"/>
      <c r="CC714" s="728"/>
      <c r="CD714" s="728"/>
      <c r="CE714" s="170"/>
    </row>
    <row r="715" spans="1:83" customFormat="1">
      <c r="A715" s="701"/>
      <c r="B715" s="447"/>
      <c r="C715" s="161"/>
      <c r="D715" s="162"/>
      <c r="E715" s="1"/>
      <c r="F715" s="811"/>
      <c r="G715" s="440"/>
      <c r="H715" s="1"/>
      <c r="I715" s="55"/>
      <c r="J715" s="170"/>
      <c r="K715" s="1"/>
      <c r="L715" s="457"/>
      <c r="M715" s="1"/>
      <c r="N715" s="458"/>
      <c r="O715" s="170"/>
      <c r="P715" s="441"/>
      <c r="Q715" s="55"/>
      <c r="R715" s="177"/>
      <c r="S715" s="454"/>
      <c r="T715" s="178"/>
      <c r="U715" s="178"/>
      <c r="V715" s="179"/>
      <c r="W715" s="180"/>
      <c r="X715" s="179"/>
      <c r="Y715" s="180"/>
      <c r="Z715" s="178"/>
      <c r="AA715" s="178"/>
      <c r="AB715" s="178"/>
      <c r="AC715" s="178"/>
      <c r="AD715" s="182"/>
      <c r="AE715" s="182"/>
      <c r="AF715" s="182"/>
      <c r="AG715" s="182"/>
      <c r="AH715" s="401"/>
      <c r="AI715" s="401"/>
      <c r="AJ715" s="401"/>
      <c r="AK715" s="401"/>
      <c r="AL715" s="401"/>
      <c r="AM715" s="189"/>
      <c r="AN715" s="829"/>
      <c r="AO715" s="830"/>
      <c r="AP715" s="401"/>
      <c r="AQ715" s="401"/>
      <c r="AR715" s="401"/>
      <c r="AS715" s="401"/>
      <c r="AT715" s="403"/>
      <c r="AU715" s="403"/>
      <c r="AV715" s="170"/>
      <c r="AW715" s="166"/>
      <c r="AX715" s="166"/>
      <c r="AY715" s="189"/>
      <c r="AZ715" s="189"/>
      <c r="BA715" s="196"/>
      <c r="BB715" s="629"/>
      <c r="BC715" s="190"/>
      <c r="BD715" s="510"/>
      <c r="BE715" s="510"/>
      <c r="BF715" s="177"/>
      <c r="BG715" s="177"/>
      <c r="BH715" s="166"/>
      <c r="BI715" s="474"/>
      <c r="BJ715" s="166"/>
      <c r="BK715" s="474"/>
      <c r="BL715" s="474"/>
      <c r="BM715" s="474"/>
      <c r="BN715" s="166"/>
      <c r="BO715" s="166"/>
      <c r="BP715" s="204"/>
      <c r="BQ715" s="475"/>
      <c r="BR715" s="205"/>
      <c r="BS715" s="509"/>
      <c r="BT715" s="509"/>
      <c r="BU715" s="459"/>
      <c r="BV715" s="459"/>
      <c r="BW715" s="1"/>
      <c r="BX715" s="1"/>
      <c r="BY715" s="546"/>
      <c r="BZ715" s="546"/>
      <c r="CA715" s="546"/>
      <c r="CB715" s="546"/>
      <c r="CC715" s="728"/>
      <c r="CD715" s="728"/>
      <c r="CE715" s="170"/>
    </row>
    <row r="716" spans="1:83" customFormat="1">
      <c r="A716" s="701"/>
      <c r="B716" s="447"/>
      <c r="C716" s="161"/>
      <c r="D716" s="162"/>
      <c r="E716" s="1"/>
      <c r="F716" s="811"/>
      <c r="G716" s="440"/>
      <c r="H716" s="1"/>
      <c r="I716" s="55"/>
      <c r="J716" s="170"/>
      <c r="K716" s="1"/>
      <c r="L716" s="170"/>
      <c r="M716" s="1"/>
      <c r="N716" s="458"/>
      <c r="O716" s="170"/>
      <c r="P716" s="441"/>
      <c r="Q716" s="55"/>
      <c r="R716" s="177"/>
      <c r="S716" s="454"/>
      <c r="T716" s="178"/>
      <c r="U716" s="178"/>
      <c r="V716" s="179"/>
      <c r="W716" s="180"/>
      <c r="X716" s="179"/>
      <c r="Y716" s="180"/>
      <c r="Z716" s="178"/>
      <c r="AA716" s="178"/>
      <c r="AB716" s="178"/>
      <c r="AC716" s="178"/>
      <c r="AD716" s="182"/>
      <c r="AE716" s="182"/>
      <c r="AF716" s="182"/>
      <c r="AG716" s="182"/>
      <c r="AH716" s="401"/>
      <c r="AI716" s="401"/>
      <c r="AJ716" s="401"/>
      <c r="AK716" s="401"/>
      <c r="AL716" s="401"/>
      <c r="AM716" s="189"/>
      <c r="AN716" s="829"/>
      <c r="AO716" s="830"/>
      <c r="AP716" s="401"/>
      <c r="AQ716" s="401"/>
      <c r="AR716" s="401"/>
      <c r="AS716" s="401"/>
      <c r="AT716" s="403"/>
      <c r="AU716" s="403"/>
      <c r="AV716" s="170"/>
      <c r="AW716" s="166"/>
      <c r="AX716" s="166"/>
      <c r="AY716" s="189"/>
      <c r="AZ716" s="189"/>
      <c r="BA716" s="196"/>
      <c r="BB716" s="629"/>
      <c r="BC716" s="190"/>
      <c r="BD716" s="510"/>
      <c r="BE716" s="510"/>
      <c r="BF716" s="177"/>
      <c r="BG716" s="177"/>
      <c r="BH716" s="166"/>
      <c r="BI716" s="474"/>
      <c r="BJ716" s="166"/>
      <c r="BK716" s="474"/>
      <c r="BL716" s="474"/>
      <c r="BM716" s="474"/>
      <c r="BN716" s="166"/>
      <c r="BO716" s="166"/>
      <c r="BP716" s="204"/>
      <c r="BQ716" s="475"/>
      <c r="BR716" s="205"/>
      <c r="BS716" s="509"/>
      <c r="BT716" s="509"/>
      <c r="BU716" s="459"/>
      <c r="BV716" s="459"/>
      <c r="BW716" s="1"/>
      <c r="BX716" s="1"/>
      <c r="BY716" s="546"/>
      <c r="BZ716" s="546"/>
      <c r="CA716" s="546"/>
      <c r="CB716" s="546"/>
      <c r="CC716" s="728"/>
      <c r="CD716" s="728"/>
      <c r="CE716" s="170"/>
    </row>
    <row r="717" spans="1:83" customFormat="1">
      <c r="A717" s="701"/>
      <c r="B717" s="447"/>
      <c r="C717" s="161"/>
      <c r="D717" s="162"/>
      <c r="E717" s="1"/>
      <c r="F717" s="811"/>
      <c r="G717" s="440"/>
      <c r="H717" s="1"/>
      <c r="I717" s="55"/>
      <c r="J717" s="170"/>
      <c r="K717" s="1"/>
      <c r="L717" s="170"/>
      <c r="M717" s="1"/>
      <c r="N717" s="458"/>
      <c r="O717" s="170"/>
      <c r="P717" s="441"/>
      <c r="Q717" s="55"/>
      <c r="R717" s="177"/>
      <c r="S717" s="454"/>
      <c r="T717" s="178"/>
      <c r="U717" s="178"/>
      <c r="V717" s="179"/>
      <c r="W717" s="180"/>
      <c r="X717" s="179"/>
      <c r="Y717" s="180"/>
      <c r="Z717" s="178"/>
      <c r="AA717" s="178"/>
      <c r="AB717" s="178"/>
      <c r="AC717" s="178"/>
      <c r="AD717" s="182"/>
      <c r="AE717" s="182"/>
      <c r="AF717" s="182"/>
      <c r="AG717" s="182"/>
      <c r="AH717" s="401"/>
      <c r="AI717" s="401"/>
      <c r="AJ717" s="401"/>
      <c r="AK717" s="401"/>
      <c r="AL717" s="401"/>
      <c r="AM717" s="189"/>
      <c r="AN717" s="829"/>
      <c r="AO717" s="830"/>
      <c r="AP717" s="401"/>
      <c r="AQ717" s="401"/>
      <c r="AR717" s="401"/>
      <c r="AS717" s="401"/>
      <c r="AT717" s="403"/>
      <c r="AU717" s="403"/>
      <c r="AV717" s="170"/>
      <c r="AW717" s="166"/>
      <c r="AX717" s="166"/>
      <c r="AY717" s="189"/>
      <c r="AZ717" s="189"/>
      <c r="BA717" s="196"/>
      <c r="BB717" s="629"/>
      <c r="BC717" s="190"/>
      <c r="BD717" s="510"/>
      <c r="BE717" s="510"/>
      <c r="BF717" s="177"/>
      <c r="BG717" s="177"/>
      <c r="BH717" s="166"/>
      <c r="BI717" s="474"/>
      <c r="BJ717" s="166"/>
      <c r="BK717" s="474"/>
      <c r="BL717" s="474"/>
      <c r="BM717" s="474"/>
      <c r="BN717" s="166"/>
      <c r="BO717" s="166"/>
      <c r="BP717" s="204"/>
      <c r="BQ717" s="475"/>
      <c r="BR717" s="205"/>
      <c r="BS717" s="509"/>
      <c r="BT717" s="509"/>
      <c r="BU717" s="459"/>
      <c r="BV717" s="459"/>
      <c r="BW717" s="1"/>
      <c r="BX717" s="1"/>
      <c r="BY717" s="546"/>
      <c r="BZ717" s="546"/>
      <c r="CA717" s="546"/>
      <c r="CB717" s="546"/>
      <c r="CC717" s="728"/>
      <c r="CD717" s="728"/>
      <c r="CE717" s="170"/>
    </row>
    <row r="718" spans="1:83" customFormat="1">
      <c r="A718" s="701"/>
      <c r="B718" s="447"/>
      <c r="C718" s="161"/>
      <c r="D718" s="162"/>
      <c r="E718" s="1"/>
      <c r="F718" s="811"/>
      <c r="G718" s="440"/>
      <c r="H718" s="1"/>
      <c r="I718" s="55"/>
      <c r="J718" s="170"/>
      <c r="K718" s="1"/>
      <c r="L718" s="170"/>
      <c r="M718" s="1"/>
      <c r="N718" s="458"/>
      <c r="O718" s="170"/>
      <c r="P718" s="441"/>
      <c r="Q718" s="55"/>
      <c r="R718" s="177"/>
      <c r="S718" s="454"/>
      <c r="T718" s="178"/>
      <c r="U718" s="178"/>
      <c r="V718" s="179"/>
      <c r="W718" s="180"/>
      <c r="X718" s="179"/>
      <c r="Y718" s="180"/>
      <c r="Z718" s="178"/>
      <c r="AA718" s="178"/>
      <c r="AB718" s="178"/>
      <c r="AC718" s="178"/>
      <c r="AD718" s="182"/>
      <c r="AE718" s="182"/>
      <c r="AF718" s="182"/>
      <c r="AG718" s="182"/>
      <c r="AH718" s="401"/>
      <c r="AI718" s="401"/>
      <c r="AJ718" s="401"/>
      <c r="AK718" s="401"/>
      <c r="AL718" s="401"/>
      <c r="AM718" s="189"/>
      <c r="AN718" s="829"/>
      <c r="AO718" s="830"/>
      <c r="AP718" s="401"/>
      <c r="AQ718" s="401"/>
      <c r="AR718" s="401"/>
      <c r="AS718" s="401"/>
      <c r="AT718" s="403"/>
      <c r="AU718" s="403"/>
      <c r="AV718" s="170"/>
      <c r="AW718" s="166"/>
      <c r="AX718" s="166"/>
      <c r="AY718" s="189"/>
      <c r="AZ718" s="189"/>
      <c r="BA718" s="196"/>
      <c r="BB718" s="629"/>
      <c r="BC718" s="190"/>
      <c r="BD718" s="510"/>
      <c r="BE718" s="510"/>
      <c r="BF718" s="177"/>
      <c r="BG718" s="177"/>
      <c r="BH718" s="166"/>
      <c r="BI718" s="474"/>
      <c r="BJ718" s="166"/>
      <c r="BK718" s="474"/>
      <c r="BL718" s="474"/>
      <c r="BM718" s="474"/>
      <c r="BN718" s="166"/>
      <c r="BO718" s="166"/>
      <c r="BP718" s="204"/>
      <c r="BQ718" s="475"/>
      <c r="BR718" s="205"/>
      <c r="BS718" s="509"/>
      <c r="BT718" s="509"/>
      <c r="BU718" s="459"/>
      <c r="BV718" s="459"/>
      <c r="BW718" s="1"/>
      <c r="BX718" s="1"/>
      <c r="BY718" s="546"/>
      <c r="BZ718" s="546"/>
      <c r="CA718" s="546"/>
      <c r="CB718" s="546"/>
      <c r="CC718" s="728"/>
      <c r="CD718" s="728"/>
      <c r="CE718" s="170"/>
    </row>
    <row r="719" spans="1:83" customFormat="1">
      <c r="A719" s="701"/>
      <c r="B719" s="447"/>
      <c r="C719" s="1"/>
      <c r="D719" s="538"/>
      <c r="E719" s="1"/>
      <c r="F719" s="811"/>
      <c r="G719" s="440"/>
      <c r="H719" s="1"/>
      <c r="J719" s="171"/>
      <c r="K719" s="55"/>
      <c r="L719" s="171"/>
      <c r="M719" s="55"/>
      <c r="N719" s="172"/>
      <c r="O719" s="170"/>
      <c r="P719" s="139"/>
      <c r="Q719" s="171"/>
      <c r="R719" s="181"/>
      <c r="S719" s="455"/>
      <c r="T719" s="170"/>
      <c r="U719" s="170"/>
      <c r="V719" s="1"/>
      <c r="W719" s="173"/>
      <c r="X719" s="1"/>
      <c r="Y719" s="166"/>
      <c r="Z719" s="170"/>
      <c r="AA719" s="170"/>
      <c r="AB719" s="170"/>
      <c r="AC719" s="170"/>
      <c r="AD719" s="182"/>
      <c r="AE719" s="182"/>
      <c r="AF719" s="182"/>
      <c r="AG719" s="182"/>
      <c r="AH719" s="189"/>
      <c r="AI719" s="401"/>
      <c r="AJ719" s="189"/>
      <c r="AK719" s="401"/>
      <c r="AL719" s="401"/>
      <c r="AM719" s="189"/>
      <c r="AN719" s="782"/>
      <c r="AO719" s="189"/>
      <c r="AP719" s="401"/>
      <c r="AQ719" s="401"/>
      <c r="AR719" s="401"/>
      <c r="AS719" s="188"/>
      <c r="AT719" s="1"/>
      <c r="AU719" s="403"/>
      <c r="AV719" s="1"/>
      <c r="AW719" s="166"/>
      <c r="AX719" s="166"/>
      <c r="AY719" s="189"/>
      <c r="AZ719" s="189"/>
      <c r="BA719" s="196"/>
      <c r="BB719" s="629"/>
      <c r="BC719" s="197"/>
      <c r="BD719" s="510"/>
      <c r="BE719" s="510"/>
      <c r="BF719" s="177"/>
      <c r="BG719" s="177"/>
      <c r="BH719" s="166"/>
      <c r="BI719" s="474"/>
      <c r="BJ719" s="166"/>
      <c r="BK719" s="474"/>
      <c r="BL719" s="474"/>
      <c r="BM719" s="474"/>
      <c r="BN719" s="166"/>
      <c r="BO719" s="166"/>
      <c r="BP719" s="204"/>
      <c r="BQ719" s="475"/>
      <c r="BR719" s="205"/>
      <c r="BS719" s="509"/>
      <c r="BT719" s="509"/>
      <c r="BU719" s="459"/>
      <c r="BV719" s="459"/>
      <c r="BW719" s="1"/>
      <c r="BX719" s="1"/>
      <c r="BY719" s="546"/>
      <c r="BZ719" s="546"/>
      <c r="CA719" s="546"/>
      <c r="CB719" s="546"/>
      <c r="CC719" s="728"/>
      <c r="CD719" s="728"/>
      <c r="CE719" s="170"/>
    </row>
    <row r="720" spans="1:83" customFormat="1">
      <c r="A720" s="701"/>
      <c r="B720" s="447"/>
      <c r="C720" s="161"/>
      <c r="D720" s="162"/>
      <c r="E720" s="1"/>
      <c r="F720" s="811"/>
      <c r="G720" s="440"/>
      <c r="H720" s="1"/>
      <c r="I720" s="55"/>
      <c r="J720" s="170"/>
      <c r="K720" s="1"/>
      <c r="L720" s="170"/>
      <c r="M720" s="1"/>
      <c r="N720" s="458"/>
      <c r="O720" s="170"/>
      <c r="P720" s="441"/>
      <c r="Q720" s="55"/>
      <c r="R720" s="177"/>
      <c r="S720" s="454"/>
      <c r="T720" s="178"/>
      <c r="U720" s="178"/>
      <c r="V720" s="179"/>
      <c r="W720" s="180"/>
      <c r="X720" s="179"/>
      <c r="Y720" s="180"/>
      <c r="Z720" s="178"/>
      <c r="AA720" s="178"/>
      <c r="AB720" s="178"/>
      <c r="AC720" s="178"/>
      <c r="AD720" s="182"/>
      <c r="AE720" s="182"/>
      <c r="AF720" s="182"/>
      <c r="AG720" s="182"/>
      <c r="AH720" s="401"/>
      <c r="AI720" s="401"/>
      <c r="AJ720" s="401"/>
      <c r="AK720" s="401"/>
      <c r="AL720" s="401"/>
      <c r="AM720" s="189"/>
      <c r="AN720" s="829"/>
      <c r="AO720" s="830"/>
      <c r="AP720" s="401"/>
      <c r="AQ720" s="401"/>
      <c r="AR720" s="401"/>
      <c r="AS720" s="401"/>
      <c r="AT720" s="403"/>
      <c r="AU720" s="403"/>
      <c r="AV720" s="170"/>
      <c r="AW720" s="166"/>
      <c r="AX720" s="166"/>
      <c r="AY720" s="189"/>
      <c r="AZ720" s="189"/>
      <c r="BA720" s="196"/>
      <c r="BB720" s="629"/>
      <c r="BC720" s="190"/>
      <c r="BD720" s="510"/>
      <c r="BE720" s="510"/>
      <c r="BF720" s="177"/>
      <c r="BG720" s="177"/>
      <c r="BH720" s="166"/>
      <c r="BI720" s="474"/>
      <c r="BJ720" s="166"/>
      <c r="BK720" s="474"/>
      <c r="BL720" s="474"/>
      <c r="BM720" s="474"/>
      <c r="BN720" s="166"/>
      <c r="BO720" s="166"/>
      <c r="BP720" s="204"/>
      <c r="BQ720" s="475"/>
      <c r="BR720" s="205"/>
      <c r="BS720" s="509"/>
      <c r="BT720" s="509"/>
      <c r="BU720" s="459"/>
      <c r="BV720" s="459"/>
      <c r="BW720" s="1"/>
      <c r="BX720" s="1"/>
      <c r="BY720" s="546"/>
      <c r="BZ720" s="546"/>
      <c r="CA720" s="546"/>
      <c r="CB720" s="546"/>
      <c r="CC720" s="728"/>
      <c r="CD720" s="728"/>
      <c r="CE720" s="170"/>
    </row>
    <row r="721" spans="1:83" customFormat="1">
      <c r="A721" s="701"/>
      <c r="B721" s="447"/>
      <c r="C721" s="161"/>
      <c r="D721" s="162"/>
      <c r="E721" s="1"/>
      <c r="F721" s="811"/>
      <c r="G721" s="440"/>
      <c r="H721" s="1"/>
      <c r="I721" s="55"/>
      <c r="J721" s="170"/>
      <c r="K721" s="1"/>
      <c r="L721" s="170"/>
      <c r="M721" s="1"/>
      <c r="N721" s="458"/>
      <c r="O721" s="170"/>
      <c r="P721" s="441"/>
      <c r="Q721" s="55"/>
      <c r="R721" s="177"/>
      <c r="S721" s="454"/>
      <c r="T721" s="178"/>
      <c r="U721" s="178"/>
      <c r="V721" s="179"/>
      <c r="W721" s="180"/>
      <c r="X721" s="179"/>
      <c r="Y721" s="180"/>
      <c r="Z721" s="178"/>
      <c r="AA721" s="178"/>
      <c r="AB721" s="178"/>
      <c r="AC721" s="178"/>
      <c r="AD721" s="182"/>
      <c r="AE721" s="182"/>
      <c r="AF721" s="182"/>
      <c r="AG721" s="182"/>
      <c r="AH721" s="401"/>
      <c r="AI721" s="401"/>
      <c r="AJ721" s="401"/>
      <c r="AK721" s="401"/>
      <c r="AL721" s="401"/>
      <c r="AM721" s="189"/>
      <c r="AN721" s="829"/>
      <c r="AO721" s="830"/>
      <c r="AP721" s="401"/>
      <c r="AQ721" s="401"/>
      <c r="AR721" s="401"/>
      <c r="AS721" s="401"/>
      <c r="AT721" s="403"/>
      <c r="AU721" s="403"/>
      <c r="AV721" s="170"/>
      <c r="AW721" s="166"/>
      <c r="AX721" s="166"/>
      <c r="AY721" s="189"/>
      <c r="AZ721" s="189"/>
      <c r="BA721" s="196"/>
      <c r="BB721" s="629"/>
      <c r="BC721" s="190"/>
      <c r="BD721" s="510"/>
      <c r="BE721" s="510"/>
      <c r="BF721" s="177"/>
      <c r="BG721" s="177"/>
      <c r="BH721" s="166"/>
      <c r="BI721" s="474"/>
      <c r="BJ721" s="166"/>
      <c r="BK721" s="474"/>
      <c r="BL721" s="474"/>
      <c r="BM721" s="474"/>
      <c r="BN721" s="166"/>
      <c r="BO721" s="166"/>
      <c r="BP721" s="204"/>
      <c r="BQ721" s="475"/>
      <c r="BR721" s="205"/>
      <c r="BS721" s="509"/>
      <c r="BT721" s="509"/>
      <c r="BU721" s="459"/>
      <c r="BV721" s="459"/>
      <c r="BW721" s="1"/>
      <c r="BX721" s="1"/>
      <c r="BY721" s="546"/>
      <c r="BZ721" s="546"/>
      <c r="CA721" s="546"/>
      <c r="CB721" s="546"/>
      <c r="CC721" s="728"/>
      <c r="CD721" s="728"/>
      <c r="CE721" s="170"/>
    </row>
    <row r="722" spans="1:83" customFormat="1">
      <c r="A722" s="701"/>
      <c r="B722" s="447"/>
      <c r="C722" s="161"/>
      <c r="D722" s="162"/>
      <c r="E722" s="1"/>
      <c r="F722" s="811"/>
      <c r="G722" s="440"/>
      <c r="H722" s="1"/>
      <c r="I722" s="55"/>
      <c r="J722" s="457"/>
      <c r="K722" s="1"/>
      <c r="L722" s="170"/>
      <c r="M722" s="1"/>
      <c r="N722" s="458"/>
      <c r="O722" s="170"/>
      <c r="P722" s="441"/>
      <c r="Q722" s="55"/>
      <c r="R722" s="177"/>
      <c r="S722" s="454"/>
      <c r="T722" s="178"/>
      <c r="U722" s="178"/>
      <c r="V722" s="179"/>
      <c r="W722" s="180"/>
      <c r="X722" s="179"/>
      <c r="Y722" s="180"/>
      <c r="Z722" s="178"/>
      <c r="AA722" s="178"/>
      <c r="AB722" s="178"/>
      <c r="AC722" s="178"/>
      <c r="AD722" s="182"/>
      <c r="AE722" s="182"/>
      <c r="AF722" s="182"/>
      <c r="AG722" s="182"/>
      <c r="AH722" s="401"/>
      <c r="AI722" s="401"/>
      <c r="AJ722" s="401"/>
      <c r="AK722" s="401"/>
      <c r="AL722" s="401"/>
      <c r="AM722" s="189"/>
      <c r="AN722" s="829"/>
      <c r="AO722" s="830"/>
      <c r="AP722" s="401"/>
      <c r="AQ722" s="401"/>
      <c r="AR722" s="401"/>
      <c r="AS722" s="401"/>
      <c r="AT722" s="403"/>
      <c r="AU722" s="403"/>
      <c r="AV722" s="170"/>
      <c r="AW722" s="166"/>
      <c r="AX722" s="166"/>
      <c r="AY722" s="189"/>
      <c r="AZ722" s="189"/>
      <c r="BA722" s="196"/>
      <c r="BB722" s="629"/>
      <c r="BC722" s="190"/>
      <c r="BD722" s="510"/>
      <c r="BE722" s="510"/>
      <c r="BF722" s="177"/>
      <c r="BG722" s="177"/>
      <c r="BH722" s="166"/>
      <c r="BI722" s="474"/>
      <c r="BJ722" s="166"/>
      <c r="BK722" s="474"/>
      <c r="BL722" s="474"/>
      <c r="BM722" s="474"/>
      <c r="BN722" s="166"/>
      <c r="BO722" s="166"/>
      <c r="BP722" s="204"/>
      <c r="BQ722" s="475"/>
      <c r="BR722" s="205"/>
      <c r="BS722" s="509"/>
      <c r="BT722" s="509"/>
      <c r="BU722" s="459"/>
      <c r="BV722" s="459"/>
      <c r="BW722" s="1"/>
      <c r="BX722" s="1"/>
      <c r="BY722" s="546"/>
      <c r="BZ722" s="546"/>
      <c r="CA722" s="546"/>
      <c r="CB722" s="546"/>
      <c r="CC722" s="728"/>
      <c r="CD722" s="728"/>
      <c r="CE722" s="170"/>
    </row>
    <row r="723" spans="1:83" customFormat="1">
      <c r="A723" s="701"/>
      <c r="B723" s="447"/>
      <c r="C723" s="161"/>
      <c r="D723" s="162"/>
      <c r="E723" s="1"/>
      <c r="F723" s="811"/>
      <c r="G723" s="440"/>
      <c r="H723" s="1"/>
      <c r="I723" s="55"/>
      <c r="J723" s="170"/>
      <c r="K723" s="1"/>
      <c r="L723" s="170"/>
      <c r="M723" s="1"/>
      <c r="N723" s="458"/>
      <c r="O723" s="170"/>
      <c r="P723" s="441"/>
      <c r="Q723" s="55"/>
      <c r="R723" s="177"/>
      <c r="S723" s="454"/>
      <c r="T723" s="178"/>
      <c r="U723" s="178"/>
      <c r="V723" s="179"/>
      <c r="W723" s="180"/>
      <c r="X723" s="179"/>
      <c r="Y723" s="180"/>
      <c r="Z723" s="178"/>
      <c r="AA723" s="178"/>
      <c r="AB723" s="178"/>
      <c r="AC723" s="178"/>
      <c r="AD723" s="182"/>
      <c r="AE723" s="182"/>
      <c r="AF723" s="182"/>
      <c r="AG723" s="182"/>
      <c r="AH723" s="401"/>
      <c r="AI723" s="401"/>
      <c r="AJ723" s="401"/>
      <c r="AK723" s="401"/>
      <c r="AL723" s="401"/>
      <c r="AM723" s="189"/>
      <c r="AN723" s="829"/>
      <c r="AO723" s="830"/>
      <c r="AP723" s="401"/>
      <c r="AQ723" s="401"/>
      <c r="AR723" s="401"/>
      <c r="AS723" s="401"/>
      <c r="AT723" s="403"/>
      <c r="AU723" s="403"/>
      <c r="AV723" s="170"/>
      <c r="AW723" s="166"/>
      <c r="AX723" s="166"/>
      <c r="AY723" s="189"/>
      <c r="AZ723" s="189"/>
      <c r="BA723" s="196"/>
      <c r="BB723" s="629"/>
      <c r="BC723" s="190"/>
      <c r="BD723" s="510"/>
      <c r="BE723" s="510"/>
      <c r="BF723" s="177"/>
      <c r="BG723" s="177"/>
      <c r="BH723" s="166"/>
      <c r="BI723" s="474"/>
      <c r="BJ723" s="166"/>
      <c r="BK723" s="474"/>
      <c r="BL723" s="474"/>
      <c r="BM723" s="474"/>
      <c r="BN723" s="166"/>
      <c r="BO723" s="166"/>
      <c r="BP723" s="204"/>
      <c r="BQ723" s="475"/>
      <c r="BR723" s="205"/>
      <c r="BS723" s="509"/>
      <c r="BT723" s="509"/>
      <c r="BU723" s="459"/>
      <c r="BV723" s="459"/>
      <c r="BW723" s="1"/>
      <c r="BX723" s="1"/>
      <c r="BY723" s="546"/>
      <c r="BZ723" s="546"/>
      <c r="CA723" s="546"/>
      <c r="CB723" s="546"/>
      <c r="CC723" s="728"/>
      <c r="CD723" s="728"/>
      <c r="CE723" s="170"/>
    </row>
    <row r="724" spans="1:83" customFormat="1">
      <c r="A724" s="701"/>
      <c r="B724" s="447"/>
      <c r="C724" s="161"/>
      <c r="D724" s="162"/>
      <c r="E724" s="1"/>
      <c r="F724" s="811"/>
      <c r="G724" s="440"/>
      <c r="H724" s="1"/>
      <c r="I724" s="55"/>
      <c r="J724" s="170"/>
      <c r="K724" s="1"/>
      <c r="L724" s="170"/>
      <c r="M724" s="1"/>
      <c r="N724" s="458"/>
      <c r="O724" s="170"/>
      <c r="P724" s="441"/>
      <c r="Q724" s="55"/>
      <c r="R724" s="177"/>
      <c r="S724" s="454"/>
      <c r="T724" s="178"/>
      <c r="U724" s="178"/>
      <c r="V724" s="179"/>
      <c r="W724" s="180"/>
      <c r="X724" s="179"/>
      <c r="Y724" s="180"/>
      <c r="Z724" s="178"/>
      <c r="AA724" s="178"/>
      <c r="AB724" s="178"/>
      <c r="AC724" s="178"/>
      <c r="AD724" s="182"/>
      <c r="AE724" s="182"/>
      <c r="AF724" s="182"/>
      <c r="AG724" s="182"/>
      <c r="AH724" s="401"/>
      <c r="AI724" s="401"/>
      <c r="AJ724" s="401"/>
      <c r="AK724" s="401"/>
      <c r="AL724" s="401"/>
      <c r="AM724" s="189"/>
      <c r="AN724" s="829"/>
      <c r="AO724" s="830"/>
      <c r="AP724" s="401"/>
      <c r="AQ724" s="401"/>
      <c r="AR724" s="401"/>
      <c r="AS724" s="401"/>
      <c r="AT724" s="403"/>
      <c r="AU724" s="403"/>
      <c r="AV724" s="170"/>
      <c r="AW724" s="166"/>
      <c r="AX724" s="166"/>
      <c r="AY724" s="189"/>
      <c r="AZ724" s="189"/>
      <c r="BA724" s="196"/>
      <c r="BB724" s="629"/>
      <c r="BC724" s="190"/>
      <c r="BD724" s="510"/>
      <c r="BE724" s="510"/>
      <c r="BF724" s="177"/>
      <c r="BG724" s="177"/>
      <c r="BH724" s="166"/>
      <c r="BI724" s="474"/>
      <c r="BJ724" s="166"/>
      <c r="BK724" s="474"/>
      <c r="BL724" s="474"/>
      <c r="BM724" s="474"/>
      <c r="BN724" s="166"/>
      <c r="BO724" s="166"/>
      <c r="BP724" s="204"/>
      <c r="BQ724" s="475"/>
      <c r="BR724" s="205"/>
      <c r="BS724" s="509"/>
      <c r="BT724" s="509"/>
      <c r="BU724" s="459"/>
      <c r="BV724" s="459"/>
      <c r="BW724" s="1"/>
      <c r="BX724" s="1"/>
      <c r="BY724" s="546"/>
      <c r="BZ724" s="546"/>
      <c r="CA724" s="546"/>
      <c r="CB724" s="546"/>
      <c r="CC724" s="728"/>
      <c r="CD724" s="728"/>
      <c r="CE724" s="170"/>
    </row>
    <row r="725" spans="1:83" customFormat="1">
      <c r="A725" s="701"/>
      <c r="B725" s="447"/>
      <c r="C725" s="161"/>
      <c r="D725" s="162"/>
      <c r="E725" s="1"/>
      <c r="F725" s="811"/>
      <c r="G725" s="440"/>
      <c r="H725" s="1"/>
      <c r="I725" s="55"/>
      <c r="J725" s="170"/>
      <c r="K725" s="1"/>
      <c r="L725" s="170"/>
      <c r="M725" s="1"/>
      <c r="N725" s="458"/>
      <c r="O725" s="170"/>
      <c r="P725" s="441"/>
      <c r="Q725" s="55"/>
      <c r="R725" s="177"/>
      <c r="S725" s="454"/>
      <c r="T725" s="178"/>
      <c r="U725" s="178"/>
      <c r="V725" s="179"/>
      <c r="W725" s="180"/>
      <c r="X725" s="179"/>
      <c r="Y725" s="180"/>
      <c r="Z725" s="178"/>
      <c r="AA725" s="178"/>
      <c r="AB725" s="178"/>
      <c r="AC725" s="178"/>
      <c r="AD725" s="182"/>
      <c r="AE725" s="182"/>
      <c r="AF725" s="182"/>
      <c r="AG725" s="182"/>
      <c r="AH725" s="401"/>
      <c r="AI725" s="401"/>
      <c r="AJ725" s="401"/>
      <c r="AK725" s="401"/>
      <c r="AL725" s="401"/>
      <c r="AM725" s="189"/>
      <c r="AN725" s="829"/>
      <c r="AO725" s="830"/>
      <c r="AP725" s="401"/>
      <c r="AQ725" s="401"/>
      <c r="AR725" s="401"/>
      <c r="AS725" s="401"/>
      <c r="AT725" s="403"/>
      <c r="AU725" s="403"/>
      <c r="AV725" s="170"/>
      <c r="AW725" s="166"/>
      <c r="AX725" s="166"/>
      <c r="AY725" s="189"/>
      <c r="AZ725" s="189"/>
      <c r="BA725" s="196"/>
      <c r="BB725" s="629"/>
      <c r="BC725" s="190"/>
      <c r="BD725" s="510"/>
      <c r="BE725" s="510"/>
      <c r="BF725" s="177"/>
      <c r="BG725" s="177"/>
      <c r="BH725" s="166"/>
      <c r="BI725" s="474"/>
      <c r="BJ725" s="166"/>
      <c r="BK725" s="474"/>
      <c r="BL725" s="474"/>
      <c r="BM725" s="474"/>
      <c r="BN725" s="166"/>
      <c r="BO725" s="166"/>
      <c r="BP725" s="204"/>
      <c r="BQ725" s="475"/>
      <c r="BR725" s="205"/>
      <c r="BS725" s="509"/>
      <c r="BT725" s="509"/>
      <c r="BU725" s="459"/>
      <c r="BV725" s="459"/>
      <c r="BW725" s="1"/>
      <c r="BX725" s="1"/>
      <c r="BY725" s="546"/>
      <c r="BZ725" s="546"/>
      <c r="CA725" s="546"/>
      <c r="CB725" s="546"/>
      <c r="CC725" s="728"/>
      <c r="CD725" s="728"/>
      <c r="CE725" s="170"/>
    </row>
    <row r="726" spans="1:83" customFormat="1">
      <c r="A726" s="701"/>
      <c r="B726" s="447"/>
      <c r="C726" s="161"/>
      <c r="D726" s="162"/>
      <c r="E726" s="1"/>
      <c r="F726" s="811"/>
      <c r="G726" s="440"/>
      <c r="H726" s="1"/>
      <c r="I726" s="55"/>
      <c r="J726" s="170"/>
      <c r="K726" s="1"/>
      <c r="L726" s="170"/>
      <c r="M726" s="1"/>
      <c r="N726" s="458"/>
      <c r="O726" s="170"/>
      <c r="P726" s="441"/>
      <c r="Q726" s="55"/>
      <c r="R726" s="177"/>
      <c r="S726" s="454"/>
      <c r="T726" s="178"/>
      <c r="U726" s="178"/>
      <c r="V726" s="179"/>
      <c r="W726" s="180"/>
      <c r="X726" s="179"/>
      <c r="Y726" s="180"/>
      <c r="Z726" s="178"/>
      <c r="AA726" s="178"/>
      <c r="AB726" s="178"/>
      <c r="AC726" s="178"/>
      <c r="AD726" s="182"/>
      <c r="AE726" s="182"/>
      <c r="AF726" s="182"/>
      <c r="AG726" s="182"/>
      <c r="AH726" s="401"/>
      <c r="AI726" s="401"/>
      <c r="AJ726" s="401"/>
      <c r="AK726" s="401"/>
      <c r="AL726" s="401"/>
      <c r="AM726" s="189"/>
      <c r="AN726" s="829"/>
      <c r="AO726" s="830"/>
      <c r="AP726" s="401"/>
      <c r="AQ726" s="401"/>
      <c r="AR726" s="401"/>
      <c r="AS726" s="401"/>
      <c r="AT726" s="403"/>
      <c r="AU726" s="403"/>
      <c r="AV726" s="170"/>
      <c r="AW726" s="166"/>
      <c r="AX726" s="166"/>
      <c r="AY726" s="189"/>
      <c r="AZ726" s="189"/>
      <c r="BA726" s="196"/>
      <c r="BB726" s="629"/>
      <c r="BC726" s="190"/>
      <c r="BD726" s="510"/>
      <c r="BE726" s="510"/>
      <c r="BF726" s="177"/>
      <c r="BG726" s="177"/>
      <c r="BH726" s="166"/>
      <c r="BI726" s="474"/>
      <c r="BJ726" s="166"/>
      <c r="BK726" s="474"/>
      <c r="BL726" s="474"/>
      <c r="BM726" s="474"/>
      <c r="BN726" s="166"/>
      <c r="BO726" s="166"/>
      <c r="BP726" s="204"/>
      <c r="BQ726" s="475"/>
      <c r="BR726" s="205"/>
      <c r="BS726" s="509"/>
      <c r="BT726" s="509"/>
      <c r="BU726" s="459"/>
      <c r="BV726" s="459"/>
      <c r="BW726" s="1"/>
      <c r="BX726" s="1"/>
      <c r="BY726" s="546"/>
      <c r="BZ726" s="546"/>
      <c r="CA726" s="546"/>
      <c r="CB726" s="546"/>
      <c r="CC726" s="728"/>
      <c r="CD726" s="728"/>
      <c r="CE726" s="170"/>
    </row>
    <row r="727" spans="1:83" customFormat="1">
      <c r="A727" s="701"/>
      <c r="B727" s="447"/>
      <c r="C727" s="1"/>
      <c r="D727" s="538"/>
      <c r="E727" s="1"/>
      <c r="F727" s="811"/>
      <c r="G727" s="440"/>
      <c r="H727" s="1"/>
      <c r="I727" s="55"/>
      <c r="J727" s="171"/>
      <c r="K727" s="55"/>
      <c r="L727" s="171"/>
      <c r="M727" s="55"/>
      <c r="N727" s="172"/>
      <c r="O727" s="170"/>
      <c r="P727" s="139"/>
      <c r="Q727" s="172"/>
      <c r="R727" s="181"/>
      <c r="S727" s="455"/>
      <c r="T727" s="170"/>
      <c r="U727" s="170"/>
      <c r="V727" s="1"/>
      <c r="W727" s="173"/>
      <c r="X727" s="1"/>
      <c r="Y727" s="166"/>
      <c r="Z727" s="170"/>
      <c r="AA727" s="170"/>
      <c r="AB727" s="170"/>
      <c r="AC727" s="170"/>
      <c r="AD727" s="182"/>
      <c r="AE727" s="182"/>
      <c r="AF727" s="182"/>
      <c r="AG727" s="182"/>
      <c r="AH727" s="189"/>
      <c r="AI727" s="401"/>
      <c r="AJ727" s="189"/>
      <c r="AK727" s="401"/>
      <c r="AL727" s="401"/>
      <c r="AM727" s="189"/>
      <c r="AN727" s="782"/>
      <c r="AO727" s="189"/>
      <c r="AP727" s="401"/>
      <c r="AQ727" s="401"/>
      <c r="AR727" s="401"/>
      <c r="AS727" s="188"/>
      <c r="AT727" s="1"/>
      <c r="AU727" s="403"/>
      <c r="AV727" s="1"/>
      <c r="AW727" s="166"/>
      <c r="AX727" s="166"/>
      <c r="AY727" s="189"/>
      <c r="AZ727" s="189"/>
      <c r="BA727" s="196"/>
      <c r="BB727" s="629"/>
      <c r="BC727" s="197"/>
      <c r="BD727" s="510"/>
      <c r="BE727" s="510"/>
      <c r="BF727" s="177"/>
      <c r="BG727" s="177"/>
      <c r="BH727" s="166"/>
      <c r="BI727" s="474"/>
      <c r="BJ727" s="166"/>
      <c r="BK727" s="474"/>
      <c r="BL727" s="474"/>
      <c r="BM727" s="474"/>
      <c r="BN727" s="166"/>
      <c r="BO727" s="166"/>
      <c r="BP727" s="204"/>
      <c r="BQ727" s="475"/>
      <c r="BR727" s="205"/>
      <c r="BS727" s="509"/>
      <c r="BT727" s="509"/>
      <c r="BU727" s="459"/>
      <c r="BV727" s="459"/>
      <c r="BW727" s="1"/>
      <c r="BX727" s="1"/>
      <c r="BY727" s="546"/>
      <c r="BZ727" s="546"/>
      <c r="CA727" s="546"/>
      <c r="CB727" s="546"/>
      <c r="CC727" s="728"/>
      <c r="CD727" s="728"/>
      <c r="CE727" s="170"/>
    </row>
    <row r="728" spans="1:83" customFormat="1">
      <c r="A728" s="701"/>
      <c r="B728" s="447"/>
      <c r="C728" s="161"/>
      <c r="D728" s="162"/>
      <c r="E728" s="1"/>
      <c r="F728" s="811"/>
      <c r="G728" s="440"/>
      <c r="H728" s="1"/>
      <c r="I728" s="55"/>
      <c r="J728" s="170"/>
      <c r="K728" s="1"/>
      <c r="L728" s="170"/>
      <c r="M728" s="1"/>
      <c r="N728" s="458"/>
      <c r="O728" s="170"/>
      <c r="P728" s="441"/>
      <c r="Q728" s="55"/>
      <c r="R728" s="177"/>
      <c r="S728" s="454"/>
      <c r="T728" s="178"/>
      <c r="U728" s="178"/>
      <c r="V728" s="179"/>
      <c r="W728" s="180"/>
      <c r="X728" s="179"/>
      <c r="Y728" s="180"/>
      <c r="Z728" s="178"/>
      <c r="AA728" s="178"/>
      <c r="AB728" s="178"/>
      <c r="AC728" s="178"/>
      <c r="AD728" s="182"/>
      <c r="AE728" s="182"/>
      <c r="AF728" s="182"/>
      <c r="AG728" s="182"/>
      <c r="AH728" s="401"/>
      <c r="AI728" s="401"/>
      <c r="AJ728" s="401"/>
      <c r="AK728" s="401"/>
      <c r="AL728" s="401"/>
      <c r="AM728" s="189"/>
      <c r="AN728" s="829"/>
      <c r="AO728" s="830"/>
      <c r="AP728" s="401"/>
      <c r="AQ728" s="401"/>
      <c r="AR728" s="401"/>
      <c r="AS728" s="401"/>
      <c r="AT728" s="403"/>
      <c r="AU728" s="403"/>
      <c r="AV728" s="170"/>
      <c r="AW728" s="166"/>
      <c r="AX728" s="166"/>
      <c r="AY728" s="189"/>
      <c r="AZ728" s="189"/>
      <c r="BA728" s="196"/>
      <c r="BB728" s="629"/>
      <c r="BC728" s="190"/>
      <c r="BD728" s="510"/>
      <c r="BE728" s="510"/>
      <c r="BF728" s="177"/>
      <c r="BG728" s="177"/>
      <c r="BH728" s="166"/>
      <c r="BI728" s="474"/>
      <c r="BJ728" s="166"/>
      <c r="BK728" s="474"/>
      <c r="BL728" s="474"/>
      <c r="BM728" s="474"/>
      <c r="BN728" s="166"/>
      <c r="BO728" s="166"/>
      <c r="BP728" s="204"/>
      <c r="BQ728" s="475"/>
      <c r="BR728" s="205"/>
      <c r="BS728" s="509"/>
      <c r="BT728" s="509"/>
      <c r="BU728" s="459"/>
      <c r="BV728" s="459"/>
      <c r="BW728" s="1"/>
      <c r="BX728" s="1"/>
      <c r="BY728" s="546"/>
      <c r="BZ728" s="546"/>
      <c r="CA728" s="546"/>
      <c r="CB728" s="546"/>
      <c r="CC728" s="728"/>
      <c r="CD728" s="728"/>
      <c r="CE728" s="170"/>
    </row>
    <row r="729" spans="1:83" customFormat="1">
      <c r="A729" s="701"/>
      <c r="B729" s="447"/>
      <c r="C729" s="161"/>
      <c r="D729" s="162"/>
      <c r="E729" s="1"/>
      <c r="F729" s="811"/>
      <c r="G729" s="440"/>
      <c r="H729" s="1"/>
      <c r="I729" s="55"/>
      <c r="J729" s="170"/>
      <c r="K729" s="1"/>
      <c r="L729" s="170"/>
      <c r="M729" s="1"/>
      <c r="N729" s="458"/>
      <c r="O729" s="170"/>
      <c r="P729" s="441"/>
      <c r="Q729" s="55"/>
      <c r="R729" s="177"/>
      <c r="S729" s="454"/>
      <c r="T729" s="178"/>
      <c r="U729" s="178"/>
      <c r="V729" s="179"/>
      <c r="W729" s="180"/>
      <c r="X729" s="179"/>
      <c r="Y729" s="180"/>
      <c r="Z729" s="178"/>
      <c r="AA729" s="178"/>
      <c r="AB729" s="178"/>
      <c r="AC729" s="178"/>
      <c r="AD729" s="182"/>
      <c r="AE729" s="182"/>
      <c r="AF729" s="182"/>
      <c r="AG729" s="182"/>
      <c r="AH729" s="401"/>
      <c r="AI729" s="401"/>
      <c r="AJ729" s="401"/>
      <c r="AK729" s="401"/>
      <c r="AL729" s="401"/>
      <c r="AM729" s="189"/>
      <c r="AN729" s="829"/>
      <c r="AO729" s="830"/>
      <c r="AP729" s="401"/>
      <c r="AQ729" s="401"/>
      <c r="AR729" s="401"/>
      <c r="AS729" s="401"/>
      <c r="AT729" s="403"/>
      <c r="AU729" s="403"/>
      <c r="AV729" s="170"/>
      <c r="AW729" s="166"/>
      <c r="AX729" s="166"/>
      <c r="AY729" s="189"/>
      <c r="AZ729" s="189"/>
      <c r="BA729" s="196"/>
      <c r="BB729" s="629"/>
      <c r="BC729" s="190"/>
      <c r="BD729" s="510"/>
      <c r="BE729" s="510"/>
      <c r="BF729" s="177"/>
      <c r="BG729" s="177"/>
      <c r="BH729" s="166"/>
      <c r="BI729" s="474"/>
      <c r="BJ729" s="166"/>
      <c r="BK729" s="474"/>
      <c r="BL729" s="474"/>
      <c r="BM729" s="474"/>
      <c r="BN729" s="166"/>
      <c r="BO729" s="166"/>
      <c r="BP729" s="204"/>
      <c r="BQ729" s="475"/>
      <c r="BR729" s="205"/>
      <c r="BS729" s="509"/>
      <c r="BT729" s="509"/>
      <c r="BU729" s="459"/>
      <c r="BV729" s="459"/>
      <c r="BW729" s="1"/>
      <c r="BX729" s="1"/>
      <c r="BY729" s="546"/>
      <c r="BZ729" s="546"/>
      <c r="CA729" s="546"/>
      <c r="CB729" s="546"/>
      <c r="CC729" s="728"/>
      <c r="CD729" s="728"/>
      <c r="CE729" s="170"/>
    </row>
    <row r="730" spans="1:83" customFormat="1">
      <c r="A730" s="701"/>
      <c r="B730" s="447"/>
      <c r="C730" s="161"/>
      <c r="D730" s="162"/>
      <c r="E730" s="1"/>
      <c r="F730" s="811"/>
      <c r="G730" s="440"/>
      <c r="H730" s="1"/>
      <c r="I730" s="55"/>
      <c r="J730" s="170"/>
      <c r="K730" s="1"/>
      <c r="L730" s="170"/>
      <c r="M730" s="1"/>
      <c r="N730" s="166"/>
      <c r="O730" s="170"/>
      <c r="P730" s="441"/>
      <c r="Q730" s="55"/>
      <c r="R730" s="177"/>
      <c r="S730" s="454"/>
      <c r="T730" s="178"/>
      <c r="U730" s="178"/>
      <c r="V730" s="179"/>
      <c r="W730" s="180"/>
      <c r="X730" s="179"/>
      <c r="Y730" s="180"/>
      <c r="Z730" s="178"/>
      <c r="AA730" s="178"/>
      <c r="AB730" s="178"/>
      <c r="AC730" s="178"/>
      <c r="AD730" s="182"/>
      <c r="AE730" s="182"/>
      <c r="AF730" s="182"/>
      <c r="AG730" s="182"/>
      <c r="AH730" s="401"/>
      <c r="AI730" s="401"/>
      <c r="AJ730" s="182"/>
      <c r="AK730" s="401"/>
      <c r="AL730" s="401"/>
      <c r="AM730" s="189"/>
      <c r="AN730" s="829"/>
      <c r="AO730" s="830"/>
      <c r="AP730" s="401"/>
      <c r="AQ730" s="401"/>
      <c r="AR730" s="401"/>
      <c r="AS730" s="401"/>
      <c r="AT730" s="403"/>
      <c r="AU730" s="403"/>
      <c r="AV730" s="170"/>
      <c r="AW730" s="166"/>
      <c r="AX730" s="166"/>
      <c r="AY730" s="189"/>
      <c r="AZ730" s="189"/>
      <c r="BA730" s="196"/>
      <c r="BB730" s="629"/>
      <c r="BC730" s="190"/>
      <c r="BD730" s="510"/>
      <c r="BE730" s="510"/>
      <c r="BF730" s="177"/>
      <c r="BG730" s="177"/>
      <c r="BH730" s="166"/>
      <c r="BI730" s="474"/>
      <c r="BJ730" s="166"/>
      <c r="BK730" s="474"/>
      <c r="BL730" s="474"/>
      <c r="BM730" s="474"/>
      <c r="BN730" s="166"/>
      <c r="BO730" s="166"/>
      <c r="BP730" s="204"/>
      <c r="BQ730" s="475"/>
      <c r="BR730" s="205"/>
      <c r="BS730" s="509"/>
      <c r="BT730" s="509"/>
      <c r="BU730" s="459"/>
      <c r="BV730" s="459"/>
      <c r="BW730" s="1"/>
      <c r="BX730" s="1"/>
      <c r="BY730" s="546"/>
      <c r="BZ730" s="546"/>
      <c r="CA730" s="546"/>
      <c r="CB730" s="546"/>
      <c r="CC730" s="728"/>
      <c r="CD730" s="728"/>
      <c r="CE730" s="170"/>
    </row>
    <row r="731" spans="1:83" customFormat="1">
      <c r="A731" s="701"/>
      <c r="B731" s="447"/>
      <c r="C731" s="1"/>
      <c r="D731" s="538"/>
      <c r="E731" s="1"/>
      <c r="F731" s="811"/>
      <c r="G731" s="440"/>
      <c r="H731" s="371"/>
      <c r="I731" s="55"/>
      <c r="J731" s="370"/>
      <c r="K731" s="55"/>
      <c r="L731" s="370"/>
      <c r="M731" s="55"/>
      <c r="N731" s="452"/>
      <c r="O731" s="170"/>
      <c r="P731" s="139"/>
      <c r="Q731" s="369"/>
      <c r="R731" s="181"/>
      <c r="S731" s="455"/>
      <c r="T731" s="170"/>
      <c r="U731" s="170"/>
      <c r="V731" s="1"/>
      <c r="W731" s="173"/>
      <c r="X731" s="1"/>
      <c r="Y731" s="166"/>
      <c r="Z731" s="170"/>
      <c r="AA731" s="170"/>
      <c r="AB731" s="170"/>
      <c r="AC731" s="170"/>
      <c r="AD731" s="182"/>
      <c r="AE731" s="182"/>
      <c r="AF731" s="182"/>
      <c r="AG731" s="182"/>
      <c r="AH731" s="189"/>
      <c r="AI731" s="401"/>
      <c r="AJ731" s="189"/>
      <c r="AK731" s="401"/>
      <c r="AL731" s="401"/>
      <c r="AM731" s="189"/>
      <c r="AN731" s="829"/>
      <c r="AO731" s="830"/>
      <c r="AP731" s="401"/>
      <c r="AQ731" s="401"/>
      <c r="AR731" s="401"/>
      <c r="AS731" s="188"/>
      <c r="AT731" s="1"/>
      <c r="AU731" s="403"/>
      <c r="AV731" s="1"/>
      <c r="AW731" s="166"/>
      <c r="AX731" s="166"/>
      <c r="AY731" s="189"/>
      <c r="AZ731" s="189"/>
      <c r="BA731" s="196"/>
      <c r="BB731" s="629"/>
      <c r="BC731" s="197"/>
      <c r="BD731" s="510"/>
      <c r="BE731" s="510"/>
      <c r="BF731" s="177"/>
      <c r="BG731" s="177"/>
      <c r="BH731" s="166"/>
      <c r="BI731" s="474"/>
      <c r="BJ731" s="166"/>
      <c r="BK731" s="474"/>
      <c r="BL731" s="474"/>
      <c r="BM731" s="474"/>
      <c r="BN731" s="166"/>
      <c r="BO731" s="166"/>
      <c r="BP731" s="204"/>
      <c r="BQ731" s="475"/>
      <c r="BR731" s="205"/>
      <c r="BS731" s="509"/>
      <c r="BT731" s="509"/>
      <c r="BU731" s="459"/>
      <c r="BV731" s="459"/>
      <c r="BW731" s="1"/>
      <c r="BX731" s="1"/>
      <c r="BY731" s="546"/>
      <c r="BZ731" s="546"/>
      <c r="CA731" s="546"/>
      <c r="CB731" s="546"/>
      <c r="CC731" s="728"/>
      <c r="CD731" s="728"/>
      <c r="CE731" s="170"/>
    </row>
    <row r="732" spans="1:83" customFormat="1">
      <c r="A732" s="701"/>
      <c r="B732" s="447"/>
      <c r="C732" s="161"/>
      <c r="D732" s="162"/>
      <c r="E732" s="1"/>
      <c r="F732" s="811"/>
      <c r="G732" s="440"/>
      <c r="H732" s="1"/>
      <c r="I732" s="55"/>
      <c r="J732" s="170"/>
      <c r="K732" s="1"/>
      <c r="L732" s="170"/>
      <c r="M732" s="1"/>
      <c r="N732" s="458"/>
      <c r="O732" s="170"/>
      <c r="P732" s="441"/>
      <c r="Q732" s="55"/>
      <c r="R732" s="177"/>
      <c r="S732" s="454"/>
      <c r="T732" s="178"/>
      <c r="U732" s="178"/>
      <c r="V732" s="179"/>
      <c r="W732" s="180"/>
      <c r="X732" s="179"/>
      <c r="Y732" s="180"/>
      <c r="Z732" s="178"/>
      <c r="AA732" s="178"/>
      <c r="AB732" s="178"/>
      <c r="AC732" s="178"/>
      <c r="AD732" s="182"/>
      <c r="AE732" s="182"/>
      <c r="AF732" s="182"/>
      <c r="AG732" s="182"/>
      <c r="AH732" s="401"/>
      <c r="AI732" s="401"/>
      <c r="AJ732" s="401"/>
      <c r="AK732" s="401"/>
      <c r="AL732" s="401"/>
      <c r="AM732" s="189"/>
      <c r="AN732" s="829"/>
      <c r="AO732" s="830"/>
      <c r="AP732" s="401"/>
      <c r="AQ732" s="401"/>
      <c r="AR732" s="401"/>
      <c r="AS732" s="401"/>
      <c r="AT732" s="403"/>
      <c r="AU732" s="403"/>
      <c r="AV732" s="170"/>
      <c r="AW732" s="166"/>
      <c r="AX732" s="166"/>
      <c r="AY732" s="189"/>
      <c r="AZ732" s="189"/>
      <c r="BA732" s="196"/>
      <c r="BB732" s="629"/>
      <c r="BC732" s="190"/>
      <c r="BD732" s="510"/>
      <c r="BE732" s="510"/>
      <c r="BF732" s="177"/>
      <c r="BG732" s="177"/>
      <c r="BH732" s="166"/>
      <c r="BI732" s="474"/>
      <c r="BJ732" s="166"/>
      <c r="BK732" s="474"/>
      <c r="BL732" s="474"/>
      <c r="BM732" s="474"/>
      <c r="BN732" s="166"/>
      <c r="BO732" s="166"/>
      <c r="BP732" s="204"/>
      <c r="BQ732" s="475"/>
      <c r="BR732" s="205"/>
      <c r="BS732" s="509"/>
      <c r="BT732" s="509"/>
      <c r="BU732" s="459"/>
      <c r="BV732" s="459"/>
      <c r="BW732" s="1"/>
      <c r="BX732" s="1"/>
      <c r="BY732" s="546"/>
      <c r="BZ732" s="546"/>
      <c r="CA732" s="546"/>
      <c r="CB732" s="546"/>
      <c r="CC732" s="728"/>
      <c r="CD732" s="728"/>
      <c r="CE732" s="170"/>
    </row>
    <row r="733" spans="1:83" customFormat="1">
      <c r="A733" s="701"/>
      <c r="B733" s="447"/>
      <c r="C733" s="161"/>
      <c r="D733" s="162"/>
      <c r="E733" s="1"/>
      <c r="F733" s="811"/>
      <c r="G733" s="440"/>
      <c r="H733" s="1"/>
      <c r="I733" s="55"/>
      <c r="J733" s="170"/>
      <c r="K733" s="1"/>
      <c r="L733" s="457"/>
      <c r="M733" s="1"/>
      <c r="N733" s="458"/>
      <c r="O733" s="170"/>
      <c r="P733" s="441"/>
      <c r="Q733" s="55"/>
      <c r="R733" s="177"/>
      <c r="S733" s="454"/>
      <c r="T733" s="178"/>
      <c r="U733" s="178"/>
      <c r="V733" s="179"/>
      <c r="W733" s="180"/>
      <c r="X733" s="179"/>
      <c r="Y733" s="180"/>
      <c r="Z733" s="178"/>
      <c r="AA733" s="178"/>
      <c r="AB733" s="178"/>
      <c r="AC733" s="178"/>
      <c r="AD733" s="182"/>
      <c r="AE733" s="182"/>
      <c r="AF733" s="182"/>
      <c r="AG733" s="182"/>
      <c r="AH733" s="401"/>
      <c r="AI733" s="401"/>
      <c r="AJ733" s="401"/>
      <c r="AK733" s="401"/>
      <c r="AL733" s="401"/>
      <c r="AM733" s="189"/>
      <c r="AN733" s="829"/>
      <c r="AO733" s="830"/>
      <c r="AP733" s="401"/>
      <c r="AQ733" s="401"/>
      <c r="AR733" s="401"/>
      <c r="AS733" s="401"/>
      <c r="AT733" s="403"/>
      <c r="AU733" s="403"/>
      <c r="AV733" s="170"/>
      <c r="AW733" s="166"/>
      <c r="AX733" s="166"/>
      <c r="AY733" s="189"/>
      <c r="AZ733" s="189"/>
      <c r="BA733" s="196"/>
      <c r="BB733" s="629"/>
      <c r="BC733" s="190"/>
      <c r="BD733" s="510"/>
      <c r="BE733" s="510"/>
      <c r="BF733" s="177"/>
      <c r="BG733" s="177"/>
      <c r="BH733" s="166"/>
      <c r="BI733" s="474"/>
      <c r="BJ733" s="166"/>
      <c r="BK733" s="474"/>
      <c r="BL733" s="474"/>
      <c r="BM733" s="474"/>
      <c r="BN733" s="166"/>
      <c r="BO733" s="166"/>
      <c r="BP733" s="204"/>
      <c r="BQ733" s="475"/>
      <c r="BR733" s="205"/>
      <c r="BS733" s="509"/>
      <c r="BT733" s="509"/>
      <c r="BU733" s="459"/>
      <c r="BV733" s="459"/>
      <c r="BW733" s="1"/>
      <c r="BX733" s="1"/>
      <c r="BY733" s="546"/>
      <c r="BZ733" s="546"/>
      <c r="CA733" s="546"/>
      <c r="CB733" s="546"/>
      <c r="CC733" s="728"/>
      <c r="CD733" s="728"/>
      <c r="CE733" s="170"/>
    </row>
    <row r="734" spans="1:83" customFormat="1">
      <c r="A734" s="701"/>
      <c r="B734" s="447"/>
      <c r="C734" s="161"/>
      <c r="D734" s="162"/>
      <c r="E734" s="1"/>
      <c r="F734" s="811"/>
      <c r="G734" s="440"/>
      <c r="H734" s="1"/>
      <c r="I734" s="55"/>
      <c r="J734" s="170"/>
      <c r="K734" s="1"/>
      <c r="L734" s="170"/>
      <c r="M734" s="1"/>
      <c r="N734" s="458"/>
      <c r="O734" s="170"/>
      <c r="P734" s="441"/>
      <c r="Q734" s="55"/>
      <c r="R734" s="177"/>
      <c r="S734" s="454"/>
      <c r="T734" s="178"/>
      <c r="U734" s="178"/>
      <c r="V734" s="179"/>
      <c r="W734" s="180"/>
      <c r="X734" s="179"/>
      <c r="Y734" s="180"/>
      <c r="Z734" s="178"/>
      <c r="AA734" s="178"/>
      <c r="AB734" s="178"/>
      <c r="AC734" s="178"/>
      <c r="AD734" s="182"/>
      <c r="AE734" s="182"/>
      <c r="AF734" s="182"/>
      <c r="AG734" s="182"/>
      <c r="AH734" s="401"/>
      <c r="AI734" s="401"/>
      <c r="AJ734" s="401"/>
      <c r="AK734" s="401"/>
      <c r="AL734" s="401"/>
      <c r="AM734" s="189"/>
      <c r="AN734" s="829"/>
      <c r="AO734" s="830"/>
      <c r="AP734" s="401"/>
      <c r="AQ734" s="401"/>
      <c r="AR734" s="401"/>
      <c r="AS734" s="401"/>
      <c r="AT734" s="403"/>
      <c r="AU734" s="403"/>
      <c r="AV734" s="170"/>
      <c r="AW734" s="166"/>
      <c r="AX734" s="166"/>
      <c r="AY734" s="189"/>
      <c r="AZ734" s="189"/>
      <c r="BA734" s="196"/>
      <c r="BB734" s="629"/>
      <c r="BC734" s="190"/>
      <c r="BD734" s="510"/>
      <c r="BE734" s="510"/>
      <c r="BF734" s="177"/>
      <c r="BG734" s="177"/>
      <c r="BH734" s="166"/>
      <c r="BI734" s="474"/>
      <c r="BJ734" s="166"/>
      <c r="BK734" s="474"/>
      <c r="BL734" s="474"/>
      <c r="BM734" s="474"/>
      <c r="BN734" s="166"/>
      <c r="BO734" s="166"/>
      <c r="BP734" s="204"/>
      <c r="BQ734" s="475"/>
      <c r="BR734" s="205"/>
      <c r="BS734" s="509"/>
      <c r="BT734" s="509"/>
      <c r="BU734" s="459"/>
      <c r="BV734" s="459"/>
      <c r="BW734" s="1"/>
      <c r="BX734" s="1"/>
      <c r="BY734" s="546"/>
      <c r="BZ734" s="546"/>
      <c r="CA734" s="546"/>
      <c r="CB734" s="546"/>
      <c r="CC734" s="728"/>
      <c r="CD734" s="728"/>
      <c r="CE734" s="170"/>
    </row>
    <row r="735" spans="1:83" customFormat="1">
      <c r="A735" s="701"/>
      <c r="B735" s="447"/>
      <c r="C735" s="161"/>
      <c r="D735" s="162"/>
      <c r="E735" s="1"/>
      <c r="F735" s="811"/>
      <c r="G735" s="440"/>
      <c r="H735" s="1"/>
      <c r="I735" s="55"/>
      <c r="J735" s="170"/>
      <c r="K735" s="1"/>
      <c r="L735" s="170"/>
      <c r="M735" s="1"/>
      <c r="N735" s="458"/>
      <c r="O735" s="170"/>
      <c r="P735" s="441"/>
      <c r="Q735" s="55"/>
      <c r="R735" s="177"/>
      <c r="S735" s="454"/>
      <c r="T735" s="178"/>
      <c r="U735" s="178"/>
      <c r="V735" s="179"/>
      <c r="W735" s="180"/>
      <c r="X735" s="179"/>
      <c r="Y735" s="180"/>
      <c r="Z735" s="178"/>
      <c r="AA735" s="178"/>
      <c r="AB735" s="178"/>
      <c r="AC735" s="178"/>
      <c r="AD735" s="182"/>
      <c r="AE735" s="182"/>
      <c r="AF735" s="182"/>
      <c r="AG735" s="182"/>
      <c r="AH735" s="401"/>
      <c r="AI735" s="401"/>
      <c r="AJ735" s="401"/>
      <c r="AK735" s="401"/>
      <c r="AL735" s="401"/>
      <c r="AM735" s="189"/>
      <c r="AN735" s="829"/>
      <c r="AO735" s="830"/>
      <c r="AP735" s="401"/>
      <c r="AQ735" s="401"/>
      <c r="AR735" s="401"/>
      <c r="AS735" s="401"/>
      <c r="AT735" s="403"/>
      <c r="AU735" s="403"/>
      <c r="AV735" s="170"/>
      <c r="AW735" s="166"/>
      <c r="AX735" s="166"/>
      <c r="AY735" s="189"/>
      <c r="AZ735" s="189"/>
      <c r="BA735" s="196"/>
      <c r="BB735" s="629"/>
      <c r="BC735" s="190"/>
      <c r="BD735" s="510"/>
      <c r="BE735" s="510"/>
      <c r="BF735" s="177"/>
      <c r="BG735" s="177"/>
      <c r="BH735" s="166"/>
      <c r="BI735" s="474"/>
      <c r="BJ735" s="166"/>
      <c r="BK735" s="474"/>
      <c r="BL735" s="474"/>
      <c r="BM735" s="474"/>
      <c r="BN735" s="166"/>
      <c r="BO735" s="166"/>
      <c r="BP735" s="204"/>
      <c r="BQ735" s="475"/>
      <c r="BR735" s="205"/>
      <c r="BS735" s="509"/>
      <c r="BT735" s="509"/>
      <c r="BU735" s="459"/>
      <c r="BV735" s="459"/>
      <c r="BW735" s="1"/>
      <c r="BX735" s="1"/>
      <c r="BY735" s="546"/>
      <c r="BZ735" s="546"/>
      <c r="CA735" s="546"/>
      <c r="CB735" s="546"/>
      <c r="CC735" s="728"/>
      <c r="CD735" s="728"/>
      <c r="CE735" s="170"/>
    </row>
    <row r="736" spans="1:83" customFormat="1">
      <c r="A736" s="701"/>
      <c r="B736" s="447"/>
      <c r="C736" s="161"/>
      <c r="D736" s="162"/>
      <c r="E736" s="1"/>
      <c r="F736" s="811"/>
      <c r="G736" s="440"/>
      <c r="H736" s="1"/>
      <c r="I736" s="55"/>
      <c r="J736" s="170"/>
      <c r="K736" s="1"/>
      <c r="L736" s="170"/>
      <c r="M736" s="1"/>
      <c r="N736" s="458"/>
      <c r="O736" s="170"/>
      <c r="P736" s="441"/>
      <c r="Q736" s="55"/>
      <c r="R736" s="177"/>
      <c r="S736" s="454"/>
      <c r="T736" s="178"/>
      <c r="U736" s="178"/>
      <c r="V736" s="179"/>
      <c r="W736" s="180"/>
      <c r="X736" s="179"/>
      <c r="Y736" s="180"/>
      <c r="Z736" s="178"/>
      <c r="AA736" s="178"/>
      <c r="AB736" s="178"/>
      <c r="AC736" s="178"/>
      <c r="AD736" s="182"/>
      <c r="AE736" s="182"/>
      <c r="AF736" s="182"/>
      <c r="AG736" s="182"/>
      <c r="AH736" s="401"/>
      <c r="AI736" s="401"/>
      <c r="AJ736" s="401"/>
      <c r="AK736" s="401"/>
      <c r="AL736" s="401"/>
      <c r="AM736" s="189"/>
      <c r="AN736" s="829"/>
      <c r="AO736" s="830"/>
      <c r="AP736" s="401"/>
      <c r="AQ736" s="401"/>
      <c r="AR736" s="401"/>
      <c r="AS736" s="401"/>
      <c r="AT736" s="403"/>
      <c r="AU736" s="403"/>
      <c r="AV736" s="170"/>
      <c r="AW736" s="166"/>
      <c r="AX736" s="166"/>
      <c r="AY736" s="189"/>
      <c r="AZ736" s="189"/>
      <c r="BA736" s="196"/>
      <c r="BB736" s="629"/>
      <c r="BC736" s="190"/>
      <c r="BD736" s="510"/>
      <c r="BE736" s="510"/>
      <c r="BF736" s="177"/>
      <c r="BG736" s="177"/>
      <c r="BH736" s="166"/>
      <c r="BI736" s="474"/>
      <c r="BJ736" s="166"/>
      <c r="BK736" s="474"/>
      <c r="BL736" s="474"/>
      <c r="BM736" s="474"/>
      <c r="BN736" s="166"/>
      <c r="BO736" s="166"/>
      <c r="BP736" s="204"/>
      <c r="BQ736" s="475"/>
      <c r="BR736" s="205"/>
      <c r="BS736" s="509"/>
      <c r="BT736" s="509"/>
      <c r="BU736" s="459"/>
      <c r="BV736" s="459"/>
      <c r="BW736" s="1"/>
      <c r="BX736" s="1"/>
      <c r="BY736" s="546"/>
      <c r="BZ736" s="546"/>
      <c r="CA736" s="546"/>
      <c r="CB736" s="546"/>
      <c r="CC736" s="728"/>
      <c r="CD736" s="728"/>
      <c r="CE736" s="170"/>
    </row>
    <row r="737" spans="1:83" customFormat="1">
      <c r="A737" s="701"/>
      <c r="B737" s="447"/>
      <c r="C737" s="1"/>
      <c r="D737" s="538"/>
      <c r="E737" s="1"/>
      <c r="F737" s="811"/>
      <c r="G737" s="440"/>
      <c r="H737" s="1"/>
      <c r="J737" s="171"/>
      <c r="K737" s="55"/>
      <c r="L737" s="171"/>
      <c r="M737" s="55"/>
      <c r="N737" s="172"/>
      <c r="O737" s="170"/>
      <c r="P737" s="139"/>
      <c r="Q737" s="171"/>
      <c r="R737" s="181"/>
      <c r="S737" s="455"/>
      <c r="T737" s="170"/>
      <c r="U737" s="170"/>
      <c r="V737" s="1"/>
      <c r="W737" s="173"/>
      <c r="X737" s="1"/>
      <c r="Y737" s="166"/>
      <c r="Z737" s="170"/>
      <c r="AA737" s="170"/>
      <c r="AB737" s="170"/>
      <c r="AC737" s="170"/>
      <c r="AD737" s="182"/>
      <c r="AE737" s="182"/>
      <c r="AF737" s="182"/>
      <c r="AG737" s="182"/>
      <c r="AH737" s="189"/>
      <c r="AI737" s="401"/>
      <c r="AJ737" s="189"/>
      <c r="AK737" s="401"/>
      <c r="AL737" s="401"/>
      <c r="AM737" s="189"/>
      <c r="AN737" s="782"/>
      <c r="AO737" s="189"/>
      <c r="AP737" s="401"/>
      <c r="AQ737" s="401"/>
      <c r="AR737" s="401"/>
      <c r="AS737" s="188"/>
      <c r="AT737" s="1"/>
      <c r="AU737" s="403"/>
      <c r="AV737" s="1"/>
      <c r="AW737" s="166"/>
      <c r="AX737" s="166"/>
      <c r="AY737" s="189"/>
      <c r="AZ737" s="189"/>
      <c r="BA737" s="196"/>
      <c r="BB737" s="629"/>
      <c r="BC737" s="197"/>
      <c r="BD737" s="510"/>
      <c r="BE737" s="510"/>
      <c r="BF737" s="177"/>
      <c r="BG737" s="177"/>
      <c r="BH737" s="166"/>
      <c r="BI737" s="474"/>
      <c r="BJ737" s="166"/>
      <c r="BK737" s="474"/>
      <c r="BL737" s="474"/>
      <c r="BM737" s="474"/>
      <c r="BN737" s="166"/>
      <c r="BO737" s="166"/>
      <c r="BP737" s="204"/>
      <c r="BQ737" s="475"/>
      <c r="BR737" s="205"/>
      <c r="BS737" s="509"/>
      <c r="BT737" s="509"/>
      <c r="BU737" s="459"/>
      <c r="BV737" s="459"/>
      <c r="BW737" s="1"/>
      <c r="BX737" s="1"/>
      <c r="BY737" s="546"/>
      <c r="BZ737" s="546"/>
      <c r="CA737" s="546"/>
      <c r="CB737" s="546"/>
      <c r="CC737" s="728"/>
      <c r="CD737" s="728"/>
      <c r="CE737" s="170"/>
    </row>
    <row r="738" spans="1:83" customFormat="1">
      <c r="A738" s="701"/>
      <c r="B738" s="447"/>
      <c r="C738" s="161"/>
      <c r="D738" s="162"/>
      <c r="E738" s="1"/>
      <c r="F738" s="811"/>
      <c r="G738" s="440"/>
      <c r="H738" s="1"/>
      <c r="I738" s="55"/>
      <c r="J738" s="170"/>
      <c r="K738" s="1"/>
      <c r="L738" s="170"/>
      <c r="M738" s="1"/>
      <c r="N738" s="458"/>
      <c r="O738" s="170"/>
      <c r="P738" s="441"/>
      <c r="Q738" s="55"/>
      <c r="R738" s="177"/>
      <c r="S738" s="454"/>
      <c r="T738" s="178"/>
      <c r="U738" s="178"/>
      <c r="V738" s="179"/>
      <c r="W738" s="180"/>
      <c r="X738" s="179"/>
      <c r="Y738" s="180"/>
      <c r="Z738" s="178"/>
      <c r="AA738" s="178"/>
      <c r="AB738" s="178"/>
      <c r="AC738" s="178"/>
      <c r="AD738" s="182"/>
      <c r="AE738" s="182"/>
      <c r="AF738" s="182"/>
      <c r="AG738" s="182"/>
      <c r="AH738" s="401"/>
      <c r="AI738" s="401"/>
      <c r="AJ738" s="401"/>
      <c r="AK738" s="401"/>
      <c r="AL738" s="401"/>
      <c r="AM738" s="189"/>
      <c r="AN738" s="829"/>
      <c r="AO738" s="830"/>
      <c r="AP738" s="401"/>
      <c r="AQ738" s="401"/>
      <c r="AR738" s="401"/>
      <c r="AS738" s="401"/>
      <c r="AT738" s="403"/>
      <c r="AU738" s="403"/>
      <c r="AV738" s="170"/>
      <c r="AW738" s="166"/>
      <c r="AX738" s="166"/>
      <c r="AY738" s="189"/>
      <c r="AZ738" s="189"/>
      <c r="BA738" s="196"/>
      <c r="BB738" s="629"/>
      <c r="BC738" s="190"/>
      <c r="BD738" s="510"/>
      <c r="BE738" s="510"/>
      <c r="BF738" s="177"/>
      <c r="BG738" s="177"/>
      <c r="BH738" s="166"/>
      <c r="BI738" s="474"/>
      <c r="BJ738" s="166"/>
      <c r="BK738" s="474"/>
      <c r="BL738" s="474"/>
      <c r="BM738" s="474"/>
      <c r="BN738" s="166"/>
      <c r="BO738" s="166"/>
      <c r="BP738" s="204"/>
      <c r="BQ738" s="475"/>
      <c r="BR738" s="205"/>
      <c r="BS738" s="509"/>
      <c r="BT738" s="509"/>
      <c r="BU738" s="459"/>
      <c r="BV738" s="459"/>
      <c r="BW738" s="1"/>
      <c r="BX738" s="1"/>
      <c r="BY738" s="546"/>
      <c r="BZ738" s="546"/>
      <c r="CA738" s="546"/>
      <c r="CB738" s="546"/>
      <c r="CC738" s="728"/>
      <c r="CD738" s="728"/>
      <c r="CE738" s="170"/>
    </row>
    <row r="739" spans="1:83" customFormat="1">
      <c r="A739" s="701"/>
      <c r="B739" s="447"/>
      <c r="C739" s="161"/>
      <c r="D739" s="162"/>
      <c r="E739" s="1"/>
      <c r="F739" s="811"/>
      <c r="G739" s="440"/>
      <c r="H739" s="1"/>
      <c r="I739" s="55"/>
      <c r="J739" s="170"/>
      <c r="K739" s="1"/>
      <c r="L739" s="170"/>
      <c r="M739" s="1"/>
      <c r="N739" s="458"/>
      <c r="O739" s="170"/>
      <c r="P739" s="441"/>
      <c r="Q739" s="55"/>
      <c r="R739" s="177"/>
      <c r="S739" s="454"/>
      <c r="T739" s="178"/>
      <c r="U739" s="178"/>
      <c r="V739" s="179"/>
      <c r="W739" s="180"/>
      <c r="X739" s="179"/>
      <c r="Y739" s="180"/>
      <c r="Z739" s="178"/>
      <c r="AA739" s="178"/>
      <c r="AB739" s="178"/>
      <c r="AC739" s="178"/>
      <c r="AD739" s="182"/>
      <c r="AE739" s="182"/>
      <c r="AF739" s="182"/>
      <c r="AG739" s="182"/>
      <c r="AH739" s="401"/>
      <c r="AI739" s="401"/>
      <c r="AJ739" s="401"/>
      <c r="AK739" s="401"/>
      <c r="AL739" s="401"/>
      <c r="AM739" s="189"/>
      <c r="AN739" s="829"/>
      <c r="AO739" s="830"/>
      <c r="AP739" s="401"/>
      <c r="AQ739" s="401"/>
      <c r="AR739" s="401"/>
      <c r="AS739" s="401"/>
      <c r="AT739" s="403"/>
      <c r="AU739" s="403"/>
      <c r="AV739" s="170"/>
      <c r="AW739" s="166"/>
      <c r="AX739" s="166"/>
      <c r="AY739" s="189"/>
      <c r="AZ739" s="189"/>
      <c r="BA739" s="196"/>
      <c r="BB739" s="629"/>
      <c r="BC739" s="190"/>
      <c r="BD739" s="510"/>
      <c r="BE739" s="510"/>
      <c r="BF739" s="177"/>
      <c r="BG739" s="177"/>
      <c r="BH739" s="166"/>
      <c r="BI739" s="474"/>
      <c r="BJ739" s="166"/>
      <c r="BK739" s="474"/>
      <c r="BL739" s="474"/>
      <c r="BM739" s="474"/>
      <c r="BN739" s="166"/>
      <c r="BO739" s="166"/>
      <c r="BP739" s="204"/>
      <c r="BQ739" s="475"/>
      <c r="BR739" s="205"/>
      <c r="BS739" s="509"/>
      <c r="BT739" s="509"/>
      <c r="BU739" s="459"/>
      <c r="BV739" s="459"/>
      <c r="BW739" s="1"/>
      <c r="BX739" s="1"/>
      <c r="BY739" s="546"/>
      <c r="BZ739" s="546"/>
      <c r="CA739" s="546"/>
      <c r="CB739" s="546"/>
      <c r="CC739" s="728"/>
      <c r="CD739" s="728"/>
      <c r="CE739" s="170"/>
    </row>
    <row r="740" spans="1:83" customFormat="1">
      <c r="A740" s="701"/>
      <c r="B740" s="447"/>
      <c r="C740" s="161"/>
      <c r="D740" s="162"/>
      <c r="E740" s="1"/>
      <c r="F740" s="811"/>
      <c r="G740" s="440"/>
      <c r="H740" s="1"/>
      <c r="I740" s="55"/>
      <c r="J740" s="457"/>
      <c r="K740" s="1"/>
      <c r="L740" s="170"/>
      <c r="M740" s="1"/>
      <c r="N740" s="458"/>
      <c r="O740" s="170"/>
      <c r="P740" s="441"/>
      <c r="Q740" s="55"/>
      <c r="R740" s="177"/>
      <c r="S740" s="454"/>
      <c r="T740" s="178"/>
      <c r="U740" s="178"/>
      <c r="V740" s="179"/>
      <c r="W740" s="180"/>
      <c r="X740" s="179"/>
      <c r="Y740" s="180"/>
      <c r="Z740" s="178"/>
      <c r="AA740" s="178"/>
      <c r="AB740" s="178"/>
      <c r="AC740" s="178"/>
      <c r="AD740" s="182"/>
      <c r="AE740" s="182"/>
      <c r="AF740" s="182"/>
      <c r="AG740" s="182"/>
      <c r="AH740" s="401"/>
      <c r="AI740" s="401"/>
      <c r="AJ740" s="401"/>
      <c r="AK740" s="401"/>
      <c r="AL740" s="401"/>
      <c r="AM740" s="189"/>
      <c r="AN740" s="829"/>
      <c r="AO740" s="830"/>
      <c r="AP740" s="401"/>
      <c r="AQ740" s="401"/>
      <c r="AR740" s="401"/>
      <c r="AS740" s="401"/>
      <c r="AT740" s="403"/>
      <c r="AU740" s="403"/>
      <c r="AV740" s="170"/>
      <c r="AW740" s="166"/>
      <c r="AX740" s="166"/>
      <c r="AY740" s="189"/>
      <c r="AZ740" s="189"/>
      <c r="BA740" s="196"/>
      <c r="BB740" s="629"/>
      <c r="BC740" s="190"/>
      <c r="BD740" s="510"/>
      <c r="BE740" s="510"/>
      <c r="BF740" s="177"/>
      <c r="BG740" s="177"/>
      <c r="BH740" s="166"/>
      <c r="BI740" s="474"/>
      <c r="BJ740" s="166"/>
      <c r="BK740" s="474"/>
      <c r="BL740" s="474"/>
      <c r="BM740" s="474"/>
      <c r="BN740" s="166"/>
      <c r="BO740" s="166"/>
      <c r="BP740" s="204"/>
      <c r="BQ740" s="475"/>
      <c r="BR740" s="205"/>
      <c r="BS740" s="509"/>
      <c r="BT740" s="509"/>
      <c r="BU740" s="459"/>
      <c r="BV740" s="459"/>
      <c r="BW740" s="1"/>
      <c r="BX740" s="1"/>
      <c r="BY740" s="546"/>
      <c r="BZ740" s="546"/>
      <c r="CA740" s="546"/>
      <c r="CB740" s="546"/>
      <c r="CC740" s="728"/>
      <c r="CD740" s="728"/>
      <c r="CE740" s="170"/>
    </row>
    <row r="741" spans="1:83" customFormat="1">
      <c r="A741" s="701"/>
      <c r="B741" s="447"/>
      <c r="C741" s="161"/>
      <c r="D741" s="162"/>
      <c r="E741" s="1"/>
      <c r="F741" s="811"/>
      <c r="G741" s="440"/>
      <c r="H741" s="1"/>
      <c r="I741" s="55"/>
      <c r="J741" s="170"/>
      <c r="K741" s="1"/>
      <c r="L741" s="170"/>
      <c r="M741" s="1"/>
      <c r="N741" s="458"/>
      <c r="O741" s="170"/>
      <c r="P741" s="441"/>
      <c r="Q741" s="55"/>
      <c r="R741" s="177"/>
      <c r="S741" s="454"/>
      <c r="T741" s="178"/>
      <c r="U741" s="178"/>
      <c r="V741" s="179"/>
      <c r="W741" s="180"/>
      <c r="X741" s="179"/>
      <c r="Y741" s="180"/>
      <c r="Z741" s="178"/>
      <c r="AA741" s="178"/>
      <c r="AB741" s="178"/>
      <c r="AC741" s="178"/>
      <c r="AD741" s="182"/>
      <c r="AE741" s="182"/>
      <c r="AF741" s="182"/>
      <c r="AG741" s="182"/>
      <c r="AH741" s="401"/>
      <c r="AI741" s="401"/>
      <c r="AJ741" s="401"/>
      <c r="AK741" s="401"/>
      <c r="AL741" s="401"/>
      <c r="AM741" s="189"/>
      <c r="AN741" s="829"/>
      <c r="AO741" s="830"/>
      <c r="AP741" s="401"/>
      <c r="AQ741" s="401"/>
      <c r="AR741" s="401"/>
      <c r="AS741" s="401"/>
      <c r="AT741" s="403"/>
      <c r="AU741" s="403"/>
      <c r="AV741" s="170"/>
      <c r="AW741" s="166"/>
      <c r="AX741" s="166"/>
      <c r="AY741" s="189"/>
      <c r="AZ741" s="189"/>
      <c r="BA741" s="196"/>
      <c r="BB741" s="629"/>
      <c r="BC741" s="190"/>
      <c r="BD741" s="510"/>
      <c r="BE741" s="510"/>
      <c r="BF741" s="177"/>
      <c r="BG741" s="177"/>
      <c r="BH741" s="166"/>
      <c r="BI741" s="474"/>
      <c r="BJ741" s="166"/>
      <c r="BK741" s="474"/>
      <c r="BL741" s="474"/>
      <c r="BM741" s="474"/>
      <c r="BN741" s="166"/>
      <c r="BO741" s="166"/>
      <c r="BP741" s="204"/>
      <c r="BQ741" s="475"/>
      <c r="BR741" s="205"/>
      <c r="BS741" s="509"/>
      <c r="BT741" s="509"/>
      <c r="BU741" s="459"/>
      <c r="BV741" s="459"/>
      <c r="BW741" s="1"/>
      <c r="BX741" s="1"/>
      <c r="BY741" s="546"/>
      <c r="BZ741" s="546"/>
      <c r="CA741" s="546"/>
      <c r="CB741" s="546"/>
      <c r="CC741" s="728"/>
      <c r="CD741" s="728"/>
      <c r="CE741" s="170"/>
    </row>
    <row r="742" spans="1:83" customFormat="1">
      <c r="A742" s="701"/>
      <c r="B742" s="447"/>
      <c r="C742" s="161"/>
      <c r="D742" s="162"/>
      <c r="E742" s="1"/>
      <c r="F742" s="811"/>
      <c r="G742" s="440"/>
      <c r="H742" s="1"/>
      <c r="I742" s="55"/>
      <c r="J742" s="170"/>
      <c r="K742" s="1"/>
      <c r="L742" s="170"/>
      <c r="M742" s="1"/>
      <c r="N742" s="458"/>
      <c r="O742" s="170"/>
      <c r="P742" s="441"/>
      <c r="Q742" s="55"/>
      <c r="R742" s="177"/>
      <c r="S742" s="454"/>
      <c r="T742" s="178"/>
      <c r="U742" s="178"/>
      <c r="V742" s="179"/>
      <c r="W742" s="180"/>
      <c r="X742" s="179"/>
      <c r="Y742" s="180"/>
      <c r="Z742" s="178"/>
      <c r="AA742" s="178"/>
      <c r="AB742" s="178"/>
      <c r="AC742" s="178"/>
      <c r="AD742" s="182"/>
      <c r="AE742" s="182"/>
      <c r="AF742" s="182"/>
      <c r="AG742" s="182"/>
      <c r="AH742" s="401"/>
      <c r="AI742" s="401"/>
      <c r="AJ742" s="401"/>
      <c r="AK742" s="401"/>
      <c r="AL742" s="401"/>
      <c r="AM742" s="189"/>
      <c r="AN742" s="829"/>
      <c r="AO742" s="830"/>
      <c r="AP742" s="401"/>
      <c r="AQ742" s="401"/>
      <c r="AR742" s="401"/>
      <c r="AS742" s="401"/>
      <c r="AT742" s="403"/>
      <c r="AU742" s="403"/>
      <c r="AV742" s="170"/>
      <c r="AW742" s="166"/>
      <c r="AX742" s="166"/>
      <c r="AY742" s="189"/>
      <c r="AZ742" s="189"/>
      <c r="BA742" s="196"/>
      <c r="BB742" s="629"/>
      <c r="BC742" s="190"/>
      <c r="BD742" s="510"/>
      <c r="BE742" s="510"/>
      <c r="BF742" s="177"/>
      <c r="BG742" s="177"/>
      <c r="BH742" s="166"/>
      <c r="BI742" s="474"/>
      <c r="BJ742" s="166"/>
      <c r="BK742" s="474"/>
      <c r="BL742" s="474"/>
      <c r="BM742" s="474"/>
      <c r="BN742" s="166"/>
      <c r="BO742" s="166"/>
      <c r="BP742" s="204"/>
      <c r="BQ742" s="475"/>
      <c r="BR742" s="205"/>
      <c r="BS742" s="509"/>
      <c r="BT742" s="509"/>
      <c r="BU742" s="459"/>
      <c r="BV742" s="459"/>
      <c r="BW742" s="1"/>
      <c r="BX742" s="1"/>
      <c r="BY742" s="546"/>
      <c r="BZ742" s="546"/>
      <c r="CA742" s="546"/>
      <c r="CB742" s="546"/>
      <c r="CC742" s="728"/>
      <c r="CD742" s="728"/>
      <c r="CE742" s="170"/>
    </row>
    <row r="743" spans="1:83" customFormat="1">
      <c r="A743" s="701"/>
      <c r="B743" s="447"/>
      <c r="C743" s="161"/>
      <c r="D743" s="162"/>
      <c r="E743" s="1"/>
      <c r="F743" s="811"/>
      <c r="G743" s="440"/>
      <c r="H743" s="1"/>
      <c r="I743" s="55"/>
      <c r="J743" s="170"/>
      <c r="K743" s="1"/>
      <c r="L743" s="170"/>
      <c r="M743" s="1"/>
      <c r="N743" s="458"/>
      <c r="O743" s="170"/>
      <c r="P743" s="441"/>
      <c r="Q743" s="55"/>
      <c r="R743" s="177"/>
      <c r="S743" s="454"/>
      <c r="T743" s="178"/>
      <c r="U743" s="178"/>
      <c r="V743" s="179"/>
      <c r="W743" s="180"/>
      <c r="X743" s="179"/>
      <c r="Y743" s="180"/>
      <c r="Z743" s="178"/>
      <c r="AA743" s="178"/>
      <c r="AB743" s="178"/>
      <c r="AC743" s="178"/>
      <c r="AD743" s="182"/>
      <c r="AE743" s="182"/>
      <c r="AF743" s="182"/>
      <c r="AG743" s="182"/>
      <c r="AH743" s="401"/>
      <c r="AI743" s="401"/>
      <c r="AJ743" s="401"/>
      <c r="AK743" s="401"/>
      <c r="AL743" s="401"/>
      <c r="AM743" s="189"/>
      <c r="AN743" s="829"/>
      <c r="AO743" s="830"/>
      <c r="AP743" s="401"/>
      <c r="AQ743" s="401"/>
      <c r="AR743" s="401"/>
      <c r="AS743" s="401"/>
      <c r="AT743" s="403"/>
      <c r="AU743" s="403"/>
      <c r="AV743" s="170"/>
      <c r="AW743" s="166"/>
      <c r="AX743" s="166"/>
      <c r="AY743" s="189"/>
      <c r="AZ743" s="189"/>
      <c r="BA743" s="196"/>
      <c r="BB743" s="629"/>
      <c r="BC743" s="190"/>
      <c r="BD743" s="510"/>
      <c r="BE743" s="510"/>
      <c r="BF743" s="177"/>
      <c r="BG743" s="177"/>
      <c r="BH743" s="166"/>
      <c r="BI743" s="474"/>
      <c r="BJ743" s="166"/>
      <c r="BK743" s="474"/>
      <c r="BL743" s="474"/>
      <c r="BM743" s="474"/>
      <c r="BN743" s="166"/>
      <c r="BO743" s="166"/>
      <c r="BP743" s="204"/>
      <c r="BQ743" s="475"/>
      <c r="BR743" s="205"/>
      <c r="BS743" s="509"/>
      <c r="BT743" s="509"/>
      <c r="BU743" s="459"/>
      <c r="BV743" s="459"/>
      <c r="BW743" s="1"/>
      <c r="BX743" s="1"/>
      <c r="BY743" s="546"/>
      <c r="BZ743" s="546"/>
      <c r="CA743" s="546"/>
      <c r="CB743" s="546"/>
      <c r="CC743" s="728"/>
      <c r="CD743" s="728"/>
      <c r="CE743" s="170"/>
    </row>
    <row r="744" spans="1:83" customFormat="1">
      <c r="A744" s="701"/>
      <c r="B744" s="447"/>
      <c r="C744" s="161"/>
      <c r="D744" s="162"/>
      <c r="E744" s="1"/>
      <c r="F744" s="811"/>
      <c r="G744" s="440"/>
      <c r="H744" s="1"/>
      <c r="I744" s="55"/>
      <c r="J744" s="170"/>
      <c r="K744" s="1"/>
      <c r="L744" s="170"/>
      <c r="M744" s="1"/>
      <c r="N744" s="458"/>
      <c r="O744" s="170"/>
      <c r="P744" s="441"/>
      <c r="Q744" s="55"/>
      <c r="R744" s="177"/>
      <c r="S744" s="454"/>
      <c r="T744" s="178"/>
      <c r="U744" s="178"/>
      <c r="V744" s="179"/>
      <c r="W744" s="180"/>
      <c r="X744" s="179"/>
      <c r="Y744" s="180"/>
      <c r="Z744" s="178"/>
      <c r="AA744" s="178"/>
      <c r="AB744" s="178"/>
      <c r="AC744" s="178"/>
      <c r="AD744" s="182"/>
      <c r="AE744" s="182"/>
      <c r="AF744" s="182"/>
      <c r="AG744" s="182"/>
      <c r="AH744" s="401"/>
      <c r="AI744" s="401"/>
      <c r="AJ744" s="401"/>
      <c r="AK744" s="401"/>
      <c r="AL744" s="401"/>
      <c r="AM744" s="189"/>
      <c r="AN744" s="829"/>
      <c r="AO744" s="830"/>
      <c r="AP744" s="401"/>
      <c r="AQ744" s="401"/>
      <c r="AR744" s="401"/>
      <c r="AS744" s="401"/>
      <c r="AT744" s="403"/>
      <c r="AU744" s="403"/>
      <c r="AV744" s="170"/>
      <c r="AW744" s="166"/>
      <c r="AX744" s="166"/>
      <c r="AY744" s="189"/>
      <c r="AZ744" s="189"/>
      <c r="BA744" s="196"/>
      <c r="BB744" s="629"/>
      <c r="BC744" s="190"/>
      <c r="BD744" s="510"/>
      <c r="BE744" s="510"/>
      <c r="BF744" s="177"/>
      <c r="BG744" s="177"/>
      <c r="BH744" s="166"/>
      <c r="BI744" s="474"/>
      <c r="BJ744" s="166"/>
      <c r="BK744" s="474"/>
      <c r="BL744" s="474"/>
      <c r="BM744" s="474"/>
      <c r="BN744" s="166"/>
      <c r="BO744" s="166"/>
      <c r="BP744" s="204"/>
      <c r="BQ744" s="475"/>
      <c r="BR744" s="205"/>
      <c r="BS744" s="509"/>
      <c r="BT744" s="509"/>
      <c r="BU744" s="459"/>
      <c r="BV744" s="459"/>
      <c r="BW744" s="1"/>
      <c r="BX744" s="1"/>
      <c r="BY744" s="546"/>
      <c r="BZ744" s="546"/>
      <c r="CA744" s="546"/>
      <c r="CB744" s="546"/>
      <c r="CC744" s="728"/>
      <c r="CD744" s="728"/>
      <c r="CE744" s="170"/>
    </row>
    <row r="745" spans="1:83" customFormat="1">
      <c r="A745" s="701"/>
      <c r="B745" s="447"/>
      <c r="C745" s="1"/>
      <c r="D745" s="538"/>
      <c r="E745" s="1"/>
      <c r="F745" s="811"/>
      <c r="G745" s="440"/>
      <c r="H745" s="1"/>
      <c r="I745" s="55"/>
      <c r="J745" s="171"/>
      <c r="K745" s="55"/>
      <c r="L745" s="171"/>
      <c r="M745" s="55"/>
      <c r="N745" s="172"/>
      <c r="O745" s="170"/>
      <c r="P745" s="139"/>
      <c r="Q745" s="172"/>
      <c r="R745" s="181"/>
      <c r="S745" s="455"/>
      <c r="T745" s="170"/>
      <c r="U745" s="170"/>
      <c r="V745" s="1"/>
      <c r="W745" s="173"/>
      <c r="X745" s="1"/>
      <c r="Y745" s="166"/>
      <c r="Z745" s="170"/>
      <c r="AA745" s="170"/>
      <c r="AB745" s="170"/>
      <c r="AC745" s="170"/>
      <c r="AD745" s="182"/>
      <c r="AE745" s="182"/>
      <c r="AF745" s="182"/>
      <c r="AG745" s="182"/>
      <c r="AH745" s="189"/>
      <c r="AI745" s="401"/>
      <c r="AJ745" s="189"/>
      <c r="AK745" s="401"/>
      <c r="AL745" s="401"/>
      <c r="AM745" s="189"/>
      <c r="AN745" s="782"/>
      <c r="AO745" s="189"/>
      <c r="AP745" s="401"/>
      <c r="AQ745" s="401"/>
      <c r="AR745" s="401"/>
      <c r="AS745" s="188"/>
      <c r="AT745" s="1"/>
      <c r="AU745" s="403"/>
      <c r="AV745" s="1"/>
      <c r="AW745" s="166"/>
      <c r="AX745" s="166"/>
      <c r="AY745" s="189"/>
      <c r="AZ745" s="189"/>
      <c r="BA745" s="196"/>
      <c r="BB745" s="629"/>
      <c r="BC745" s="197"/>
      <c r="BD745" s="510"/>
      <c r="BE745" s="510"/>
      <c r="BF745" s="177"/>
      <c r="BG745" s="177"/>
      <c r="BH745" s="166"/>
      <c r="BI745" s="474"/>
      <c r="BJ745" s="166"/>
      <c r="BK745" s="474"/>
      <c r="BL745" s="474"/>
      <c r="BM745" s="474"/>
      <c r="BN745" s="166"/>
      <c r="BO745" s="166"/>
      <c r="BP745" s="204"/>
      <c r="BQ745" s="475"/>
      <c r="BR745" s="205"/>
      <c r="BS745" s="509"/>
      <c r="BT745" s="509"/>
      <c r="BU745" s="459"/>
      <c r="BV745" s="459"/>
      <c r="BW745" s="1"/>
      <c r="BX745" s="1"/>
      <c r="BY745" s="546"/>
      <c r="BZ745" s="546"/>
      <c r="CA745" s="546"/>
      <c r="CB745" s="546"/>
      <c r="CC745" s="728"/>
      <c r="CD745" s="728"/>
      <c r="CE745" s="170"/>
    </row>
    <row r="746" spans="1:83" customFormat="1">
      <c r="A746" s="701"/>
      <c r="B746" s="447"/>
      <c r="C746" s="161"/>
      <c r="D746" s="162"/>
      <c r="E746" s="1"/>
      <c r="F746" s="811"/>
      <c r="G746" s="440"/>
      <c r="H746" s="1"/>
      <c r="I746" s="55"/>
      <c r="J746" s="170"/>
      <c r="K746" s="1"/>
      <c r="L746" s="170"/>
      <c r="M746" s="1"/>
      <c r="N746" s="458"/>
      <c r="O746" s="170"/>
      <c r="P746" s="441"/>
      <c r="Q746" s="55"/>
      <c r="R746" s="177"/>
      <c r="S746" s="454"/>
      <c r="T746" s="178"/>
      <c r="U746" s="178"/>
      <c r="V746" s="179"/>
      <c r="W746" s="180"/>
      <c r="X746" s="179"/>
      <c r="Y746" s="180"/>
      <c r="Z746" s="178"/>
      <c r="AA746" s="178"/>
      <c r="AB746" s="178"/>
      <c r="AC746" s="178"/>
      <c r="AD746" s="182"/>
      <c r="AE746" s="182"/>
      <c r="AF746" s="182"/>
      <c r="AG746" s="182"/>
      <c r="AH746" s="401"/>
      <c r="AI746" s="401"/>
      <c r="AJ746" s="401"/>
      <c r="AK746" s="401"/>
      <c r="AL746" s="401"/>
      <c r="AM746" s="189"/>
      <c r="AN746" s="829"/>
      <c r="AO746" s="830"/>
      <c r="AP746" s="401"/>
      <c r="AQ746" s="401"/>
      <c r="AR746" s="401"/>
      <c r="AS746" s="401"/>
      <c r="AT746" s="403"/>
      <c r="AU746" s="403"/>
      <c r="AV746" s="170"/>
      <c r="AW746" s="166"/>
      <c r="AX746" s="166"/>
      <c r="AY746" s="189"/>
      <c r="AZ746" s="189"/>
      <c r="BA746" s="196"/>
      <c r="BB746" s="629"/>
      <c r="BC746" s="190"/>
      <c r="BD746" s="510"/>
      <c r="BE746" s="510"/>
      <c r="BF746" s="177"/>
      <c r="BG746" s="177"/>
      <c r="BH746" s="166"/>
      <c r="BI746" s="474"/>
      <c r="BJ746" s="166"/>
      <c r="BK746" s="474"/>
      <c r="BL746" s="474"/>
      <c r="BM746" s="474"/>
      <c r="BN746" s="166"/>
      <c r="BO746" s="166"/>
      <c r="BP746" s="204"/>
      <c r="BQ746" s="475"/>
      <c r="BR746" s="205"/>
      <c r="BS746" s="509"/>
      <c r="BT746" s="509"/>
      <c r="BU746" s="459"/>
      <c r="BV746" s="459"/>
      <c r="BW746" s="1"/>
      <c r="BX746" s="1"/>
      <c r="BY746" s="546"/>
      <c r="BZ746" s="546"/>
      <c r="CA746" s="546"/>
      <c r="CB746" s="546"/>
      <c r="CC746" s="728"/>
      <c r="CD746" s="728"/>
      <c r="CE746" s="170"/>
    </row>
    <row r="747" spans="1:83" customFormat="1">
      <c r="A747" s="701"/>
      <c r="B747" s="447"/>
      <c r="C747" s="161"/>
      <c r="D747" s="162"/>
      <c r="E747" s="1"/>
      <c r="F747" s="811"/>
      <c r="G747" s="440"/>
      <c r="H747" s="1"/>
      <c r="I747" s="55"/>
      <c r="J747" s="170"/>
      <c r="K747" s="1"/>
      <c r="L747" s="170"/>
      <c r="M747" s="1"/>
      <c r="N747" s="458"/>
      <c r="O747" s="170"/>
      <c r="P747" s="441"/>
      <c r="Q747" s="55"/>
      <c r="R747" s="177"/>
      <c r="S747" s="454"/>
      <c r="T747" s="178"/>
      <c r="U747" s="178"/>
      <c r="V747" s="179"/>
      <c r="W747" s="180"/>
      <c r="X747" s="179"/>
      <c r="Y747" s="180"/>
      <c r="Z747" s="178"/>
      <c r="AA747" s="178"/>
      <c r="AB747" s="178"/>
      <c r="AC747" s="178"/>
      <c r="AD747" s="182"/>
      <c r="AE747" s="182"/>
      <c r="AF747" s="182"/>
      <c r="AG747" s="182"/>
      <c r="AH747" s="401"/>
      <c r="AI747" s="401"/>
      <c r="AJ747" s="401"/>
      <c r="AK747" s="401"/>
      <c r="AL747" s="401"/>
      <c r="AM747" s="189"/>
      <c r="AN747" s="829"/>
      <c r="AO747" s="830"/>
      <c r="AP747" s="401"/>
      <c r="AQ747" s="401"/>
      <c r="AR747" s="401"/>
      <c r="AS747" s="401"/>
      <c r="AT747" s="403"/>
      <c r="AU747" s="403"/>
      <c r="AV747" s="170"/>
      <c r="AW747" s="166"/>
      <c r="AX747" s="166"/>
      <c r="AY747" s="189"/>
      <c r="AZ747" s="189"/>
      <c r="BA747" s="196"/>
      <c r="BB747" s="629"/>
      <c r="BC747" s="190"/>
      <c r="BD747" s="510"/>
      <c r="BE747" s="510"/>
      <c r="BF747" s="177"/>
      <c r="BG747" s="177"/>
      <c r="BH747" s="166"/>
      <c r="BI747" s="474"/>
      <c r="BJ747" s="166"/>
      <c r="BK747" s="474"/>
      <c r="BL747" s="474"/>
      <c r="BM747" s="474"/>
      <c r="BN747" s="166"/>
      <c r="BO747" s="166"/>
      <c r="BP747" s="204"/>
      <c r="BQ747" s="475"/>
      <c r="BR747" s="205"/>
      <c r="BS747" s="509"/>
      <c r="BT747" s="509"/>
      <c r="BU747" s="459"/>
      <c r="BV747" s="459"/>
      <c r="BW747" s="1"/>
      <c r="BX747" s="1"/>
      <c r="BY747" s="546"/>
      <c r="BZ747" s="546"/>
      <c r="CA747" s="546"/>
      <c r="CB747" s="546"/>
      <c r="CC747" s="728"/>
      <c r="CD747" s="728"/>
      <c r="CE747" s="170"/>
    </row>
    <row r="748" spans="1:83" customFormat="1">
      <c r="A748" s="701"/>
      <c r="B748" s="447"/>
      <c r="C748" s="161"/>
      <c r="D748" s="162"/>
      <c r="E748" s="1"/>
      <c r="F748" s="811"/>
      <c r="G748" s="440"/>
      <c r="H748" s="1"/>
      <c r="I748" s="55"/>
      <c r="J748" s="170"/>
      <c r="K748" s="1"/>
      <c r="L748" s="170"/>
      <c r="M748" s="1"/>
      <c r="N748" s="166"/>
      <c r="O748" s="170"/>
      <c r="P748" s="441"/>
      <c r="Q748" s="55"/>
      <c r="R748" s="177"/>
      <c r="S748" s="454"/>
      <c r="T748" s="178"/>
      <c r="U748" s="178"/>
      <c r="V748" s="179"/>
      <c r="W748" s="180"/>
      <c r="X748" s="179"/>
      <c r="Y748" s="180"/>
      <c r="Z748" s="178"/>
      <c r="AA748" s="178"/>
      <c r="AB748" s="178"/>
      <c r="AC748" s="178"/>
      <c r="AD748" s="182"/>
      <c r="AE748" s="182"/>
      <c r="AF748" s="182"/>
      <c r="AG748" s="182"/>
      <c r="AH748" s="401"/>
      <c r="AI748" s="401"/>
      <c r="AJ748" s="182"/>
      <c r="AK748" s="401"/>
      <c r="AL748" s="401"/>
      <c r="AM748" s="189"/>
      <c r="AN748" s="829"/>
      <c r="AO748" s="830"/>
      <c r="AP748" s="401"/>
      <c r="AQ748" s="401"/>
      <c r="AR748" s="401"/>
      <c r="AS748" s="401"/>
      <c r="AT748" s="403"/>
      <c r="AU748" s="403"/>
      <c r="AV748" s="170"/>
      <c r="AW748" s="166"/>
      <c r="AX748" s="166"/>
      <c r="AY748" s="189"/>
      <c r="AZ748" s="189"/>
      <c r="BA748" s="196"/>
      <c r="BB748" s="629"/>
      <c r="BC748" s="190"/>
      <c r="BD748" s="510"/>
      <c r="BE748" s="510"/>
      <c r="BF748" s="177"/>
      <c r="BG748" s="177"/>
      <c r="BH748" s="166"/>
      <c r="BI748" s="474"/>
      <c r="BJ748" s="166"/>
      <c r="BK748" s="474"/>
      <c r="BL748" s="474"/>
      <c r="BM748" s="474"/>
      <c r="BN748" s="166"/>
      <c r="BO748" s="166"/>
      <c r="BP748" s="204"/>
      <c r="BQ748" s="475"/>
      <c r="BR748" s="205"/>
      <c r="BS748" s="509"/>
      <c r="BT748" s="509"/>
      <c r="BU748" s="459"/>
      <c r="BV748" s="459"/>
      <c r="BW748" s="1"/>
      <c r="BX748" s="1"/>
      <c r="BY748" s="546"/>
      <c r="BZ748" s="546"/>
      <c r="CA748" s="546"/>
      <c r="CB748" s="546"/>
      <c r="CC748" s="728"/>
      <c r="CD748" s="728"/>
      <c r="CE748" s="170"/>
    </row>
    <row r="749" spans="1:83" customFormat="1">
      <c r="A749" s="701"/>
      <c r="B749" s="447"/>
      <c r="C749" s="1"/>
      <c r="D749" s="538"/>
      <c r="E749" s="1"/>
      <c r="F749" s="811"/>
      <c r="G749" s="440"/>
      <c r="H749" s="371"/>
      <c r="I749" s="55"/>
      <c r="J749" s="370"/>
      <c r="K749" s="55"/>
      <c r="L749" s="370"/>
      <c r="M749" s="55"/>
      <c r="N749" s="452"/>
      <c r="O749" s="170"/>
      <c r="P749" s="139"/>
      <c r="Q749" s="369"/>
      <c r="R749" s="181"/>
      <c r="S749" s="455"/>
      <c r="T749" s="170"/>
      <c r="U749" s="170"/>
      <c r="V749" s="1"/>
      <c r="W749" s="173"/>
      <c r="X749" s="1"/>
      <c r="Y749" s="166"/>
      <c r="Z749" s="170"/>
      <c r="AA749" s="170"/>
      <c r="AB749" s="170"/>
      <c r="AC749" s="170"/>
      <c r="AD749" s="182"/>
      <c r="AE749" s="182"/>
      <c r="AF749" s="182"/>
      <c r="AG749" s="182"/>
      <c r="AH749" s="189"/>
      <c r="AI749" s="401"/>
      <c r="AJ749" s="189"/>
      <c r="AK749" s="401"/>
      <c r="AL749" s="401"/>
      <c r="AM749" s="189"/>
      <c r="AN749" s="829"/>
      <c r="AO749" s="830"/>
      <c r="AP749" s="401"/>
      <c r="AQ749" s="401"/>
      <c r="AR749" s="401"/>
      <c r="AS749" s="188"/>
      <c r="AT749" s="1"/>
      <c r="AU749" s="403"/>
      <c r="AV749" s="1"/>
      <c r="AW749" s="166"/>
      <c r="AX749" s="166"/>
      <c r="AY749" s="189"/>
      <c r="AZ749" s="189"/>
      <c r="BA749" s="196"/>
      <c r="BB749" s="629"/>
      <c r="BC749" s="197"/>
      <c r="BD749" s="510"/>
      <c r="BE749" s="510"/>
      <c r="BF749" s="177"/>
      <c r="BG749" s="177"/>
      <c r="BH749" s="166"/>
      <c r="BI749" s="474"/>
      <c r="BJ749" s="166"/>
      <c r="BK749" s="474"/>
      <c r="BL749" s="474"/>
      <c r="BM749" s="474"/>
      <c r="BN749" s="166"/>
      <c r="BO749" s="166"/>
      <c r="BP749" s="204"/>
      <c r="BQ749" s="475"/>
      <c r="BR749" s="205"/>
      <c r="BS749" s="509"/>
      <c r="BT749" s="509"/>
      <c r="BU749" s="459"/>
      <c r="BV749" s="459"/>
      <c r="BW749" s="1"/>
      <c r="BX749" s="1"/>
      <c r="BY749" s="546"/>
      <c r="BZ749" s="546"/>
      <c r="CA749" s="546"/>
      <c r="CB749" s="546"/>
      <c r="CC749" s="728"/>
      <c r="CD749" s="728"/>
      <c r="CE749" s="170"/>
    </row>
    <row r="750" spans="1:83" customFormat="1">
      <c r="A750" s="701"/>
      <c r="B750" s="447"/>
      <c r="C750" s="161"/>
      <c r="D750" s="162"/>
      <c r="E750" s="1"/>
      <c r="F750" s="811"/>
      <c r="G750" s="440"/>
      <c r="H750" s="1"/>
      <c r="I750" s="55"/>
      <c r="J750" s="170"/>
      <c r="K750" s="1"/>
      <c r="L750" s="170"/>
      <c r="M750" s="1"/>
      <c r="N750" s="458"/>
      <c r="O750" s="170"/>
      <c r="P750" s="441"/>
      <c r="Q750" s="55"/>
      <c r="R750" s="177"/>
      <c r="S750" s="454"/>
      <c r="T750" s="178"/>
      <c r="U750" s="178"/>
      <c r="V750" s="179"/>
      <c r="W750" s="180"/>
      <c r="X750" s="179"/>
      <c r="Y750" s="180"/>
      <c r="Z750" s="178"/>
      <c r="AA750" s="178"/>
      <c r="AB750" s="178"/>
      <c r="AC750" s="178"/>
      <c r="AD750" s="182"/>
      <c r="AE750" s="182"/>
      <c r="AF750" s="182"/>
      <c r="AG750" s="182"/>
      <c r="AH750" s="401"/>
      <c r="AI750" s="401"/>
      <c r="AJ750" s="401"/>
      <c r="AK750" s="401"/>
      <c r="AL750" s="401"/>
      <c r="AM750" s="189"/>
      <c r="AN750" s="829"/>
      <c r="AO750" s="830"/>
      <c r="AP750" s="401"/>
      <c r="AQ750" s="401"/>
      <c r="AR750" s="401"/>
      <c r="AS750" s="401"/>
      <c r="AT750" s="403"/>
      <c r="AU750" s="403"/>
      <c r="AV750" s="170"/>
      <c r="AW750" s="166"/>
      <c r="AX750" s="166"/>
      <c r="AY750" s="189"/>
      <c r="AZ750" s="189"/>
      <c r="BA750" s="196"/>
      <c r="BB750" s="629"/>
      <c r="BC750" s="190"/>
      <c r="BD750" s="510"/>
      <c r="BE750" s="510"/>
      <c r="BF750" s="177"/>
      <c r="BG750" s="177"/>
      <c r="BH750" s="166"/>
      <c r="BI750" s="474"/>
      <c r="BJ750" s="166"/>
      <c r="BK750" s="474"/>
      <c r="BL750" s="474"/>
      <c r="BM750" s="474"/>
      <c r="BN750" s="166"/>
      <c r="BO750" s="166"/>
      <c r="BP750" s="204"/>
      <c r="BQ750" s="475"/>
      <c r="BR750" s="205"/>
      <c r="BS750" s="509"/>
      <c r="BT750" s="509"/>
      <c r="BU750" s="459"/>
      <c r="BV750" s="459"/>
      <c r="BW750" s="1"/>
      <c r="BX750" s="1"/>
      <c r="BY750" s="546"/>
      <c r="BZ750" s="546"/>
      <c r="CA750" s="546"/>
      <c r="CB750" s="546"/>
      <c r="CC750" s="728"/>
      <c r="CD750" s="728"/>
      <c r="CE750" s="170"/>
    </row>
    <row r="751" spans="1:83" customFormat="1">
      <c r="A751" s="701"/>
      <c r="B751" s="447"/>
      <c r="C751" s="161"/>
      <c r="D751" s="162"/>
      <c r="E751" s="1"/>
      <c r="F751" s="811"/>
      <c r="G751" s="440"/>
      <c r="H751" s="1"/>
      <c r="I751" s="55"/>
      <c r="J751" s="170"/>
      <c r="K751" s="1"/>
      <c r="L751" s="457"/>
      <c r="M751" s="1"/>
      <c r="N751" s="458"/>
      <c r="O751" s="170"/>
      <c r="P751" s="441"/>
      <c r="Q751" s="55"/>
      <c r="R751" s="177"/>
      <c r="S751" s="454"/>
      <c r="T751" s="178"/>
      <c r="U751" s="178"/>
      <c r="V751" s="179"/>
      <c r="W751" s="180"/>
      <c r="X751" s="179"/>
      <c r="Y751" s="180"/>
      <c r="Z751" s="178"/>
      <c r="AA751" s="178"/>
      <c r="AB751" s="178"/>
      <c r="AC751" s="178"/>
      <c r="AD751" s="182"/>
      <c r="AE751" s="182"/>
      <c r="AF751" s="182"/>
      <c r="AG751" s="182"/>
      <c r="AH751" s="401"/>
      <c r="AI751" s="401"/>
      <c r="AJ751" s="401"/>
      <c r="AK751" s="401"/>
      <c r="AL751" s="401"/>
      <c r="AM751" s="189"/>
      <c r="AN751" s="829"/>
      <c r="AO751" s="830"/>
      <c r="AP751" s="401"/>
      <c r="AQ751" s="401"/>
      <c r="AR751" s="401"/>
      <c r="AS751" s="401"/>
      <c r="AT751" s="403"/>
      <c r="AU751" s="403"/>
      <c r="AV751" s="170"/>
      <c r="AW751" s="166"/>
      <c r="AX751" s="166"/>
      <c r="AY751" s="189"/>
      <c r="AZ751" s="189"/>
      <c r="BA751" s="196"/>
      <c r="BB751" s="629"/>
      <c r="BC751" s="190"/>
      <c r="BD751" s="510"/>
      <c r="BE751" s="510"/>
      <c r="BF751" s="177"/>
      <c r="BG751" s="177"/>
      <c r="BH751" s="166"/>
      <c r="BI751" s="474"/>
      <c r="BJ751" s="166"/>
      <c r="BK751" s="474"/>
      <c r="BL751" s="474"/>
      <c r="BM751" s="474"/>
      <c r="BN751" s="166"/>
      <c r="BO751" s="166"/>
      <c r="BP751" s="204"/>
      <c r="BQ751" s="475"/>
      <c r="BR751" s="205"/>
      <c r="BS751" s="509"/>
      <c r="BT751" s="509"/>
      <c r="BU751" s="459"/>
      <c r="BV751" s="459"/>
      <c r="BW751" s="1"/>
      <c r="BX751" s="1"/>
      <c r="BY751" s="546"/>
      <c r="BZ751" s="546"/>
      <c r="CA751" s="546"/>
      <c r="CB751" s="546"/>
      <c r="CC751" s="728"/>
      <c r="CD751" s="728"/>
      <c r="CE751" s="170"/>
    </row>
    <row r="752" spans="1:83" customFormat="1">
      <c r="A752" s="701"/>
      <c r="B752" s="447"/>
      <c r="C752" s="161"/>
      <c r="D752" s="162"/>
      <c r="E752" s="1"/>
      <c r="F752" s="811"/>
      <c r="G752" s="440"/>
      <c r="H752" s="1"/>
      <c r="I752" s="55"/>
      <c r="J752" s="170"/>
      <c r="K752" s="1"/>
      <c r="L752" s="170"/>
      <c r="M752" s="1"/>
      <c r="N752" s="458"/>
      <c r="O752" s="170"/>
      <c r="P752" s="441"/>
      <c r="Q752" s="55"/>
      <c r="R752" s="177"/>
      <c r="S752" s="454"/>
      <c r="T752" s="178"/>
      <c r="U752" s="178"/>
      <c r="V752" s="179"/>
      <c r="W752" s="180"/>
      <c r="X752" s="179"/>
      <c r="Y752" s="180"/>
      <c r="Z752" s="178"/>
      <c r="AA752" s="178"/>
      <c r="AB752" s="178"/>
      <c r="AC752" s="178"/>
      <c r="AD752" s="182"/>
      <c r="AE752" s="182"/>
      <c r="AF752" s="182"/>
      <c r="AG752" s="182"/>
      <c r="AH752" s="401"/>
      <c r="AI752" s="401"/>
      <c r="AJ752" s="401"/>
      <c r="AK752" s="401"/>
      <c r="AL752" s="401"/>
      <c r="AM752" s="189"/>
      <c r="AN752" s="829"/>
      <c r="AO752" s="830"/>
      <c r="AP752" s="401"/>
      <c r="AQ752" s="401"/>
      <c r="AR752" s="401"/>
      <c r="AS752" s="401"/>
      <c r="AT752" s="403"/>
      <c r="AU752" s="403"/>
      <c r="AV752" s="170"/>
      <c r="AW752" s="166"/>
      <c r="AX752" s="166"/>
      <c r="AY752" s="189"/>
      <c r="AZ752" s="189"/>
      <c r="BA752" s="196"/>
      <c r="BB752" s="629"/>
      <c r="BC752" s="190"/>
      <c r="BD752" s="510"/>
      <c r="BE752" s="510"/>
      <c r="BF752" s="177"/>
      <c r="BG752" s="177"/>
      <c r="BH752" s="166"/>
      <c r="BI752" s="474"/>
      <c r="BJ752" s="166"/>
      <c r="BK752" s="474"/>
      <c r="BL752" s="474"/>
      <c r="BM752" s="474"/>
      <c r="BN752" s="166"/>
      <c r="BO752" s="166"/>
      <c r="BP752" s="204"/>
      <c r="BQ752" s="475"/>
      <c r="BR752" s="205"/>
      <c r="BS752" s="509"/>
      <c r="BT752" s="509"/>
      <c r="BU752" s="459"/>
      <c r="BV752" s="459"/>
      <c r="BW752" s="1"/>
      <c r="BX752" s="1"/>
      <c r="BY752" s="546"/>
      <c r="BZ752" s="546"/>
      <c r="CA752" s="546"/>
      <c r="CB752" s="546"/>
      <c r="CC752" s="728"/>
      <c r="CD752" s="728"/>
      <c r="CE752" s="170"/>
    </row>
    <row r="753" spans="1:84" customFormat="1">
      <c r="A753" s="701"/>
      <c r="B753" s="447"/>
      <c r="C753" s="161"/>
      <c r="D753" s="162"/>
      <c r="E753" s="1"/>
      <c r="F753" s="811"/>
      <c r="G753" s="440"/>
      <c r="H753" s="1"/>
      <c r="I753" s="55"/>
      <c r="J753" s="170"/>
      <c r="K753" s="1"/>
      <c r="L753" s="170"/>
      <c r="M753" s="1"/>
      <c r="N753" s="458"/>
      <c r="O753" s="170"/>
      <c r="P753" s="441"/>
      <c r="Q753" s="55"/>
      <c r="R753" s="177"/>
      <c r="S753" s="454"/>
      <c r="T753" s="178"/>
      <c r="U753" s="178"/>
      <c r="V753" s="179"/>
      <c r="W753" s="180"/>
      <c r="X753" s="179"/>
      <c r="Y753" s="180"/>
      <c r="Z753" s="178"/>
      <c r="AA753" s="178"/>
      <c r="AB753" s="178"/>
      <c r="AC753" s="178"/>
      <c r="AD753" s="182"/>
      <c r="AE753" s="182"/>
      <c r="AF753" s="182"/>
      <c r="AG753" s="182"/>
      <c r="AH753" s="401"/>
      <c r="AI753" s="401"/>
      <c r="AJ753" s="401"/>
      <c r="AK753" s="401"/>
      <c r="AL753" s="401"/>
      <c r="AM753" s="189"/>
      <c r="AN753" s="829"/>
      <c r="AO753" s="830"/>
      <c r="AP753" s="401"/>
      <c r="AQ753" s="401"/>
      <c r="AR753" s="401"/>
      <c r="AS753" s="401"/>
      <c r="AT753" s="403"/>
      <c r="AU753" s="403"/>
      <c r="AV753" s="170"/>
      <c r="AW753" s="166"/>
      <c r="AX753" s="166"/>
      <c r="AY753" s="189"/>
      <c r="AZ753" s="189"/>
      <c r="BA753" s="196"/>
      <c r="BB753" s="629"/>
      <c r="BC753" s="190"/>
      <c r="BD753" s="510"/>
      <c r="BE753" s="510"/>
      <c r="BF753" s="177"/>
      <c r="BG753" s="177"/>
      <c r="BH753" s="166"/>
      <c r="BI753" s="474"/>
      <c r="BJ753" s="166"/>
      <c r="BK753" s="474"/>
      <c r="BL753" s="474"/>
      <c r="BM753" s="474"/>
      <c r="BN753" s="166"/>
      <c r="BO753" s="166"/>
      <c r="BP753" s="204"/>
      <c r="BQ753" s="475"/>
      <c r="BR753" s="205"/>
      <c r="BS753" s="509"/>
      <c r="BT753" s="509"/>
      <c r="BU753" s="459"/>
      <c r="BV753" s="459"/>
      <c r="BW753" s="1"/>
      <c r="BX753" s="1"/>
      <c r="BY753" s="546"/>
      <c r="BZ753" s="546"/>
      <c r="CA753" s="546"/>
      <c r="CB753" s="546"/>
      <c r="CC753" s="728"/>
      <c r="CD753" s="728"/>
      <c r="CE753" s="170"/>
    </row>
    <row r="754" spans="1:84" customFormat="1">
      <c r="A754" s="701"/>
      <c r="B754" s="447"/>
      <c r="C754" s="161"/>
      <c r="D754" s="162"/>
      <c r="E754" s="1"/>
      <c r="F754" s="811"/>
      <c r="G754" s="440"/>
      <c r="H754" s="1"/>
      <c r="I754" s="55"/>
      <c r="J754" s="170"/>
      <c r="K754" s="1"/>
      <c r="L754" s="170"/>
      <c r="M754" s="1"/>
      <c r="N754" s="458"/>
      <c r="O754" s="170"/>
      <c r="P754" s="441"/>
      <c r="Q754" s="55"/>
      <c r="R754" s="177"/>
      <c r="S754" s="454"/>
      <c r="T754" s="178"/>
      <c r="U754" s="178"/>
      <c r="V754" s="179"/>
      <c r="W754" s="180"/>
      <c r="X754" s="179"/>
      <c r="Y754" s="180"/>
      <c r="Z754" s="178"/>
      <c r="AA754" s="178"/>
      <c r="AB754" s="178"/>
      <c r="AC754" s="178"/>
      <c r="AD754" s="182"/>
      <c r="AE754" s="182"/>
      <c r="AF754" s="182"/>
      <c r="AG754" s="182"/>
      <c r="AH754" s="401"/>
      <c r="AI754" s="401"/>
      <c r="AJ754" s="401"/>
      <c r="AK754" s="401"/>
      <c r="AL754" s="401"/>
      <c r="AM754" s="189"/>
      <c r="AN754" s="829"/>
      <c r="AO754" s="830"/>
      <c r="AP754" s="401"/>
      <c r="AQ754" s="401"/>
      <c r="AR754" s="401"/>
      <c r="AS754" s="401"/>
      <c r="AT754" s="403"/>
      <c r="AU754" s="403"/>
      <c r="AV754" s="170"/>
      <c r="AW754" s="166"/>
      <c r="AX754" s="166"/>
      <c r="AY754" s="189"/>
      <c r="AZ754" s="189"/>
      <c r="BA754" s="196"/>
      <c r="BB754" s="629"/>
      <c r="BC754" s="190"/>
      <c r="BD754" s="510"/>
      <c r="BE754" s="510"/>
      <c r="BF754" s="177"/>
      <c r="BG754" s="177"/>
      <c r="BH754" s="166"/>
      <c r="BI754" s="474"/>
      <c r="BJ754" s="166"/>
      <c r="BK754" s="474"/>
      <c r="BL754" s="474"/>
      <c r="BM754" s="474"/>
      <c r="BN754" s="166"/>
      <c r="BO754" s="166"/>
      <c r="BP754" s="204"/>
      <c r="BQ754" s="475"/>
      <c r="BR754" s="205"/>
      <c r="BS754" s="509"/>
      <c r="BT754" s="509"/>
      <c r="BU754" s="459"/>
      <c r="BV754" s="459"/>
      <c r="BW754" s="1"/>
      <c r="BX754" s="1"/>
      <c r="BY754" s="546"/>
      <c r="BZ754" s="546"/>
      <c r="CA754" s="546"/>
      <c r="CB754" s="546"/>
      <c r="CC754" s="728"/>
      <c r="CD754" s="728"/>
      <c r="CE754" s="170"/>
    </row>
    <row r="755" spans="1:84" customFormat="1">
      <c r="A755" s="701"/>
      <c r="B755" s="447"/>
      <c r="C755" s="1"/>
      <c r="D755" s="538"/>
      <c r="E755" s="1"/>
      <c r="F755" s="811"/>
      <c r="G755" s="440"/>
      <c r="H755" s="1"/>
      <c r="J755" s="171"/>
      <c r="K755" s="55"/>
      <c r="L755" s="171"/>
      <c r="M755" s="55"/>
      <c r="N755" s="172"/>
      <c r="O755" s="170"/>
      <c r="P755" s="139"/>
      <c r="Q755" s="171"/>
      <c r="R755" s="181"/>
      <c r="S755" s="455"/>
      <c r="T755" s="170"/>
      <c r="U755" s="170"/>
      <c r="V755" s="1"/>
      <c r="W755" s="173"/>
      <c r="X755" s="1"/>
      <c r="Y755" s="166"/>
      <c r="Z755" s="170"/>
      <c r="AA755" s="170"/>
      <c r="AB755" s="170"/>
      <c r="AC755" s="170"/>
      <c r="AD755" s="182"/>
      <c r="AE755" s="182"/>
      <c r="AF755" s="182"/>
      <c r="AG755" s="182"/>
      <c r="AH755" s="189"/>
      <c r="AI755" s="401"/>
      <c r="AJ755" s="189"/>
      <c r="AK755" s="401"/>
      <c r="AL755" s="401"/>
      <c r="AM755" s="189"/>
      <c r="AN755" s="782"/>
      <c r="AO755" s="189"/>
      <c r="AP755" s="401"/>
      <c r="AQ755" s="401"/>
      <c r="AR755" s="401"/>
      <c r="AS755" s="188"/>
      <c r="AT755" s="1"/>
      <c r="AU755" s="403"/>
      <c r="AV755" s="1"/>
      <c r="AW755" s="166"/>
      <c r="AX755" s="166"/>
      <c r="AY755" s="189"/>
      <c r="AZ755" s="189"/>
      <c r="BA755" s="196"/>
      <c r="BB755" s="629"/>
      <c r="BC755" s="197"/>
      <c r="BD755" s="510"/>
      <c r="BE755" s="510"/>
      <c r="BF755" s="177"/>
      <c r="BG755" s="177"/>
      <c r="BH755" s="166"/>
      <c r="BI755" s="474"/>
      <c r="BJ755" s="166"/>
      <c r="BK755" s="474"/>
      <c r="BL755" s="474"/>
      <c r="BM755" s="474"/>
      <c r="BN755" s="166"/>
      <c r="BO755" s="166"/>
      <c r="BP755" s="204"/>
      <c r="BQ755" s="475"/>
      <c r="BR755" s="205"/>
      <c r="BS755" s="509"/>
      <c r="BT755" s="509"/>
      <c r="BU755" s="459"/>
      <c r="BV755" s="459"/>
      <c r="BW755" s="1"/>
      <c r="BX755" s="1"/>
      <c r="BY755" s="546"/>
      <c r="BZ755" s="546"/>
      <c r="CA755" s="546"/>
      <c r="CB755" s="546"/>
      <c r="CC755" s="728"/>
      <c r="CD755" s="728"/>
      <c r="CE755" s="170"/>
    </row>
    <row r="756" spans="1:84">
      <c r="A756" s="701"/>
      <c r="B756" s="447"/>
      <c r="C756" s="161"/>
      <c r="D756" s="162"/>
      <c r="E756" s="1"/>
      <c r="F756" s="811"/>
      <c r="G756" s="440"/>
      <c r="H756" s="1"/>
      <c r="I756" s="55"/>
      <c r="J756" s="170"/>
      <c r="K756" s="1"/>
      <c r="L756" s="170"/>
      <c r="M756" s="1"/>
      <c r="N756" s="458"/>
      <c r="O756" s="170"/>
      <c r="P756" s="441"/>
      <c r="Q756" s="55"/>
      <c r="R756" s="177"/>
      <c r="S756" s="454"/>
      <c r="T756" s="178"/>
      <c r="U756" s="178"/>
      <c r="V756" s="179"/>
      <c r="W756" s="180"/>
      <c r="X756" s="179"/>
      <c r="Y756" s="180"/>
      <c r="Z756" s="178"/>
      <c r="AA756" s="178"/>
      <c r="AB756" s="178"/>
      <c r="AC756" s="178"/>
      <c r="AD756" s="182"/>
      <c r="AE756" s="182"/>
      <c r="AF756" s="182"/>
      <c r="AG756" s="182"/>
      <c r="AH756" s="401"/>
      <c r="AI756" s="401"/>
      <c r="AJ756" s="401"/>
      <c r="AK756" s="401"/>
      <c r="AL756" s="401"/>
      <c r="AM756" s="189"/>
      <c r="AN756" s="829"/>
      <c r="AO756" s="830"/>
      <c r="AP756" s="401"/>
      <c r="AQ756" s="401"/>
      <c r="AR756" s="401"/>
      <c r="AS756" s="401"/>
      <c r="AT756" s="403"/>
      <c r="AU756" s="403"/>
      <c r="AV756" s="170"/>
      <c r="AW756" s="166"/>
      <c r="AX756" s="166"/>
      <c r="AY756" s="189"/>
      <c r="AZ756" s="189"/>
      <c r="BA756" s="196"/>
      <c r="BB756" s="629"/>
      <c r="BC756" s="190"/>
      <c r="BD756" s="510"/>
      <c r="BE756" s="510"/>
      <c r="BF756" s="177"/>
      <c r="BG756" s="177"/>
      <c r="BH756" s="166"/>
      <c r="BI756" s="474"/>
      <c r="BJ756" s="166"/>
      <c r="BK756" s="474"/>
      <c r="BL756" s="474"/>
      <c r="BM756" s="474"/>
      <c r="BN756" s="166"/>
      <c r="BO756" s="166"/>
      <c r="BP756" s="204"/>
      <c r="BQ756" s="475"/>
      <c r="BR756" s="205"/>
      <c r="BS756" s="509"/>
      <c r="BT756" s="509"/>
      <c r="BU756" s="459"/>
      <c r="BV756" s="459"/>
      <c r="BW756" s="1"/>
      <c r="BX756" s="1"/>
      <c r="BY756" s="546"/>
      <c r="BZ756" s="546"/>
      <c r="CA756" s="546"/>
      <c r="CB756" s="546"/>
      <c r="CC756" s="728"/>
      <c r="CD756" s="728"/>
      <c r="CE756" s="170"/>
      <c r="CF756"/>
    </row>
    <row r="757" spans="1:84">
      <c r="A757" s="701"/>
      <c r="B757" s="447"/>
      <c r="C757" s="161"/>
      <c r="D757" s="162"/>
      <c r="E757" s="1"/>
      <c r="F757" s="811"/>
      <c r="G757" s="440"/>
      <c r="H757" s="1"/>
      <c r="I757" s="55"/>
      <c r="J757" s="170"/>
      <c r="K757" s="1"/>
      <c r="L757" s="170"/>
      <c r="M757" s="1"/>
      <c r="N757" s="458"/>
      <c r="O757" s="170"/>
      <c r="P757" s="441"/>
      <c r="Q757" s="55"/>
      <c r="R757" s="177"/>
      <c r="S757" s="454"/>
      <c r="T757" s="178"/>
      <c r="U757" s="178"/>
      <c r="V757" s="179"/>
      <c r="W757" s="180"/>
      <c r="X757" s="179"/>
      <c r="Y757" s="180"/>
      <c r="Z757" s="178"/>
      <c r="AA757" s="178"/>
      <c r="AB757" s="178"/>
      <c r="AC757" s="178"/>
      <c r="AD757" s="182"/>
      <c r="AE757" s="182"/>
      <c r="AF757" s="182"/>
      <c r="AG757" s="182"/>
      <c r="AH757" s="401"/>
      <c r="AI757" s="401"/>
      <c r="AJ757" s="401"/>
      <c r="AK757" s="401"/>
      <c r="AL757" s="401"/>
      <c r="AM757" s="189"/>
      <c r="AN757" s="829"/>
      <c r="AO757" s="830"/>
      <c r="AP757" s="401"/>
      <c r="AQ757" s="401"/>
      <c r="AR757" s="401"/>
      <c r="AS757" s="401"/>
      <c r="AT757" s="403"/>
      <c r="AU757" s="403"/>
      <c r="AV757" s="170"/>
      <c r="AW757" s="166"/>
      <c r="AX757" s="166"/>
      <c r="AY757" s="189"/>
      <c r="AZ757" s="189"/>
      <c r="BA757" s="196"/>
      <c r="BB757" s="629"/>
      <c r="BC757" s="190"/>
      <c r="BD757" s="510"/>
      <c r="BE757" s="510"/>
      <c r="BF757" s="177"/>
      <c r="BG757" s="177"/>
      <c r="BH757" s="166"/>
      <c r="BI757" s="474"/>
      <c r="BJ757" s="166"/>
      <c r="BK757" s="474"/>
      <c r="BL757" s="474"/>
      <c r="BM757" s="474"/>
      <c r="BN757" s="166"/>
      <c r="BO757" s="166"/>
      <c r="BP757" s="204"/>
      <c r="BQ757" s="475"/>
      <c r="BR757" s="205"/>
      <c r="BS757" s="509"/>
      <c r="BT757" s="509"/>
      <c r="BU757" s="459"/>
      <c r="BV757" s="459"/>
      <c r="BW757" s="1"/>
      <c r="BX757" s="1"/>
      <c r="BY757" s="546"/>
      <c r="BZ757" s="546"/>
      <c r="CA757" s="546"/>
      <c r="CB757" s="546"/>
      <c r="CC757" s="728"/>
      <c r="CD757" s="728"/>
      <c r="CE757" s="170"/>
      <c r="CF757"/>
    </row>
    <row r="758" spans="1:84">
      <c r="A758" s="701"/>
      <c r="B758" s="447"/>
      <c r="C758" s="161"/>
      <c r="D758" s="162"/>
      <c r="E758" s="1"/>
      <c r="F758" s="811"/>
      <c r="G758" s="440"/>
      <c r="H758" s="1"/>
      <c r="I758" s="55"/>
      <c r="J758" s="457"/>
      <c r="K758" s="1"/>
      <c r="L758" s="170"/>
      <c r="M758" s="1"/>
      <c r="N758" s="458"/>
      <c r="O758" s="170"/>
      <c r="P758" s="441"/>
      <c r="Q758" s="55"/>
      <c r="R758" s="177"/>
      <c r="S758" s="454"/>
      <c r="T758" s="178"/>
      <c r="U758" s="178"/>
      <c r="V758" s="179"/>
      <c r="W758" s="180"/>
      <c r="X758" s="179"/>
      <c r="Y758" s="180"/>
      <c r="Z758" s="178"/>
      <c r="AA758" s="178"/>
      <c r="AB758" s="178"/>
      <c r="AC758" s="178"/>
      <c r="AD758" s="182"/>
      <c r="AE758" s="182"/>
      <c r="AF758" s="182"/>
      <c r="AG758" s="182"/>
      <c r="AH758" s="401"/>
      <c r="AI758" s="401"/>
      <c r="AJ758" s="401"/>
      <c r="AK758" s="401"/>
      <c r="AL758" s="401"/>
      <c r="AM758" s="189"/>
      <c r="AN758" s="829"/>
      <c r="AO758" s="830"/>
      <c r="AP758" s="401"/>
      <c r="AQ758" s="401"/>
      <c r="AR758" s="401"/>
      <c r="AS758" s="401"/>
      <c r="AT758" s="403"/>
      <c r="AU758" s="403"/>
      <c r="AV758" s="170"/>
      <c r="AW758" s="166"/>
      <c r="AX758" s="166"/>
      <c r="AY758" s="189"/>
      <c r="AZ758" s="189"/>
      <c r="BA758" s="196"/>
      <c r="BB758" s="629"/>
      <c r="BC758" s="190"/>
      <c r="BD758" s="510"/>
      <c r="BE758" s="510"/>
      <c r="BF758" s="177"/>
      <c r="BG758" s="177"/>
      <c r="BH758" s="166"/>
      <c r="BI758" s="474"/>
      <c r="BJ758" s="166"/>
      <c r="BK758" s="474"/>
      <c r="BL758" s="474"/>
      <c r="BM758" s="474"/>
      <c r="BN758" s="166"/>
      <c r="BO758" s="166"/>
      <c r="BP758" s="204"/>
      <c r="BQ758" s="475"/>
      <c r="BR758" s="205"/>
      <c r="BS758" s="509"/>
      <c r="BT758" s="509"/>
      <c r="BU758" s="459"/>
      <c r="BV758" s="459"/>
      <c r="BW758" s="1"/>
      <c r="BX758" s="1"/>
      <c r="BY758" s="546"/>
      <c r="BZ758" s="546"/>
      <c r="CA758" s="546"/>
      <c r="CB758" s="546"/>
      <c r="CC758" s="728"/>
      <c r="CD758" s="728"/>
      <c r="CE758" s="170"/>
      <c r="CF758"/>
    </row>
    <row r="759" spans="1:84">
      <c r="A759" s="701"/>
      <c r="B759" s="447"/>
      <c r="C759" s="161"/>
      <c r="D759" s="162"/>
      <c r="E759" s="1"/>
      <c r="F759" s="811"/>
      <c r="G759" s="440"/>
      <c r="H759" s="1"/>
      <c r="I759" s="55"/>
      <c r="J759" s="170"/>
      <c r="K759" s="1"/>
      <c r="L759" s="170"/>
      <c r="M759" s="1"/>
      <c r="N759" s="458"/>
      <c r="O759" s="170"/>
      <c r="P759" s="441"/>
      <c r="Q759" s="55"/>
      <c r="R759" s="177"/>
      <c r="S759" s="454"/>
      <c r="T759" s="178"/>
      <c r="U759" s="178"/>
      <c r="V759" s="179"/>
      <c r="W759" s="180"/>
      <c r="X759" s="179"/>
      <c r="Y759" s="180"/>
      <c r="Z759" s="178"/>
      <c r="AA759" s="178"/>
      <c r="AB759" s="178"/>
      <c r="AC759" s="178"/>
      <c r="AD759" s="182"/>
      <c r="AE759" s="182"/>
      <c r="AF759" s="182"/>
      <c r="AG759" s="182"/>
      <c r="AH759" s="401"/>
      <c r="AI759" s="401"/>
      <c r="AJ759" s="401"/>
      <c r="AK759" s="401"/>
      <c r="AL759" s="401"/>
      <c r="AM759" s="189"/>
      <c r="AN759" s="829"/>
      <c r="AO759" s="830"/>
      <c r="AP759" s="401"/>
      <c r="AQ759" s="401"/>
      <c r="AR759" s="401"/>
      <c r="AS759" s="401"/>
      <c r="AT759" s="403"/>
      <c r="AU759" s="403"/>
      <c r="AV759" s="170"/>
      <c r="AW759" s="166"/>
      <c r="AX759" s="166"/>
      <c r="AY759" s="189"/>
      <c r="AZ759" s="189"/>
      <c r="BA759" s="196"/>
      <c r="BB759" s="629"/>
      <c r="BC759" s="190"/>
      <c r="BD759" s="510"/>
      <c r="BE759" s="510"/>
      <c r="BF759" s="177"/>
      <c r="BG759" s="177"/>
      <c r="BH759" s="166"/>
      <c r="BI759" s="474"/>
      <c r="BJ759" s="166"/>
      <c r="BK759" s="474"/>
      <c r="BL759" s="474"/>
      <c r="BM759" s="474"/>
      <c r="BN759" s="166"/>
      <c r="BO759" s="166"/>
      <c r="BP759" s="204"/>
      <c r="BQ759" s="475"/>
      <c r="BR759" s="205"/>
      <c r="BS759" s="509"/>
      <c r="BT759" s="509"/>
      <c r="BU759" s="459"/>
      <c r="BV759" s="459"/>
      <c r="BW759" s="1"/>
      <c r="BX759" s="1"/>
      <c r="BY759" s="546"/>
      <c r="BZ759" s="546"/>
      <c r="CA759" s="546"/>
      <c r="CB759" s="546"/>
      <c r="CC759" s="728"/>
      <c r="CD759" s="728"/>
      <c r="CE759" s="170"/>
      <c r="CF759"/>
    </row>
    <row r="760" spans="1:84">
      <c r="A760" s="701"/>
      <c r="B760" s="447"/>
      <c r="C760" s="161"/>
      <c r="D760" s="162"/>
      <c r="E760" s="1"/>
      <c r="F760" s="811"/>
      <c r="G760" s="440"/>
      <c r="H760" s="1"/>
      <c r="I760" s="55"/>
      <c r="J760" s="170"/>
      <c r="K760" s="1"/>
      <c r="L760" s="170"/>
      <c r="M760" s="1"/>
      <c r="N760" s="458"/>
      <c r="O760" s="170"/>
      <c r="P760" s="441"/>
      <c r="Q760" s="55"/>
      <c r="R760" s="177"/>
      <c r="S760" s="454"/>
      <c r="T760" s="178"/>
      <c r="U760" s="178"/>
      <c r="V760" s="179"/>
      <c r="W760" s="180"/>
      <c r="X760" s="179"/>
      <c r="Y760" s="180"/>
      <c r="Z760" s="178"/>
      <c r="AA760" s="178"/>
      <c r="AB760" s="178"/>
      <c r="AC760" s="178"/>
      <c r="AD760" s="182"/>
      <c r="AE760" s="182"/>
      <c r="AF760" s="182"/>
      <c r="AG760" s="182"/>
      <c r="AH760" s="401"/>
      <c r="AI760" s="401"/>
      <c r="AJ760" s="401"/>
      <c r="AK760" s="401"/>
      <c r="AL760" s="401"/>
      <c r="AM760" s="189"/>
      <c r="AN760" s="829"/>
      <c r="AO760" s="830"/>
      <c r="AP760" s="401"/>
      <c r="AQ760" s="401"/>
      <c r="AR760" s="401"/>
      <c r="AS760" s="401"/>
      <c r="AT760" s="403"/>
      <c r="AU760" s="403"/>
      <c r="AV760" s="170"/>
      <c r="AW760" s="166"/>
      <c r="AX760" s="166"/>
      <c r="AY760" s="189"/>
      <c r="AZ760" s="189"/>
      <c r="BA760" s="196"/>
      <c r="BB760" s="629"/>
      <c r="BC760" s="190"/>
      <c r="BD760" s="510"/>
      <c r="BE760" s="510"/>
      <c r="BF760" s="177"/>
      <c r="BG760" s="177"/>
      <c r="BH760" s="166"/>
      <c r="BI760" s="474"/>
      <c r="BJ760" s="166"/>
      <c r="BK760" s="474"/>
      <c r="BL760" s="474"/>
      <c r="BM760" s="474"/>
      <c r="BN760" s="166"/>
      <c r="BO760" s="166"/>
      <c r="BP760" s="204"/>
      <c r="BQ760" s="475"/>
      <c r="BR760" s="205"/>
      <c r="BS760" s="509"/>
      <c r="BT760" s="509"/>
      <c r="BU760" s="459"/>
      <c r="BV760" s="459"/>
      <c r="BW760" s="1"/>
      <c r="BX760" s="1"/>
      <c r="BY760" s="546"/>
      <c r="BZ760" s="546"/>
      <c r="CA760" s="546"/>
      <c r="CB760" s="546"/>
      <c r="CC760" s="728"/>
      <c r="CD760" s="728"/>
      <c r="CE760" s="170"/>
      <c r="CF760"/>
    </row>
    <row r="761" spans="1:84">
      <c r="A761" s="701"/>
      <c r="B761" s="447"/>
      <c r="C761" s="161"/>
      <c r="D761" s="162"/>
      <c r="E761" s="1"/>
      <c r="F761" s="811"/>
      <c r="G761" s="440"/>
      <c r="H761" s="1"/>
      <c r="I761" s="55"/>
      <c r="J761" s="170"/>
      <c r="K761" s="1"/>
      <c r="L761" s="170"/>
      <c r="M761" s="1"/>
      <c r="N761" s="458"/>
      <c r="O761" s="170"/>
      <c r="P761" s="441"/>
      <c r="Q761" s="55"/>
      <c r="R761" s="177"/>
      <c r="S761" s="454"/>
      <c r="T761" s="178"/>
      <c r="U761" s="178"/>
      <c r="V761" s="179"/>
      <c r="W761" s="180"/>
      <c r="X761" s="179"/>
      <c r="Y761" s="180"/>
      <c r="Z761" s="178"/>
      <c r="AA761" s="178"/>
      <c r="AB761" s="178"/>
      <c r="AC761" s="178"/>
      <c r="AD761" s="182"/>
      <c r="AE761" s="182"/>
      <c r="AF761" s="182"/>
      <c r="AG761" s="182"/>
      <c r="AH761" s="401"/>
      <c r="AI761" s="401"/>
      <c r="AJ761" s="401"/>
      <c r="AK761" s="401"/>
      <c r="AL761" s="401"/>
      <c r="AM761" s="189"/>
      <c r="AN761" s="829"/>
      <c r="AO761" s="830"/>
      <c r="AP761" s="401"/>
      <c r="AQ761" s="401"/>
      <c r="AR761" s="401"/>
      <c r="AS761" s="401"/>
      <c r="AT761" s="403"/>
      <c r="AU761" s="403"/>
      <c r="AV761" s="170"/>
      <c r="AW761" s="166"/>
      <c r="AX761" s="166"/>
      <c r="AY761" s="189"/>
      <c r="AZ761" s="189"/>
      <c r="BA761" s="196"/>
      <c r="BB761" s="629"/>
      <c r="BC761" s="190"/>
      <c r="BD761" s="510"/>
      <c r="BE761" s="510"/>
      <c r="BF761" s="177"/>
      <c r="BG761" s="177"/>
      <c r="BH761" s="166"/>
      <c r="BI761" s="474"/>
      <c r="BJ761" s="166"/>
      <c r="BK761" s="474"/>
      <c r="BL761" s="474"/>
      <c r="BM761" s="474"/>
      <c r="BN761" s="166"/>
      <c r="BO761" s="166"/>
      <c r="BP761" s="204"/>
      <c r="BQ761" s="475"/>
      <c r="BR761" s="205"/>
      <c r="BS761" s="509"/>
      <c r="BT761" s="509"/>
      <c r="BU761" s="459"/>
      <c r="BV761" s="459"/>
      <c r="BW761" s="1"/>
      <c r="BX761" s="1"/>
      <c r="BY761" s="546"/>
      <c r="BZ761" s="546"/>
      <c r="CA761" s="546"/>
      <c r="CB761" s="546"/>
      <c r="CC761" s="728"/>
      <c r="CD761" s="728"/>
      <c r="CE761" s="170"/>
      <c r="CF761"/>
    </row>
    <row r="762" spans="1:84">
      <c r="A762" s="701"/>
      <c r="B762" s="447"/>
      <c r="C762" s="161"/>
      <c r="D762" s="162"/>
      <c r="E762" s="1"/>
      <c r="F762" s="811"/>
      <c r="G762" s="440"/>
      <c r="H762" s="1"/>
      <c r="I762" s="55"/>
      <c r="J762" s="170"/>
      <c r="K762" s="1"/>
      <c r="L762" s="170"/>
      <c r="M762" s="1"/>
      <c r="N762" s="458"/>
      <c r="O762" s="170"/>
      <c r="P762" s="441"/>
      <c r="Q762" s="55"/>
      <c r="R762" s="177"/>
      <c r="S762" s="454"/>
      <c r="T762" s="178"/>
      <c r="U762" s="178"/>
      <c r="V762" s="179"/>
      <c r="W762" s="180"/>
      <c r="X762" s="179"/>
      <c r="Y762" s="180"/>
      <c r="Z762" s="178"/>
      <c r="AA762" s="178"/>
      <c r="AB762" s="178"/>
      <c r="AC762" s="178"/>
      <c r="AD762" s="182"/>
      <c r="AE762" s="182"/>
      <c r="AF762" s="182"/>
      <c r="AG762" s="182"/>
      <c r="AH762" s="401"/>
      <c r="AI762" s="401"/>
      <c r="AJ762" s="401"/>
      <c r="AK762" s="401"/>
      <c r="AL762" s="401"/>
      <c r="AM762" s="189"/>
      <c r="AN762" s="829"/>
      <c r="AO762" s="830"/>
      <c r="AP762" s="401"/>
      <c r="AQ762" s="401"/>
      <c r="AR762" s="401"/>
      <c r="AS762" s="401"/>
      <c r="AT762" s="403"/>
      <c r="AU762" s="403"/>
      <c r="AV762" s="170"/>
      <c r="AW762" s="166"/>
      <c r="AX762" s="166"/>
      <c r="AY762" s="189"/>
      <c r="AZ762" s="189"/>
      <c r="BA762" s="196"/>
      <c r="BB762" s="629"/>
      <c r="BC762" s="190"/>
      <c r="BD762" s="510"/>
      <c r="BE762" s="510"/>
      <c r="BF762" s="177"/>
      <c r="BG762" s="177"/>
      <c r="BH762" s="166"/>
      <c r="BI762" s="474"/>
      <c r="BJ762" s="166"/>
      <c r="BK762" s="474"/>
      <c r="BL762" s="474"/>
      <c r="BM762" s="474"/>
      <c r="BN762" s="166"/>
      <c r="BO762" s="166"/>
      <c r="BP762" s="204"/>
      <c r="BQ762" s="475"/>
      <c r="BR762" s="205"/>
      <c r="BS762" s="509"/>
      <c r="BT762" s="509"/>
      <c r="BU762" s="459"/>
      <c r="BV762" s="459"/>
      <c r="BW762" s="1"/>
      <c r="BX762" s="1"/>
      <c r="BY762" s="546"/>
      <c r="BZ762" s="546"/>
      <c r="CA762" s="546"/>
      <c r="CB762" s="546"/>
      <c r="CC762" s="728"/>
      <c r="CD762" s="728"/>
      <c r="CE762" s="170"/>
      <c r="CF762"/>
    </row>
    <row r="763" spans="1:84">
      <c r="A763" s="701"/>
      <c r="B763" s="447"/>
      <c r="C763" s="1"/>
      <c r="D763" s="538"/>
      <c r="E763" s="1"/>
      <c r="F763" s="811"/>
      <c r="G763" s="440"/>
      <c r="H763" s="371"/>
      <c r="I763" s="55"/>
      <c r="J763" s="370"/>
      <c r="K763" s="55"/>
      <c r="L763" s="370"/>
      <c r="M763" s="55"/>
      <c r="N763" s="452"/>
      <c r="O763" s="170"/>
      <c r="P763" s="139"/>
      <c r="Q763" s="369"/>
      <c r="R763" s="181"/>
      <c r="S763" s="455"/>
      <c r="T763" s="170"/>
      <c r="U763" s="170"/>
      <c r="V763" s="1"/>
      <c r="W763" s="173"/>
      <c r="X763" s="1"/>
      <c r="Y763" s="166"/>
      <c r="Z763" s="170"/>
      <c r="AA763" s="170"/>
      <c r="AB763" s="170"/>
      <c r="AC763" s="170"/>
      <c r="AD763" s="182"/>
      <c r="AE763" s="182"/>
      <c r="AF763" s="182"/>
      <c r="AG763" s="182"/>
      <c r="AH763" s="189"/>
      <c r="AI763" s="401"/>
      <c r="AJ763" s="189"/>
      <c r="AK763" s="401"/>
      <c r="AL763" s="401"/>
      <c r="AM763" s="189"/>
      <c r="AN763" s="782"/>
      <c r="AO763" s="189"/>
      <c r="AP763" s="401"/>
      <c r="AQ763" s="401"/>
      <c r="AR763" s="401"/>
      <c r="AS763" s="188"/>
      <c r="AT763" s="1"/>
      <c r="AU763" s="403"/>
      <c r="AV763" s="1"/>
      <c r="AW763" s="166"/>
      <c r="AX763" s="166"/>
      <c r="AY763" s="189"/>
      <c r="AZ763" s="189"/>
      <c r="BA763" s="196"/>
      <c r="BB763" s="629"/>
      <c r="BC763" s="197"/>
      <c r="BD763" s="510"/>
      <c r="BE763" s="510"/>
      <c r="BF763" s="177"/>
      <c r="BG763" s="177"/>
      <c r="BH763" s="166"/>
      <c r="BI763" s="474"/>
      <c r="BJ763" s="166"/>
      <c r="BK763" s="474"/>
      <c r="BL763" s="474"/>
      <c r="BM763" s="474"/>
      <c r="BN763" s="166"/>
      <c r="BO763" s="166"/>
      <c r="BP763" s="204"/>
      <c r="BQ763" s="475"/>
      <c r="BR763" s="205"/>
      <c r="BS763" s="509"/>
      <c r="BT763" s="509"/>
      <c r="BU763" s="459"/>
      <c r="BV763" s="459"/>
      <c r="BW763" s="1"/>
      <c r="BX763" s="1"/>
      <c r="BY763" s="546"/>
      <c r="BZ763" s="546"/>
      <c r="CA763" s="546"/>
      <c r="CB763" s="546"/>
      <c r="CC763" s="728"/>
      <c r="CD763" s="728"/>
      <c r="CE763" s="170"/>
      <c r="CF763"/>
    </row>
    <row r="764" spans="1:84">
      <c r="A764" s="701"/>
      <c r="B764" s="447"/>
      <c r="C764" s="161"/>
      <c r="D764" s="162"/>
      <c r="E764" s="1"/>
      <c r="F764" s="811"/>
      <c r="G764" s="440"/>
      <c r="H764" s="1"/>
      <c r="I764" s="55"/>
      <c r="J764" s="170"/>
      <c r="K764" s="1"/>
      <c r="L764" s="170"/>
      <c r="M764" s="1"/>
      <c r="N764" s="458"/>
      <c r="O764" s="170"/>
      <c r="P764" s="441"/>
      <c r="Q764" s="55"/>
      <c r="R764" s="177"/>
      <c r="S764" s="454"/>
      <c r="T764" s="178"/>
      <c r="U764" s="178"/>
      <c r="V764" s="179"/>
      <c r="W764" s="180"/>
      <c r="X764" s="179"/>
      <c r="Y764" s="180"/>
      <c r="Z764" s="178"/>
      <c r="AA764" s="178"/>
      <c r="AB764" s="178"/>
      <c r="AC764" s="178"/>
      <c r="AD764" s="182"/>
      <c r="AE764" s="182"/>
      <c r="AF764" s="182"/>
      <c r="AG764" s="182"/>
      <c r="AH764" s="401"/>
      <c r="AI764" s="401"/>
      <c r="AJ764" s="401"/>
      <c r="AK764" s="401"/>
      <c r="AL764" s="401"/>
      <c r="AM764" s="189"/>
      <c r="AN764" s="829"/>
      <c r="AO764" s="830"/>
      <c r="AP764" s="401"/>
      <c r="AQ764" s="401"/>
      <c r="AR764" s="401"/>
      <c r="AS764" s="401"/>
      <c r="AT764" s="403"/>
      <c r="AU764" s="403"/>
      <c r="AV764" s="170"/>
      <c r="AW764" s="166"/>
      <c r="AX764" s="166"/>
      <c r="AY764" s="189"/>
      <c r="AZ764" s="189"/>
      <c r="BA764" s="196"/>
      <c r="BB764" s="629"/>
      <c r="BC764" s="190"/>
      <c r="BD764" s="510"/>
      <c r="BE764" s="510"/>
      <c r="BF764" s="177"/>
      <c r="BG764" s="177"/>
      <c r="BH764" s="166"/>
      <c r="BI764" s="474"/>
      <c r="BJ764" s="166"/>
      <c r="BK764" s="474"/>
      <c r="BL764" s="474"/>
      <c r="BM764" s="474"/>
      <c r="BN764" s="166"/>
      <c r="BO764" s="166"/>
      <c r="BP764" s="204"/>
      <c r="BQ764" s="475"/>
      <c r="BR764" s="205"/>
      <c r="BS764" s="509"/>
      <c r="BT764" s="509"/>
      <c r="BU764" s="459"/>
      <c r="BV764" s="459"/>
      <c r="BW764" s="1"/>
      <c r="BX764" s="1"/>
      <c r="BY764" s="546"/>
      <c r="BZ764" s="546"/>
      <c r="CA764" s="546"/>
      <c r="CB764" s="546"/>
      <c r="CC764" s="728"/>
      <c r="CD764" s="728"/>
      <c r="CE764" s="170"/>
      <c r="CF764"/>
    </row>
    <row r="765" spans="1:84">
      <c r="A765" s="701"/>
      <c r="B765" s="447"/>
      <c r="C765" s="161"/>
      <c r="D765" s="162"/>
      <c r="E765" s="1"/>
      <c r="F765" s="811"/>
      <c r="G765" s="440"/>
      <c r="H765" s="1"/>
      <c r="I765" s="55"/>
      <c r="J765" s="170"/>
      <c r="K765" s="1"/>
      <c r="L765" s="170"/>
      <c r="M765" s="1"/>
      <c r="N765" s="458"/>
      <c r="O765" s="170"/>
      <c r="P765" s="441"/>
      <c r="Q765" s="55"/>
      <c r="R765" s="177"/>
      <c r="S765" s="454"/>
      <c r="T765" s="178"/>
      <c r="U765" s="178"/>
      <c r="V765" s="179"/>
      <c r="W765" s="180"/>
      <c r="X765" s="179"/>
      <c r="Y765" s="180"/>
      <c r="Z765" s="178"/>
      <c r="AA765" s="178"/>
      <c r="AB765" s="178"/>
      <c r="AC765" s="178"/>
      <c r="AD765" s="182"/>
      <c r="AE765" s="182"/>
      <c r="AF765" s="182"/>
      <c r="AG765" s="182"/>
      <c r="AH765" s="401"/>
      <c r="AI765" s="401"/>
      <c r="AJ765" s="401"/>
      <c r="AK765" s="401"/>
      <c r="AL765" s="401"/>
      <c r="AM765" s="189"/>
      <c r="AN765" s="829"/>
      <c r="AO765" s="830"/>
      <c r="AP765" s="401"/>
      <c r="AQ765" s="401"/>
      <c r="AR765" s="401"/>
      <c r="AS765" s="401"/>
      <c r="AT765" s="403"/>
      <c r="AU765" s="403"/>
      <c r="AV765" s="170"/>
      <c r="AW765" s="166"/>
      <c r="AX765" s="166"/>
      <c r="AY765" s="189"/>
      <c r="AZ765" s="189"/>
      <c r="BA765" s="196"/>
      <c r="BB765" s="629"/>
      <c r="BC765" s="190"/>
      <c r="BD765" s="510"/>
      <c r="BE765" s="510"/>
      <c r="BF765" s="177"/>
      <c r="BG765" s="177"/>
      <c r="BH765" s="166"/>
      <c r="BI765" s="474"/>
      <c r="BJ765" s="166"/>
      <c r="BK765" s="474"/>
      <c r="BL765" s="474"/>
      <c r="BM765" s="474"/>
      <c r="BN765" s="166"/>
      <c r="BO765" s="166"/>
      <c r="BP765" s="204"/>
      <c r="BQ765" s="475"/>
      <c r="BR765" s="205"/>
      <c r="BS765" s="509"/>
      <c r="BT765" s="509"/>
      <c r="BU765" s="459"/>
      <c r="BV765" s="459"/>
      <c r="BW765" s="1"/>
      <c r="BX765" s="1"/>
      <c r="BY765" s="546"/>
      <c r="BZ765" s="546"/>
      <c r="CA765" s="546"/>
      <c r="CB765" s="546"/>
      <c r="CC765" s="728"/>
      <c r="CD765" s="728"/>
      <c r="CE765" s="170"/>
      <c r="CF765"/>
    </row>
    <row r="766" spans="1:84" customFormat="1">
      <c r="A766" s="701"/>
      <c r="B766" s="447"/>
      <c r="C766" s="161"/>
      <c r="D766" s="162"/>
      <c r="E766" s="1"/>
      <c r="F766" s="811"/>
      <c r="G766" s="440"/>
      <c r="H766" s="1"/>
      <c r="I766" s="55"/>
      <c r="J766" s="170"/>
      <c r="K766" s="1"/>
      <c r="L766" s="170"/>
      <c r="M766" s="1"/>
      <c r="N766" s="458"/>
      <c r="O766" s="170"/>
      <c r="P766" s="441"/>
      <c r="Q766" s="55"/>
      <c r="R766" s="177"/>
      <c r="S766" s="454"/>
      <c r="T766" s="178"/>
      <c r="U766" s="178"/>
      <c r="V766" s="179"/>
      <c r="W766" s="180"/>
      <c r="X766" s="179"/>
      <c r="Y766" s="180"/>
      <c r="Z766" s="178"/>
      <c r="AA766" s="178"/>
      <c r="AB766" s="178"/>
      <c r="AC766" s="178"/>
      <c r="AD766" s="182"/>
      <c r="AE766" s="182"/>
      <c r="AF766" s="182"/>
      <c r="AG766" s="182"/>
      <c r="AH766" s="401"/>
      <c r="AI766" s="401"/>
      <c r="AJ766" s="401"/>
      <c r="AK766" s="401"/>
      <c r="AL766" s="401"/>
      <c r="AM766" s="189"/>
      <c r="AN766" s="829"/>
      <c r="AO766" s="830"/>
      <c r="AP766" s="401"/>
      <c r="AQ766" s="401"/>
      <c r="AR766" s="401"/>
      <c r="AS766" s="401"/>
      <c r="AT766" s="403"/>
      <c r="AU766" s="403"/>
      <c r="AV766" s="170"/>
      <c r="AW766" s="166"/>
      <c r="AX766" s="166"/>
      <c r="AY766" s="189"/>
      <c r="AZ766" s="189"/>
      <c r="BA766" s="196"/>
      <c r="BB766" s="629"/>
      <c r="BC766" s="190"/>
      <c r="BD766" s="510"/>
      <c r="BE766" s="510"/>
      <c r="BF766" s="177"/>
      <c r="BG766" s="177"/>
      <c r="BH766" s="166"/>
      <c r="BI766" s="474"/>
      <c r="BJ766" s="166"/>
      <c r="BK766" s="474"/>
      <c r="BL766" s="474"/>
      <c r="BM766" s="474"/>
      <c r="BN766" s="166"/>
      <c r="BO766" s="166"/>
      <c r="BP766" s="204"/>
      <c r="BQ766" s="475"/>
      <c r="BR766" s="205"/>
      <c r="BS766" s="509"/>
      <c r="BT766" s="509"/>
      <c r="BU766" s="459"/>
      <c r="BV766" s="459"/>
      <c r="BW766" s="1"/>
      <c r="BX766" s="1"/>
      <c r="BY766" s="546"/>
      <c r="BZ766" s="546"/>
      <c r="CA766" s="546"/>
      <c r="CB766" s="546"/>
      <c r="CC766" s="728"/>
      <c r="CD766" s="728"/>
      <c r="CE766" s="170"/>
    </row>
    <row r="767" spans="1:84" customFormat="1">
      <c r="A767" s="701"/>
      <c r="B767" s="447"/>
      <c r="C767" s="1"/>
      <c r="D767" s="538"/>
      <c r="E767" s="1"/>
      <c r="F767" s="811"/>
      <c r="G767" s="440"/>
      <c r="H767" s="1"/>
      <c r="I767" s="55"/>
      <c r="J767" s="171"/>
      <c r="K767" s="55"/>
      <c r="L767" s="171"/>
      <c r="M767" s="55"/>
      <c r="N767" s="172"/>
      <c r="O767" s="170"/>
      <c r="P767" s="139"/>
      <c r="Q767" s="172"/>
      <c r="R767" s="181"/>
      <c r="S767" s="455"/>
      <c r="T767" s="170"/>
      <c r="U767" s="170"/>
      <c r="V767" s="1"/>
      <c r="W767" s="173"/>
      <c r="X767" s="1"/>
      <c r="Y767" s="166"/>
      <c r="Z767" s="170"/>
      <c r="AA767" s="170"/>
      <c r="AB767" s="170"/>
      <c r="AC767" s="170"/>
      <c r="AD767" s="182"/>
      <c r="AE767" s="182"/>
      <c r="AF767" s="182"/>
      <c r="AG767" s="182"/>
      <c r="AH767" s="189"/>
      <c r="AI767" s="401"/>
      <c r="AJ767" s="189"/>
      <c r="AK767" s="401"/>
      <c r="AL767" s="401"/>
      <c r="AM767" s="189"/>
      <c r="AN767" s="782"/>
      <c r="AO767" s="189"/>
      <c r="AP767" s="401"/>
      <c r="AQ767" s="401"/>
      <c r="AR767" s="401"/>
      <c r="AS767" s="188"/>
      <c r="AT767" s="1"/>
      <c r="AU767" s="403"/>
      <c r="AV767" s="1"/>
      <c r="AW767" s="166"/>
      <c r="AX767" s="166"/>
      <c r="AY767" s="189"/>
      <c r="AZ767" s="189"/>
      <c r="BA767" s="196"/>
      <c r="BB767" s="629"/>
      <c r="BC767" s="197"/>
      <c r="BD767" s="510"/>
      <c r="BE767" s="510"/>
      <c r="BF767" s="177"/>
      <c r="BG767" s="177"/>
      <c r="BH767" s="166"/>
      <c r="BI767" s="474"/>
      <c r="BJ767" s="166"/>
      <c r="BK767" s="474"/>
      <c r="BL767" s="474"/>
      <c r="BM767" s="474"/>
      <c r="BN767" s="166"/>
      <c r="BO767" s="166"/>
      <c r="BP767" s="204"/>
      <c r="BQ767" s="475"/>
      <c r="BR767" s="205"/>
      <c r="BS767" s="509"/>
      <c r="BT767" s="509"/>
      <c r="BU767" s="459"/>
      <c r="BV767" s="459"/>
      <c r="BW767" s="1"/>
      <c r="BX767" s="1"/>
      <c r="BY767" s="546"/>
      <c r="BZ767" s="546"/>
      <c r="CA767" s="546"/>
      <c r="CB767" s="546"/>
      <c r="CC767" s="728"/>
      <c r="CD767" s="728"/>
      <c r="CE767" s="170"/>
    </row>
    <row r="768" spans="1:84" customFormat="1">
      <c r="A768" s="701"/>
      <c r="B768" s="447"/>
      <c r="C768" s="161"/>
      <c r="D768" s="162"/>
      <c r="E768" s="1"/>
      <c r="F768" s="811"/>
      <c r="G768" s="440"/>
      <c r="H768" s="1"/>
      <c r="I768" s="55"/>
      <c r="J768" s="170"/>
      <c r="K768" s="1"/>
      <c r="L768" s="170"/>
      <c r="M768" s="1"/>
      <c r="N768" s="458"/>
      <c r="O768" s="170"/>
      <c r="P768" s="441"/>
      <c r="Q768" s="55"/>
      <c r="R768" s="177"/>
      <c r="S768" s="454"/>
      <c r="T768" s="178"/>
      <c r="U768" s="178"/>
      <c r="V768" s="179"/>
      <c r="W768" s="180"/>
      <c r="X768" s="179"/>
      <c r="Y768" s="180"/>
      <c r="Z768" s="178"/>
      <c r="AA768" s="178"/>
      <c r="AB768" s="178"/>
      <c r="AC768" s="178"/>
      <c r="AD768" s="182"/>
      <c r="AE768" s="182"/>
      <c r="AF768" s="182"/>
      <c r="AG768" s="182"/>
      <c r="AH768" s="401"/>
      <c r="AI768" s="401"/>
      <c r="AJ768" s="401"/>
      <c r="AK768" s="401"/>
      <c r="AL768" s="401"/>
      <c r="AM768" s="189"/>
      <c r="AN768" s="829"/>
      <c r="AO768" s="830"/>
      <c r="AP768" s="401"/>
      <c r="AQ768" s="401"/>
      <c r="AR768" s="401"/>
      <c r="AS768" s="401"/>
      <c r="AT768" s="403"/>
      <c r="AU768" s="403"/>
      <c r="AV768" s="170"/>
      <c r="AW768" s="166"/>
      <c r="AX768" s="166"/>
      <c r="AY768" s="189"/>
      <c r="AZ768" s="189"/>
      <c r="BA768" s="196"/>
      <c r="BB768" s="629"/>
      <c r="BC768" s="190"/>
      <c r="BD768" s="510"/>
      <c r="BE768" s="510"/>
      <c r="BF768" s="177"/>
      <c r="BG768" s="177"/>
      <c r="BH768" s="166"/>
      <c r="BI768" s="474"/>
      <c r="BJ768" s="166"/>
      <c r="BK768" s="474"/>
      <c r="BL768" s="474"/>
      <c r="BM768" s="474"/>
      <c r="BN768" s="166"/>
      <c r="BO768" s="166"/>
      <c r="BP768" s="204"/>
      <c r="BQ768" s="475"/>
      <c r="BR768" s="205"/>
      <c r="BS768" s="509"/>
      <c r="BT768" s="509"/>
      <c r="BU768" s="459"/>
      <c r="BV768" s="459"/>
      <c r="BW768" s="1"/>
      <c r="BX768" s="1"/>
      <c r="BY768" s="546"/>
      <c r="BZ768" s="546"/>
      <c r="CA768" s="546"/>
      <c r="CB768" s="546"/>
      <c r="CC768" s="728"/>
      <c r="CD768" s="728"/>
      <c r="CE768" s="170"/>
    </row>
    <row r="769" spans="1:84" customFormat="1">
      <c r="A769" s="701"/>
      <c r="B769" s="447"/>
      <c r="C769" s="161"/>
      <c r="D769" s="162"/>
      <c r="E769" s="1"/>
      <c r="F769" s="811"/>
      <c r="G769" s="440"/>
      <c r="H769" s="1"/>
      <c r="I769" s="55"/>
      <c r="J769" s="170"/>
      <c r="K769" s="1"/>
      <c r="L769" s="170"/>
      <c r="M769" s="1"/>
      <c r="N769" s="458"/>
      <c r="O769" s="170"/>
      <c r="P769" s="441"/>
      <c r="Q769" s="55"/>
      <c r="R769" s="177"/>
      <c r="S769" s="454"/>
      <c r="T769" s="178"/>
      <c r="U769" s="178"/>
      <c r="V769" s="179"/>
      <c r="W769" s="180"/>
      <c r="X769" s="179"/>
      <c r="Y769" s="180"/>
      <c r="Z769" s="178"/>
      <c r="AA769" s="178"/>
      <c r="AB769" s="178"/>
      <c r="AC769" s="178"/>
      <c r="AD769" s="182"/>
      <c r="AE769" s="182"/>
      <c r="AF769" s="182"/>
      <c r="AG769" s="182"/>
      <c r="AH769" s="401"/>
      <c r="AI769" s="401"/>
      <c r="AJ769" s="401"/>
      <c r="AK769" s="401"/>
      <c r="AL769" s="401"/>
      <c r="AM769" s="189"/>
      <c r="AN769" s="829"/>
      <c r="AO769" s="830"/>
      <c r="AP769" s="401"/>
      <c r="AQ769" s="401"/>
      <c r="AR769" s="401"/>
      <c r="AS769" s="401"/>
      <c r="AT769" s="403"/>
      <c r="AU769" s="403"/>
      <c r="AV769" s="170"/>
      <c r="AW769" s="166"/>
      <c r="AX769" s="166"/>
      <c r="AY769" s="189"/>
      <c r="AZ769" s="189"/>
      <c r="BA769" s="196"/>
      <c r="BB769" s="629"/>
      <c r="BC769" s="190"/>
      <c r="BD769" s="510"/>
      <c r="BE769" s="510"/>
      <c r="BF769" s="177"/>
      <c r="BG769" s="177"/>
      <c r="BH769" s="166"/>
      <c r="BI769" s="474"/>
      <c r="BJ769" s="166"/>
      <c r="BK769" s="474"/>
      <c r="BL769" s="474"/>
      <c r="BM769" s="474"/>
      <c r="BN769" s="166"/>
      <c r="BO769" s="166"/>
      <c r="BP769" s="204"/>
      <c r="BQ769" s="475"/>
      <c r="BR769" s="205"/>
      <c r="BS769" s="509"/>
      <c r="BT769" s="509"/>
      <c r="BU769" s="459"/>
      <c r="BV769" s="459"/>
      <c r="BW769" s="1"/>
      <c r="BX769" s="1"/>
      <c r="BY769" s="546"/>
      <c r="BZ769" s="546"/>
      <c r="CA769" s="546"/>
      <c r="CB769" s="546"/>
      <c r="CC769" s="728"/>
      <c r="CD769" s="728"/>
      <c r="CE769" s="170"/>
    </row>
    <row r="770" spans="1:84">
      <c r="A770" s="701"/>
      <c r="B770" s="447"/>
      <c r="C770" s="161"/>
      <c r="D770" s="162"/>
      <c r="E770" s="1"/>
      <c r="F770" s="811"/>
      <c r="G770" s="440"/>
      <c r="H770" s="1"/>
      <c r="I770" s="55"/>
      <c r="J770" s="170"/>
      <c r="K770" s="1"/>
      <c r="L770" s="170"/>
      <c r="M770" s="1"/>
      <c r="N770" s="458"/>
      <c r="O770" s="170"/>
      <c r="P770" s="441"/>
      <c r="Q770" s="55"/>
      <c r="R770" s="177"/>
      <c r="S770" s="454"/>
      <c r="T770" s="178"/>
      <c r="U770" s="178"/>
      <c r="V770" s="179"/>
      <c r="W770" s="180"/>
      <c r="X770" s="179"/>
      <c r="Y770" s="180"/>
      <c r="Z770" s="178"/>
      <c r="AA770" s="178"/>
      <c r="AB770" s="178"/>
      <c r="AC770" s="178"/>
      <c r="AD770" s="182"/>
      <c r="AE770" s="182"/>
      <c r="AF770" s="182"/>
      <c r="AG770" s="182"/>
      <c r="AH770" s="401"/>
      <c r="AI770" s="401"/>
      <c r="AJ770" s="401"/>
      <c r="AK770" s="401"/>
      <c r="AL770" s="401"/>
      <c r="AM770" s="189"/>
      <c r="AN770" s="829"/>
      <c r="AO770" s="830"/>
      <c r="AP770" s="401"/>
      <c r="AQ770" s="401"/>
      <c r="AR770" s="401"/>
      <c r="AS770" s="401"/>
      <c r="AT770" s="403"/>
      <c r="AU770" s="403"/>
      <c r="AV770" s="170"/>
      <c r="AW770" s="166"/>
      <c r="AX770" s="166"/>
      <c r="AY770" s="189"/>
      <c r="AZ770" s="189"/>
      <c r="BA770" s="196"/>
      <c r="BB770" s="629"/>
      <c r="BC770" s="190"/>
      <c r="BD770" s="510"/>
      <c r="BE770" s="510"/>
      <c r="BF770" s="177"/>
      <c r="BG770" s="177"/>
      <c r="BH770" s="166"/>
      <c r="BI770" s="474"/>
      <c r="BJ770" s="166"/>
      <c r="BK770" s="474"/>
      <c r="BL770" s="474"/>
      <c r="BM770" s="474"/>
      <c r="BN770" s="166"/>
      <c r="BO770" s="166"/>
      <c r="BP770" s="204"/>
      <c r="BQ770" s="475"/>
      <c r="BR770" s="205"/>
      <c r="BS770" s="509"/>
      <c r="BT770" s="509"/>
      <c r="BU770" s="459"/>
      <c r="BV770" s="459"/>
      <c r="BW770" s="1"/>
      <c r="BX770" s="1"/>
      <c r="BY770" s="1"/>
      <c r="BZ770" s="1"/>
      <c r="CE770" s="170"/>
      <c r="CF770"/>
    </row>
    <row r="771" spans="1:84">
      <c r="A771" s="701"/>
      <c r="B771" s="447"/>
      <c r="C771" s="161"/>
      <c r="D771" s="162"/>
      <c r="E771" s="1"/>
      <c r="F771" s="811"/>
      <c r="G771" s="440"/>
      <c r="H771" s="1"/>
      <c r="I771" s="55"/>
      <c r="J771" s="170"/>
      <c r="K771" s="1"/>
      <c r="L771" s="170"/>
      <c r="M771" s="1"/>
      <c r="N771" s="458"/>
      <c r="O771" s="170"/>
      <c r="P771" s="441"/>
      <c r="Q771" s="55"/>
      <c r="R771" s="177"/>
      <c r="S771" s="454"/>
      <c r="T771" s="178"/>
      <c r="U771" s="178"/>
      <c r="V771" s="179"/>
      <c r="W771" s="180"/>
      <c r="X771" s="179"/>
      <c r="Y771" s="180"/>
      <c r="Z771" s="178"/>
      <c r="AA771" s="178"/>
      <c r="AB771" s="178"/>
      <c r="AC771" s="178"/>
      <c r="AD771" s="182"/>
      <c r="AE771" s="182"/>
      <c r="AF771" s="182"/>
      <c r="AG771" s="182"/>
      <c r="AH771" s="401"/>
      <c r="AI771" s="401"/>
      <c r="AJ771" s="401"/>
      <c r="AK771" s="401"/>
      <c r="AL771" s="401"/>
      <c r="AM771" s="189"/>
      <c r="AN771" s="829"/>
      <c r="AO771" s="830"/>
      <c r="AP771" s="401"/>
      <c r="AQ771" s="401"/>
      <c r="AR771" s="401"/>
      <c r="AS771" s="401"/>
      <c r="AT771" s="403"/>
      <c r="AU771" s="403"/>
      <c r="AV771" s="170"/>
      <c r="AW771" s="166"/>
      <c r="AX771" s="166"/>
      <c r="AY771" s="189"/>
      <c r="AZ771" s="189"/>
      <c r="BA771" s="196"/>
      <c r="BB771" s="629"/>
      <c r="BC771" s="190"/>
      <c r="BD771" s="510"/>
      <c r="BE771" s="510"/>
      <c r="BF771" s="177"/>
      <c r="BG771" s="177"/>
      <c r="BH771" s="166"/>
      <c r="BI771" s="474"/>
      <c r="BJ771" s="166"/>
      <c r="BK771" s="474"/>
      <c r="BL771" s="474"/>
      <c r="BM771" s="474"/>
      <c r="BN771" s="166"/>
      <c r="BO771" s="166"/>
      <c r="BP771" s="204"/>
      <c r="BQ771" s="475"/>
      <c r="BR771" s="205"/>
      <c r="BS771" s="509"/>
      <c r="BT771" s="509"/>
      <c r="BU771" s="459"/>
      <c r="BV771" s="459"/>
      <c r="BW771" s="1"/>
      <c r="BX771" s="1"/>
      <c r="BY771" s="1"/>
      <c r="BZ771" s="1"/>
      <c r="CE771" s="170"/>
      <c r="CF771"/>
    </row>
    <row r="772" spans="1:84" customFormat="1">
      <c r="A772" s="701"/>
      <c r="B772" s="447"/>
      <c r="C772" s="1"/>
      <c r="D772" s="538"/>
      <c r="E772" s="1"/>
      <c r="F772" s="811"/>
      <c r="G772" s="440"/>
      <c r="H772" s="1"/>
      <c r="J772" s="171"/>
      <c r="K772" s="55"/>
      <c r="L772" s="171"/>
      <c r="M772" s="55"/>
      <c r="N772" s="172"/>
      <c r="O772" s="170"/>
      <c r="P772" s="139"/>
      <c r="Q772" s="171"/>
      <c r="R772" s="181"/>
      <c r="S772" s="455"/>
      <c r="T772" s="170"/>
      <c r="U772" s="170"/>
      <c r="V772" s="1"/>
      <c r="W772" s="173"/>
      <c r="X772" s="1"/>
      <c r="Y772" s="166"/>
      <c r="Z772" s="170"/>
      <c r="AA772" s="170"/>
      <c r="AB772" s="170"/>
      <c r="AC772" s="170"/>
      <c r="AD772" s="182"/>
      <c r="AE772" s="182"/>
      <c r="AF772" s="182"/>
      <c r="AG772" s="182"/>
      <c r="AH772" s="189"/>
      <c r="AI772" s="401"/>
      <c r="AJ772" s="189"/>
      <c r="AK772" s="401"/>
      <c r="AL772" s="401"/>
      <c r="AM772" s="189"/>
      <c r="AN772" s="782"/>
      <c r="AO772" s="189"/>
      <c r="AP772" s="401"/>
      <c r="AQ772" s="401"/>
      <c r="AR772" s="401"/>
      <c r="AS772" s="188"/>
      <c r="AT772" s="1"/>
      <c r="AU772" s="403"/>
      <c r="AV772" s="1"/>
      <c r="AW772" s="166"/>
      <c r="AX772" s="166"/>
      <c r="AY772" s="189"/>
      <c r="AZ772" s="189"/>
      <c r="BA772" s="196"/>
      <c r="BB772" s="629"/>
      <c r="BC772" s="197"/>
      <c r="BD772" s="510"/>
      <c r="BE772" s="510"/>
      <c r="BF772" s="177"/>
      <c r="BG772" s="177"/>
      <c r="BH772" s="166"/>
      <c r="BI772" s="474"/>
      <c r="BJ772" s="166"/>
      <c r="BK772" s="474"/>
      <c r="BL772" s="474"/>
      <c r="BM772" s="474"/>
      <c r="BN772" s="166"/>
      <c r="BO772" s="166"/>
      <c r="BP772" s="204"/>
      <c r="BQ772" s="475"/>
      <c r="BR772" s="205"/>
      <c r="BS772" s="509"/>
      <c r="BT772" s="509"/>
      <c r="BU772" s="459"/>
      <c r="BV772" s="459"/>
      <c r="BW772" s="1"/>
      <c r="BX772" s="1"/>
      <c r="BY772" s="546"/>
      <c r="BZ772" s="546"/>
      <c r="CA772" s="546"/>
      <c r="CB772" s="546"/>
      <c r="CC772" s="728"/>
      <c r="CD772" s="728"/>
      <c r="CE772" s="170"/>
    </row>
    <row r="773" spans="1:84">
      <c r="A773" s="701"/>
      <c r="B773" s="447"/>
      <c r="C773" s="161"/>
      <c r="D773" s="162"/>
      <c r="E773" s="1"/>
      <c r="F773" s="811"/>
      <c r="G773" s="440"/>
      <c r="H773" s="1"/>
      <c r="I773" s="55"/>
      <c r="J773" s="170"/>
      <c r="K773" s="1"/>
      <c r="L773" s="170"/>
      <c r="M773" s="1"/>
      <c r="N773" s="458"/>
      <c r="O773" s="170"/>
      <c r="P773" s="441"/>
      <c r="Q773" s="55"/>
      <c r="R773" s="177"/>
      <c r="S773" s="454"/>
      <c r="T773" s="178"/>
      <c r="U773" s="178"/>
      <c r="V773" s="179"/>
      <c r="W773" s="180"/>
      <c r="X773" s="179"/>
      <c r="Y773" s="180"/>
      <c r="Z773" s="178"/>
      <c r="AA773" s="178"/>
      <c r="AB773" s="178"/>
      <c r="AC773" s="178"/>
      <c r="AD773" s="182"/>
      <c r="AE773" s="182"/>
      <c r="AF773" s="182"/>
      <c r="AG773" s="182"/>
      <c r="AH773" s="401"/>
      <c r="AI773" s="401"/>
      <c r="AJ773" s="401"/>
      <c r="AK773" s="401"/>
      <c r="AL773" s="401"/>
      <c r="AM773" s="189"/>
      <c r="AN773" s="829"/>
      <c r="AO773" s="830"/>
      <c r="AP773" s="401"/>
      <c r="AQ773" s="401"/>
      <c r="AR773" s="401"/>
      <c r="AS773" s="401"/>
      <c r="AT773" s="403"/>
      <c r="AU773" s="403"/>
      <c r="AV773" s="170"/>
      <c r="AW773" s="166"/>
      <c r="AX773" s="166"/>
      <c r="AY773" s="189"/>
      <c r="AZ773" s="189"/>
      <c r="BA773" s="196"/>
      <c r="BB773" s="629"/>
      <c r="BC773" s="190"/>
      <c r="BD773" s="510"/>
      <c r="BE773" s="510"/>
      <c r="BF773" s="177"/>
      <c r="BG773" s="177"/>
      <c r="BH773" s="166"/>
      <c r="BI773" s="474"/>
      <c r="BJ773" s="166"/>
      <c r="BK773" s="474"/>
      <c r="BL773" s="474"/>
      <c r="BM773" s="474"/>
      <c r="BN773" s="166"/>
      <c r="BO773" s="166"/>
      <c r="BP773" s="204"/>
      <c r="BQ773" s="475"/>
      <c r="BR773" s="205"/>
      <c r="BS773" s="509"/>
      <c r="BT773" s="509"/>
      <c r="BU773" s="459"/>
      <c r="BV773" s="459"/>
      <c r="BW773" s="1"/>
      <c r="BX773" s="1"/>
      <c r="BY773" s="546"/>
      <c r="BZ773" s="546"/>
      <c r="CA773" s="546"/>
      <c r="CB773" s="546"/>
      <c r="CC773" s="728"/>
      <c r="CD773" s="728"/>
      <c r="CE773" s="170"/>
      <c r="CF773"/>
    </row>
    <row r="774" spans="1:84">
      <c r="A774" s="701"/>
      <c r="B774" s="447"/>
      <c r="C774" s="161"/>
      <c r="D774" s="162"/>
      <c r="E774" s="1"/>
      <c r="F774" s="811"/>
      <c r="G774" s="440"/>
      <c r="H774" s="1"/>
      <c r="I774" s="55"/>
      <c r="J774" s="170"/>
      <c r="K774" s="1"/>
      <c r="L774" s="170"/>
      <c r="M774" s="1"/>
      <c r="N774" s="458"/>
      <c r="O774" s="170"/>
      <c r="P774" s="441"/>
      <c r="Q774" s="55"/>
      <c r="R774" s="177"/>
      <c r="S774" s="454"/>
      <c r="T774" s="178"/>
      <c r="U774" s="178"/>
      <c r="V774" s="179"/>
      <c r="W774" s="180"/>
      <c r="X774" s="179"/>
      <c r="Y774" s="180"/>
      <c r="Z774" s="178"/>
      <c r="AA774" s="178"/>
      <c r="AB774" s="178"/>
      <c r="AC774" s="178"/>
      <c r="AD774" s="182"/>
      <c r="AE774" s="182"/>
      <c r="AF774" s="182"/>
      <c r="AG774" s="182"/>
      <c r="AH774" s="401"/>
      <c r="AI774" s="401"/>
      <c r="AJ774" s="401"/>
      <c r="AK774" s="401"/>
      <c r="AL774" s="401"/>
      <c r="AM774" s="189"/>
      <c r="AN774" s="829"/>
      <c r="AO774" s="830"/>
      <c r="AP774" s="401"/>
      <c r="AQ774" s="401"/>
      <c r="AR774" s="401"/>
      <c r="AS774" s="401"/>
      <c r="AT774" s="403"/>
      <c r="AU774" s="403"/>
      <c r="AV774" s="170"/>
      <c r="AW774" s="166"/>
      <c r="AX774" s="166"/>
      <c r="AY774" s="189"/>
      <c r="AZ774" s="189"/>
      <c r="BA774" s="196"/>
      <c r="BB774" s="629"/>
      <c r="BC774" s="190"/>
      <c r="BD774" s="510"/>
      <c r="BE774" s="510"/>
      <c r="BF774" s="177"/>
      <c r="BG774" s="177"/>
      <c r="BH774" s="166"/>
      <c r="BI774" s="474"/>
      <c r="BJ774" s="166"/>
      <c r="BK774" s="474"/>
      <c r="BL774" s="474"/>
      <c r="BM774" s="474"/>
      <c r="BN774" s="166"/>
      <c r="BO774" s="166"/>
      <c r="BP774" s="204"/>
      <c r="BQ774" s="475"/>
      <c r="BR774" s="205"/>
      <c r="BS774" s="509"/>
      <c r="BT774" s="509"/>
      <c r="BU774" s="459"/>
      <c r="BV774" s="459"/>
      <c r="BW774" s="1"/>
      <c r="BX774" s="1"/>
      <c r="BY774" s="546"/>
      <c r="BZ774" s="546"/>
      <c r="CA774" s="546"/>
      <c r="CB774" s="546"/>
      <c r="CC774" s="728"/>
      <c r="CD774" s="728"/>
      <c r="CE774" s="170"/>
      <c r="CF774"/>
    </row>
    <row r="775" spans="1:84">
      <c r="A775" s="701"/>
      <c r="B775" s="447"/>
      <c r="C775" s="161"/>
      <c r="D775" s="162"/>
      <c r="E775" s="1"/>
      <c r="F775" s="811"/>
      <c r="G775" s="440"/>
      <c r="H775" s="1"/>
      <c r="I775" s="55"/>
      <c r="J775" s="457"/>
      <c r="K775" s="1"/>
      <c r="L775" s="170"/>
      <c r="M775" s="1"/>
      <c r="N775" s="458"/>
      <c r="O775" s="170"/>
      <c r="P775" s="441"/>
      <c r="Q775" s="55"/>
      <c r="R775" s="177"/>
      <c r="S775" s="454"/>
      <c r="T775" s="178"/>
      <c r="U775" s="178"/>
      <c r="V775" s="179"/>
      <c r="W775" s="180"/>
      <c r="X775" s="179"/>
      <c r="Y775" s="180"/>
      <c r="Z775" s="178"/>
      <c r="AA775" s="178"/>
      <c r="AB775" s="178"/>
      <c r="AC775" s="178"/>
      <c r="AD775" s="182"/>
      <c r="AE775" s="182"/>
      <c r="AF775" s="182"/>
      <c r="AG775" s="182"/>
      <c r="AH775" s="401"/>
      <c r="AI775" s="401"/>
      <c r="AJ775" s="401"/>
      <c r="AK775" s="401"/>
      <c r="AL775" s="401"/>
      <c r="AM775" s="189"/>
      <c r="AN775" s="829"/>
      <c r="AO775" s="830"/>
      <c r="AP775" s="401"/>
      <c r="AQ775" s="401"/>
      <c r="AR775" s="401"/>
      <c r="AS775" s="401"/>
      <c r="AT775" s="403"/>
      <c r="AU775" s="403"/>
      <c r="AV775" s="170"/>
      <c r="AW775" s="166"/>
      <c r="AX775" s="166"/>
      <c r="AY775" s="189"/>
      <c r="AZ775" s="189"/>
      <c r="BA775" s="196"/>
      <c r="BB775" s="629"/>
      <c r="BC775" s="190"/>
      <c r="BD775" s="510"/>
      <c r="BE775" s="510"/>
      <c r="BF775" s="177"/>
      <c r="BG775" s="177"/>
      <c r="BH775" s="166"/>
      <c r="BI775" s="474"/>
      <c r="BJ775" s="166"/>
      <c r="BK775" s="474"/>
      <c r="BL775" s="474"/>
      <c r="BM775" s="474"/>
      <c r="BN775" s="166"/>
      <c r="BO775" s="166"/>
      <c r="BP775" s="204"/>
      <c r="BQ775" s="475"/>
      <c r="BR775" s="205"/>
      <c r="BS775" s="509"/>
      <c r="BT775" s="509"/>
      <c r="BU775" s="459"/>
      <c r="BV775" s="459"/>
      <c r="BW775" s="1"/>
      <c r="BX775" s="1"/>
      <c r="BY775" s="546"/>
      <c r="BZ775" s="546"/>
      <c r="CA775" s="546"/>
      <c r="CB775" s="546"/>
      <c r="CC775" s="728"/>
      <c r="CD775" s="728"/>
      <c r="CE775" s="170"/>
      <c r="CF775"/>
    </row>
    <row r="776" spans="1:84">
      <c r="A776" s="701"/>
      <c r="B776" s="447"/>
      <c r="C776" s="161"/>
      <c r="D776" s="162"/>
      <c r="E776" s="1"/>
      <c r="F776" s="811"/>
      <c r="G776" s="440"/>
      <c r="H776" s="1"/>
      <c r="I776" s="55"/>
      <c r="J776" s="170"/>
      <c r="K776" s="1"/>
      <c r="L776" s="170"/>
      <c r="M776" s="1"/>
      <c r="N776" s="458"/>
      <c r="O776" s="170"/>
      <c r="P776" s="441"/>
      <c r="Q776" s="55"/>
      <c r="R776" s="177"/>
      <c r="S776" s="454"/>
      <c r="T776" s="178"/>
      <c r="U776" s="178"/>
      <c r="V776" s="179"/>
      <c r="W776" s="180"/>
      <c r="X776" s="179"/>
      <c r="Y776" s="180"/>
      <c r="Z776" s="178"/>
      <c r="AA776" s="178"/>
      <c r="AB776" s="178"/>
      <c r="AC776" s="178"/>
      <c r="AD776" s="182"/>
      <c r="AE776" s="182"/>
      <c r="AF776" s="182"/>
      <c r="AG776" s="182"/>
      <c r="AH776" s="401"/>
      <c r="AI776" s="401"/>
      <c r="AJ776" s="401"/>
      <c r="AK776" s="401"/>
      <c r="AL776" s="401"/>
      <c r="AM776" s="189"/>
      <c r="AN776" s="829"/>
      <c r="AO776" s="830"/>
      <c r="AP776" s="401"/>
      <c r="AQ776" s="401"/>
      <c r="AR776" s="401"/>
      <c r="AS776" s="401"/>
      <c r="AT776" s="403"/>
      <c r="AU776" s="403"/>
      <c r="AV776" s="170"/>
      <c r="AW776" s="166"/>
      <c r="AX776" s="166"/>
      <c r="AY776" s="189"/>
      <c r="AZ776" s="189"/>
      <c r="BA776" s="196"/>
      <c r="BB776" s="629"/>
      <c r="BC776" s="190"/>
      <c r="BD776" s="510"/>
      <c r="BE776" s="510"/>
      <c r="BF776" s="177"/>
      <c r="BG776" s="177"/>
      <c r="BH776" s="166"/>
      <c r="BI776" s="474"/>
      <c r="BJ776" s="166"/>
      <c r="BK776" s="474"/>
      <c r="BL776" s="474"/>
      <c r="BM776" s="474"/>
      <c r="BN776" s="166"/>
      <c r="BO776" s="166"/>
      <c r="BP776" s="204"/>
      <c r="BQ776" s="475"/>
      <c r="BR776" s="205"/>
      <c r="BS776" s="509"/>
      <c r="BT776" s="509"/>
      <c r="BU776" s="459"/>
      <c r="BV776" s="459"/>
      <c r="BW776" s="1"/>
      <c r="BX776" s="1"/>
      <c r="BY776" s="546"/>
      <c r="BZ776" s="546"/>
      <c r="CA776" s="546"/>
      <c r="CB776" s="546"/>
      <c r="CC776" s="728"/>
      <c r="CD776" s="728"/>
      <c r="CE776" s="170"/>
      <c r="CF776"/>
    </row>
    <row r="777" spans="1:84">
      <c r="A777" s="701"/>
      <c r="B777" s="447"/>
      <c r="C777" s="161"/>
      <c r="D777" s="162"/>
      <c r="E777" s="1"/>
      <c r="F777" s="811"/>
      <c r="G777" s="440"/>
      <c r="H777" s="1"/>
      <c r="I777" s="55"/>
      <c r="J777" s="170"/>
      <c r="K777" s="1"/>
      <c r="L777" s="170"/>
      <c r="M777" s="1"/>
      <c r="N777" s="458"/>
      <c r="O777" s="170"/>
      <c r="P777" s="441"/>
      <c r="Q777" s="55"/>
      <c r="R777" s="177"/>
      <c r="S777" s="454"/>
      <c r="T777" s="178"/>
      <c r="U777" s="178"/>
      <c r="V777" s="179"/>
      <c r="W777" s="180"/>
      <c r="X777" s="179"/>
      <c r="Y777" s="180"/>
      <c r="Z777" s="178"/>
      <c r="AA777" s="178"/>
      <c r="AB777" s="178"/>
      <c r="AC777" s="178"/>
      <c r="AD777" s="182"/>
      <c r="AE777" s="182"/>
      <c r="AF777" s="182"/>
      <c r="AG777" s="182"/>
      <c r="AH777" s="401"/>
      <c r="AI777" s="401"/>
      <c r="AJ777" s="401"/>
      <c r="AK777" s="401"/>
      <c r="AL777" s="401"/>
      <c r="AM777" s="189"/>
      <c r="AN777" s="829"/>
      <c r="AO777" s="830"/>
      <c r="AP777" s="401"/>
      <c r="AQ777" s="401"/>
      <c r="AR777" s="401"/>
      <c r="AS777" s="401"/>
      <c r="AT777" s="403"/>
      <c r="AU777" s="403"/>
      <c r="AV777" s="170"/>
      <c r="AW777" s="166"/>
      <c r="AX777" s="166"/>
      <c r="AY777" s="189"/>
      <c r="AZ777" s="189"/>
      <c r="BA777" s="196"/>
      <c r="BB777" s="629"/>
      <c r="BC777" s="190"/>
      <c r="BD777" s="510"/>
      <c r="BE777" s="510"/>
      <c r="BF777" s="177"/>
      <c r="BG777" s="177"/>
      <c r="BH777" s="166"/>
      <c r="BI777" s="474"/>
      <c r="BJ777" s="166"/>
      <c r="BK777" s="474"/>
      <c r="BL777" s="474"/>
      <c r="BM777" s="474"/>
      <c r="BN777" s="166"/>
      <c r="BO777" s="166"/>
      <c r="BP777" s="204"/>
      <c r="BQ777" s="475"/>
      <c r="BR777" s="205"/>
      <c r="BS777" s="509"/>
      <c r="BT777" s="509"/>
      <c r="BU777" s="459"/>
      <c r="BV777" s="459"/>
      <c r="BW777" s="1"/>
      <c r="BX777" s="1"/>
      <c r="BY777" s="546"/>
      <c r="BZ777" s="546"/>
      <c r="CA777" s="546"/>
      <c r="CB777" s="546"/>
      <c r="CC777" s="728"/>
      <c r="CD777" s="728"/>
      <c r="CE777" s="170"/>
      <c r="CF777"/>
    </row>
    <row r="778" spans="1:84">
      <c r="A778" s="701"/>
      <c r="B778" s="447"/>
      <c r="C778" s="161"/>
      <c r="D778" s="162"/>
      <c r="E778" s="1"/>
      <c r="F778" s="811"/>
      <c r="G778" s="440"/>
      <c r="H778" s="1"/>
      <c r="I778" s="55"/>
      <c r="J778" s="170"/>
      <c r="K778" s="1"/>
      <c r="L778" s="170"/>
      <c r="M778" s="1"/>
      <c r="N778" s="458"/>
      <c r="O778" s="170"/>
      <c r="P778" s="441"/>
      <c r="Q778" s="55"/>
      <c r="R778" s="177"/>
      <c r="S778" s="454"/>
      <c r="T778" s="178"/>
      <c r="U778" s="178"/>
      <c r="V778" s="179"/>
      <c r="W778" s="180"/>
      <c r="X778" s="179"/>
      <c r="Y778" s="180"/>
      <c r="Z778" s="178"/>
      <c r="AA778" s="178"/>
      <c r="AB778" s="178"/>
      <c r="AC778" s="178"/>
      <c r="AD778" s="182"/>
      <c r="AE778" s="182"/>
      <c r="AF778" s="182"/>
      <c r="AG778" s="182"/>
      <c r="AH778" s="401"/>
      <c r="AI778" s="401"/>
      <c r="AJ778" s="401"/>
      <c r="AK778" s="401"/>
      <c r="AL778" s="401"/>
      <c r="AM778" s="189"/>
      <c r="AN778" s="829"/>
      <c r="AO778" s="830"/>
      <c r="AP778" s="401"/>
      <c r="AQ778" s="401"/>
      <c r="AR778" s="401"/>
      <c r="AS778" s="401"/>
      <c r="AT778" s="403"/>
      <c r="AU778" s="403"/>
      <c r="AV778" s="170"/>
      <c r="AW778" s="166"/>
      <c r="AX778" s="166"/>
      <c r="AY778" s="189"/>
      <c r="AZ778" s="189"/>
      <c r="BA778" s="196"/>
      <c r="BB778" s="629"/>
      <c r="BC778" s="190"/>
      <c r="BD778" s="510"/>
      <c r="BE778" s="510"/>
      <c r="BF778" s="177"/>
      <c r="BG778" s="177"/>
      <c r="BH778" s="166"/>
      <c r="BI778" s="474"/>
      <c r="BJ778" s="166"/>
      <c r="BK778" s="474"/>
      <c r="BL778" s="474"/>
      <c r="BM778" s="474"/>
      <c r="BN778" s="166"/>
      <c r="BO778" s="166"/>
      <c r="BP778" s="204"/>
      <c r="BQ778" s="475"/>
      <c r="BR778" s="205"/>
      <c r="BS778" s="509"/>
      <c r="BT778" s="509"/>
      <c r="BU778" s="459"/>
      <c r="BV778" s="459"/>
      <c r="BW778" s="1"/>
      <c r="BX778" s="1"/>
      <c r="BY778" s="546"/>
      <c r="BZ778" s="546"/>
      <c r="CA778" s="546"/>
      <c r="CB778" s="546"/>
      <c r="CC778" s="728"/>
      <c r="CD778" s="728"/>
      <c r="CE778" s="170"/>
      <c r="CF778"/>
    </row>
    <row r="779" spans="1:84">
      <c r="A779" s="701"/>
      <c r="B779" s="447"/>
      <c r="C779" s="161"/>
      <c r="D779" s="162"/>
      <c r="E779" s="1"/>
      <c r="F779" s="811"/>
      <c r="G779" s="440"/>
      <c r="H779" s="1"/>
      <c r="I779" s="55"/>
      <c r="J779" s="170"/>
      <c r="K779" s="1"/>
      <c r="L779" s="170"/>
      <c r="M779" s="1"/>
      <c r="N779" s="458"/>
      <c r="O779" s="170"/>
      <c r="P779" s="441"/>
      <c r="Q779" s="55"/>
      <c r="R779" s="177"/>
      <c r="S779" s="454"/>
      <c r="T779" s="178"/>
      <c r="U779" s="178"/>
      <c r="V779" s="179"/>
      <c r="W779" s="180"/>
      <c r="X779" s="179"/>
      <c r="Y779" s="180"/>
      <c r="Z779" s="178"/>
      <c r="AA779" s="178"/>
      <c r="AB779" s="178"/>
      <c r="AC779" s="178"/>
      <c r="AD779" s="182"/>
      <c r="AE779" s="182"/>
      <c r="AF779" s="182"/>
      <c r="AG779" s="182"/>
      <c r="AH779" s="401"/>
      <c r="AI779" s="401"/>
      <c r="AJ779" s="401"/>
      <c r="AK779" s="401"/>
      <c r="AL779" s="401"/>
      <c r="AM779" s="189"/>
      <c r="AN779" s="829"/>
      <c r="AO779" s="830"/>
      <c r="AP779" s="401"/>
      <c r="AQ779" s="401"/>
      <c r="AR779" s="401"/>
      <c r="AS779" s="401"/>
      <c r="AT779" s="403"/>
      <c r="AU779" s="403"/>
      <c r="AV779" s="170"/>
      <c r="AW779" s="166"/>
      <c r="AX779" s="166"/>
      <c r="AY779" s="189"/>
      <c r="AZ779" s="189"/>
      <c r="BA779" s="196"/>
      <c r="BB779" s="629"/>
      <c r="BC779" s="190"/>
      <c r="BD779" s="510"/>
      <c r="BE779" s="510"/>
      <c r="BF779" s="177"/>
      <c r="BG779" s="177"/>
      <c r="BH779" s="166"/>
      <c r="BI779" s="474"/>
      <c r="BJ779" s="166"/>
      <c r="BK779" s="474"/>
      <c r="BL779" s="474"/>
      <c r="BM779" s="474"/>
      <c r="BN779" s="166"/>
      <c r="BO779" s="166"/>
      <c r="BP779" s="204"/>
      <c r="BQ779" s="475"/>
      <c r="BR779" s="205"/>
      <c r="BS779" s="509"/>
      <c r="BT779" s="509"/>
      <c r="BU779" s="459"/>
      <c r="BV779" s="459"/>
      <c r="BW779" s="1"/>
      <c r="BX779" s="1"/>
      <c r="BY779" s="546"/>
      <c r="BZ779" s="546"/>
      <c r="CA779" s="546"/>
      <c r="CB779" s="546"/>
      <c r="CC779" s="728"/>
      <c r="CD779" s="728"/>
      <c r="CE779" s="170"/>
      <c r="CF779"/>
    </row>
    <row r="780" spans="1:84">
      <c r="A780" s="701"/>
      <c r="B780" s="447"/>
      <c r="C780" s="161"/>
      <c r="D780" s="162"/>
      <c r="E780" s="1"/>
      <c r="F780" s="811"/>
      <c r="G780" s="440"/>
      <c r="H780" s="1"/>
      <c r="I780" s="55"/>
      <c r="J780" s="170"/>
      <c r="K780" s="1"/>
      <c r="L780" s="170"/>
      <c r="M780" s="1"/>
      <c r="N780" s="458"/>
      <c r="O780" s="170"/>
      <c r="P780" s="441"/>
      <c r="Q780" s="55"/>
      <c r="R780" s="177"/>
      <c r="S780" s="454"/>
      <c r="T780" s="178"/>
      <c r="U780" s="178"/>
      <c r="V780" s="179"/>
      <c r="W780" s="180"/>
      <c r="X780" s="179"/>
      <c r="Y780" s="180"/>
      <c r="Z780" s="178"/>
      <c r="AA780" s="178"/>
      <c r="AB780" s="178"/>
      <c r="AC780" s="178"/>
      <c r="AD780" s="182"/>
      <c r="AE780" s="182"/>
      <c r="AF780" s="182"/>
      <c r="AG780" s="182"/>
      <c r="AH780" s="401"/>
      <c r="AI780" s="401"/>
      <c r="AJ780" s="401"/>
      <c r="AK780" s="401"/>
      <c r="AL780" s="401"/>
      <c r="AM780" s="189"/>
      <c r="AN780" s="829"/>
      <c r="AO780" s="830"/>
      <c r="AP780" s="401"/>
      <c r="AQ780" s="401"/>
      <c r="AR780" s="401"/>
      <c r="AS780" s="401"/>
      <c r="AT780" s="403"/>
      <c r="AU780" s="403"/>
      <c r="AV780" s="170"/>
      <c r="AW780" s="166"/>
      <c r="AX780" s="166"/>
      <c r="AY780" s="189"/>
      <c r="AZ780" s="189"/>
      <c r="BA780" s="196"/>
      <c r="BB780" s="629"/>
      <c r="BC780" s="190"/>
      <c r="BD780" s="510"/>
      <c r="BE780" s="510"/>
      <c r="BF780" s="177"/>
      <c r="BG780" s="177"/>
      <c r="BH780" s="166"/>
      <c r="BI780" s="474"/>
      <c r="BJ780" s="166"/>
      <c r="BK780" s="474"/>
      <c r="BL780" s="474"/>
      <c r="BM780" s="474"/>
      <c r="BN780" s="166"/>
      <c r="BO780" s="166"/>
      <c r="BP780" s="204"/>
      <c r="BQ780" s="475"/>
      <c r="BR780" s="205"/>
      <c r="BS780" s="509"/>
      <c r="BT780" s="509"/>
      <c r="BU780" s="459"/>
      <c r="BV780" s="459"/>
      <c r="BW780" s="1"/>
      <c r="BX780" s="1"/>
      <c r="BY780" s="546"/>
      <c r="BZ780" s="546"/>
      <c r="CA780" s="546"/>
      <c r="CB780" s="546"/>
      <c r="CC780" s="728"/>
      <c r="CD780" s="728"/>
      <c r="CE780" s="170"/>
      <c r="CF780"/>
    </row>
    <row r="781" spans="1:84">
      <c r="A781" s="701"/>
      <c r="B781" s="447"/>
      <c r="C781" s="161"/>
      <c r="D781" s="162"/>
      <c r="E781" s="1"/>
      <c r="F781" s="811"/>
      <c r="G781" s="440"/>
      <c r="H781" s="1"/>
      <c r="I781" s="55"/>
      <c r="J781" s="170"/>
      <c r="K781" s="1"/>
      <c r="L781" s="170"/>
      <c r="M781" s="1"/>
      <c r="N781" s="458"/>
      <c r="O781" s="170"/>
      <c r="P781" s="441"/>
      <c r="Q781" s="55"/>
      <c r="R781" s="177"/>
      <c r="S781" s="454"/>
      <c r="T781" s="178"/>
      <c r="U781" s="178"/>
      <c r="V781" s="179"/>
      <c r="W781" s="180"/>
      <c r="X781" s="179"/>
      <c r="Y781" s="180"/>
      <c r="Z781" s="178"/>
      <c r="AA781" s="178"/>
      <c r="AB781" s="178"/>
      <c r="AC781" s="178"/>
      <c r="AD781" s="182"/>
      <c r="AE781" s="182"/>
      <c r="AF781" s="182"/>
      <c r="AG781" s="182"/>
      <c r="AH781" s="401"/>
      <c r="AI781" s="401"/>
      <c r="AJ781" s="401"/>
      <c r="AK781" s="401"/>
      <c r="AL781" s="401"/>
      <c r="AM781" s="189"/>
      <c r="AN781" s="829"/>
      <c r="AO781" s="830"/>
      <c r="AP781" s="401"/>
      <c r="AQ781" s="401"/>
      <c r="AR781" s="401"/>
      <c r="AS781" s="401"/>
      <c r="AT781" s="403"/>
      <c r="AU781" s="403"/>
      <c r="AV781" s="170"/>
      <c r="AW781" s="166"/>
      <c r="AX781" s="166"/>
      <c r="AY781" s="189"/>
      <c r="AZ781" s="189"/>
      <c r="BA781" s="196"/>
      <c r="BB781" s="629"/>
      <c r="BC781" s="190"/>
      <c r="BD781" s="510"/>
      <c r="BE781" s="510"/>
      <c r="BF781" s="177"/>
      <c r="BG781" s="177"/>
      <c r="BH781" s="166"/>
      <c r="BI781" s="474"/>
      <c r="BJ781" s="166"/>
      <c r="BK781" s="474"/>
      <c r="BL781" s="474"/>
      <c r="BM781" s="474"/>
      <c r="BN781" s="166"/>
      <c r="BO781" s="166"/>
      <c r="BP781" s="204"/>
      <c r="BQ781" s="475"/>
      <c r="BR781" s="205"/>
      <c r="BS781" s="509"/>
      <c r="BT781" s="509"/>
      <c r="BU781" s="459"/>
      <c r="BV781" s="459"/>
      <c r="BW781" s="1"/>
      <c r="BX781" s="1"/>
      <c r="BY781" s="546"/>
      <c r="BZ781" s="546"/>
      <c r="CA781" s="546"/>
      <c r="CB781" s="546"/>
      <c r="CC781" s="728"/>
      <c r="CD781" s="728"/>
      <c r="CE781" s="170"/>
      <c r="CF781"/>
    </row>
    <row r="782" spans="1:84" customFormat="1">
      <c r="A782" s="701"/>
      <c r="B782" s="447"/>
      <c r="C782" s="1"/>
      <c r="D782" s="538"/>
      <c r="E782" s="1"/>
      <c r="F782" s="811"/>
      <c r="G782" s="440"/>
      <c r="H782" s="1"/>
      <c r="I782" s="55"/>
      <c r="J782" s="171"/>
      <c r="K782" s="55"/>
      <c r="L782" s="171"/>
      <c r="M782" s="55"/>
      <c r="N782" s="172"/>
      <c r="O782" s="170"/>
      <c r="P782" s="139"/>
      <c r="Q782" s="172"/>
      <c r="R782" s="181"/>
      <c r="S782" s="455"/>
      <c r="T782" s="170"/>
      <c r="U782" s="170"/>
      <c r="V782" s="1"/>
      <c r="W782" s="173"/>
      <c r="X782" s="1"/>
      <c r="Y782" s="166"/>
      <c r="Z782" s="170"/>
      <c r="AA782" s="170"/>
      <c r="AB782" s="170"/>
      <c r="AC782" s="170"/>
      <c r="AD782" s="182"/>
      <c r="AE782" s="182"/>
      <c r="AF782" s="182"/>
      <c r="AG782" s="182"/>
      <c r="AH782" s="189"/>
      <c r="AI782" s="401"/>
      <c r="AJ782" s="189"/>
      <c r="AK782" s="401"/>
      <c r="AL782" s="401"/>
      <c r="AM782" s="189"/>
      <c r="AN782" s="782"/>
      <c r="AO782" s="189"/>
      <c r="AP782" s="401"/>
      <c r="AQ782" s="401"/>
      <c r="AR782" s="401"/>
      <c r="AS782" s="188"/>
      <c r="AT782" s="1"/>
      <c r="AU782" s="403"/>
      <c r="AV782" s="1"/>
      <c r="AW782" s="166"/>
      <c r="AX782" s="166"/>
      <c r="AY782" s="189"/>
      <c r="AZ782" s="189"/>
      <c r="BA782" s="196"/>
      <c r="BB782" s="629"/>
      <c r="BC782" s="197"/>
      <c r="BD782" s="510"/>
      <c r="BE782" s="510"/>
      <c r="BF782" s="177"/>
      <c r="BG782" s="177"/>
      <c r="BH782" s="166"/>
      <c r="BI782" s="474"/>
      <c r="BJ782" s="166"/>
      <c r="BK782" s="474"/>
      <c r="BL782" s="474"/>
      <c r="BM782" s="474"/>
      <c r="BN782" s="166"/>
      <c r="BO782" s="166"/>
      <c r="BP782" s="204"/>
      <c r="BQ782" s="475"/>
      <c r="BR782" s="205"/>
      <c r="BS782" s="509"/>
      <c r="BT782" s="509"/>
      <c r="BU782" s="459"/>
      <c r="BV782" s="459"/>
      <c r="BW782" s="1"/>
      <c r="BX782" s="1"/>
      <c r="BY782" s="546"/>
      <c r="BZ782" s="546"/>
      <c r="CA782" s="546"/>
      <c r="CB782" s="546"/>
      <c r="CC782" s="728"/>
      <c r="CD782" s="728"/>
      <c r="CE782" s="170"/>
    </row>
    <row r="783" spans="1:84" customFormat="1">
      <c r="A783" s="701"/>
      <c r="B783" s="447"/>
      <c r="C783" s="161"/>
      <c r="D783" s="162"/>
      <c r="E783" s="1"/>
      <c r="F783" s="811"/>
      <c r="G783" s="440"/>
      <c r="H783" s="1"/>
      <c r="I783" s="55"/>
      <c r="J783" s="170"/>
      <c r="K783" s="1"/>
      <c r="L783" s="170"/>
      <c r="M783" s="1"/>
      <c r="N783" s="458"/>
      <c r="O783" s="170"/>
      <c r="P783" s="441"/>
      <c r="Q783" s="55"/>
      <c r="R783" s="177"/>
      <c r="S783" s="454"/>
      <c r="T783" s="178"/>
      <c r="U783" s="178"/>
      <c r="V783" s="179"/>
      <c r="W783" s="180"/>
      <c r="X783" s="179"/>
      <c r="Y783" s="180"/>
      <c r="Z783" s="178"/>
      <c r="AA783" s="178"/>
      <c r="AB783" s="178"/>
      <c r="AC783" s="178"/>
      <c r="AD783" s="182"/>
      <c r="AE783" s="182"/>
      <c r="AF783" s="182"/>
      <c r="AG783" s="182"/>
      <c r="AH783" s="401"/>
      <c r="AI783" s="401"/>
      <c r="AJ783" s="401"/>
      <c r="AK783" s="401"/>
      <c r="AL783" s="401"/>
      <c r="AM783" s="189"/>
      <c r="AN783" s="829"/>
      <c r="AO783" s="830"/>
      <c r="AP783" s="401"/>
      <c r="AQ783" s="401"/>
      <c r="AR783" s="401"/>
      <c r="AS783" s="401"/>
      <c r="AT783" s="403"/>
      <c r="AU783" s="403"/>
      <c r="AV783" s="170"/>
      <c r="AW783" s="166"/>
      <c r="AX783" s="166"/>
      <c r="AY783" s="189"/>
      <c r="AZ783" s="189"/>
      <c r="BA783" s="196"/>
      <c r="BB783" s="629"/>
      <c r="BC783" s="190"/>
      <c r="BD783" s="510"/>
      <c r="BE783" s="510"/>
      <c r="BF783" s="177"/>
      <c r="BG783" s="177"/>
      <c r="BH783" s="166"/>
      <c r="BI783" s="474"/>
      <c r="BJ783" s="166"/>
      <c r="BK783" s="474"/>
      <c r="BL783" s="474"/>
      <c r="BM783" s="474"/>
      <c r="BN783" s="166"/>
      <c r="BO783" s="166"/>
      <c r="BP783" s="204"/>
      <c r="BQ783" s="475"/>
      <c r="BR783" s="205"/>
      <c r="BS783" s="509"/>
      <c r="BT783" s="509"/>
      <c r="BU783" s="459"/>
      <c r="BV783" s="459"/>
      <c r="BW783" s="1"/>
      <c r="BX783" s="1"/>
      <c r="BY783" s="546"/>
      <c r="BZ783" s="546"/>
      <c r="CA783" s="546"/>
      <c r="CB783" s="546"/>
      <c r="CC783" s="728"/>
      <c r="CD783" s="728"/>
      <c r="CE783" s="170"/>
    </row>
    <row r="784" spans="1:84" customFormat="1">
      <c r="A784" s="701"/>
      <c r="B784" s="447"/>
      <c r="C784" s="161"/>
      <c r="D784" s="162"/>
      <c r="E784" s="1"/>
      <c r="F784" s="811"/>
      <c r="G784" s="440"/>
      <c r="H784" s="1"/>
      <c r="I784" s="55"/>
      <c r="J784" s="170"/>
      <c r="K784" s="1"/>
      <c r="L784" s="170"/>
      <c r="M784" s="1"/>
      <c r="N784" s="458"/>
      <c r="O784" s="170"/>
      <c r="P784" s="441"/>
      <c r="Q784" s="55"/>
      <c r="R784" s="177"/>
      <c r="S784" s="454"/>
      <c r="T784" s="178"/>
      <c r="U784" s="178"/>
      <c r="V784" s="179"/>
      <c r="W784" s="180"/>
      <c r="X784" s="179"/>
      <c r="Y784" s="180"/>
      <c r="Z784" s="178"/>
      <c r="AA784" s="178"/>
      <c r="AB784" s="178"/>
      <c r="AC784" s="178"/>
      <c r="AD784" s="182"/>
      <c r="AE784" s="182"/>
      <c r="AF784" s="182"/>
      <c r="AG784" s="182"/>
      <c r="AH784" s="401"/>
      <c r="AI784" s="401"/>
      <c r="AJ784" s="401"/>
      <c r="AK784" s="401"/>
      <c r="AL784" s="401"/>
      <c r="AM784" s="189"/>
      <c r="AN784" s="829"/>
      <c r="AO784" s="830"/>
      <c r="AP784" s="401"/>
      <c r="AQ784" s="401"/>
      <c r="AR784" s="401"/>
      <c r="AS784" s="401"/>
      <c r="AT784" s="403"/>
      <c r="AU784" s="403"/>
      <c r="AV784" s="170"/>
      <c r="AW784" s="166"/>
      <c r="AX784" s="166"/>
      <c r="AY784" s="189"/>
      <c r="AZ784" s="189"/>
      <c r="BA784" s="196"/>
      <c r="BB784" s="629"/>
      <c r="BC784" s="190"/>
      <c r="BD784" s="510"/>
      <c r="BE784" s="510"/>
      <c r="BF784" s="177"/>
      <c r="BG784" s="177"/>
      <c r="BH784" s="166"/>
      <c r="BI784" s="474"/>
      <c r="BJ784" s="166"/>
      <c r="BK784" s="474"/>
      <c r="BL784" s="474"/>
      <c r="BM784" s="474"/>
      <c r="BN784" s="166"/>
      <c r="BO784" s="166"/>
      <c r="BP784" s="204"/>
      <c r="BQ784" s="475"/>
      <c r="BR784" s="205"/>
      <c r="BS784" s="509"/>
      <c r="BT784" s="509"/>
      <c r="BU784" s="459"/>
      <c r="BV784" s="459"/>
      <c r="BW784" s="1"/>
      <c r="BX784" s="1"/>
      <c r="BY784" s="546"/>
      <c r="BZ784" s="546"/>
      <c r="CA784" s="546"/>
      <c r="CB784" s="546"/>
      <c r="CC784" s="728"/>
      <c r="CD784" s="728"/>
      <c r="CE784" s="170"/>
    </row>
    <row r="785" spans="1:84">
      <c r="A785" s="701"/>
      <c r="B785" s="447"/>
      <c r="C785" s="161"/>
      <c r="D785" s="162"/>
      <c r="E785" s="1"/>
      <c r="F785" s="811"/>
      <c r="G785" s="440"/>
      <c r="H785" s="1"/>
      <c r="I785" s="55"/>
      <c r="J785" s="170"/>
      <c r="K785" s="1"/>
      <c r="L785" s="170"/>
      <c r="M785" s="1"/>
      <c r="N785" s="458"/>
      <c r="O785" s="170"/>
      <c r="P785" s="441"/>
      <c r="Q785" s="55"/>
      <c r="R785" s="177"/>
      <c r="S785" s="454"/>
      <c r="T785" s="178"/>
      <c r="U785" s="178"/>
      <c r="V785" s="179"/>
      <c r="W785" s="180"/>
      <c r="X785" s="179"/>
      <c r="Y785" s="180"/>
      <c r="Z785" s="178"/>
      <c r="AA785" s="178"/>
      <c r="AB785" s="178"/>
      <c r="AC785" s="178"/>
      <c r="AD785" s="182"/>
      <c r="AE785" s="182"/>
      <c r="AF785" s="182"/>
      <c r="AG785" s="182"/>
      <c r="AH785" s="401"/>
      <c r="AI785" s="401"/>
      <c r="AJ785" s="401"/>
      <c r="AK785" s="401"/>
      <c r="AL785" s="401"/>
      <c r="AM785" s="189"/>
      <c r="AN785" s="829"/>
      <c r="AO785" s="830"/>
      <c r="AP785" s="401"/>
      <c r="AQ785" s="401"/>
      <c r="AR785" s="401"/>
      <c r="AS785" s="401"/>
      <c r="AT785" s="403"/>
      <c r="AU785" s="403"/>
      <c r="AV785" s="170"/>
      <c r="AW785" s="166"/>
      <c r="AX785" s="166"/>
      <c r="AY785" s="189"/>
      <c r="AZ785" s="189"/>
      <c r="BA785" s="196"/>
      <c r="BB785" s="629"/>
      <c r="BC785" s="190"/>
      <c r="BD785" s="510"/>
      <c r="BE785" s="510"/>
      <c r="BF785" s="177"/>
      <c r="BG785" s="177"/>
      <c r="BH785" s="166"/>
      <c r="BI785" s="474"/>
      <c r="BJ785" s="166"/>
      <c r="BK785" s="474"/>
      <c r="BL785" s="474"/>
      <c r="BM785" s="474"/>
      <c r="BN785" s="166"/>
      <c r="BO785" s="166"/>
      <c r="BP785" s="204"/>
      <c r="BQ785" s="475"/>
      <c r="BR785" s="205"/>
      <c r="BS785" s="509"/>
      <c r="BT785" s="509"/>
      <c r="BU785" s="459"/>
      <c r="BV785" s="459"/>
      <c r="BW785" s="1"/>
      <c r="BX785" s="1"/>
      <c r="BY785" s="546"/>
      <c r="BZ785" s="546"/>
      <c r="CA785" s="546"/>
      <c r="CB785" s="546"/>
      <c r="CC785" s="728"/>
      <c r="CD785" s="728"/>
      <c r="CE785" s="170"/>
      <c r="CF785"/>
    </row>
    <row r="786" spans="1:84">
      <c r="A786" s="701"/>
      <c r="B786" s="447"/>
      <c r="C786" s="161"/>
      <c r="D786" s="162"/>
      <c r="E786" s="1"/>
      <c r="F786" s="811"/>
      <c r="G786" s="440"/>
      <c r="H786" s="1"/>
      <c r="I786" s="55"/>
      <c r="J786" s="170"/>
      <c r="K786" s="1"/>
      <c r="L786" s="170"/>
      <c r="M786" s="1"/>
      <c r="N786" s="458"/>
      <c r="O786" s="170"/>
      <c r="P786" s="441"/>
      <c r="Q786" s="55"/>
      <c r="R786" s="177"/>
      <c r="S786" s="454"/>
      <c r="T786" s="178"/>
      <c r="U786" s="178"/>
      <c r="V786" s="179"/>
      <c r="W786" s="180"/>
      <c r="X786" s="179"/>
      <c r="Y786" s="180"/>
      <c r="Z786" s="178"/>
      <c r="AA786" s="178"/>
      <c r="AB786" s="178"/>
      <c r="AC786" s="178"/>
      <c r="AD786" s="182"/>
      <c r="AE786" s="182"/>
      <c r="AF786" s="182"/>
      <c r="AG786" s="182"/>
      <c r="AH786" s="401"/>
      <c r="AI786" s="401"/>
      <c r="AJ786" s="401"/>
      <c r="AK786" s="401"/>
      <c r="AL786" s="401"/>
      <c r="AM786" s="189"/>
      <c r="AN786" s="829"/>
      <c r="AO786" s="830"/>
      <c r="AP786" s="401"/>
      <c r="AQ786" s="401"/>
      <c r="AR786" s="401"/>
      <c r="AS786" s="401"/>
      <c r="AT786" s="403"/>
      <c r="AU786" s="403"/>
      <c r="AV786" s="170"/>
      <c r="AW786" s="166"/>
      <c r="AX786" s="166"/>
      <c r="AY786" s="189"/>
      <c r="AZ786" s="189"/>
      <c r="BA786" s="196"/>
      <c r="BB786" s="629"/>
      <c r="BC786" s="190"/>
      <c r="BD786" s="510"/>
      <c r="BE786" s="510"/>
      <c r="BF786" s="177"/>
      <c r="BG786" s="177"/>
      <c r="BH786" s="166"/>
      <c r="BI786" s="474"/>
      <c r="BJ786" s="166"/>
      <c r="BK786" s="474"/>
      <c r="BL786" s="474"/>
      <c r="BM786" s="474"/>
      <c r="BN786" s="166"/>
      <c r="BO786" s="166"/>
      <c r="BP786" s="204"/>
      <c r="BQ786" s="475"/>
      <c r="BR786" s="205"/>
      <c r="BS786" s="509"/>
      <c r="BT786" s="509"/>
      <c r="BU786" s="459"/>
      <c r="BV786" s="459"/>
      <c r="BW786" s="1"/>
      <c r="BX786" s="1"/>
      <c r="BY786" s="546"/>
      <c r="BZ786" s="546"/>
      <c r="CA786" s="546"/>
      <c r="CB786" s="546"/>
      <c r="CC786" s="728"/>
      <c r="CD786" s="728"/>
      <c r="CE786" s="170"/>
      <c r="CF786"/>
    </row>
    <row r="787" spans="1:84" customFormat="1">
      <c r="A787" s="701"/>
      <c r="B787" s="447"/>
      <c r="C787" s="1"/>
      <c r="D787" s="538"/>
      <c r="E787" s="1"/>
      <c r="F787" s="811"/>
      <c r="G787" s="440"/>
      <c r="H787" s="1"/>
      <c r="J787" s="171"/>
      <c r="K787" s="55"/>
      <c r="L787" s="171"/>
      <c r="M787" s="55"/>
      <c r="N787" s="172"/>
      <c r="O787" s="170"/>
      <c r="P787" s="139"/>
      <c r="Q787" s="171"/>
      <c r="R787" s="181"/>
      <c r="S787" s="455"/>
      <c r="T787" s="170"/>
      <c r="U787" s="170"/>
      <c r="V787" s="1"/>
      <c r="W787" s="173"/>
      <c r="X787" s="1"/>
      <c r="Y787" s="166"/>
      <c r="Z787" s="170"/>
      <c r="AA787" s="170"/>
      <c r="AB787" s="170"/>
      <c r="AC787" s="170"/>
      <c r="AD787" s="182"/>
      <c r="AE787" s="182"/>
      <c r="AF787" s="182"/>
      <c r="AG787" s="182"/>
      <c r="AH787" s="189"/>
      <c r="AI787" s="401"/>
      <c r="AJ787" s="189"/>
      <c r="AK787" s="401"/>
      <c r="AL787" s="401"/>
      <c r="AM787" s="189"/>
      <c r="AN787" s="782"/>
      <c r="AO787" s="189"/>
      <c r="AP787" s="401"/>
      <c r="AQ787" s="401"/>
      <c r="AR787" s="401"/>
      <c r="AS787" s="188"/>
      <c r="AT787" s="1"/>
      <c r="AU787" s="403"/>
      <c r="AV787" s="1"/>
      <c r="AW787" s="166"/>
      <c r="AX787" s="166"/>
      <c r="AY787" s="189"/>
      <c r="AZ787" s="189"/>
      <c r="BA787" s="196"/>
      <c r="BB787" s="629"/>
      <c r="BC787" s="197"/>
      <c r="BD787" s="510"/>
      <c r="BE787" s="510"/>
      <c r="BF787" s="177"/>
      <c r="BG787" s="177"/>
      <c r="BH787" s="166"/>
      <c r="BI787" s="474"/>
      <c r="BJ787" s="166"/>
      <c r="BK787" s="474"/>
      <c r="BL787" s="474"/>
      <c r="BM787" s="474"/>
      <c r="BN787" s="166"/>
      <c r="BO787" s="166"/>
      <c r="BP787" s="204"/>
      <c r="BQ787" s="475"/>
      <c r="BR787" s="205"/>
      <c r="BS787" s="509"/>
      <c r="BT787" s="509"/>
      <c r="BU787" s="459"/>
      <c r="BV787" s="459"/>
      <c r="BW787" s="1"/>
      <c r="BX787" s="1"/>
      <c r="BY787" s="546"/>
      <c r="BZ787" s="546"/>
      <c r="CA787" s="546"/>
      <c r="CB787" s="546"/>
      <c r="CC787" s="728"/>
      <c r="CD787" s="728"/>
      <c r="CE787" s="170"/>
    </row>
    <row r="788" spans="1:84">
      <c r="A788" s="701"/>
      <c r="B788" s="447"/>
      <c r="C788" s="161"/>
      <c r="D788" s="162"/>
      <c r="E788" s="1"/>
      <c r="F788" s="811"/>
      <c r="G788" s="440"/>
      <c r="H788" s="1"/>
      <c r="I788" s="55"/>
      <c r="J788" s="170"/>
      <c r="K788" s="1"/>
      <c r="L788" s="170"/>
      <c r="M788" s="1"/>
      <c r="N788" s="458"/>
      <c r="O788" s="170"/>
      <c r="P788" s="441"/>
      <c r="Q788" s="55"/>
      <c r="R788" s="177"/>
      <c r="S788" s="454"/>
      <c r="T788" s="178"/>
      <c r="U788" s="178"/>
      <c r="V788" s="179"/>
      <c r="W788" s="180"/>
      <c r="X788" s="179"/>
      <c r="Y788" s="180"/>
      <c r="Z788" s="178"/>
      <c r="AA788" s="178"/>
      <c r="AB788" s="178"/>
      <c r="AC788" s="178"/>
      <c r="AD788" s="182"/>
      <c r="AE788" s="182"/>
      <c r="AF788" s="182"/>
      <c r="AG788" s="182"/>
      <c r="AH788" s="401"/>
      <c r="AI788" s="401"/>
      <c r="AJ788" s="401"/>
      <c r="AK788" s="401"/>
      <c r="AL788" s="401"/>
      <c r="AM788" s="189"/>
      <c r="AN788" s="829"/>
      <c r="AO788" s="830"/>
      <c r="AP788" s="401"/>
      <c r="AQ788" s="401"/>
      <c r="AR788" s="401"/>
      <c r="AS788" s="401"/>
      <c r="AT788" s="403"/>
      <c r="AU788" s="403"/>
      <c r="AV788" s="170"/>
      <c r="AW788" s="166"/>
      <c r="AX788" s="166"/>
      <c r="AY788" s="189"/>
      <c r="AZ788" s="189"/>
      <c r="BA788" s="196"/>
      <c r="BB788" s="629"/>
      <c r="BC788" s="190"/>
      <c r="BD788" s="510"/>
      <c r="BE788" s="510"/>
      <c r="BF788" s="177"/>
      <c r="BG788" s="177"/>
      <c r="BH788" s="166"/>
      <c r="BI788" s="474"/>
      <c r="BJ788" s="166"/>
      <c r="BK788" s="474"/>
      <c r="BL788" s="474"/>
      <c r="BM788" s="474"/>
      <c r="BN788" s="166"/>
      <c r="BO788" s="166"/>
      <c r="BP788" s="204"/>
      <c r="BQ788" s="475"/>
      <c r="BR788" s="205"/>
      <c r="BS788" s="509"/>
      <c r="BT788" s="509"/>
      <c r="BU788" s="459"/>
      <c r="BV788" s="459"/>
      <c r="BW788" s="1"/>
      <c r="BX788" s="1"/>
      <c r="BY788" s="546"/>
      <c r="BZ788" s="546"/>
      <c r="CA788" s="546"/>
      <c r="CB788" s="546"/>
      <c r="CC788" s="728"/>
      <c r="CD788" s="728"/>
      <c r="CE788" s="170"/>
      <c r="CF788"/>
    </row>
    <row r="789" spans="1:84">
      <c r="A789" s="701"/>
      <c r="B789" s="447"/>
      <c r="C789" s="161"/>
      <c r="D789" s="162"/>
      <c r="E789" s="1"/>
      <c r="F789" s="811"/>
      <c r="G789" s="440"/>
      <c r="H789" s="1"/>
      <c r="I789" s="55"/>
      <c r="J789" s="170"/>
      <c r="K789" s="1"/>
      <c r="L789" s="170"/>
      <c r="M789" s="1"/>
      <c r="N789" s="458"/>
      <c r="O789" s="170"/>
      <c r="P789" s="441"/>
      <c r="Q789" s="55"/>
      <c r="R789" s="177"/>
      <c r="S789" s="454"/>
      <c r="T789" s="178"/>
      <c r="U789" s="178"/>
      <c r="V789" s="179"/>
      <c r="W789" s="180"/>
      <c r="X789" s="179"/>
      <c r="Y789" s="180"/>
      <c r="Z789" s="178"/>
      <c r="AA789" s="178"/>
      <c r="AB789" s="178"/>
      <c r="AC789" s="178"/>
      <c r="AD789" s="182"/>
      <c r="AE789" s="182"/>
      <c r="AF789" s="182"/>
      <c r="AG789" s="182"/>
      <c r="AH789" s="401"/>
      <c r="AI789" s="401"/>
      <c r="AJ789" s="401"/>
      <c r="AK789" s="401"/>
      <c r="AL789" s="401"/>
      <c r="AM789" s="189"/>
      <c r="AN789" s="829"/>
      <c r="AO789" s="830"/>
      <c r="AP789" s="401"/>
      <c r="AQ789" s="401"/>
      <c r="AR789" s="401"/>
      <c r="AS789" s="401"/>
      <c r="AT789" s="403"/>
      <c r="AU789" s="403"/>
      <c r="AV789" s="170"/>
      <c r="AW789" s="166"/>
      <c r="AX789" s="166"/>
      <c r="AY789" s="189"/>
      <c r="AZ789" s="189"/>
      <c r="BA789" s="196"/>
      <c r="BB789" s="629"/>
      <c r="BC789" s="190"/>
      <c r="BD789" s="510"/>
      <c r="BE789" s="510"/>
      <c r="BF789" s="177"/>
      <c r="BG789" s="177"/>
      <c r="BH789" s="166"/>
      <c r="BI789" s="474"/>
      <c r="BJ789" s="166"/>
      <c r="BK789" s="474"/>
      <c r="BL789" s="474"/>
      <c r="BM789" s="474"/>
      <c r="BN789" s="166"/>
      <c r="BO789" s="166"/>
      <c r="BP789" s="204"/>
      <c r="BQ789" s="475"/>
      <c r="BR789" s="205"/>
      <c r="BS789" s="509"/>
      <c r="BT789" s="509"/>
      <c r="BU789" s="459"/>
      <c r="BV789" s="459"/>
      <c r="BW789" s="1"/>
      <c r="BX789" s="1"/>
      <c r="BY789" s="546"/>
      <c r="BZ789" s="546"/>
      <c r="CA789" s="546"/>
      <c r="CB789" s="546"/>
      <c r="CC789" s="728"/>
      <c r="CD789" s="728"/>
      <c r="CE789" s="170"/>
      <c r="CF789"/>
    </row>
    <row r="790" spans="1:84">
      <c r="A790" s="701"/>
      <c r="B790" s="447"/>
      <c r="C790" s="161"/>
      <c r="D790" s="162"/>
      <c r="E790" s="1"/>
      <c r="F790" s="811"/>
      <c r="G790" s="440"/>
      <c r="H790" s="1"/>
      <c r="I790" s="55"/>
      <c r="J790" s="170"/>
      <c r="K790" s="1"/>
      <c r="L790" s="170"/>
      <c r="M790" s="1"/>
      <c r="N790" s="458"/>
      <c r="O790" s="170"/>
      <c r="P790" s="441"/>
      <c r="Q790" s="55"/>
      <c r="R790" s="177"/>
      <c r="S790" s="454"/>
      <c r="T790" s="178"/>
      <c r="U790" s="178"/>
      <c r="V790" s="179"/>
      <c r="W790" s="180"/>
      <c r="X790" s="179"/>
      <c r="Y790" s="180"/>
      <c r="Z790" s="178"/>
      <c r="AA790" s="178"/>
      <c r="AB790" s="178"/>
      <c r="AC790" s="178"/>
      <c r="AD790" s="182"/>
      <c r="AE790" s="182"/>
      <c r="AF790" s="182"/>
      <c r="AG790" s="182"/>
      <c r="AH790" s="401"/>
      <c r="AI790" s="401"/>
      <c r="AJ790" s="401"/>
      <c r="AK790" s="401"/>
      <c r="AL790" s="401"/>
      <c r="AM790" s="189"/>
      <c r="AN790" s="829"/>
      <c r="AO790" s="830"/>
      <c r="AP790" s="401"/>
      <c r="AQ790" s="401"/>
      <c r="AR790" s="401"/>
      <c r="AS790" s="401"/>
      <c r="AT790" s="403"/>
      <c r="AU790" s="403"/>
      <c r="AV790" s="170"/>
      <c r="AW790" s="166"/>
      <c r="AX790" s="166"/>
      <c r="AY790" s="189"/>
      <c r="AZ790" s="189"/>
      <c r="BA790" s="196"/>
      <c r="BB790" s="629"/>
      <c r="BC790" s="190"/>
      <c r="BD790" s="510"/>
      <c r="BE790" s="510"/>
      <c r="BF790" s="177"/>
      <c r="BG790" s="177"/>
      <c r="BH790" s="166"/>
      <c r="BI790" s="474"/>
      <c r="BJ790" s="166"/>
      <c r="BK790" s="474"/>
      <c r="BL790" s="474"/>
      <c r="BM790" s="474"/>
      <c r="BN790" s="166"/>
      <c r="BO790" s="166"/>
      <c r="BP790" s="204"/>
      <c r="BQ790" s="475"/>
      <c r="BR790" s="205"/>
      <c r="BS790" s="509"/>
      <c r="BT790" s="509"/>
      <c r="BU790" s="459"/>
      <c r="BV790" s="459"/>
      <c r="BW790" s="1"/>
      <c r="BX790" s="1"/>
      <c r="BY790" s="546"/>
      <c r="BZ790" s="546"/>
      <c r="CA790" s="546"/>
      <c r="CB790" s="546"/>
      <c r="CC790" s="728"/>
      <c r="CD790" s="728"/>
      <c r="CE790" s="170"/>
      <c r="CF790"/>
    </row>
    <row r="791" spans="1:84">
      <c r="A791" s="701"/>
      <c r="B791" s="447"/>
      <c r="C791" s="161"/>
      <c r="D791" s="162"/>
      <c r="E791" s="1"/>
      <c r="F791" s="811"/>
      <c r="G791" s="440"/>
      <c r="H791" s="1"/>
      <c r="I791" s="55"/>
      <c r="J791" s="170"/>
      <c r="K791" s="1"/>
      <c r="L791" s="170"/>
      <c r="M791" s="1"/>
      <c r="N791" s="458"/>
      <c r="O791" s="170"/>
      <c r="P791" s="441"/>
      <c r="Q791" s="55"/>
      <c r="R791" s="177"/>
      <c r="S791" s="454"/>
      <c r="T791" s="178"/>
      <c r="U791" s="178"/>
      <c r="V791" s="179"/>
      <c r="W791" s="180"/>
      <c r="X791" s="179"/>
      <c r="Y791" s="180"/>
      <c r="Z791" s="178"/>
      <c r="AA791" s="178"/>
      <c r="AB791" s="178"/>
      <c r="AC791" s="178"/>
      <c r="AD791" s="182"/>
      <c r="AE791" s="182"/>
      <c r="AF791" s="182"/>
      <c r="AG791" s="182"/>
      <c r="AH791" s="401"/>
      <c r="AI791" s="401"/>
      <c r="AJ791" s="401"/>
      <c r="AK791" s="401"/>
      <c r="AL791" s="401"/>
      <c r="AM791" s="189"/>
      <c r="AN791" s="829"/>
      <c r="AO791" s="830"/>
      <c r="AP791" s="401"/>
      <c r="AQ791" s="401"/>
      <c r="AR791" s="401"/>
      <c r="AS791" s="401"/>
      <c r="AT791" s="403"/>
      <c r="AU791" s="403"/>
      <c r="AV791" s="170"/>
      <c r="AW791" s="166"/>
      <c r="AX791" s="166"/>
      <c r="AY791" s="189"/>
      <c r="AZ791" s="189"/>
      <c r="BA791" s="196"/>
      <c r="BB791" s="629"/>
      <c r="BC791" s="190"/>
      <c r="BD791" s="510"/>
      <c r="BE791" s="510"/>
      <c r="BF791" s="177"/>
      <c r="BG791" s="177"/>
      <c r="BH791" s="166"/>
      <c r="BI791" s="474"/>
      <c r="BJ791" s="166"/>
      <c r="BK791" s="474"/>
      <c r="BL791" s="474"/>
      <c r="BM791" s="474"/>
      <c r="BN791" s="166"/>
      <c r="BO791" s="166"/>
      <c r="BP791" s="204"/>
      <c r="BQ791" s="475"/>
      <c r="BR791" s="205"/>
      <c r="BS791" s="509"/>
      <c r="BT791" s="509"/>
      <c r="BU791" s="459"/>
      <c r="BV791" s="459"/>
      <c r="BW791" s="1"/>
      <c r="BX791" s="1"/>
      <c r="BY791" s="546"/>
      <c r="BZ791" s="546"/>
      <c r="CA791" s="546"/>
      <c r="CB791" s="546"/>
      <c r="CC791" s="728"/>
      <c r="CD791" s="728"/>
      <c r="CE791" s="170"/>
      <c r="CF791"/>
    </row>
    <row r="792" spans="1:84">
      <c r="A792" s="701"/>
      <c r="B792" s="447"/>
      <c r="C792" s="161"/>
      <c r="D792" s="162"/>
      <c r="E792" s="1"/>
      <c r="F792" s="811"/>
      <c r="G792" s="440"/>
      <c r="H792" s="1"/>
      <c r="I792" s="55"/>
      <c r="J792" s="170"/>
      <c r="K792" s="1"/>
      <c r="L792" s="170"/>
      <c r="M792" s="1"/>
      <c r="N792" s="458"/>
      <c r="O792" s="170"/>
      <c r="P792" s="441"/>
      <c r="Q792" s="55"/>
      <c r="R792" s="177"/>
      <c r="S792" s="454"/>
      <c r="T792" s="178"/>
      <c r="U792" s="178"/>
      <c r="V792" s="179"/>
      <c r="W792" s="180"/>
      <c r="X792" s="179"/>
      <c r="Y792" s="180"/>
      <c r="Z792" s="178"/>
      <c r="AA792" s="178"/>
      <c r="AB792" s="178"/>
      <c r="AC792" s="178"/>
      <c r="AD792" s="182"/>
      <c r="AE792" s="182"/>
      <c r="AF792" s="182"/>
      <c r="AG792" s="182"/>
      <c r="AH792" s="401"/>
      <c r="AI792" s="401"/>
      <c r="AJ792" s="401"/>
      <c r="AK792" s="401"/>
      <c r="AL792" s="401"/>
      <c r="AM792" s="189"/>
      <c r="AN792" s="829"/>
      <c r="AO792" s="830"/>
      <c r="AP792" s="401"/>
      <c r="AQ792" s="401"/>
      <c r="AR792" s="401"/>
      <c r="AS792" s="401"/>
      <c r="AT792" s="403"/>
      <c r="AU792" s="403"/>
      <c r="AV792" s="170"/>
      <c r="AW792" s="166"/>
      <c r="AX792" s="166"/>
      <c r="AY792" s="189"/>
      <c r="AZ792" s="189"/>
      <c r="BA792" s="196"/>
      <c r="BB792" s="629"/>
      <c r="BC792" s="190"/>
      <c r="BD792" s="510"/>
      <c r="BE792" s="510"/>
      <c r="BF792" s="177"/>
      <c r="BG792" s="177"/>
      <c r="BH792" s="166"/>
      <c r="BI792" s="474"/>
      <c r="BJ792" s="166"/>
      <c r="BK792" s="474"/>
      <c r="BL792" s="474"/>
      <c r="BM792" s="474"/>
      <c r="BN792" s="166"/>
      <c r="BO792" s="166"/>
      <c r="BP792" s="204"/>
      <c r="BQ792" s="475"/>
      <c r="BR792" s="205"/>
      <c r="BS792" s="509"/>
      <c r="BT792" s="509"/>
      <c r="BU792" s="459"/>
      <c r="BV792" s="459"/>
      <c r="BW792" s="1"/>
      <c r="BX792" s="1"/>
      <c r="BY792" s="546"/>
      <c r="BZ792" s="546"/>
      <c r="CA792" s="546"/>
      <c r="CB792" s="546"/>
      <c r="CC792" s="728"/>
      <c r="CD792" s="728"/>
      <c r="CE792" s="170"/>
      <c r="CF792"/>
    </row>
    <row r="793" spans="1:84">
      <c r="A793" s="701"/>
      <c r="B793" s="447"/>
      <c r="C793" s="161"/>
      <c r="D793" s="162"/>
      <c r="E793" s="1"/>
      <c r="F793" s="811"/>
      <c r="G793" s="440"/>
      <c r="H793" s="1"/>
      <c r="I793" s="55"/>
      <c r="J793" s="170"/>
      <c r="K793" s="1"/>
      <c r="L793" s="170"/>
      <c r="M793" s="1"/>
      <c r="N793" s="458"/>
      <c r="O793" s="170"/>
      <c r="P793" s="441"/>
      <c r="Q793" s="55"/>
      <c r="R793" s="177"/>
      <c r="S793" s="454"/>
      <c r="T793" s="178"/>
      <c r="U793" s="178"/>
      <c r="V793" s="179"/>
      <c r="W793" s="180"/>
      <c r="X793" s="179"/>
      <c r="Y793" s="180"/>
      <c r="Z793" s="178"/>
      <c r="AA793" s="178"/>
      <c r="AB793" s="178"/>
      <c r="AC793" s="178"/>
      <c r="AD793" s="182"/>
      <c r="AE793" s="182"/>
      <c r="AF793" s="182"/>
      <c r="AG793" s="182"/>
      <c r="AH793" s="401"/>
      <c r="AI793" s="401"/>
      <c r="AJ793" s="401"/>
      <c r="AK793" s="401"/>
      <c r="AL793" s="401"/>
      <c r="AM793" s="189"/>
      <c r="AN793" s="829"/>
      <c r="AO793" s="830"/>
      <c r="AP793" s="401"/>
      <c r="AQ793" s="401"/>
      <c r="AR793" s="401"/>
      <c r="AS793" s="401"/>
      <c r="AT793" s="403"/>
      <c r="AU793" s="403"/>
      <c r="AV793" s="170"/>
      <c r="AW793" s="166"/>
      <c r="AX793" s="166"/>
      <c r="AY793" s="189"/>
      <c r="AZ793" s="189"/>
      <c r="BA793" s="196"/>
      <c r="BB793" s="629"/>
      <c r="BC793" s="190"/>
      <c r="BD793" s="510"/>
      <c r="BE793" s="510"/>
      <c r="BF793" s="177"/>
      <c r="BG793" s="177"/>
      <c r="BH793" s="166"/>
      <c r="BI793" s="474"/>
      <c r="BJ793" s="166"/>
      <c r="BK793" s="474"/>
      <c r="BL793" s="474"/>
      <c r="BM793" s="474"/>
      <c r="BN793" s="166"/>
      <c r="BO793" s="166"/>
      <c r="BP793" s="204"/>
      <c r="BQ793" s="475"/>
      <c r="BR793" s="205"/>
      <c r="BS793" s="509"/>
      <c r="BT793" s="509"/>
      <c r="BU793" s="459"/>
      <c r="BV793" s="459"/>
      <c r="BW793" s="1"/>
      <c r="BX793" s="1"/>
      <c r="BY793" s="546"/>
      <c r="BZ793" s="546"/>
      <c r="CA793" s="546"/>
      <c r="CB793" s="546"/>
      <c r="CC793" s="728"/>
      <c r="CD793" s="728"/>
      <c r="CE793" s="170"/>
      <c r="CF793"/>
    </row>
    <row r="794" spans="1:84">
      <c r="A794" s="701"/>
      <c r="B794" s="447"/>
      <c r="C794" s="161"/>
      <c r="D794" s="162"/>
      <c r="E794" s="1"/>
      <c r="F794" s="811"/>
      <c r="G794" s="440"/>
      <c r="H794" s="1"/>
      <c r="I794" s="55"/>
      <c r="J794" s="170"/>
      <c r="K794" s="1"/>
      <c r="L794" s="170"/>
      <c r="M794" s="1"/>
      <c r="N794" s="458"/>
      <c r="O794" s="170"/>
      <c r="P794" s="441"/>
      <c r="Q794" s="55"/>
      <c r="R794" s="177"/>
      <c r="S794" s="454"/>
      <c r="T794" s="178"/>
      <c r="U794" s="178"/>
      <c r="V794" s="179"/>
      <c r="W794" s="180"/>
      <c r="X794" s="179"/>
      <c r="Y794" s="180"/>
      <c r="Z794" s="178"/>
      <c r="AA794" s="178"/>
      <c r="AB794" s="178"/>
      <c r="AC794" s="178"/>
      <c r="AD794" s="182"/>
      <c r="AE794" s="182"/>
      <c r="AF794" s="182"/>
      <c r="AG794" s="182"/>
      <c r="AH794" s="401"/>
      <c r="AI794" s="401"/>
      <c r="AJ794" s="401"/>
      <c r="AK794" s="401"/>
      <c r="AL794" s="401"/>
      <c r="AM794" s="189"/>
      <c r="AN794" s="829"/>
      <c r="AO794" s="830"/>
      <c r="AP794" s="401"/>
      <c r="AQ794" s="401"/>
      <c r="AR794" s="401"/>
      <c r="AS794" s="401"/>
      <c r="AT794" s="403"/>
      <c r="AU794" s="403"/>
      <c r="AV794" s="170"/>
      <c r="AW794" s="166"/>
      <c r="AX794" s="166"/>
      <c r="AY794" s="189"/>
      <c r="AZ794" s="189"/>
      <c r="BA794" s="196"/>
      <c r="BB794" s="629"/>
      <c r="BC794" s="190"/>
      <c r="BD794" s="510"/>
      <c r="BE794" s="510"/>
      <c r="BF794" s="177"/>
      <c r="BG794" s="177"/>
      <c r="BH794" s="166"/>
      <c r="BI794" s="474"/>
      <c r="BJ794" s="166"/>
      <c r="BK794" s="474"/>
      <c r="BL794" s="474"/>
      <c r="BM794" s="474"/>
      <c r="BN794" s="166"/>
      <c r="BO794" s="166"/>
      <c r="BP794" s="204"/>
      <c r="BQ794" s="475"/>
      <c r="BR794" s="205"/>
      <c r="BS794" s="509"/>
      <c r="BT794" s="509"/>
      <c r="BU794" s="459"/>
      <c r="BV794" s="459"/>
      <c r="BW794" s="1"/>
      <c r="BX794" s="1"/>
      <c r="BY794" s="546"/>
      <c r="BZ794" s="546"/>
      <c r="CA794" s="546"/>
      <c r="CB794" s="546"/>
      <c r="CC794" s="728"/>
      <c r="CD794" s="728"/>
      <c r="CE794" s="170"/>
      <c r="CF794"/>
    </row>
    <row r="795" spans="1:84">
      <c r="A795" s="701"/>
      <c r="B795" s="447"/>
      <c r="C795" s="161"/>
      <c r="D795" s="162"/>
      <c r="E795" s="1"/>
      <c r="F795" s="811"/>
      <c r="G795" s="440"/>
      <c r="H795" s="1"/>
      <c r="I795" s="55"/>
      <c r="J795" s="170"/>
      <c r="K795" s="1"/>
      <c r="L795" s="170"/>
      <c r="M795" s="1"/>
      <c r="N795" s="458"/>
      <c r="O795" s="170"/>
      <c r="P795" s="441"/>
      <c r="Q795" s="55"/>
      <c r="R795" s="177"/>
      <c r="S795" s="454"/>
      <c r="T795" s="178"/>
      <c r="U795" s="178"/>
      <c r="V795" s="179"/>
      <c r="W795" s="180"/>
      <c r="X795" s="179"/>
      <c r="Y795" s="180"/>
      <c r="Z795" s="178"/>
      <c r="AA795" s="178"/>
      <c r="AB795" s="178"/>
      <c r="AC795" s="178"/>
      <c r="AD795" s="182"/>
      <c r="AE795" s="182"/>
      <c r="AF795" s="182"/>
      <c r="AG795" s="182"/>
      <c r="AH795" s="401"/>
      <c r="AI795" s="401"/>
      <c r="AJ795" s="401"/>
      <c r="AK795" s="401"/>
      <c r="AL795" s="401"/>
      <c r="AM795" s="189"/>
      <c r="AN795" s="829"/>
      <c r="AO795" s="830"/>
      <c r="AP795" s="401"/>
      <c r="AQ795" s="401"/>
      <c r="AR795" s="401"/>
      <c r="AS795" s="401"/>
      <c r="AT795" s="403"/>
      <c r="AU795" s="403"/>
      <c r="AV795" s="170"/>
      <c r="AW795" s="166"/>
      <c r="AX795" s="166"/>
      <c r="AY795" s="189"/>
      <c r="AZ795" s="189"/>
      <c r="BA795" s="196"/>
      <c r="BB795" s="629"/>
      <c r="BC795" s="190"/>
      <c r="BD795" s="510"/>
      <c r="BE795" s="510"/>
      <c r="BF795" s="177"/>
      <c r="BG795" s="177"/>
      <c r="BH795" s="166"/>
      <c r="BI795" s="474"/>
      <c r="BJ795" s="166"/>
      <c r="BK795" s="474"/>
      <c r="BL795" s="474"/>
      <c r="BM795" s="474"/>
      <c r="BN795" s="166"/>
      <c r="BO795" s="166"/>
      <c r="BP795" s="204"/>
      <c r="BQ795" s="475"/>
      <c r="BR795" s="205"/>
      <c r="BS795" s="509"/>
      <c r="BT795" s="509"/>
      <c r="BU795" s="459"/>
      <c r="BV795" s="459"/>
      <c r="BW795" s="1"/>
      <c r="BX795" s="1"/>
      <c r="BY795" s="1"/>
      <c r="BZ795" s="1"/>
      <c r="CE795" s="170"/>
      <c r="CF795"/>
    </row>
    <row r="796" spans="1:84" customFormat="1">
      <c r="A796" s="701"/>
      <c r="B796" s="447"/>
      <c r="C796" s="1"/>
      <c r="D796" s="538"/>
      <c r="E796" s="1"/>
      <c r="F796" s="811"/>
      <c r="G796" s="440"/>
      <c r="H796" s="1"/>
      <c r="I796" s="55"/>
      <c r="J796" s="171"/>
      <c r="K796" s="55"/>
      <c r="L796" s="171"/>
      <c r="M796" s="55"/>
      <c r="N796" s="172"/>
      <c r="O796" s="170"/>
      <c r="P796" s="139"/>
      <c r="Q796" s="172"/>
      <c r="R796" s="181"/>
      <c r="S796" s="455"/>
      <c r="T796" s="170"/>
      <c r="U796" s="170"/>
      <c r="V796" s="1"/>
      <c r="W796" s="173"/>
      <c r="X796" s="1"/>
      <c r="Y796" s="166"/>
      <c r="Z796" s="170"/>
      <c r="AA796" s="170"/>
      <c r="AB796" s="170"/>
      <c r="AC796" s="170"/>
      <c r="AD796" s="182"/>
      <c r="AE796" s="182"/>
      <c r="AF796" s="182"/>
      <c r="AG796" s="182"/>
      <c r="AH796" s="189"/>
      <c r="AI796" s="401"/>
      <c r="AJ796" s="189"/>
      <c r="AK796" s="401"/>
      <c r="AL796" s="401"/>
      <c r="AM796" s="189"/>
      <c r="AN796" s="782"/>
      <c r="AO796" s="189"/>
      <c r="AP796" s="401"/>
      <c r="AQ796" s="401"/>
      <c r="AR796" s="401"/>
      <c r="AS796" s="188"/>
      <c r="AT796" s="1"/>
      <c r="AU796" s="403"/>
      <c r="AV796" s="1"/>
      <c r="AW796" s="166"/>
      <c r="AX796" s="166"/>
      <c r="AY796" s="189"/>
      <c r="AZ796" s="189"/>
      <c r="BA796" s="196"/>
      <c r="BB796" s="629"/>
      <c r="BC796" s="197"/>
      <c r="BD796" s="510"/>
      <c r="BE796" s="510"/>
      <c r="BF796" s="177"/>
      <c r="BG796" s="177"/>
      <c r="BH796" s="166"/>
      <c r="BI796" s="474"/>
      <c r="BJ796" s="166"/>
      <c r="BK796" s="474"/>
      <c r="BL796" s="474"/>
      <c r="BM796" s="474"/>
      <c r="BN796" s="166"/>
      <c r="BO796" s="166"/>
      <c r="BP796" s="204"/>
      <c r="BQ796" s="475"/>
      <c r="BR796" s="205"/>
      <c r="BS796" s="509"/>
      <c r="BT796" s="509"/>
      <c r="BU796" s="459"/>
      <c r="BV796" s="459"/>
      <c r="BW796" s="1"/>
      <c r="BX796" s="1"/>
      <c r="BY796" s="546"/>
      <c r="BZ796" s="546"/>
      <c r="CA796" s="546"/>
      <c r="CB796" s="546"/>
      <c r="CC796" s="728"/>
      <c r="CD796" s="728"/>
      <c r="CE796" s="170"/>
    </row>
    <row r="797" spans="1:84" customFormat="1">
      <c r="A797" s="701"/>
      <c r="B797" s="447"/>
      <c r="C797" s="161"/>
      <c r="D797" s="162"/>
      <c r="E797" s="1"/>
      <c r="F797" s="811"/>
      <c r="G797" s="440"/>
      <c r="H797" s="1"/>
      <c r="I797" s="55"/>
      <c r="J797" s="170"/>
      <c r="K797" s="1"/>
      <c r="L797" s="170"/>
      <c r="M797" s="1"/>
      <c r="N797" s="458"/>
      <c r="O797" s="170"/>
      <c r="P797" s="441"/>
      <c r="Q797" s="55"/>
      <c r="R797" s="177"/>
      <c r="S797" s="454"/>
      <c r="T797" s="178"/>
      <c r="U797" s="178"/>
      <c r="V797" s="179"/>
      <c r="W797" s="180"/>
      <c r="X797" s="179"/>
      <c r="Y797" s="180"/>
      <c r="Z797" s="178"/>
      <c r="AA797" s="178"/>
      <c r="AB797" s="178"/>
      <c r="AC797" s="178"/>
      <c r="AD797" s="182"/>
      <c r="AE797" s="182"/>
      <c r="AF797" s="182"/>
      <c r="AG797" s="182"/>
      <c r="AH797" s="401"/>
      <c r="AI797" s="401"/>
      <c r="AJ797" s="401"/>
      <c r="AK797" s="401"/>
      <c r="AL797" s="401"/>
      <c r="AM797" s="189"/>
      <c r="AN797" s="829"/>
      <c r="AO797" s="830"/>
      <c r="AP797" s="401"/>
      <c r="AQ797" s="401"/>
      <c r="AR797" s="401"/>
      <c r="AS797" s="401"/>
      <c r="AT797" s="402"/>
      <c r="AU797" s="403"/>
      <c r="AV797" s="170"/>
      <c r="AW797" s="166"/>
      <c r="AX797" s="166"/>
      <c r="AY797" s="189"/>
      <c r="AZ797" s="189"/>
      <c r="BA797" s="196"/>
      <c r="BB797" s="629"/>
      <c r="BC797" s="190"/>
      <c r="BD797" s="510"/>
      <c r="BE797" s="510"/>
      <c r="BF797" s="177"/>
      <c r="BG797" s="177"/>
      <c r="BH797" s="166"/>
      <c r="BI797" s="474"/>
      <c r="BJ797" s="166"/>
      <c r="BK797" s="474"/>
      <c r="BL797" s="474"/>
      <c r="BM797" s="474"/>
      <c r="BN797" s="166"/>
      <c r="BO797" s="166"/>
      <c r="BP797" s="204"/>
      <c r="BQ797" s="475"/>
      <c r="BR797" s="205"/>
      <c r="BS797" s="509"/>
      <c r="BT797" s="509"/>
      <c r="BU797" s="459"/>
      <c r="BV797" s="459"/>
      <c r="BW797" s="1"/>
      <c r="BX797" s="1"/>
      <c r="BY797" s="546"/>
      <c r="BZ797" s="546"/>
      <c r="CA797" s="546"/>
      <c r="CB797" s="546"/>
      <c r="CC797" s="728"/>
      <c r="CD797" s="728"/>
      <c r="CE797" s="170"/>
    </row>
    <row r="798" spans="1:84" customFormat="1">
      <c r="A798" s="701"/>
      <c r="B798" s="447"/>
      <c r="C798" s="161"/>
      <c r="D798" s="162"/>
      <c r="E798" s="1"/>
      <c r="F798" s="811"/>
      <c r="G798" s="440"/>
      <c r="H798" s="1"/>
      <c r="I798" s="55"/>
      <c r="J798" s="170"/>
      <c r="K798" s="1"/>
      <c r="L798" s="170"/>
      <c r="M798" s="1"/>
      <c r="N798" s="458"/>
      <c r="O798" s="170"/>
      <c r="P798" s="441"/>
      <c r="Q798" s="55"/>
      <c r="R798" s="177"/>
      <c r="S798" s="454"/>
      <c r="T798" s="178"/>
      <c r="U798" s="178"/>
      <c r="V798" s="179"/>
      <c r="W798" s="180"/>
      <c r="X798" s="179"/>
      <c r="Y798" s="180"/>
      <c r="Z798" s="178"/>
      <c r="AA798" s="178"/>
      <c r="AB798" s="178"/>
      <c r="AC798" s="178"/>
      <c r="AD798" s="182"/>
      <c r="AE798" s="182"/>
      <c r="AF798" s="182"/>
      <c r="AG798" s="182"/>
      <c r="AH798" s="401"/>
      <c r="AI798" s="401"/>
      <c r="AJ798" s="401"/>
      <c r="AK798" s="401"/>
      <c r="AL798" s="401"/>
      <c r="AM798" s="189"/>
      <c r="AN798" s="829"/>
      <c r="AO798" s="830"/>
      <c r="AP798" s="401"/>
      <c r="AQ798" s="401"/>
      <c r="AR798" s="401"/>
      <c r="AS798" s="401"/>
      <c r="AT798" s="403"/>
      <c r="AU798" s="403"/>
      <c r="AV798" s="170"/>
      <c r="AW798" s="166"/>
      <c r="AX798" s="166"/>
      <c r="AY798" s="189"/>
      <c r="AZ798" s="189"/>
      <c r="BA798" s="196"/>
      <c r="BB798" s="629"/>
      <c r="BC798" s="190"/>
      <c r="BD798" s="510"/>
      <c r="BE798" s="510"/>
      <c r="BF798" s="177"/>
      <c r="BG798" s="177"/>
      <c r="BH798" s="166"/>
      <c r="BI798" s="474"/>
      <c r="BJ798" s="166"/>
      <c r="BK798" s="474"/>
      <c r="BL798" s="474"/>
      <c r="BM798" s="474"/>
      <c r="BN798" s="166"/>
      <c r="BO798" s="166"/>
      <c r="BP798" s="204"/>
      <c r="BQ798" s="475"/>
      <c r="BR798" s="205"/>
      <c r="BS798" s="509"/>
      <c r="BT798" s="509"/>
      <c r="BU798" s="459"/>
      <c r="BV798" s="459"/>
      <c r="BW798" s="1"/>
      <c r="BX798" s="1"/>
      <c r="BY798" s="546"/>
      <c r="BZ798" s="546"/>
      <c r="CA798" s="546"/>
      <c r="CB798" s="546"/>
      <c r="CC798" s="728"/>
      <c r="CD798" s="728"/>
      <c r="CE798" s="170"/>
    </row>
    <row r="799" spans="1:84" customFormat="1">
      <c r="A799" s="701"/>
      <c r="B799" s="447"/>
      <c r="C799" s="161"/>
      <c r="D799" s="162"/>
      <c r="E799" s="1"/>
      <c r="F799" s="811"/>
      <c r="G799" s="440"/>
      <c r="H799" s="1"/>
      <c r="I799" s="55"/>
      <c r="J799" s="170"/>
      <c r="K799" s="1"/>
      <c r="L799" s="170"/>
      <c r="M799" s="1"/>
      <c r="N799" s="166"/>
      <c r="O799" s="170"/>
      <c r="P799" s="441"/>
      <c r="Q799" s="55"/>
      <c r="R799" s="177"/>
      <c r="S799" s="454"/>
      <c r="T799" s="178"/>
      <c r="U799" s="178"/>
      <c r="V799" s="179"/>
      <c r="W799" s="180"/>
      <c r="X799" s="179"/>
      <c r="Y799" s="180"/>
      <c r="Z799" s="178"/>
      <c r="AA799" s="178"/>
      <c r="AB799" s="178"/>
      <c r="AC799" s="178"/>
      <c r="AD799" s="182"/>
      <c r="AE799" s="182"/>
      <c r="AF799" s="182"/>
      <c r="AG799" s="182"/>
      <c r="AH799" s="401"/>
      <c r="AI799" s="401"/>
      <c r="AJ799" s="182"/>
      <c r="AK799" s="401"/>
      <c r="AL799" s="401"/>
      <c r="AM799" s="189"/>
      <c r="AN799" s="829"/>
      <c r="AO799" s="830"/>
      <c r="AP799" s="401"/>
      <c r="AQ799" s="401"/>
      <c r="AR799" s="401"/>
      <c r="AS799" s="401"/>
      <c r="AT799" s="403"/>
      <c r="AU799" s="403"/>
      <c r="AV799" s="170"/>
      <c r="AW799" s="166"/>
      <c r="AX799" s="166"/>
      <c r="AY799" s="189"/>
      <c r="AZ799" s="189"/>
      <c r="BA799" s="196"/>
      <c r="BB799" s="629"/>
      <c r="BC799" s="190"/>
      <c r="BD799" s="510"/>
      <c r="BE799" s="510"/>
      <c r="BF799" s="177"/>
      <c r="BG799" s="177"/>
      <c r="BH799" s="166"/>
      <c r="BI799" s="474"/>
      <c r="BJ799" s="166"/>
      <c r="BK799" s="474"/>
      <c r="BL799" s="474"/>
      <c r="BM799" s="474"/>
      <c r="BN799" s="166"/>
      <c r="BO799" s="166"/>
      <c r="BP799" s="204"/>
      <c r="BQ799" s="475"/>
      <c r="BR799" s="205"/>
      <c r="BS799" s="509"/>
      <c r="BT799" s="509"/>
      <c r="BU799" s="459"/>
      <c r="BV799" s="459"/>
      <c r="BW799" s="1"/>
      <c r="BX799" s="1"/>
      <c r="BY799" s="546"/>
      <c r="BZ799" s="546"/>
      <c r="CA799" s="546"/>
      <c r="CB799" s="546"/>
      <c r="CC799" s="728"/>
      <c r="CD799" s="728"/>
      <c r="CE799" s="170"/>
    </row>
    <row r="800" spans="1:84" customFormat="1">
      <c r="A800" s="701"/>
      <c r="B800" s="447"/>
      <c r="C800" s="1"/>
      <c r="D800" s="538"/>
      <c r="E800" s="1"/>
      <c r="F800" s="811"/>
      <c r="G800" s="440"/>
      <c r="H800" s="371"/>
      <c r="I800" s="55"/>
      <c r="J800" s="370"/>
      <c r="K800" s="55"/>
      <c r="L800" s="370"/>
      <c r="M800" s="55"/>
      <c r="N800" s="452"/>
      <c r="O800" s="170"/>
      <c r="P800" s="139"/>
      <c r="Q800" s="369"/>
      <c r="R800" s="181"/>
      <c r="S800" s="455"/>
      <c r="T800" s="170"/>
      <c r="U800" s="170"/>
      <c r="V800" s="1"/>
      <c r="W800" s="173"/>
      <c r="X800" s="1"/>
      <c r="Y800" s="166"/>
      <c r="Z800" s="170"/>
      <c r="AA800" s="170"/>
      <c r="AB800" s="170"/>
      <c r="AC800" s="170"/>
      <c r="AD800" s="182"/>
      <c r="AE800" s="182"/>
      <c r="AF800" s="182"/>
      <c r="AG800" s="182"/>
      <c r="AH800" s="189"/>
      <c r="AI800" s="401"/>
      <c r="AJ800" s="189"/>
      <c r="AK800" s="401"/>
      <c r="AL800" s="401"/>
      <c r="AM800" s="189"/>
      <c r="AN800" s="782"/>
      <c r="AO800" s="189"/>
      <c r="AP800" s="401"/>
      <c r="AQ800" s="401"/>
      <c r="AR800" s="401"/>
      <c r="AS800" s="188"/>
      <c r="AT800" s="1"/>
      <c r="AU800" s="403"/>
      <c r="AV800" s="1"/>
      <c r="AW800" s="166"/>
      <c r="AX800" s="166"/>
      <c r="AY800" s="189"/>
      <c r="AZ800" s="189"/>
      <c r="BA800" s="196"/>
      <c r="BB800" s="629"/>
      <c r="BC800" s="197"/>
      <c r="BD800" s="510"/>
      <c r="BE800" s="510"/>
      <c r="BF800" s="177"/>
      <c r="BG800" s="177"/>
      <c r="BH800" s="166"/>
      <c r="BI800" s="474"/>
      <c r="BJ800" s="166"/>
      <c r="BK800" s="474"/>
      <c r="BL800" s="474"/>
      <c r="BM800" s="474"/>
      <c r="BN800" s="166"/>
      <c r="BO800" s="166"/>
      <c r="BP800" s="204"/>
      <c r="BQ800" s="475"/>
      <c r="BR800" s="205"/>
      <c r="BS800" s="509"/>
      <c r="BT800" s="509"/>
      <c r="BU800" s="459"/>
      <c r="BV800" s="459"/>
      <c r="BW800" s="1"/>
      <c r="BX800" s="1"/>
      <c r="BY800" s="546"/>
      <c r="BZ800" s="546"/>
      <c r="CA800" s="546"/>
      <c r="CB800" s="546"/>
      <c r="CC800" s="728"/>
      <c r="CD800" s="728"/>
      <c r="CE800" s="170"/>
    </row>
    <row r="801" spans="1:84" customFormat="1">
      <c r="A801" s="701"/>
      <c r="B801" s="447"/>
      <c r="C801" s="161"/>
      <c r="D801" s="162"/>
      <c r="E801" s="1"/>
      <c r="F801" s="811"/>
      <c r="G801" s="440"/>
      <c r="H801" s="1"/>
      <c r="I801" s="55"/>
      <c r="J801" s="170"/>
      <c r="K801" s="1"/>
      <c r="L801" s="170"/>
      <c r="M801" s="1"/>
      <c r="N801" s="458"/>
      <c r="O801" s="170"/>
      <c r="P801" s="441"/>
      <c r="Q801" s="55"/>
      <c r="R801" s="177"/>
      <c r="S801" s="454"/>
      <c r="T801" s="178"/>
      <c r="U801" s="178"/>
      <c r="V801" s="179"/>
      <c r="W801" s="180"/>
      <c r="X801" s="179"/>
      <c r="Y801" s="180"/>
      <c r="Z801" s="178"/>
      <c r="AA801" s="178"/>
      <c r="AB801" s="178"/>
      <c r="AC801" s="178"/>
      <c r="AD801" s="182"/>
      <c r="AE801" s="182"/>
      <c r="AF801" s="182"/>
      <c r="AG801" s="182"/>
      <c r="AH801" s="401"/>
      <c r="AI801" s="401"/>
      <c r="AJ801" s="401"/>
      <c r="AK801" s="401"/>
      <c r="AL801" s="401"/>
      <c r="AM801" s="189"/>
      <c r="AN801" s="829"/>
      <c r="AO801" s="830"/>
      <c r="AP801" s="401"/>
      <c r="AQ801" s="401"/>
      <c r="AR801" s="401"/>
      <c r="AS801" s="401"/>
      <c r="AT801" s="403"/>
      <c r="AU801" s="403"/>
      <c r="AV801" s="170"/>
      <c r="AW801" s="166"/>
      <c r="AX801" s="166"/>
      <c r="AY801" s="189"/>
      <c r="AZ801" s="189"/>
      <c r="BA801" s="196"/>
      <c r="BB801" s="629"/>
      <c r="BC801" s="190"/>
      <c r="BD801" s="510"/>
      <c r="BE801" s="510"/>
      <c r="BF801" s="177"/>
      <c r="BG801" s="177"/>
      <c r="BH801" s="166"/>
      <c r="BI801" s="474"/>
      <c r="BJ801" s="166"/>
      <c r="BK801" s="474"/>
      <c r="BL801" s="474"/>
      <c r="BM801" s="474"/>
      <c r="BN801" s="166"/>
      <c r="BO801" s="166"/>
      <c r="BP801" s="204"/>
      <c r="BQ801" s="475"/>
      <c r="BR801" s="205"/>
      <c r="BS801" s="509"/>
      <c r="BT801" s="509"/>
      <c r="BU801" s="459"/>
      <c r="BV801" s="459"/>
      <c r="BW801" s="1"/>
      <c r="BX801" s="1"/>
      <c r="BY801" s="546"/>
      <c r="BZ801" s="546"/>
      <c r="CA801" s="546"/>
      <c r="CB801" s="546"/>
      <c r="CC801" s="728"/>
      <c r="CD801" s="728"/>
      <c r="CE801" s="170"/>
    </row>
    <row r="802" spans="1:84" customFormat="1">
      <c r="A802" s="701"/>
      <c r="B802" s="447"/>
      <c r="C802" s="161"/>
      <c r="D802" s="162"/>
      <c r="E802" s="1"/>
      <c r="F802" s="811"/>
      <c r="G802" s="440"/>
      <c r="H802" s="1"/>
      <c r="I802" s="55"/>
      <c r="J802" s="170"/>
      <c r="K802" s="1"/>
      <c r="L802" s="457"/>
      <c r="M802" s="1"/>
      <c r="N802" s="458"/>
      <c r="O802" s="170"/>
      <c r="P802" s="441"/>
      <c r="Q802" s="55"/>
      <c r="R802" s="177"/>
      <c r="S802" s="454"/>
      <c r="T802" s="178"/>
      <c r="U802" s="178"/>
      <c r="V802" s="179"/>
      <c r="W802" s="180"/>
      <c r="X802" s="179"/>
      <c r="Y802" s="180"/>
      <c r="Z802" s="178"/>
      <c r="AA802" s="178"/>
      <c r="AB802" s="178"/>
      <c r="AC802" s="178"/>
      <c r="AD802" s="182"/>
      <c r="AE802" s="182"/>
      <c r="AF802" s="182"/>
      <c r="AG802" s="182"/>
      <c r="AH802" s="401"/>
      <c r="AI802" s="401"/>
      <c r="AJ802" s="401"/>
      <c r="AK802" s="401"/>
      <c r="AL802" s="401"/>
      <c r="AM802" s="189"/>
      <c r="AN802" s="829"/>
      <c r="AO802" s="830"/>
      <c r="AP802" s="401"/>
      <c r="AQ802" s="401"/>
      <c r="AR802" s="401"/>
      <c r="AS802" s="401"/>
      <c r="AT802" s="403"/>
      <c r="AU802" s="403"/>
      <c r="AV802" s="170"/>
      <c r="AW802" s="166"/>
      <c r="AX802" s="166"/>
      <c r="AY802" s="189"/>
      <c r="AZ802" s="189"/>
      <c r="BA802" s="196"/>
      <c r="BB802" s="629"/>
      <c r="BC802" s="190"/>
      <c r="BD802" s="510"/>
      <c r="BE802" s="510"/>
      <c r="BF802" s="177"/>
      <c r="BG802" s="177"/>
      <c r="BH802" s="166"/>
      <c r="BI802" s="474"/>
      <c r="BJ802" s="166"/>
      <c r="BK802" s="474"/>
      <c r="BL802" s="474"/>
      <c r="BM802" s="474"/>
      <c r="BN802" s="166"/>
      <c r="BO802" s="166"/>
      <c r="BP802" s="204"/>
      <c r="BQ802" s="475"/>
      <c r="BR802" s="205"/>
      <c r="BS802" s="509"/>
      <c r="BT802" s="509"/>
      <c r="BU802" s="459"/>
      <c r="BV802" s="459"/>
      <c r="BW802" s="1"/>
      <c r="BX802" s="1"/>
      <c r="BY802" s="546"/>
      <c r="BZ802" s="546"/>
      <c r="CA802" s="546"/>
      <c r="CB802" s="546"/>
      <c r="CC802" s="728"/>
      <c r="CD802" s="728"/>
      <c r="CE802" s="170"/>
    </row>
    <row r="803" spans="1:84" customFormat="1">
      <c r="A803" s="701"/>
      <c r="B803" s="447"/>
      <c r="C803" s="161"/>
      <c r="D803" s="162"/>
      <c r="E803" s="1"/>
      <c r="F803" s="811"/>
      <c r="G803" s="440"/>
      <c r="H803" s="1"/>
      <c r="I803" s="55"/>
      <c r="J803" s="170"/>
      <c r="K803" s="1"/>
      <c r="L803" s="170"/>
      <c r="M803" s="1"/>
      <c r="N803" s="458"/>
      <c r="O803" s="170"/>
      <c r="P803" s="441"/>
      <c r="Q803" s="55"/>
      <c r="R803" s="177"/>
      <c r="S803" s="454"/>
      <c r="T803" s="178"/>
      <c r="U803" s="178"/>
      <c r="V803" s="179"/>
      <c r="W803" s="180"/>
      <c r="X803" s="179"/>
      <c r="Y803" s="180"/>
      <c r="Z803" s="178"/>
      <c r="AA803" s="178"/>
      <c r="AB803" s="178"/>
      <c r="AC803" s="178"/>
      <c r="AD803" s="182"/>
      <c r="AE803" s="182"/>
      <c r="AF803" s="182"/>
      <c r="AG803" s="182"/>
      <c r="AH803" s="401"/>
      <c r="AI803" s="401"/>
      <c r="AJ803" s="401"/>
      <c r="AK803" s="401"/>
      <c r="AL803" s="401"/>
      <c r="AM803" s="189"/>
      <c r="AN803" s="829"/>
      <c r="AO803" s="830"/>
      <c r="AP803" s="401"/>
      <c r="AQ803" s="401"/>
      <c r="AR803" s="401"/>
      <c r="AS803" s="401"/>
      <c r="AT803" s="403"/>
      <c r="AU803" s="403"/>
      <c r="AV803" s="170"/>
      <c r="AW803" s="166"/>
      <c r="AX803" s="166"/>
      <c r="AY803" s="189"/>
      <c r="AZ803" s="189"/>
      <c r="BA803" s="196"/>
      <c r="BB803" s="629"/>
      <c r="BC803" s="190"/>
      <c r="BD803" s="510"/>
      <c r="BE803" s="510"/>
      <c r="BF803" s="177"/>
      <c r="BG803" s="177"/>
      <c r="BH803" s="166"/>
      <c r="BI803" s="474"/>
      <c r="BJ803" s="166"/>
      <c r="BK803" s="474"/>
      <c r="BL803" s="474"/>
      <c r="BM803" s="474"/>
      <c r="BN803" s="166"/>
      <c r="BO803" s="166"/>
      <c r="BP803" s="204"/>
      <c r="BQ803" s="475"/>
      <c r="BR803" s="205"/>
      <c r="BS803" s="509"/>
      <c r="BT803" s="509"/>
      <c r="BU803" s="459"/>
      <c r="BV803" s="459"/>
      <c r="BW803" s="1"/>
      <c r="BX803" s="1"/>
      <c r="BY803" s="546"/>
      <c r="BZ803" s="546"/>
      <c r="CA803" s="546"/>
      <c r="CB803" s="546"/>
      <c r="CC803" s="728"/>
      <c r="CD803" s="728"/>
      <c r="CE803" s="170"/>
    </row>
    <row r="804" spans="1:84">
      <c r="A804" s="701"/>
      <c r="B804" s="447"/>
      <c r="C804" s="161"/>
      <c r="D804" s="162"/>
      <c r="E804" s="1"/>
      <c r="F804" s="811"/>
      <c r="G804" s="440"/>
      <c r="H804" s="1"/>
      <c r="I804" s="55"/>
      <c r="J804" s="170"/>
      <c r="K804" s="1"/>
      <c r="L804" s="170"/>
      <c r="M804" s="1"/>
      <c r="N804" s="458"/>
      <c r="O804" s="170"/>
      <c r="P804" s="441"/>
      <c r="Q804" s="55"/>
      <c r="R804" s="177"/>
      <c r="S804" s="454"/>
      <c r="T804" s="178"/>
      <c r="U804" s="178"/>
      <c r="V804" s="179"/>
      <c r="W804" s="180"/>
      <c r="X804" s="179"/>
      <c r="Y804" s="180"/>
      <c r="Z804" s="178"/>
      <c r="AA804" s="178"/>
      <c r="AB804" s="178"/>
      <c r="AC804" s="178"/>
      <c r="AD804" s="182"/>
      <c r="AE804" s="182"/>
      <c r="AF804" s="182"/>
      <c r="AG804" s="182"/>
      <c r="AH804" s="401"/>
      <c r="AI804" s="401"/>
      <c r="AJ804" s="401"/>
      <c r="AK804" s="401"/>
      <c r="AL804" s="401"/>
      <c r="AM804" s="189"/>
      <c r="AN804" s="829"/>
      <c r="AO804" s="830"/>
      <c r="AP804" s="401"/>
      <c r="AQ804" s="401"/>
      <c r="AR804" s="401"/>
      <c r="AS804" s="401"/>
      <c r="AT804" s="403"/>
      <c r="AU804" s="403"/>
      <c r="AV804" s="170"/>
      <c r="AW804" s="166"/>
      <c r="AX804" s="166"/>
      <c r="AY804" s="189"/>
      <c r="AZ804" s="189"/>
      <c r="BA804" s="196"/>
      <c r="BB804" s="629"/>
      <c r="BC804" s="190"/>
      <c r="BD804" s="510"/>
      <c r="BE804" s="510"/>
      <c r="BF804" s="177"/>
      <c r="BG804" s="177"/>
      <c r="BH804" s="166"/>
      <c r="BI804" s="474"/>
      <c r="BJ804" s="166"/>
      <c r="BK804" s="474"/>
      <c r="BL804" s="474"/>
      <c r="BM804" s="474"/>
      <c r="BN804" s="166"/>
      <c r="BO804" s="166"/>
      <c r="BP804" s="204"/>
      <c r="BQ804" s="475"/>
      <c r="BR804" s="205"/>
      <c r="BS804" s="509"/>
      <c r="BT804" s="509"/>
      <c r="BU804" s="459"/>
      <c r="BV804" s="459"/>
      <c r="BW804" s="1"/>
      <c r="BX804" s="1"/>
      <c r="BY804" s="1"/>
      <c r="BZ804" s="1"/>
      <c r="CE804" s="170"/>
      <c r="CF804"/>
    </row>
    <row r="805" spans="1:84">
      <c r="A805" s="701"/>
      <c r="B805" s="447"/>
      <c r="C805" s="161"/>
      <c r="D805" s="162"/>
      <c r="E805" s="1"/>
      <c r="F805" s="811"/>
      <c r="G805" s="440"/>
      <c r="H805" s="1"/>
      <c r="I805" s="55"/>
      <c r="J805" s="170"/>
      <c r="K805" s="1"/>
      <c r="L805" s="170"/>
      <c r="M805" s="1"/>
      <c r="N805" s="458"/>
      <c r="O805" s="170"/>
      <c r="P805" s="441"/>
      <c r="Q805" s="55"/>
      <c r="R805" s="177"/>
      <c r="S805" s="454"/>
      <c r="T805" s="178"/>
      <c r="U805" s="178"/>
      <c r="V805" s="179"/>
      <c r="W805" s="180"/>
      <c r="X805" s="179"/>
      <c r="Y805" s="180"/>
      <c r="Z805" s="178"/>
      <c r="AA805" s="178"/>
      <c r="AB805" s="178"/>
      <c r="AC805" s="178"/>
      <c r="AD805" s="182"/>
      <c r="AE805" s="182"/>
      <c r="AF805" s="182"/>
      <c r="AG805" s="182"/>
      <c r="AH805" s="401"/>
      <c r="AI805" s="401"/>
      <c r="AJ805" s="401"/>
      <c r="AK805" s="401"/>
      <c r="AL805" s="401"/>
      <c r="AM805" s="189"/>
      <c r="AN805" s="829"/>
      <c r="AO805" s="830"/>
      <c r="AP805" s="401"/>
      <c r="AQ805" s="401"/>
      <c r="AR805" s="401"/>
      <c r="AS805" s="401"/>
      <c r="AT805" s="403"/>
      <c r="AU805" s="403"/>
      <c r="AV805" s="170"/>
      <c r="AW805" s="166"/>
      <c r="AX805" s="166"/>
      <c r="AY805" s="189"/>
      <c r="AZ805" s="189"/>
      <c r="BA805" s="196"/>
      <c r="BB805" s="629"/>
      <c r="BC805" s="190"/>
      <c r="BD805" s="510"/>
      <c r="BE805" s="510"/>
      <c r="BF805" s="177"/>
      <c r="BG805" s="177"/>
      <c r="BH805" s="166"/>
      <c r="BI805" s="474"/>
      <c r="BJ805" s="166"/>
      <c r="BK805" s="474"/>
      <c r="BL805" s="474"/>
      <c r="BM805" s="474"/>
      <c r="BN805" s="166"/>
      <c r="BO805" s="166"/>
      <c r="BP805" s="204"/>
      <c r="BQ805" s="475"/>
      <c r="BR805" s="205"/>
      <c r="BS805" s="509"/>
      <c r="BT805" s="509"/>
      <c r="BU805" s="459"/>
      <c r="BV805" s="459"/>
      <c r="BW805" s="1"/>
      <c r="BX805" s="1"/>
      <c r="BY805" s="1"/>
      <c r="BZ805" s="1"/>
      <c r="CE805" s="170"/>
      <c r="CF805"/>
    </row>
    <row r="806" spans="1:84" customFormat="1">
      <c r="A806" s="701"/>
      <c r="B806" s="447"/>
      <c r="C806" s="1"/>
      <c r="D806" s="538"/>
      <c r="E806" s="1"/>
      <c r="F806" s="811"/>
      <c r="G806" s="440"/>
      <c r="H806" s="1"/>
      <c r="J806" s="171"/>
      <c r="K806" s="55"/>
      <c r="L806" s="171"/>
      <c r="M806" s="55"/>
      <c r="N806" s="172"/>
      <c r="O806" s="170"/>
      <c r="P806" s="139"/>
      <c r="Q806" s="171"/>
      <c r="R806" s="181"/>
      <c r="S806" s="455"/>
      <c r="T806" s="170"/>
      <c r="U806" s="170"/>
      <c r="V806" s="1"/>
      <c r="W806" s="173"/>
      <c r="X806" s="1"/>
      <c r="Y806" s="166"/>
      <c r="Z806" s="170"/>
      <c r="AA806" s="170"/>
      <c r="AB806" s="170"/>
      <c r="AC806" s="170"/>
      <c r="AD806" s="182"/>
      <c r="AE806" s="182"/>
      <c r="AF806" s="182"/>
      <c r="AG806" s="182"/>
      <c r="AH806" s="189"/>
      <c r="AI806" s="401"/>
      <c r="AJ806" s="189"/>
      <c r="AK806" s="401"/>
      <c r="AL806" s="401"/>
      <c r="AM806" s="189"/>
      <c r="AN806" s="782"/>
      <c r="AO806" s="189"/>
      <c r="AP806" s="401"/>
      <c r="AQ806" s="401"/>
      <c r="AR806" s="401"/>
      <c r="AS806" s="188"/>
      <c r="AT806" s="1"/>
      <c r="AU806" s="403"/>
      <c r="AV806" s="1"/>
      <c r="AW806" s="166"/>
      <c r="AX806" s="166"/>
      <c r="AY806" s="189"/>
      <c r="AZ806" s="189"/>
      <c r="BA806" s="196"/>
      <c r="BB806" s="629"/>
      <c r="BC806" s="197"/>
      <c r="BD806" s="510"/>
      <c r="BE806" s="510"/>
      <c r="BF806" s="177"/>
      <c r="BG806" s="177"/>
      <c r="BH806" s="166"/>
      <c r="BI806" s="474"/>
      <c r="BJ806" s="166"/>
      <c r="BK806" s="474"/>
      <c r="BL806" s="474"/>
      <c r="BM806" s="474"/>
      <c r="BN806" s="166"/>
      <c r="BO806" s="166"/>
      <c r="BP806" s="204"/>
      <c r="BQ806" s="475"/>
      <c r="BR806" s="205"/>
      <c r="BS806" s="509"/>
      <c r="BT806" s="509"/>
      <c r="BU806" s="459"/>
      <c r="BV806" s="459"/>
      <c r="BW806" s="1"/>
      <c r="BX806" s="1"/>
      <c r="BY806" s="546"/>
      <c r="BZ806" s="546"/>
      <c r="CA806" s="546"/>
      <c r="CB806" s="546"/>
      <c r="CC806" s="728"/>
      <c r="CD806" s="728"/>
      <c r="CE806" s="170"/>
    </row>
    <row r="807" spans="1:84" customFormat="1">
      <c r="A807" s="701"/>
      <c r="B807" s="447"/>
      <c r="C807" s="161"/>
      <c r="D807" s="162"/>
      <c r="E807" s="1"/>
      <c r="F807" s="811"/>
      <c r="G807" s="440"/>
      <c r="H807" s="1"/>
      <c r="I807" s="55"/>
      <c r="J807" s="170"/>
      <c r="K807" s="1"/>
      <c r="L807" s="170"/>
      <c r="M807" s="1"/>
      <c r="N807" s="458"/>
      <c r="O807" s="170"/>
      <c r="P807" s="441"/>
      <c r="Q807" s="55"/>
      <c r="R807" s="177"/>
      <c r="S807" s="454"/>
      <c r="T807" s="178"/>
      <c r="U807" s="178"/>
      <c r="V807" s="179"/>
      <c r="W807" s="180"/>
      <c r="X807" s="179"/>
      <c r="Y807" s="180"/>
      <c r="Z807" s="178"/>
      <c r="AA807" s="178"/>
      <c r="AB807" s="178"/>
      <c r="AC807" s="178"/>
      <c r="AD807" s="182"/>
      <c r="AE807" s="182"/>
      <c r="AF807" s="182"/>
      <c r="AG807" s="182"/>
      <c r="AH807" s="401"/>
      <c r="AI807" s="401"/>
      <c r="AJ807" s="401"/>
      <c r="AK807" s="401"/>
      <c r="AL807" s="401"/>
      <c r="AM807" s="189"/>
      <c r="AN807" s="829"/>
      <c r="AO807" s="830"/>
      <c r="AP807" s="401"/>
      <c r="AQ807" s="401"/>
      <c r="AR807" s="401"/>
      <c r="AS807" s="401"/>
      <c r="AT807" s="403"/>
      <c r="AU807" s="403"/>
      <c r="AV807" s="170"/>
      <c r="AW807" s="166"/>
      <c r="AX807" s="166"/>
      <c r="AY807" s="189"/>
      <c r="AZ807" s="189"/>
      <c r="BA807" s="196"/>
      <c r="BB807" s="629"/>
      <c r="BC807" s="190"/>
      <c r="BD807" s="510"/>
      <c r="BE807" s="510"/>
      <c r="BF807" s="177"/>
      <c r="BG807" s="177"/>
      <c r="BH807" s="166"/>
      <c r="BI807" s="474"/>
      <c r="BJ807" s="166"/>
      <c r="BK807" s="474"/>
      <c r="BL807" s="474"/>
      <c r="BM807" s="474"/>
      <c r="BN807" s="166"/>
      <c r="BO807" s="166"/>
      <c r="BP807" s="204"/>
      <c r="BQ807" s="475"/>
      <c r="BR807" s="205"/>
      <c r="BS807" s="509"/>
      <c r="BT807" s="509"/>
      <c r="BU807" s="459"/>
      <c r="BV807" s="459"/>
      <c r="BW807" s="1"/>
      <c r="BX807" s="1"/>
      <c r="BY807" s="546"/>
      <c r="BZ807" s="546"/>
      <c r="CA807" s="546"/>
      <c r="CB807" s="546"/>
      <c r="CC807" s="728"/>
      <c r="CD807" s="728"/>
      <c r="CE807" s="170"/>
    </row>
    <row r="808" spans="1:84" customFormat="1">
      <c r="A808" s="701"/>
      <c r="B808" s="447"/>
      <c r="C808" s="161"/>
      <c r="D808" s="162"/>
      <c r="E808" s="1"/>
      <c r="F808" s="811"/>
      <c r="G808" s="440"/>
      <c r="H808" s="1"/>
      <c r="I808" s="55"/>
      <c r="J808" s="170"/>
      <c r="K808" s="1"/>
      <c r="L808" s="170"/>
      <c r="M808" s="1"/>
      <c r="N808" s="458"/>
      <c r="O808" s="170"/>
      <c r="P808" s="441"/>
      <c r="Q808" s="55"/>
      <c r="R808" s="177"/>
      <c r="S808" s="454"/>
      <c r="T808" s="178"/>
      <c r="U808" s="178"/>
      <c r="V808" s="179"/>
      <c r="W808" s="180"/>
      <c r="X808" s="179"/>
      <c r="Y808" s="180"/>
      <c r="Z808" s="178"/>
      <c r="AA808" s="178"/>
      <c r="AB808" s="178"/>
      <c r="AC808" s="178"/>
      <c r="AD808" s="182"/>
      <c r="AE808" s="182"/>
      <c r="AF808" s="182"/>
      <c r="AG808" s="182"/>
      <c r="AH808" s="401"/>
      <c r="AI808" s="401"/>
      <c r="AJ808" s="401"/>
      <c r="AK808" s="401"/>
      <c r="AL808" s="401"/>
      <c r="AM808" s="189"/>
      <c r="AN808" s="829"/>
      <c r="AO808" s="830"/>
      <c r="AP808" s="401"/>
      <c r="AQ808" s="401"/>
      <c r="AR808" s="401"/>
      <c r="AS808" s="401"/>
      <c r="AT808" s="403"/>
      <c r="AU808" s="403"/>
      <c r="AV808" s="170"/>
      <c r="AW808" s="166"/>
      <c r="AX808" s="166"/>
      <c r="AY808" s="189"/>
      <c r="AZ808" s="189"/>
      <c r="BA808" s="196"/>
      <c r="BB808" s="629"/>
      <c r="BC808" s="190"/>
      <c r="BD808" s="510"/>
      <c r="BE808" s="510"/>
      <c r="BF808" s="177"/>
      <c r="BG808" s="177"/>
      <c r="BH808" s="166"/>
      <c r="BI808" s="474"/>
      <c r="BJ808" s="166"/>
      <c r="BK808" s="474"/>
      <c r="BL808" s="474"/>
      <c r="BM808" s="474"/>
      <c r="BN808" s="166"/>
      <c r="BO808" s="166"/>
      <c r="BP808" s="204"/>
      <c r="BQ808" s="475"/>
      <c r="BR808" s="205"/>
      <c r="BS808" s="509"/>
      <c r="BT808" s="509"/>
      <c r="BU808" s="459"/>
      <c r="BV808" s="459"/>
      <c r="BW808" s="1"/>
      <c r="BX808" s="1"/>
      <c r="BY808" s="546"/>
      <c r="BZ808" s="546"/>
      <c r="CA808" s="546"/>
      <c r="CB808" s="546"/>
      <c r="CC808" s="728"/>
      <c r="CD808" s="728"/>
      <c r="CE808" s="170"/>
    </row>
    <row r="809" spans="1:84" customFormat="1">
      <c r="A809" s="701"/>
      <c r="B809" s="447"/>
      <c r="C809" s="161"/>
      <c r="D809" s="162"/>
      <c r="E809" s="1"/>
      <c r="F809" s="811"/>
      <c r="G809" s="440"/>
      <c r="H809" s="1"/>
      <c r="I809" s="55"/>
      <c r="J809" s="457"/>
      <c r="K809" s="1"/>
      <c r="L809" s="170"/>
      <c r="M809" s="1"/>
      <c r="N809" s="458"/>
      <c r="O809" s="170"/>
      <c r="P809" s="441"/>
      <c r="Q809" s="55"/>
      <c r="R809" s="177"/>
      <c r="S809" s="454"/>
      <c r="T809" s="178"/>
      <c r="U809" s="178"/>
      <c r="V809" s="179"/>
      <c r="W809" s="180"/>
      <c r="X809" s="179"/>
      <c r="Y809" s="180"/>
      <c r="Z809" s="178"/>
      <c r="AA809" s="178"/>
      <c r="AB809" s="178"/>
      <c r="AC809" s="178"/>
      <c r="AD809" s="182"/>
      <c r="AE809" s="182"/>
      <c r="AF809" s="182"/>
      <c r="AG809" s="182"/>
      <c r="AH809" s="401"/>
      <c r="AI809" s="401"/>
      <c r="AJ809" s="401"/>
      <c r="AK809" s="401"/>
      <c r="AL809" s="401"/>
      <c r="AM809" s="189"/>
      <c r="AN809" s="829"/>
      <c r="AO809" s="830"/>
      <c r="AP809" s="401"/>
      <c r="AQ809" s="401"/>
      <c r="AR809" s="401"/>
      <c r="AS809" s="401"/>
      <c r="AT809" s="403"/>
      <c r="AU809" s="403"/>
      <c r="AV809" s="170"/>
      <c r="AW809" s="166"/>
      <c r="AX809" s="166"/>
      <c r="AY809" s="189"/>
      <c r="AZ809" s="189"/>
      <c r="BA809" s="196"/>
      <c r="BB809" s="629"/>
      <c r="BC809" s="190"/>
      <c r="BD809" s="510"/>
      <c r="BE809" s="510"/>
      <c r="BF809" s="177"/>
      <c r="BG809" s="177"/>
      <c r="BH809" s="166"/>
      <c r="BI809" s="474"/>
      <c r="BJ809" s="166"/>
      <c r="BK809" s="474"/>
      <c r="BL809" s="474"/>
      <c r="BM809" s="474"/>
      <c r="BN809" s="166"/>
      <c r="BO809" s="166"/>
      <c r="BP809" s="204"/>
      <c r="BQ809" s="475"/>
      <c r="BR809" s="205"/>
      <c r="BS809" s="509"/>
      <c r="BT809" s="509"/>
      <c r="BU809" s="459"/>
      <c r="BV809" s="459"/>
      <c r="BW809" s="1"/>
      <c r="BX809" s="1"/>
      <c r="BY809" s="546"/>
      <c r="BZ809" s="546"/>
      <c r="CA809" s="546"/>
      <c r="CB809" s="546"/>
      <c r="CC809" s="728"/>
      <c r="CD809" s="728"/>
      <c r="CE809" s="170"/>
    </row>
    <row r="810" spans="1:84" customFormat="1">
      <c r="A810" s="701"/>
      <c r="B810" s="447"/>
      <c r="C810" s="161"/>
      <c r="D810" s="162"/>
      <c r="E810" s="1"/>
      <c r="F810" s="811"/>
      <c r="G810" s="440"/>
      <c r="H810" s="1"/>
      <c r="I810" s="55"/>
      <c r="J810" s="170"/>
      <c r="K810" s="1"/>
      <c r="L810" s="170"/>
      <c r="M810" s="1"/>
      <c r="N810" s="458"/>
      <c r="O810" s="170"/>
      <c r="P810" s="441"/>
      <c r="Q810" s="55"/>
      <c r="R810" s="177"/>
      <c r="S810" s="454"/>
      <c r="T810" s="178"/>
      <c r="U810" s="178"/>
      <c r="V810" s="179"/>
      <c r="W810" s="180"/>
      <c r="X810" s="179"/>
      <c r="Y810" s="180"/>
      <c r="Z810" s="178"/>
      <c r="AA810" s="178"/>
      <c r="AB810" s="178"/>
      <c r="AC810" s="178"/>
      <c r="AD810" s="182"/>
      <c r="AE810" s="182"/>
      <c r="AF810" s="182"/>
      <c r="AG810" s="182"/>
      <c r="AH810" s="401"/>
      <c r="AI810" s="401"/>
      <c r="AJ810" s="401"/>
      <c r="AK810" s="401"/>
      <c r="AL810" s="401"/>
      <c r="AM810" s="189"/>
      <c r="AN810" s="829"/>
      <c r="AO810" s="830"/>
      <c r="AP810" s="401"/>
      <c r="AQ810" s="401"/>
      <c r="AR810" s="401"/>
      <c r="AS810" s="401"/>
      <c r="AT810" s="403"/>
      <c r="AU810" s="403"/>
      <c r="AV810" s="170"/>
      <c r="AW810" s="166"/>
      <c r="AX810" s="166"/>
      <c r="AY810" s="189"/>
      <c r="AZ810" s="189"/>
      <c r="BA810" s="196"/>
      <c r="BB810" s="629"/>
      <c r="BC810" s="190"/>
      <c r="BD810" s="510"/>
      <c r="BE810" s="510"/>
      <c r="BF810" s="177"/>
      <c r="BG810" s="177"/>
      <c r="BH810" s="166"/>
      <c r="BI810" s="474"/>
      <c r="BJ810" s="166"/>
      <c r="BK810" s="474"/>
      <c r="BL810" s="474"/>
      <c r="BM810" s="474"/>
      <c r="BN810" s="166"/>
      <c r="BO810" s="166"/>
      <c r="BP810" s="204"/>
      <c r="BQ810" s="475"/>
      <c r="BR810" s="205"/>
      <c r="BS810" s="509"/>
      <c r="BT810" s="509"/>
      <c r="BU810" s="459"/>
      <c r="BV810" s="459"/>
      <c r="BW810" s="1"/>
      <c r="BX810" s="1"/>
      <c r="BY810" s="546"/>
      <c r="BZ810" s="546"/>
      <c r="CA810" s="546"/>
      <c r="CB810" s="546"/>
      <c r="CC810" s="728"/>
      <c r="CD810" s="728"/>
      <c r="CE810" s="170"/>
    </row>
    <row r="811" spans="1:84" customFormat="1">
      <c r="A811" s="701"/>
      <c r="B811" s="447"/>
      <c r="C811" s="161"/>
      <c r="D811" s="162"/>
      <c r="E811" s="1"/>
      <c r="F811" s="811"/>
      <c r="G811" s="440"/>
      <c r="H811" s="1"/>
      <c r="I811" s="55"/>
      <c r="J811" s="170"/>
      <c r="K811" s="1"/>
      <c r="L811" s="170"/>
      <c r="M811" s="1"/>
      <c r="N811" s="458"/>
      <c r="O811" s="170"/>
      <c r="P811" s="441"/>
      <c r="Q811" s="55"/>
      <c r="R811" s="177"/>
      <c r="S811" s="454"/>
      <c r="T811" s="178"/>
      <c r="U811" s="178"/>
      <c r="V811" s="179"/>
      <c r="W811" s="180"/>
      <c r="X811" s="179"/>
      <c r="Y811" s="180"/>
      <c r="Z811" s="178"/>
      <c r="AA811" s="178"/>
      <c r="AB811" s="178"/>
      <c r="AC811" s="178"/>
      <c r="AD811" s="182"/>
      <c r="AE811" s="182"/>
      <c r="AF811" s="182"/>
      <c r="AG811" s="182"/>
      <c r="AH811" s="401"/>
      <c r="AI811" s="401"/>
      <c r="AJ811" s="401"/>
      <c r="AK811" s="401"/>
      <c r="AL811" s="401"/>
      <c r="AM811" s="189"/>
      <c r="AN811" s="829"/>
      <c r="AO811" s="830"/>
      <c r="AP811" s="401"/>
      <c r="AQ811" s="401"/>
      <c r="AR811" s="401"/>
      <c r="AS811" s="401"/>
      <c r="AT811" s="403"/>
      <c r="AU811" s="403"/>
      <c r="AV811" s="170"/>
      <c r="AW811" s="166"/>
      <c r="AX811" s="166"/>
      <c r="AY811" s="189"/>
      <c r="AZ811" s="189"/>
      <c r="BA811" s="196"/>
      <c r="BB811" s="629"/>
      <c r="BC811" s="190"/>
      <c r="BD811" s="510"/>
      <c r="BE811" s="510"/>
      <c r="BF811" s="177"/>
      <c r="BG811" s="177"/>
      <c r="BH811" s="166"/>
      <c r="BI811" s="474"/>
      <c r="BJ811" s="166"/>
      <c r="BK811" s="474"/>
      <c r="BL811" s="474"/>
      <c r="BM811" s="474"/>
      <c r="BN811" s="166"/>
      <c r="BO811" s="166"/>
      <c r="BP811" s="204"/>
      <c r="BQ811" s="475"/>
      <c r="BR811" s="205"/>
      <c r="BS811" s="509"/>
      <c r="BT811" s="509"/>
      <c r="BU811" s="459"/>
      <c r="BV811" s="459"/>
      <c r="BW811" s="1"/>
      <c r="BX811" s="1"/>
      <c r="BY811" s="546"/>
      <c r="BZ811" s="546"/>
      <c r="CA811" s="546"/>
      <c r="CB811" s="546"/>
      <c r="CC811" s="728"/>
      <c r="CD811" s="728"/>
      <c r="CE811" s="170"/>
    </row>
    <row r="812" spans="1:84" customFormat="1">
      <c r="A812" s="701"/>
      <c r="B812" s="447"/>
      <c r="C812" s="161"/>
      <c r="D812" s="162"/>
      <c r="E812" s="1"/>
      <c r="F812" s="811"/>
      <c r="G812" s="440"/>
      <c r="H812" s="1"/>
      <c r="I812" s="55"/>
      <c r="J812" s="170"/>
      <c r="K812" s="1"/>
      <c r="L812" s="170"/>
      <c r="M812" s="1"/>
      <c r="N812" s="458"/>
      <c r="O812" s="170"/>
      <c r="P812" s="441"/>
      <c r="Q812" s="55"/>
      <c r="R812" s="177"/>
      <c r="S812" s="454"/>
      <c r="T812" s="178"/>
      <c r="U812" s="178"/>
      <c r="V812" s="179"/>
      <c r="W812" s="180"/>
      <c r="X812" s="179"/>
      <c r="Y812" s="180"/>
      <c r="Z812" s="178"/>
      <c r="AA812" s="178"/>
      <c r="AB812" s="178"/>
      <c r="AC812" s="178"/>
      <c r="AD812" s="182"/>
      <c r="AE812" s="182"/>
      <c r="AF812" s="182"/>
      <c r="AG812" s="182"/>
      <c r="AH812" s="401"/>
      <c r="AI812" s="401"/>
      <c r="AJ812" s="401"/>
      <c r="AK812" s="401"/>
      <c r="AL812" s="401"/>
      <c r="AM812" s="189"/>
      <c r="AN812" s="829"/>
      <c r="AO812" s="830"/>
      <c r="AP812" s="401"/>
      <c r="AQ812" s="401"/>
      <c r="AR812" s="401"/>
      <c r="AS812" s="401"/>
      <c r="AT812" s="402"/>
      <c r="AU812" s="403"/>
      <c r="AV812" s="170"/>
      <c r="AW812" s="166"/>
      <c r="AX812" s="166"/>
      <c r="AY812" s="189"/>
      <c r="AZ812" s="189"/>
      <c r="BA812" s="196"/>
      <c r="BB812" s="629"/>
      <c r="BC812" s="190"/>
      <c r="BD812" s="510"/>
      <c r="BE812" s="510"/>
      <c r="BF812" s="177"/>
      <c r="BG812" s="177"/>
      <c r="BH812" s="166"/>
      <c r="BI812" s="474"/>
      <c r="BJ812" s="166"/>
      <c r="BK812" s="474"/>
      <c r="BL812" s="474"/>
      <c r="BM812" s="474"/>
      <c r="BN812" s="166"/>
      <c r="BO812" s="166"/>
      <c r="BP812" s="204"/>
      <c r="BQ812" s="475"/>
      <c r="BR812" s="205"/>
      <c r="BS812" s="509"/>
      <c r="BT812" s="509"/>
      <c r="BU812" s="459"/>
      <c r="BV812" s="459"/>
      <c r="BW812" s="1"/>
      <c r="BX812" s="1"/>
      <c r="BY812" s="546"/>
      <c r="BZ812" s="546"/>
      <c r="CA812" s="546"/>
      <c r="CB812" s="546"/>
      <c r="CC812" s="728"/>
      <c r="CD812" s="728"/>
      <c r="CE812" s="170"/>
    </row>
    <row r="813" spans="1:84" customFormat="1">
      <c r="A813" s="701"/>
      <c r="B813" s="447"/>
      <c r="C813" s="161"/>
      <c r="D813" s="162"/>
      <c r="E813" s="1"/>
      <c r="F813" s="811"/>
      <c r="G813" s="440"/>
      <c r="H813" s="1"/>
      <c r="I813" s="55"/>
      <c r="J813" s="170"/>
      <c r="K813" s="1"/>
      <c r="L813" s="170"/>
      <c r="M813" s="1"/>
      <c r="N813" s="458"/>
      <c r="O813" s="170"/>
      <c r="P813" s="441"/>
      <c r="Q813" s="55"/>
      <c r="R813" s="177"/>
      <c r="S813" s="454"/>
      <c r="T813" s="178"/>
      <c r="U813" s="178"/>
      <c r="V813" s="179"/>
      <c r="W813" s="180"/>
      <c r="X813" s="179"/>
      <c r="Y813" s="180"/>
      <c r="Z813" s="178"/>
      <c r="AA813" s="178"/>
      <c r="AB813" s="178"/>
      <c r="AC813" s="178"/>
      <c r="AD813" s="182"/>
      <c r="AE813" s="182"/>
      <c r="AF813" s="182"/>
      <c r="AG813" s="182"/>
      <c r="AH813" s="401"/>
      <c r="AI813" s="401"/>
      <c r="AJ813" s="401"/>
      <c r="AK813" s="401"/>
      <c r="AL813" s="401"/>
      <c r="AM813" s="189"/>
      <c r="AN813" s="829"/>
      <c r="AO813" s="830"/>
      <c r="AP813" s="401"/>
      <c r="AQ813" s="401"/>
      <c r="AR813" s="401"/>
      <c r="AS813" s="401"/>
      <c r="AT813" s="403"/>
      <c r="AU813" s="403"/>
      <c r="AV813" s="170"/>
      <c r="AW813" s="166"/>
      <c r="AX813" s="166"/>
      <c r="AY813" s="189"/>
      <c r="AZ813" s="189"/>
      <c r="BA813" s="196"/>
      <c r="BB813" s="629"/>
      <c r="BC813" s="190"/>
      <c r="BD813" s="510"/>
      <c r="BE813" s="510"/>
      <c r="BF813" s="177"/>
      <c r="BG813" s="177"/>
      <c r="BH813" s="166"/>
      <c r="BI813" s="474"/>
      <c r="BJ813" s="166"/>
      <c r="BK813" s="474"/>
      <c r="BL813" s="474"/>
      <c r="BM813" s="474"/>
      <c r="BN813" s="166"/>
      <c r="BO813" s="166"/>
      <c r="BP813" s="204"/>
      <c r="BQ813" s="475"/>
      <c r="BR813" s="205"/>
      <c r="BS813" s="509"/>
      <c r="BT813" s="509"/>
      <c r="BU813" s="459"/>
      <c r="BV813" s="459"/>
      <c r="BW813" s="1"/>
      <c r="BX813" s="1"/>
      <c r="BY813" s="546"/>
      <c r="BZ813" s="546"/>
      <c r="CA813" s="546"/>
      <c r="CB813" s="546"/>
      <c r="CC813" s="728"/>
      <c r="CD813" s="728"/>
      <c r="CE813" s="170"/>
    </row>
    <row r="814" spans="1:84" customFormat="1">
      <c r="A814" s="701"/>
      <c r="B814" s="447"/>
      <c r="C814" s="1"/>
      <c r="D814" s="538"/>
      <c r="E814" s="1"/>
      <c r="F814" s="811"/>
      <c r="G814" s="440"/>
      <c r="H814" s="1"/>
      <c r="I814" s="55"/>
      <c r="J814" s="171"/>
      <c r="K814" s="55"/>
      <c r="L814" s="171"/>
      <c r="M814" s="55"/>
      <c r="N814" s="172"/>
      <c r="O814" s="170"/>
      <c r="P814" s="139"/>
      <c r="Q814" s="172"/>
      <c r="R814" s="181"/>
      <c r="S814" s="455"/>
      <c r="T814" s="170"/>
      <c r="U814" s="170"/>
      <c r="V814" s="1"/>
      <c r="W814" s="173"/>
      <c r="X814" s="1"/>
      <c r="Y814" s="166"/>
      <c r="Z814" s="170"/>
      <c r="AA814" s="170"/>
      <c r="AB814" s="170"/>
      <c r="AC814" s="170"/>
      <c r="AD814" s="182"/>
      <c r="AE814" s="182"/>
      <c r="AF814" s="182"/>
      <c r="AG814" s="182"/>
      <c r="AH814" s="189"/>
      <c r="AI814" s="401"/>
      <c r="AJ814" s="189"/>
      <c r="AK814" s="401"/>
      <c r="AL814" s="401"/>
      <c r="AM814" s="189"/>
      <c r="AN814" s="782"/>
      <c r="AO814" s="189"/>
      <c r="AP814" s="401"/>
      <c r="AQ814" s="401"/>
      <c r="AR814" s="401"/>
      <c r="AS814" s="188"/>
      <c r="AT814" s="1"/>
      <c r="AU814" s="403"/>
      <c r="AV814" s="1"/>
      <c r="AW814" s="166"/>
      <c r="AX814" s="166"/>
      <c r="AY814" s="189"/>
      <c r="AZ814" s="189"/>
      <c r="BA814" s="196"/>
      <c r="BB814" s="629"/>
      <c r="BC814" s="197"/>
      <c r="BD814" s="510"/>
      <c r="BE814" s="510"/>
      <c r="BF814" s="177"/>
      <c r="BG814" s="177"/>
      <c r="BH814" s="166"/>
      <c r="BI814" s="474"/>
      <c r="BJ814" s="166"/>
      <c r="BK814" s="474"/>
      <c r="BL814" s="474"/>
      <c r="BM814" s="474"/>
      <c r="BN814" s="166"/>
      <c r="BO814" s="166"/>
      <c r="BP814" s="204"/>
      <c r="BQ814" s="475"/>
      <c r="BR814" s="205"/>
      <c r="BS814" s="509"/>
      <c r="BT814" s="509"/>
      <c r="BU814" s="459"/>
      <c r="BV814" s="459"/>
      <c r="BW814" s="1"/>
      <c r="BX814" s="1"/>
      <c r="BY814" s="546"/>
      <c r="BZ814" s="546"/>
      <c r="CA814" s="546"/>
      <c r="CB814" s="546"/>
      <c r="CC814" s="728"/>
      <c r="CD814" s="728"/>
      <c r="CE814" s="170"/>
    </row>
    <row r="815" spans="1:84" customFormat="1">
      <c r="A815" s="701"/>
      <c r="B815" s="447"/>
      <c r="C815" s="161"/>
      <c r="D815" s="162"/>
      <c r="E815" s="1"/>
      <c r="F815" s="811"/>
      <c r="G815" s="440"/>
      <c r="H815" s="1"/>
      <c r="I815" s="55"/>
      <c r="J815" s="170"/>
      <c r="K815" s="1"/>
      <c r="L815" s="170"/>
      <c r="M815" s="1"/>
      <c r="N815" s="458"/>
      <c r="O815" s="170"/>
      <c r="P815" s="441"/>
      <c r="Q815" s="55"/>
      <c r="R815" s="177"/>
      <c r="S815" s="454"/>
      <c r="T815" s="178"/>
      <c r="U815" s="178"/>
      <c r="V815" s="179"/>
      <c r="W815" s="180"/>
      <c r="X815" s="179"/>
      <c r="Y815" s="180"/>
      <c r="Z815" s="178"/>
      <c r="AA815" s="178"/>
      <c r="AB815" s="178"/>
      <c r="AC815" s="178"/>
      <c r="AD815" s="182"/>
      <c r="AE815" s="182"/>
      <c r="AF815" s="182"/>
      <c r="AG815" s="182"/>
      <c r="AH815" s="401"/>
      <c r="AI815" s="401"/>
      <c r="AJ815" s="401"/>
      <c r="AK815" s="401"/>
      <c r="AL815" s="401"/>
      <c r="AM815" s="189"/>
      <c r="AN815" s="829"/>
      <c r="AO815" s="830"/>
      <c r="AP815" s="401"/>
      <c r="AQ815" s="401"/>
      <c r="AR815" s="401"/>
      <c r="AS815" s="401"/>
      <c r="AT815" s="403"/>
      <c r="AU815" s="403"/>
      <c r="AV815" s="170"/>
      <c r="AW815" s="166"/>
      <c r="AX815" s="166"/>
      <c r="AY815" s="189"/>
      <c r="AZ815" s="189"/>
      <c r="BA815" s="196"/>
      <c r="BB815" s="629"/>
      <c r="BC815" s="190"/>
      <c r="BD815" s="510"/>
      <c r="BE815" s="510"/>
      <c r="BF815" s="177"/>
      <c r="BG815" s="177"/>
      <c r="BH815" s="166"/>
      <c r="BI815" s="474"/>
      <c r="BJ815" s="166"/>
      <c r="BK815" s="474"/>
      <c r="BL815" s="474"/>
      <c r="BM815" s="474"/>
      <c r="BN815" s="166"/>
      <c r="BO815" s="166"/>
      <c r="BP815" s="204"/>
      <c r="BQ815" s="475"/>
      <c r="BR815" s="205"/>
      <c r="BS815" s="509"/>
      <c r="BT815" s="509"/>
      <c r="BU815" s="459"/>
      <c r="BV815" s="459"/>
      <c r="BW815" s="1"/>
      <c r="BX815" s="1"/>
      <c r="BY815" s="546"/>
      <c r="BZ815" s="546"/>
      <c r="CA815" s="546"/>
      <c r="CB815" s="546"/>
      <c r="CC815" s="728"/>
      <c r="CD815" s="728"/>
      <c r="CE815" s="170"/>
    </row>
    <row r="816" spans="1:84" customFormat="1">
      <c r="A816" s="701"/>
      <c r="B816" s="447"/>
      <c r="C816" s="161"/>
      <c r="D816" s="162"/>
      <c r="E816" s="1"/>
      <c r="F816" s="811"/>
      <c r="G816" s="440"/>
      <c r="H816" s="1"/>
      <c r="I816" s="55"/>
      <c r="J816" s="170"/>
      <c r="K816" s="1"/>
      <c r="L816" s="170"/>
      <c r="M816" s="1"/>
      <c r="N816" s="458"/>
      <c r="O816" s="170"/>
      <c r="P816" s="441"/>
      <c r="Q816" s="55"/>
      <c r="R816" s="177"/>
      <c r="S816" s="454"/>
      <c r="T816" s="178"/>
      <c r="U816" s="178"/>
      <c r="V816" s="179"/>
      <c r="W816" s="180"/>
      <c r="X816" s="179"/>
      <c r="Y816" s="180"/>
      <c r="Z816" s="178"/>
      <c r="AA816" s="178"/>
      <c r="AB816" s="178"/>
      <c r="AC816" s="178"/>
      <c r="AD816" s="182"/>
      <c r="AE816" s="182"/>
      <c r="AF816" s="182"/>
      <c r="AG816" s="182"/>
      <c r="AH816" s="401"/>
      <c r="AI816" s="401"/>
      <c r="AJ816" s="401"/>
      <c r="AK816" s="401"/>
      <c r="AL816" s="401"/>
      <c r="AM816" s="189"/>
      <c r="AN816" s="829"/>
      <c r="AO816" s="830"/>
      <c r="AP816" s="401"/>
      <c r="AQ816" s="401"/>
      <c r="AR816" s="401"/>
      <c r="AS816" s="401"/>
      <c r="AT816" s="403"/>
      <c r="AU816" s="403"/>
      <c r="AV816" s="170"/>
      <c r="AW816" s="166"/>
      <c r="AX816" s="166"/>
      <c r="AY816" s="189"/>
      <c r="AZ816" s="189"/>
      <c r="BA816" s="196"/>
      <c r="BB816" s="629"/>
      <c r="BC816" s="190"/>
      <c r="BD816" s="510"/>
      <c r="BE816" s="510"/>
      <c r="BF816" s="177"/>
      <c r="BG816" s="177"/>
      <c r="BH816" s="166"/>
      <c r="BI816" s="474"/>
      <c r="BJ816" s="166"/>
      <c r="BK816" s="474"/>
      <c r="BL816" s="474"/>
      <c r="BM816" s="474"/>
      <c r="BN816" s="166"/>
      <c r="BO816" s="166"/>
      <c r="BP816" s="204"/>
      <c r="BQ816" s="475"/>
      <c r="BR816" s="205"/>
      <c r="BS816" s="509"/>
      <c r="BT816" s="509"/>
      <c r="BU816" s="459"/>
      <c r="BV816" s="459"/>
      <c r="BW816" s="1"/>
      <c r="BX816" s="1"/>
      <c r="BY816" s="546"/>
      <c r="BZ816" s="546"/>
      <c r="CA816" s="546"/>
      <c r="CB816" s="546"/>
      <c r="CC816" s="728"/>
      <c r="CD816" s="728"/>
      <c r="CE816" s="170"/>
    </row>
    <row r="817" spans="1:84">
      <c r="A817" s="701"/>
      <c r="B817" s="447"/>
      <c r="C817" s="161"/>
      <c r="D817" s="162"/>
      <c r="E817" s="1"/>
      <c r="F817" s="811"/>
      <c r="G817" s="440"/>
      <c r="H817" s="1"/>
      <c r="I817" s="55"/>
      <c r="J817" s="170"/>
      <c r="K817" s="1"/>
      <c r="L817" s="170"/>
      <c r="M817" s="1"/>
      <c r="N817" s="458"/>
      <c r="O817" s="170"/>
      <c r="P817" s="441"/>
      <c r="Q817" s="55"/>
      <c r="R817" s="177"/>
      <c r="S817" s="454"/>
      <c r="T817" s="178"/>
      <c r="U817" s="178"/>
      <c r="V817" s="179"/>
      <c r="W817" s="180"/>
      <c r="X817" s="179"/>
      <c r="Y817" s="180"/>
      <c r="Z817" s="178"/>
      <c r="AA817" s="178"/>
      <c r="AB817" s="178"/>
      <c r="AC817" s="178"/>
      <c r="AD817" s="182"/>
      <c r="AE817" s="182"/>
      <c r="AF817" s="182"/>
      <c r="AG817" s="182"/>
      <c r="AH817" s="401"/>
      <c r="AI817" s="401"/>
      <c r="AJ817" s="401"/>
      <c r="AK817" s="401"/>
      <c r="AL817" s="401"/>
      <c r="AM817" s="189"/>
      <c r="AN817" s="829"/>
      <c r="AO817" s="830"/>
      <c r="AP817" s="401"/>
      <c r="AQ817" s="401"/>
      <c r="AR817" s="401"/>
      <c r="AS817" s="401"/>
      <c r="AT817" s="403"/>
      <c r="AU817" s="403"/>
      <c r="AV817" s="170"/>
      <c r="AW817" s="166"/>
      <c r="AX817" s="166"/>
      <c r="AY817" s="189"/>
      <c r="AZ817" s="189"/>
      <c r="BA817" s="196"/>
      <c r="BB817" s="629"/>
      <c r="BC817" s="190"/>
      <c r="BD817" s="510"/>
      <c r="BE817" s="510"/>
      <c r="BF817" s="177"/>
      <c r="BG817" s="177"/>
      <c r="BH817" s="166"/>
      <c r="BI817" s="474"/>
      <c r="BJ817" s="166"/>
      <c r="BK817" s="474"/>
      <c r="BL817" s="474"/>
      <c r="BM817" s="474"/>
      <c r="BN817" s="166"/>
      <c r="BO817" s="166"/>
      <c r="BP817" s="204"/>
      <c r="BQ817" s="475"/>
      <c r="BR817" s="205"/>
      <c r="BS817" s="509"/>
      <c r="BT817" s="509"/>
      <c r="BU817" s="459"/>
      <c r="BV817" s="459"/>
      <c r="BW817" s="1"/>
      <c r="BX817" s="1"/>
      <c r="BY817" s="546"/>
      <c r="BZ817" s="546"/>
      <c r="CA817" s="546"/>
      <c r="CB817" s="546"/>
      <c r="CC817" s="728"/>
      <c r="CD817" s="728"/>
      <c r="CE817" s="170"/>
      <c r="CF817"/>
    </row>
    <row r="818" spans="1:84">
      <c r="A818" s="701"/>
      <c r="B818" s="447"/>
      <c r="C818" s="161"/>
      <c r="D818" s="162"/>
      <c r="E818" s="1"/>
      <c r="F818" s="811"/>
      <c r="G818" s="440"/>
      <c r="H818" s="1"/>
      <c r="I818" s="55"/>
      <c r="J818" s="170"/>
      <c r="K818" s="1"/>
      <c r="L818" s="170"/>
      <c r="M818" s="1"/>
      <c r="N818" s="458"/>
      <c r="O818" s="170"/>
      <c r="P818" s="441"/>
      <c r="Q818" s="55"/>
      <c r="R818" s="177"/>
      <c r="S818" s="454"/>
      <c r="T818" s="178"/>
      <c r="U818" s="178"/>
      <c r="V818" s="179"/>
      <c r="W818" s="180"/>
      <c r="X818" s="179"/>
      <c r="Y818" s="180"/>
      <c r="Z818" s="178"/>
      <c r="AA818" s="178"/>
      <c r="AB818" s="178"/>
      <c r="AC818" s="178"/>
      <c r="AD818" s="182"/>
      <c r="AE818" s="182"/>
      <c r="AF818" s="182"/>
      <c r="AG818" s="182"/>
      <c r="AH818" s="401"/>
      <c r="AI818" s="401"/>
      <c r="AJ818" s="401"/>
      <c r="AK818" s="401"/>
      <c r="AL818" s="401"/>
      <c r="AM818" s="189"/>
      <c r="AN818" s="829"/>
      <c r="AO818" s="830"/>
      <c r="AP818" s="401"/>
      <c r="AQ818" s="401"/>
      <c r="AR818" s="401"/>
      <c r="AS818" s="401"/>
      <c r="AT818" s="403"/>
      <c r="AU818" s="403"/>
      <c r="AV818" s="170"/>
      <c r="AW818" s="166"/>
      <c r="AX818" s="166"/>
      <c r="AY818" s="189"/>
      <c r="AZ818" s="189"/>
      <c r="BA818" s="196"/>
      <c r="BB818" s="629"/>
      <c r="BC818" s="190"/>
      <c r="BD818" s="510"/>
      <c r="BE818" s="510"/>
      <c r="BF818" s="177"/>
      <c r="BG818" s="177"/>
      <c r="BH818" s="166"/>
      <c r="BI818" s="474"/>
      <c r="BJ818" s="166"/>
      <c r="BK818" s="474"/>
      <c r="BL818" s="474"/>
      <c r="BM818" s="474"/>
      <c r="BN818" s="166"/>
      <c r="BO818" s="166"/>
      <c r="BP818" s="204"/>
      <c r="BQ818" s="475"/>
      <c r="BR818" s="205"/>
      <c r="BS818" s="509"/>
      <c r="BT818" s="509"/>
      <c r="BU818" s="459"/>
      <c r="BV818" s="459"/>
      <c r="BW818" s="1"/>
      <c r="BX818" s="1"/>
      <c r="BY818" s="546"/>
      <c r="BZ818" s="546"/>
      <c r="CA818" s="546"/>
      <c r="CB818" s="546"/>
      <c r="CC818" s="728"/>
      <c r="CD818" s="728"/>
      <c r="CE818" s="170"/>
      <c r="CF818"/>
    </row>
    <row r="819" spans="1:84" customFormat="1">
      <c r="A819" s="701"/>
      <c r="B819" s="447"/>
      <c r="C819" s="161"/>
      <c r="D819" s="162"/>
      <c r="E819" s="1"/>
      <c r="F819" s="811"/>
      <c r="G819" s="440"/>
      <c r="H819" s="1"/>
      <c r="I819" s="55"/>
      <c r="J819" s="170"/>
      <c r="K819" s="1"/>
      <c r="L819" s="170"/>
      <c r="M819" s="1"/>
      <c r="N819" s="458"/>
      <c r="O819" s="170"/>
      <c r="P819" s="441"/>
      <c r="Q819" s="55"/>
      <c r="R819" s="177"/>
      <c r="S819" s="454"/>
      <c r="T819" s="178"/>
      <c r="U819" s="178"/>
      <c r="V819" s="179"/>
      <c r="W819" s="180"/>
      <c r="X819" s="179"/>
      <c r="Y819" s="180"/>
      <c r="Z819" s="178"/>
      <c r="AA819" s="178"/>
      <c r="AB819" s="178"/>
      <c r="AC819" s="178"/>
      <c r="AD819" s="182"/>
      <c r="AE819" s="182"/>
      <c r="AF819" s="182"/>
      <c r="AG819" s="182"/>
      <c r="AH819" s="401"/>
      <c r="AI819" s="401"/>
      <c r="AJ819" s="401"/>
      <c r="AK819" s="401"/>
      <c r="AL819" s="401"/>
      <c r="AM819" s="189"/>
      <c r="AN819" s="829"/>
      <c r="AO819" s="830"/>
      <c r="AP819" s="401"/>
      <c r="AQ819" s="401"/>
      <c r="AR819" s="401"/>
      <c r="AS819" s="401"/>
      <c r="AT819" s="403"/>
      <c r="AU819" s="403"/>
      <c r="AV819" s="170"/>
      <c r="AW819" s="166"/>
      <c r="AX819" s="166"/>
      <c r="AY819" s="189"/>
      <c r="AZ819" s="189"/>
      <c r="BA819" s="196"/>
      <c r="BB819" s="629"/>
      <c r="BC819" s="190"/>
      <c r="BD819" s="510"/>
      <c r="BE819" s="510"/>
      <c r="BF819" s="177"/>
      <c r="BG819" s="177"/>
      <c r="BH819" s="166"/>
      <c r="BI819" s="474"/>
      <c r="BJ819" s="166"/>
      <c r="BK819" s="474"/>
      <c r="BL819" s="474"/>
      <c r="BM819" s="474"/>
      <c r="BN819" s="166"/>
      <c r="BO819" s="166"/>
      <c r="BP819" s="204"/>
      <c r="BQ819" s="475"/>
      <c r="BR819" s="205"/>
      <c r="BS819" s="509"/>
      <c r="BT819" s="509"/>
      <c r="BU819" s="459"/>
      <c r="BV819" s="459"/>
      <c r="BW819" s="1"/>
      <c r="BX819" s="1"/>
      <c r="BY819" s="1"/>
      <c r="BZ819" s="1"/>
      <c r="CA819" s="1"/>
      <c r="CB819" s="1"/>
      <c r="CC819" s="728"/>
      <c r="CD819" s="728"/>
      <c r="CE819" s="1"/>
    </row>
    <row r="820" spans="1:84" customFormat="1">
      <c r="A820" s="701"/>
      <c r="B820" s="447"/>
      <c r="C820" s="161"/>
      <c r="D820" s="162"/>
      <c r="E820" s="1"/>
      <c r="F820" s="811"/>
      <c r="G820" s="440"/>
      <c r="H820" s="1"/>
      <c r="I820" s="55"/>
      <c r="J820" s="170"/>
      <c r="K820" s="1"/>
      <c r="L820" s="170"/>
      <c r="M820" s="1"/>
      <c r="N820" s="458"/>
      <c r="O820" s="170"/>
      <c r="P820" s="441"/>
      <c r="Q820" s="55"/>
      <c r="R820" s="177"/>
      <c r="S820" s="454"/>
      <c r="T820" s="178"/>
      <c r="U820" s="178"/>
      <c r="V820" s="179"/>
      <c r="W820" s="180"/>
      <c r="X820" s="179"/>
      <c r="Y820" s="180"/>
      <c r="Z820" s="178"/>
      <c r="AA820" s="178"/>
      <c r="AB820" s="178"/>
      <c r="AC820" s="178"/>
      <c r="AD820" s="182"/>
      <c r="AE820" s="182"/>
      <c r="AF820" s="182"/>
      <c r="AG820" s="182"/>
      <c r="AH820" s="401"/>
      <c r="AI820" s="401"/>
      <c r="AJ820" s="401"/>
      <c r="AK820" s="401"/>
      <c r="AL820" s="401"/>
      <c r="AM820" s="189"/>
      <c r="AN820" s="829"/>
      <c r="AO820" s="830"/>
      <c r="AP820" s="401"/>
      <c r="AQ820" s="401"/>
      <c r="AR820" s="401"/>
      <c r="AS820" s="401"/>
      <c r="AT820" s="403"/>
      <c r="AU820" s="403"/>
      <c r="AV820" s="170"/>
      <c r="AW820" s="166"/>
      <c r="AX820" s="166"/>
      <c r="AY820" s="189"/>
      <c r="AZ820" s="189"/>
      <c r="BA820" s="196"/>
      <c r="BB820" s="629"/>
      <c r="BC820" s="190"/>
      <c r="BD820" s="510"/>
      <c r="BE820" s="510"/>
      <c r="BF820" s="177"/>
      <c r="BG820" s="177"/>
      <c r="BH820" s="166"/>
      <c r="BI820" s="474"/>
      <c r="BJ820" s="166"/>
      <c r="BK820" s="474"/>
      <c r="BL820" s="474"/>
      <c r="BM820" s="474"/>
      <c r="BN820" s="166"/>
      <c r="BO820" s="166"/>
      <c r="BP820" s="204"/>
      <c r="BQ820" s="475"/>
      <c r="BR820" s="205"/>
      <c r="BS820" s="509"/>
      <c r="BT820" s="509"/>
      <c r="BU820" s="459"/>
      <c r="BV820" s="459"/>
      <c r="BW820" s="1"/>
      <c r="BX820" s="1"/>
      <c r="BY820" s="1"/>
      <c r="BZ820" s="1"/>
      <c r="CA820" s="1"/>
      <c r="CB820" s="1"/>
      <c r="CC820" s="728"/>
      <c r="CD820" s="728"/>
      <c r="CE820" s="1"/>
    </row>
    <row r="821" spans="1:84" customFormat="1">
      <c r="A821" s="701"/>
      <c r="B821" s="447"/>
      <c r="C821" s="1"/>
      <c r="D821" s="538"/>
      <c r="E821" s="1"/>
      <c r="F821" s="811"/>
      <c r="G821" s="440"/>
      <c r="H821" s="1"/>
      <c r="J821" s="171"/>
      <c r="K821" s="55"/>
      <c r="L821" s="171"/>
      <c r="M821" s="55"/>
      <c r="N821" s="172"/>
      <c r="O821" s="170"/>
      <c r="P821" s="139"/>
      <c r="Q821" s="171"/>
      <c r="R821" s="181"/>
      <c r="S821" s="455"/>
      <c r="T821" s="170"/>
      <c r="U821" s="170"/>
      <c r="V821" s="1"/>
      <c r="W821" s="173"/>
      <c r="X821" s="1"/>
      <c r="Y821" s="166"/>
      <c r="Z821" s="170"/>
      <c r="AA821" s="170"/>
      <c r="AB821" s="170"/>
      <c r="AC821" s="170"/>
      <c r="AD821" s="182"/>
      <c r="AE821" s="182"/>
      <c r="AF821" s="182"/>
      <c r="AG821" s="182"/>
      <c r="AH821" s="189"/>
      <c r="AI821" s="401"/>
      <c r="AJ821" s="189"/>
      <c r="AK821" s="401"/>
      <c r="AL821" s="401"/>
      <c r="AM821" s="189"/>
      <c r="AN821" s="782"/>
      <c r="AO821" s="189"/>
      <c r="AP821" s="401"/>
      <c r="AQ821" s="401"/>
      <c r="AR821" s="401"/>
      <c r="AS821" s="188"/>
      <c r="AT821" s="1"/>
      <c r="AU821" s="403"/>
      <c r="AV821" s="1"/>
      <c r="AW821" s="166"/>
      <c r="AX821" s="166"/>
      <c r="AY821" s="189"/>
      <c r="AZ821" s="189"/>
      <c r="BA821" s="196"/>
      <c r="BB821" s="629"/>
      <c r="BC821" s="197"/>
      <c r="BD821" s="510"/>
      <c r="BE821" s="510"/>
      <c r="BF821" s="177"/>
      <c r="BG821" s="177"/>
      <c r="BH821" s="166"/>
      <c r="BI821" s="474"/>
      <c r="BJ821" s="166"/>
      <c r="BK821" s="474"/>
      <c r="BL821" s="474"/>
      <c r="BM821" s="474"/>
      <c r="BN821" s="166"/>
      <c r="BO821" s="166"/>
      <c r="BP821" s="204"/>
      <c r="BQ821" s="475"/>
      <c r="BR821" s="205"/>
      <c r="BS821" s="509"/>
      <c r="BT821" s="509"/>
      <c r="BU821" s="459"/>
      <c r="BV821" s="459"/>
      <c r="BW821" s="1"/>
      <c r="BX821" s="1"/>
      <c r="BY821" s="546"/>
      <c r="BZ821" s="546"/>
      <c r="CA821" s="546"/>
      <c r="CB821" s="546"/>
      <c r="CC821" s="728"/>
      <c r="CD821" s="728"/>
      <c r="CE821" s="170"/>
    </row>
    <row r="822" spans="1:84">
      <c r="A822" s="701"/>
      <c r="B822" s="447"/>
      <c r="C822" s="161"/>
      <c r="D822" s="162"/>
      <c r="E822" s="1"/>
      <c r="F822" s="811"/>
      <c r="G822" s="440"/>
      <c r="H822" s="1"/>
      <c r="I822" s="55"/>
      <c r="J822" s="170"/>
      <c r="K822" s="1"/>
      <c r="L822" s="170"/>
      <c r="M822" s="1"/>
      <c r="N822" s="458"/>
      <c r="O822" s="170"/>
      <c r="P822" s="441"/>
      <c r="Q822" s="55"/>
      <c r="R822" s="177"/>
      <c r="S822" s="454"/>
      <c r="T822" s="178"/>
      <c r="U822" s="178"/>
      <c r="V822" s="179"/>
      <c r="W822" s="180"/>
      <c r="X822" s="179"/>
      <c r="Y822" s="180"/>
      <c r="Z822" s="178"/>
      <c r="AA822" s="178"/>
      <c r="AB822" s="178"/>
      <c r="AC822" s="178"/>
      <c r="AD822" s="182"/>
      <c r="AE822" s="182"/>
      <c r="AF822" s="182"/>
      <c r="AG822" s="182"/>
      <c r="AH822" s="401"/>
      <c r="AI822" s="401"/>
      <c r="AJ822" s="401"/>
      <c r="AK822" s="401"/>
      <c r="AL822" s="401"/>
      <c r="AM822" s="189"/>
      <c r="AN822" s="829"/>
      <c r="AO822" s="830"/>
      <c r="AP822" s="401"/>
      <c r="AQ822" s="401"/>
      <c r="AR822" s="401"/>
      <c r="AS822" s="401"/>
      <c r="AT822" s="403"/>
      <c r="AU822" s="403"/>
      <c r="AV822" s="170"/>
      <c r="AW822" s="166"/>
      <c r="AX822" s="166"/>
      <c r="AY822" s="189"/>
      <c r="AZ822" s="189"/>
      <c r="BA822" s="196"/>
      <c r="BB822" s="629"/>
      <c r="BC822" s="190"/>
      <c r="BD822" s="510"/>
      <c r="BE822" s="510"/>
      <c r="BF822" s="177"/>
      <c r="BG822" s="177"/>
      <c r="BH822" s="166"/>
      <c r="BI822" s="474"/>
      <c r="BJ822" s="166"/>
      <c r="BK822" s="474"/>
      <c r="BL822" s="474"/>
      <c r="BM822" s="474"/>
      <c r="BN822" s="166"/>
      <c r="BO822" s="166"/>
      <c r="BP822" s="204"/>
      <c r="BQ822" s="475"/>
      <c r="BR822" s="205"/>
      <c r="BS822" s="509"/>
      <c r="BT822" s="509"/>
      <c r="BU822" s="459"/>
      <c r="BV822" s="459"/>
      <c r="BW822" s="1"/>
      <c r="BX822" s="1"/>
      <c r="BY822" s="546"/>
      <c r="BZ822" s="546"/>
      <c r="CA822" s="546"/>
      <c r="CB822" s="546"/>
      <c r="CC822" s="728"/>
      <c r="CD822" s="728"/>
      <c r="CE822" s="170"/>
      <c r="CF822"/>
    </row>
    <row r="823" spans="1:84">
      <c r="A823" s="701"/>
      <c r="B823" s="447"/>
      <c r="C823" s="161"/>
      <c r="D823" s="162"/>
      <c r="E823" s="1"/>
      <c r="F823" s="811"/>
      <c r="G823" s="440"/>
      <c r="H823" s="1"/>
      <c r="I823" s="55"/>
      <c r="J823" s="170"/>
      <c r="K823" s="1"/>
      <c r="L823" s="170"/>
      <c r="M823" s="1"/>
      <c r="N823" s="458"/>
      <c r="O823" s="170"/>
      <c r="P823" s="441"/>
      <c r="Q823" s="55"/>
      <c r="R823" s="177"/>
      <c r="S823" s="454"/>
      <c r="T823" s="178"/>
      <c r="U823" s="178"/>
      <c r="V823" s="179"/>
      <c r="W823" s="180"/>
      <c r="X823" s="179"/>
      <c r="Y823" s="180"/>
      <c r="Z823" s="178"/>
      <c r="AA823" s="178"/>
      <c r="AB823" s="178"/>
      <c r="AC823" s="178"/>
      <c r="AD823" s="182"/>
      <c r="AE823" s="182"/>
      <c r="AF823" s="182"/>
      <c r="AG823" s="182"/>
      <c r="AH823" s="401"/>
      <c r="AI823" s="401"/>
      <c r="AJ823" s="401"/>
      <c r="AK823" s="401"/>
      <c r="AL823" s="401"/>
      <c r="AM823" s="189"/>
      <c r="AN823" s="829"/>
      <c r="AO823" s="830"/>
      <c r="AP823" s="401"/>
      <c r="AQ823" s="401"/>
      <c r="AR823" s="401"/>
      <c r="AS823" s="401"/>
      <c r="AT823" s="403"/>
      <c r="AU823" s="403"/>
      <c r="AV823" s="170"/>
      <c r="AW823" s="166"/>
      <c r="AX823" s="166"/>
      <c r="AY823" s="189"/>
      <c r="AZ823" s="189"/>
      <c r="BA823" s="196"/>
      <c r="BB823" s="629"/>
      <c r="BC823" s="190"/>
      <c r="BD823" s="510"/>
      <c r="BE823" s="510"/>
      <c r="BF823" s="177"/>
      <c r="BG823" s="177"/>
      <c r="BH823" s="166"/>
      <c r="BI823" s="474"/>
      <c r="BJ823" s="166"/>
      <c r="BK823" s="474"/>
      <c r="BL823" s="474"/>
      <c r="BM823" s="474"/>
      <c r="BN823" s="166"/>
      <c r="BO823" s="166"/>
      <c r="BP823" s="204"/>
      <c r="BQ823" s="475"/>
      <c r="BR823" s="205"/>
      <c r="BS823" s="509"/>
      <c r="BT823" s="509"/>
      <c r="BU823" s="459"/>
      <c r="BV823" s="459"/>
      <c r="BW823" s="1"/>
      <c r="BX823" s="1"/>
      <c r="BY823" s="546"/>
      <c r="BZ823" s="546"/>
      <c r="CA823" s="546"/>
      <c r="CB823" s="546"/>
      <c r="CC823" s="728"/>
      <c r="CD823" s="728"/>
      <c r="CE823" s="170"/>
      <c r="CF823"/>
    </row>
    <row r="824" spans="1:84">
      <c r="A824" s="701"/>
      <c r="B824" s="447"/>
      <c r="C824" s="161"/>
      <c r="D824" s="162"/>
      <c r="E824" s="1"/>
      <c r="F824" s="811"/>
      <c r="G824" s="440"/>
      <c r="H824" s="1"/>
      <c r="I824" s="55"/>
      <c r="J824" s="457"/>
      <c r="K824" s="1"/>
      <c r="L824" s="170"/>
      <c r="M824" s="1"/>
      <c r="N824" s="458"/>
      <c r="O824" s="170"/>
      <c r="P824" s="441"/>
      <c r="Q824" s="55"/>
      <c r="R824" s="177"/>
      <c r="S824" s="454"/>
      <c r="T824" s="178"/>
      <c r="U824" s="178"/>
      <c r="V824" s="179"/>
      <c r="W824" s="180"/>
      <c r="X824" s="179"/>
      <c r="Y824" s="180"/>
      <c r="Z824" s="178"/>
      <c r="AA824" s="178"/>
      <c r="AB824" s="178"/>
      <c r="AC824" s="178"/>
      <c r="AD824" s="182"/>
      <c r="AE824" s="182"/>
      <c r="AF824" s="182"/>
      <c r="AG824" s="182"/>
      <c r="AH824" s="401"/>
      <c r="AI824" s="401"/>
      <c r="AJ824" s="401"/>
      <c r="AK824" s="401"/>
      <c r="AL824" s="401"/>
      <c r="AM824" s="189"/>
      <c r="AN824" s="829"/>
      <c r="AO824" s="830"/>
      <c r="AP824" s="401"/>
      <c r="AQ824" s="401"/>
      <c r="AR824" s="401"/>
      <c r="AS824" s="401"/>
      <c r="AT824" s="403"/>
      <c r="AU824" s="403"/>
      <c r="AV824" s="170"/>
      <c r="AW824" s="166"/>
      <c r="AX824" s="166"/>
      <c r="AY824" s="189"/>
      <c r="AZ824" s="189"/>
      <c r="BA824" s="196"/>
      <c r="BB824" s="629"/>
      <c r="BC824" s="190"/>
      <c r="BD824" s="510"/>
      <c r="BE824" s="510"/>
      <c r="BF824" s="177"/>
      <c r="BG824" s="177"/>
      <c r="BH824" s="166"/>
      <c r="BI824" s="474"/>
      <c r="BJ824" s="166"/>
      <c r="BK824" s="474"/>
      <c r="BL824" s="474"/>
      <c r="BM824" s="474"/>
      <c r="BN824" s="166"/>
      <c r="BO824" s="166"/>
      <c r="BP824" s="204"/>
      <c r="BQ824" s="475"/>
      <c r="BR824" s="205"/>
      <c r="BS824" s="509"/>
      <c r="BT824" s="509"/>
      <c r="BU824" s="459"/>
      <c r="BV824" s="459"/>
      <c r="BW824" s="1"/>
      <c r="BX824" s="1"/>
      <c r="BY824" s="546"/>
      <c r="BZ824" s="546"/>
      <c r="CA824" s="546"/>
      <c r="CB824" s="546"/>
      <c r="CC824" s="728"/>
      <c r="CD824" s="728"/>
      <c r="CE824" s="170"/>
      <c r="CF824"/>
    </row>
    <row r="825" spans="1:84">
      <c r="A825" s="701"/>
      <c r="B825" s="447"/>
      <c r="C825" s="161"/>
      <c r="D825" s="162"/>
      <c r="E825" s="1"/>
      <c r="F825" s="811"/>
      <c r="G825" s="440"/>
      <c r="H825" s="1"/>
      <c r="I825" s="55"/>
      <c r="J825" s="170"/>
      <c r="K825" s="1"/>
      <c r="L825" s="170"/>
      <c r="M825" s="1"/>
      <c r="N825" s="458"/>
      <c r="O825" s="170"/>
      <c r="P825" s="441"/>
      <c r="Q825" s="55"/>
      <c r="R825" s="177"/>
      <c r="S825" s="454"/>
      <c r="T825" s="178"/>
      <c r="U825" s="178"/>
      <c r="V825" s="179"/>
      <c r="W825" s="180"/>
      <c r="X825" s="179"/>
      <c r="Y825" s="180"/>
      <c r="Z825" s="178"/>
      <c r="AA825" s="178"/>
      <c r="AB825" s="178"/>
      <c r="AC825" s="178"/>
      <c r="AD825" s="182"/>
      <c r="AE825" s="182"/>
      <c r="AF825" s="182"/>
      <c r="AG825" s="182"/>
      <c r="AH825" s="401"/>
      <c r="AI825" s="401"/>
      <c r="AJ825" s="401"/>
      <c r="AK825" s="401"/>
      <c r="AL825" s="401"/>
      <c r="AM825" s="189"/>
      <c r="AN825" s="829"/>
      <c r="AO825" s="830"/>
      <c r="AP825" s="401"/>
      <c r="AQ825" s="401"/>
      <c r="AR825" s="401"/>
      <c r="AS825" s="401"/>
      <c r="AT825" s="403"/>
      <c r="AU825" s="403"/>
      <c r="AV825" s="170"/>
      <c r="AW825" s="166"/>
      <c r="AX825" s="166"/>
      <c r="AY825" s="189"/>
      <c r="AZ825" s="189"/>
      <c r="BA825" s="196"/>
      <c r="BB825" s="629"/>
      <c r="BC825" s="190"/>
      <c r="BD825" s="510"/>
      <c r="BE825" s="510"/>
      <c r="BF825" s="177"/>
      <c r="BG825" s="177"/>
      <c r="BH825" s="166"/>
      <c r="BI825" s="474"/>
      <c r="BJ825" s="166"/>
      <c r="BK825" s="474"/>
      <c r="BL825" s="474"/>
      <c r="BM825" s="474"/>
      <c r="BN825" s="166"/>
      <c r="BO825" s="166"/>
      <c r="BP825" s="204"/>
      <c r="BQ825" s="475"/>
      <c r="BR825" s="205"/>
      <c r="BS825" s="509"/>
      <c r="BT825" s="509"/>
      <c r="BU825" s="459"/>
      <c r="BV825" s="459"/>
      <c r="BW825" s="1"/>
      <c r="BX825" s="1"/>
      <c r="BY825" s="546"/>
      <c r="BZ825" s="546"/>
      <c r="CA825" s="546"/>
      <c r="CB825" s="546"/>
      <c r="CC825" s="728"/>
      <c r="CD825" s="728"/>
      <c r="CE825" s="170"/>
      <c r="CF825"/>
    </row>
    <row r="826" spans="1:84">
      <c r="A826" s="701"/>
      <c r="B826" s="447"/>
      <c r="C826" s="161"/>
      <c r="D826" s="162"/>
      <c r="E826" s="1"/>
      <c r="F826" s="811"/>
      <c r="G826" s="440"/>
      <c r="H826" s="1"/>
      <c r="I826" s="55"/>
      <c r="J826" s="170"/>
      <c r="K826" s="1"/>
      <c r="L826" s="170"/>
      <c r="M826" s="1"/>
      <c r="N826" s="458"/>
      <c r="O826" s="170"/>
      <c r="P826" s="441"/>
      <c r="Q826" s="55"/>
      <c r="R826" s="177"/>
      <c r="S826" s="454"/>
      <c r="T826" s="178"/>
      <c r="U826" s="178"/>
      <c r="V826" s="179"/>
      <c r="W826" s="180"/>
      <c r="X826" s="179"/>
      <c r="Y826" s="180"/>
      <c r="Z826" s="178"/>
      <c r="AA826" s="178"/>
      <c r="AB826" s="178"/>
      <c r="AC826" s="178"/>
      <c r="AD826" s="182"/>
      <c r="AE826" s="182"/>
      <c r="AF826" s="182"/>
      <c r="AG826" s="182"/>
      <c r="AH826" s="401"/>
      <c r="AI826" s="401"/>
      <c r="AJ826" s="401"/>
      <c r="AK826" s="401"/>
      <c r="AL826" s="401"/>
      <c r="AM826" s="189"/>
      <c r="AN826" s="829"/>
      <c r="AO826" s="830"/>
      <c r="AP826" s="401"/>
      <c r="AQ826" s="401"/>
      <c r="AR826" s="401"/>
      <c r="AS826" s="401"/>
      <c r="AT826" s="403"/>
      <c r="AU826" s="403"/>
      <c r="AV826" s="170"/>
      <c r="AW826" s="166"/>
      <c r="AX826" s="166"/>
      <c r="AY826" s="189"/>
      <c r="AZ826" s="189"/>
      <c r="BA826" s="196"/>
      <c r="BB826" s="629"/>
      <c r="BC826" s="190"/>
      <c r="BD826" s="510"/>
      <c r="BE826" s="510"/>
      <c r="BF826" s="177"/>
      <c r="BG826" s="177"/>
      <c r="BH826" s="166"/>
      <c r="BI826" s="474"/>
      <c r="BJ826" s="166"/>
      <c r="BK826" s="474"/>
      <c r="BL826" s="474"/>
      <c r="BM826" s="474"/>
      <c r="BN826" s="166"/>
      <c r="BO826" s="166"/>
      <c r="BP826" s="204"/>
      <c r="BQ826" s="475"/>
      <c r="BR826" s="205"/>
      <c r="BS826" s="509"/>
      <c r="BT826" s="509"/>
      <c r="BU826" s="459"/>
      <c r="BV826" s="459"/>
      <c r="BW826" s="1"/>
      <c r="BX826" s="1"/>
      <c r="BY826" s="546"/>
      <c r="BZ826" s="546"/>
      <c r="CA826" s="546"/>
      <c r="CB826" s="546"/>
      <c r="CC826" s="728"/>
      <c r="CD826" s="728"/>
      <c r="CE826" s="170"/>
      <c r="CF826"/>
    </row>
    <row r="827" spans="1:84" customFormat="1">
      <c r="A827" s="701"/>
      <c r="B827" s="447"/>
      <c r="C827" s="161"/>
      <c r="D827" s="162"/>
      <c r="E827" s="1"/>
      <c r="F827" s="811"/>
      <c r="G827" s="440"/>
      <c r="H827" s="1"/>
      <c r="I827" s="55"/>
      <c r="J827" s="170"/>
      <c r="K827" s="1"/>
      <c r="L827" s="170"/>
      <c r="M827" s="1"/>
      <c r="N827" s="458"/>
      <c r="O827" s="170"/>
      <c r="P827" s="441"/>
      <c r="Q827" s="55"/>
      <c r="R827" s="177"/>
      <c r="S827" s="454"/>
      <c r="T827" s="178"/>
      <c r="U827" s="178"/>
      <c r="V827" s="179"/>
      <c r="W827" s="180"/>
      <c r="X827" s="179"/>
      <c r="Y827" s="180"/>
      <c r="Z827" s="178"/>
      <c r="AA827" s="178"/>
      <c r="AB827" s="178"/>
      <c r="AC827" s="178"/>
      <c r="AD827" s="182"/>
      <c r="AE827" s="182"/>
      <c r="AF827" s="182"/>
      <c r="AG827" s="182"/>
      <c r="AH827" s="401"/>
      <c r="AI827" s="401"/>
      <c r="AJ827" s="401"/>
      <c r="AK827" s="401"/>
      <c r="AL827" s="401"/>
      <c r="AM827" s="189"/>
      <c r="AN827" s="829"/>
      <c r="AO827" s="830"/>
      <c r="AP827" s="401"/>
      <c r="AQ827" s="401"/>
      <c r="AR827" s="401"/>
      <c r="AS827" s="401"/>
      <c r="AT827" s="403"/>
      <c r="AU827" s="403"/>
      <c r="AV827" s="170"/>
      <c r="AW827" s="166"/>
      <c r="AX827" s="166"/>
      <c r="AY827" s="189"/>
      <c r="AZ827" s="189"/>
      <c r="BA827" s="196"/>
      <c r="BB827" s="629"/>
      <c r="BC827" s="190"/>
      <c r="BD827" s="510"/>
      <c r="BE827" s="510"/>
      <c r="BF827" s="177"/>
      <c r="BG827" s="177"/>
      <c r="BH827" s="166"/>
      <c r="BI827" s="474"/>
      <c r="BJ827" s="166"/>
      <c r="BK827" s="474"/>
      <c r="BL827" s="474"/>
      <c r="BM827" s="474"/>
      <c r="BN827" s="166"/>
      <c r="BO827" s="166"/>
      <c r="BP827" s="204"/>
      <c r="BQ827" s="475"/>
      <c r="BR827" s="205"/>
      <c r="BS827" s="509"/>
      <c r="BT827" s="509"/>
      <c r="BU827" s="459"/>
      <c r="BV827" s="459"/>
      <c r="BW827" s="1"/>
      <c r="BX827" s="1"/>
      <c r="BY827" s="546"/>
      <c r="BZ827" s="546"/>
      <c r="CA827" s="546"/>
      <c r="CB827" s="546"/>
      <c r="CC827" s="728"/>
      <c r="CD827" s="728"/>
      <c r="CE827" s="170"/>
    </row>
    <row r="828" spans="1:84">
      <c r="A828" s="701"/>
      <c r="B828" s="447"/>
      <c r="C828" s="161"/>
      <c r="D828" s="162"/>
      <c r="E828" s="1"/>
      <c r="F828" s="811"/>
      <c r="G828" s="440"/>
      <c r="H828" s="1"/>
      <c r="I828" s="55"/>
      <c r="J828" s="170"/>
      <c r="K828" s="1"/>
      <c r="L828" s="170"/>
      <c r="M828" s="1"/>
      <c r="N828" s="458"/>
      <c r="O828" s="170"/>
      <c r="P828" s="441"/>
      <c r="Q828" s="55"/>
      <c r="R828" s="177"/>
      <c r="S828" s="454"/>
      <c r="T828" s="178"/>
      <c r="U828" s="178"/>
      <c r="V828" s="179"/>
      <c r="W828" s="180"/>
      <c r="X828" s="179"/>
      <c r="Y828" s="180"/>
      <c r="Z828" s="178"/>
      <c r="AA828" s="178"/>
      <c r="AB828" s="178"/>
      <c r="AC828" s="178"/>
      <c r="AD828" s="182"/>
      <c r="AE828" s="182"/>
      <c r="AF828" s="182"/>
      <c r="AG828" s="182"/>
      <c r="AH828" s="401"/>
      <c r="AI828" s="401"/>
      <c r="AJ828" s="401"/>
      <c r="AK828" s="401"/>
      <c r="AL828" s="401"/>
      <c r="AM828" s="189"/>
      <c r="AN828" s="829"/>
      <c r="AO828" s="830"/>
      <c r="AP828" s="401"/>
      <c r="AQ828" s="401"/>
      <c r="AR828" s="401"/>
      <c r="AS828" s="401"/>
      <c r="AT828" s="403"/>
      <c r="AU828" s="403"/>
      <c r="AV828" s="170"/>
      <c r="AW828" s="166"/>
      <c r="AX828" s="166"/>
      <c r="AY828" s="189"/>
      <c r="AZ828" s="189"/>
      <c r="BA828" s="196"/>
      <c r="BB828" s="629"/>
      <c r="BC828" s="190"/>
      <c r="BD828" s="510"/>
      <c r="BE828" s="510"/>
      <c r="BF828" s="177"/>
      <c r="BG828" s="177"/>
      <c r="BH828" s="166"/>
      <c r="BI828" s="474"/>
      <c r="BJ828" s="166"/>
      <c r="BK828" s="474"/>
      <c r="BL828" s="474"/>
      <c r="BM828" s="474"/>
      <c r="BN828" s="166"/>
      <c r="BO828" s="166"/>
      <c r="BP828" s="204"/>
      <c r="BQ828" s="475"/>
      <c r="BR828" s="205"/>
      <c r="BS828" s="509"/>
      <c r="BT828" s="509"/>
      <c r="BU828" s="459"/>
      <c r="BV828" s="459"/>
      <c r="BW828" s="1"/>
      <c r="BX828" s="1"/>
      <c r="BY828" s="1"/>
      <c r="BZ828" s="1"/>
      <c r="CE828" s="170"/>
      <c r="CF828"/>
    </row>
    <row r="829" spans="1:84" customFormat="1">
      <c r="A829" s="701"/>
      <c r="B829" s="447"/>
      <c r="C829" s="161"/>
      <c r="D829" s="162"/>
      <c r="E829" s="1"/>
      <c r="F829" s="811"/>
      <c r="G829" s="440"/>
      <c r="H829" s="1"/>
      <c r="I829" s="55"/>
      <c r="J829" s="170"/>
      <c r="K829" s="1"/>
      <c r="L829" s="170"/>
      <c r="M829" s="1"/>
      <c r="N829" s="458"/>
      <c r="O829" s="170"/>
      <c r="P829" s="441"/>
      <c r="Q829" s="55"/>
      <c r="R829" s="177"/>
      <c r="S829" s="454"/>
      <c r="T829" s="178"/>
      <c r="U829" s="178"/>
      <c r="V829" s="179"/>
      <c r="W829" s="180"/>
      <c r="X829" s="179"/>
      <c r="Y829" s="180"/>
      <c r="Z829" s="178"/>
      <c r="AA829" s="178"/>
      <c r="AB829" s="178"/>
      <c r="AC829" s="178"/>
      <c r="AD829" s="182"/>
      <c r="AE829" s="182"/>
      <c r="AF829" s="182"/>
      <c r="AG829" s="182"/>
      <c r="AH829" s="401"/>
      <c r="AI829" s="401"/>
      <c r="AJ829" s="401"/>
      <c r="AK829" s="401"/>
      <c r="AL829" s="401"/>
      <c r="AM829" s="189"/>
      <c r="AN829" s="829"/>
      <c r="AO829" s="830"/>
      <c r="AP829" s="401"/>
      <c r="AQ829" s="401"/>
      <c r="AR829" s="401"/>
      <c r="AS829" s="401"/>
      <c r="AT829" s="403"/>
      <c r="AU829" s="403"/>
      <c r="AV829" s="170"/>
      <c r="AW829" s="166"/>
      <c r="AX829" s="166"/>
      <c r="AY829" s="189"/>
      <c r="AZ829" s="189"/>
      <c r="BA829" s="196"/>
      <c r="BB829" s="629"/>
      <c r="BC829" s="190"/>
      <c r="BD829" s="510"/>
      <c r="BE829" s="510"/>
      <c r="BF829" s="177"/>
      <c r="BG829" s="177"/>
      <c r="BH829" s="166"/>
      <c r="BI829" s="474"/>
      <c r="BJ829" s="166"/>
      <c r="BK829" s="474"/>
      <c r="BL829" s="474"/>
      <c r="BM829" s="474"/>
      <c r="BN829" s="166"/>
      <c r="BO829" s="166"/>
      <c r="BP829" s="204"/>
      <c r="BQ829" s="475"/>
      <c r="BR829" s="205"/>
      <c r="BS829" s="509"/>
      <c r="BT829" s="509"/>
      <c r="BU829" s="459"/>
      <c r="BV829" s="459"/>
      <c r="BW829" s="1"/>
      <c r="BX829" s="1"/>
      <c r="BY829" s="546"/>
      <c r="BZ829" s="546"/>
      <c r="CA829" s="546"/>
      <c r="CB829" s="546"/>
      <c r="CC829" s="728"/>
      <c r="CD829" s="728"/>
      <c r="CE829" s="170"/>
    </row>
    <row r="830" spans="1:84" customFormat="1">
      <c r="A830" s="701"/>
      <c r="B830" s="447"/>
      <c r="C830" s="161"/>
      <c r="D830" s="162"/>
      <c r="E830" s="1"/>
      <c r="F830" s="811"/>
      <c r="G830" s="440"/>
      <c r="H830" s="1"/>
      <c r="I830" s="55"/>
      <c r="J830" s="170"/>
      <c r="K830" s="1"/>
      <c r="L830" s="170"/>
      <c r="M830" s="1"/>
      <c r="N830" s="458"/>
      <c r="O830" s="170"/>
      <c r="P830" s="441"/>
      <c r="Q830" s="55"/>
      <c r="R830" s="177"/>
      <c r="S830" s="454"/>
      <c r="T830" s="178"/>
      <c r="U830" s="178"/>
      <c r="V830" s="179"/>
      <c r="W830" s="180"/>
      <c r="X830" s="179"/>
      <c r="Y830" s="180"/>
      <c r="Z830" s="178"/>
      <c r="AA830" s="178"/>
      <c r="AB830" s="178"/>
      <c r="AC830" s="178"/>
      <c r="AD830" s="182"/>
      <c r="AE830" s="182"/>
      <c r="AF830" s="182"/>
      <c r="AG830" s="182"/>
      <c r="AH830" s="401"/>
      <c r="AI830" s="401"/>
      <c r="AJ830" s="401"/>
      <c r="AK830" s="401"/>
      <c r="AL830" s="401"/>
      <c r="AM830" s="189"/>
      <c r="AN830" s="829"/>
      <c r="AO830" s="830"/>
      <c r="AP830" s="401"/>
      <c r="AQ830" s="401"/>
      <c r="AR830" s="401"/>
      <c r="AS830" s="401"/>
      <c r="AT830" s="403"/>
      <c r="AU830" s="403"/>
      <c r="AV830" s="170"/>
      <c r="AW830" s="166"/>
      <c r="AX830" s="166"/>
      <c r="AY830" s="189"/>
      <c r="AZ830" s="189"/>
      <c r="BA830" s="196"/>
      <c r="BB830" s="629"/>
      <c r="BC830" s="190"/>
      <c r="BD830" s="510"/>
      <c r="BE830" s="510"/>
      <c r="BF830" s="177"/>
      <c r="BG830" s="177"/>
      <c r="BH830" s="166"/>
      <c r="BI830" s="474"/>
      <c r="BJ830" s="166"/>
      <c r="BK830" s="474"/>
      <c r="BL830" s="474"/>
      <c r="BM830" s="474"/>
      <c r="BN830" s="166"/>
      <c r="BO830" s="166"/>
      <c r="BP830" s="204"/>
      <c r="BQ830" s="475"/>
      <c r="BR830" s="205"/>
      <c r="BS830" s="509"/>
      <c r="BT830" s="509"/>
      <c r="BU830" s="459"/>
      <c r="BV830" s="459"/>
      <c r="BW830" s="1"/>
      <c r="BX830" s="1"/>
      <c r="BY830" s="546"/>
      <c r="BZ830" s="546"/>
      <c r="CA830" s="546"/>
      <c r="CB830" s="546"/>
      <c r="CC830" s="728"/>
      <c r="CD830" s="728"/>
      <c r="CE830" s="170"/>
    </row>
    <row r="831" spans="1:84" customFormat="1">
      <c r="A831" s="701"/>
      <c r="B831" s="447"/>
      <c r="C831" s="1"/>
      <c r="D831" s="538"/>
      <c r="E831" s="1"/>
      <c r="F831" s="811"/>
      <c r="G831" s="440"/>
      <c r="H831" s="1"/>
      <c r="J831" s="171"/>
      <c r="K831" s="55"/>
      <c r="L831" s="171"/>
      <c r="M831" s="55"/>
      <c r="N831" s="172"/>
      <c r="O831" s="170"/>
      <c r="P831" s="139"/>
      <c r="Q831" s="171"/>
      <c r="R831" s="181"/>
      <c r="S831" s="455"/>
      <c r="T831" s="170"/>
      <c r="U831" s="170"/>
      <c r="V831" s="1"/>
      <c r="W831" s="173"/>
      <c r="X831" s="1"/>
      <c r="Y831" s="166"/>
      <c r="Z831" s="170"/>
      <c r="AA831" s="170"/>
      <c r="AB831" s="170"/>
      <c r="AC831" s="170"/>
      <c r="AD831" s="182"/>
      <c r="AE831" s="182"/>
      <c r="AF831" s="182"/>
      <c r="AG831" s="182"/>
      <c r="AH831" s="189"/>
      <c r="AI831" s="401"/>
      <c r="AJ831" s="189"/>
      <c r="AK831" s="401"/>
      <c r="AL831" s="401"/>
      <c r="AM831" s="189"/>
      <c r="AN831" s="782"/>
      <c r="AO831" s="189"/>
      <c r="AP831" s="401"/>
      <c r="AQ831" s="401"/>
      <c r="AR831" s="401"/>
      <c r="AS831" s="188"/>
      <c r="AT831" s="1"/>
      <c r="AU831" s="403"/>
      <c r="AV831" s="1"/>
      <c r="AW831" s="166"/>
      <c r="AX831" s="166"/>
      <c r="AY831" s="189"/>
      <c r="AZ831" s="189"/>
      <c r="BA831" s="196"/>
      <c r="BB831" s="629"/>
      <c r="BC831" s="197"/>
      <c r="BD831" s="510"/>
      <c r="BE831" s="510"/>
      <c r="BF831" s="177"/>
      <c r="BG831" s="177"/>
      <c r="BH831" s="166"/>
      <c r="BI831" s="474"/>
      <c r="BJ831" s="166"/>
      <c r="BK831" s="474"/>
      <c r="BL831" s="474"/>
      <c r="BM831" s="474"/>
      <c r="BN831" s="166"/>
      <c r="BO831" s="166"/>
      <c r="BP831" s="204"/>
      <c r="BQ831" s="475"/>
      <c r="BR831" s="205"/>
      <c r="BS831" s="509"/>
      <c r="BT831" s="509"/>
      <c r="BU831" s="459"/>
      <c r="BV831" s="459"/>
      <c r="BW831" s="1"/>
      <c r="BX831" s="1"/>
      <c r="BY831" s="546"/>
      <c r="BZ831" s="546"/>
      <c r="CA831" s="546"/>
      <c r="CB831" s="546"/>
      <c r="CC831" s="728"/>
      <c r="CD831" s="728"/>
      <c r="CE831" s="170"/>
    </row>
    <row r="832" spans="1:84">
      <c r="A832" s="701"/>
      <c r="B832" s="447"/>
      <c r="C832" s="161"/>
      <c r="D832" s="162"/>
      <c r="E832" s="1"/>
      <c r="F832" s="811"/>
      <c r="G832" s="440"/>
      <c r="H832" s="1"/>
      <c r="I832" s="55"/>
      <c r="J832" s="170"/>
      <c r="K832" s="1"/>
      <c r="L832" s="170"/>
      <c r="M832" s="1"/>
      <c r="N832" s="458"/>
      <c r="O832" s="170"/>
      <c r="P832" s="441"/>
      <c r="Q832" s="55"/>
      <c r="R832" s="177"/>
      <c r="S832" s="454"/>
      <c r="T832" s="178"/>
      <c r="U832" s="178"/>
      <c r="V832" s="179"/>
      <c r="W832" s="180"/>
      <c r="X832" s="179"/>
      <c r="Y832" s="180"/>
      <c r="Z832" s="178"/>
      <c r="AA832" s="178"/>
      <c r="AB832" s="178"/>
      <c r="AC832" s="178"/>
      <c r="AD832" s="182"/>
      <c r="AE832" s="182"/>
      <c r="AF832" s="182"/>
      <c r="AG832" s="182"/>
      <c r="AH832" s="401"/>
      <c r="AI832" s="401"/>
      <c r="AJ832" s="401"/>
      <c r="AK832" s="401"/>
      <c r="AL832" s="401"/>
      <c r="AM832" s="189"/>
      <c r="AN832" s="829"/>
      <c r="AO832" s="830"/>
      <c r="AP832" s="401"/>
      <c r="AQ832" s="401"/>
      <c r="AR832" s="401"/>
      <c r="AS832" s="401"/>
      <c r="AT832" s="403"/>
      <c r="AU832" s="403"/>
      <c r="AV832" s="170"/>
      <c r="AW832" s="166"/>
      <c r="AX832" s="166"/>
      <c r="AY832" s="189"/>
      <c r="AZ832" s="189"/>
      <c r="BA832" s="196"/>
      <c r="BB832" s="629"/>
      <c r="BC832" s="190"/>
      <c r="BD832" s="510"/>
      <c r="BE832" s="510"/>
      <c r="BF832" s="177"/>
      <c r="BG832" s="177"/>
      <c r="BH832" s="166"/>
      <c r="BI832" s="474"/>
      <c r="BJ832" s="166"/>
      <c r="BK832" s="474"/>
      <c r="BL832" s="474"/>
      <c r="BM832" s="474"/>
      <c r="BN832" s="166"/>
      <c r="BO832" s="166"/>
      <c r="BP832" s="204"/>
      <c r="BQ832" s="475"/>
      <c r="BR832" s="205"/>
      <c r="BS832" s="509"/>
      <c r="BT832" s="509"/>
      <c r="BU832" s="459"/>
      <c r="BV832" s="459"/>
      <c r="BW832" s="1"/>
      <c r="BX832" s="1"/>
      <c r="BY832" s="546"/>
      <c r="BZ832" s="546"/>
      <c r="CA832" s="546"/>
      <c r="CB832" s="546"/>
      <c r="CC832" s="728"/>
      <c r="CD832" s="728"/>
      <c r="CE832" s="170"/>
      <c r="CF832"/>
    </row>
    <row r="833" spans="1:84">
      <c r="A833" s="701"/>
      <c r="B833" s="447"/>
      <c r="C833" s="161"/>
      <c r="D833" s="162"/>
      <c r="E833" s="1"/>
      <c r="F833" s="811"/>
      <c r="G833" s="440"/>
      <c r="H833" s="1"/>
      <c r="I833" s="55"/>
      <c r="J833" s="170"/>
      <c r="K833" s="1"/>
      <c r="L833" s="170"/>
      <c r="M833" s="1"/>
      <c r="N833" s="458"/>
      <c r="O833" s="170"/>
      <c r="P833" s="441"/>
      <c r="Q833" s="55"/>
      <c r="R833" s="177"/>
      <c r="S833" s="454"/>
      <c r="T833" s="178"/>
      <c r="U833" s="178"/>
      <c r="V833" s="179"/>
      <c r="W833" s="180"/>
      <c r="X833" s="179"/>
      <c r="Y833" s="180"/>
      <c r="Z833" s="178"/>
      <c r="AA833" s="178"/>
      <c r="AB833" s="178"/>
      <c r="AC833" s="178"/>
      <c r="AD833" s="182"/>
      <c r="AE833" s="182"/>
      <c r="AF833" s="182"/>
      <c r="AG833" s="182"/>
      <c r="AH833" s="401"/>
      <c r="AI833" s="401"/>
      <c r="AJ833" s="401"/>
      <c r="AK833" s="401"/>
      <c r="AL833" s="401"/>
      <c r="AM833" s="189"/>
      <c r="AN833" s="829"/>
      <c r="AO833" s="830"/>
      <c r="AP833" s="401"/>
      <c r="AQ833" s="401"/>
      <c r="AR833" s="401"/>
      <c r="AS833" s="401"/>
      <c r="AT833" s="403"/>
      <c r="AU833" s="403"/>
      <c r="AV833" s="170"/>
      <c r="AW833" s="166"/>
      <c r="AX833" s="166"/>
      <c r="AY833" s="189"/>
      <c r="AZ833" s="189"/>
      <c r="BA833" s="196"/>
      <c r="BB833" s="629"/>
      <c r="BC833" s="190"/>
      <c r="BD833" s="510"/>
      <c r="BE833" s="510"/>
      <c r="BF833" s="177"/>
      <c r="BG833" s="177"/>
      <c r="BH833" s="166"/>
      <c r="BI833" s="474"/>
      <c r="BJ833" s="166"/>
      <c r="BK833" s="474"/>
      <c r="BL833" s="474"/>
      <c r="BM833" s="474"/>
      <c r="BN833" s="166"/>
      <c r="BO833" s="166"/>
      <c r="BP833" s="204"/>
      <c r="BQ833" s="475"/>
      <c r="BR833" s="205"/>
      <c r="BS833" s="509"/>
      <c r="BT833" s="509"/>
      <c r="BU833" s="459"/>
      <c r="BV833" s="459"/>
      <c r="BW833" s="1"/>
      <c r="BX833" s="1"/>
      <c r="BY833" s="546"/>
      <c r="BZ833" s="546"/>
      <c r="CA833" s="546"/>
      <c r="CB833" s="546"/>
      <c r="CC833" s="728"/>
      <c r="CD833" s="728"/>
      <c r="CE833" s="170"/>
      <c r="CF833"/>
    </row>
    <row r="834" spans="1:84">
      <c r="A834" s="701"/>
      <c r="B834" s="447"/>
      <c r="C834" s="161"/>
      <c r="D834" s="162"/>
      <c r="E834" s="1"/>
      <c r="F834" s="811"/>
      <c r="G834" s="440"/>
      <c r="H834" s="1"/>
      <c r="I834" s="55"/>
      <c r="J834" s="457"/>
      <c r="K834" s="1"/>
      <c r="L834" s="170"/>
      <c r="M834" s="1"/>
      <c r="N834" s="458"/>
      <c r="O834" s="170"/>
      <c r="P834" s="441"/>
      <c r="Q834" s="55"/>
      <c r="R834" s="177"/>
      <c r="S834" s="454"/>
      <c r="T834" s="178"/>
      <c r="U834" s="178"/>
      <c r="V834" s="179"/>
      <c r="W834" s="180"/>
      <c r="X834" s="179"/>
      <c r="Y834" s="180"/>
      <c r="Z834" s="178"/>
      <c r="AA834" s="178"/>
      <c r="AB834" s="178"/>
      <c r="AC834" s="178"/>
      <c r="AD834" s="182"/>
      <c r="AE834" s="182"/>
      <c r="AF834" s="182"/>
      <c r="AG834" s="182"/>
      <c r="AH834" s="401"/>
      <c r="AI834" s="401"/>
      <c r="AJ834" s="401"/>
      <c r="AK834" s="401"/>
      <c r="AL834" s="401"/>
      <c r="AM834" s="189"/>
      <c r="AN834" s="829"/>
      <c r="AO834" s="830"/>
      <c r="AP834" s="401"/>
      <c r="AQ834" s="401"/>
      <c r="AR834" s="401"/>
      <c r="AS834" s="401"/>
      <c r="AT834" s="403"/>
      <c r="AU834" s="403"/>
      <c r="AV834" s="170"/>
      <c r="AW834" s="166"/>
      <c r="AX834" s="166"/>
      <c r="AY834" s="189"/>
      <c r="AZ834" s="189"/>
      <c r="BA834" s="196"/>
      <c r="BB834" s="629"/>
      <c r="BC834" s="190"/>
      <c r="BD834" s="510"/>
      <c r="BE834" s="510"/>
      <c r="BF834" s="177"/>
      <c r="BG834" s="177"/>
      <c r="BH834" s="166"/>
      <c r="BI834" s="474"/>
      <c r="BJ834" s="166"/>
      <c r="BK834" s="474"/>
      <c r="BL834" s="474"/>
      <c r="BM834" s="474"/>
      <c r="BN834" s="166"/>
      <c r="BO834" s="166"/>
      <c r="BP834" s="204"/>
      <c r="BQ834" s="475"/>
      <c r="BR834" s="205"/>
      <c r="BS834" s="509"/>
      <c r="BT834" s="509"/>
      <c r="BU834" s="459"/>
      <c r="BV834" s="459"/>
      <c r="BW834" s="1"/>
      <c r="BX834" s="1"/>
      <c r="BY834" s="546"/>
      <c r="BZ834" s="546"/>
      <c r="CA834" s="546"/>
      <c r="CB834" s="546"/>
      <c r="CC834" s="728"/>
      <c r="CD834" s="728"/>
      <c r="CE834" s="170"/>
      <c r="CF834"/>
    </row>
    <row r="835" spans="1:84">
      <c r="A835" s="701"/>
      <c r="B835" s="447"/>
      <c r="C835" s="161"/>
      <c r="D835" s="162"/>
      <c r="E835" s="1"/>
      <c r="F835" s="811"/>
      <c r="G835" s="440"/>
      <c r="H835" s="1"/>
      <c r="I835" s="55"/>
      <c r="J835" s="170"/>
      <c r="K835" s="1"/>
      <c r="L835" s="170"/>
      <c r="M835" s="1"/>
      <c r="N835" s="458"/>
      <c r="O835" s="170"/>
      <c r="P835" s="441"/>
      <c r="Q835" s="55"/>
      <c r="R835" s="177"/>
      <c r="S835" s="454"/>
      <c r="T835" s="178"/>
      <c r="U835" s="178"/>
      <c r="V835" s="179"/>
      <c r="W835" s="180"/>
      <c r="X835" s="179"/>
      <c r="Y835" s="180"/>
      <c r="Z835" s="178"/>
      <c r="AA835" s="178"/>
      <c r="AB835" s="178"/>
      <c r="AC835" s="178"/>
      <c r="AD835" s="182"/>
      <c r="AE835" s="182"/>
      <c r="AF835" s="182"/>
      <c r="AG835" s="182"/>
      <c r="AH835" s="401"/>
      <c r="AI835" s="401"/>
      <c r="AJ835" s="401"/>
      <c r="AK835" s="401"/>
      <c r="AL835" s="401"/>
      <c r="AM835" s="189"/>
      <c r="AN835" s="829"/>
      <c r="AO835" s="830"/>
      <c r="AP835" s="401"/>
      <c r="AQ835" s="401"/>
      <c r="AR835" s="401"/>
      <c r="AS835" s="401"/>
      <c r="AT835" s="403"/>
      <c r="AU835" s="403"/>
      <c r="AV835" s="170"/>
      <c r="AW835" s="166"/>
      <c r="AX835" s="166"/>
      <c r="AY835" s="189"/>
      <c r="AZ835" s="189"/>
      <c r="BA835" s="196"/>
      <c r="BB835" s="629"/>
      <c r="BC835" s="190"/>
      <c r="BD835" s="510"/>
      <c r="BE835" s="510"/>
      <c r="BF835" s="177"/>
      <c r="BG835" s="177"/>
      <c r="BH835" s="166"/>
      <c r="BI835" s="474"/>
      <c r="BJ835" s="166"/>
      <c r="BK835" s="474"/>
      <c r="BL835" s="474"/>
      <c r="BM835" s="474"/>
      <c r="BN835" s="166"/>
      <c r="BO835" s="166"/>
      <c r="BP835" s="204"/>
      <c r="BQ835" s="475"/>
      <c r="BR835" s="205"/>
      <c r="BS835" s="509"/>
      <c r="BT835" s="509"/>
      <c r="BU835" s="459"/>
      <c r="BV835" s="459"/>
      <c r="BW835" s="1"/>
      <c r="BX835" s="1"/>
      <c r="BY835" s="546"/>
      <c r="BZ835" s="546"/>
      <c r="CA835" s="546"/>
      <c r="CB835" s="546"/>
      <c r="CC835" s="728"/>
      <c r="CD835" s="728"/>
      <c r="CE835" s="170"/>
      <c r="CF835"/>
    </row>
    <row r="836" spans="1:84">
      <c r="A836" s="701"/>
      <c r="B836" s="447"/>
      <c r="C836" s="161"/>
      <c r="D836" s="162"/>
      <c r="E836" s="1"/>
      <c r="F836" s="811"/>
      <c r="G836" s="440"/>
      <c r="H836" s="1"/>
      <c r="I836" s="55"/>
      <c r="J836" s="170"/>
      <c r="K836" s="1"/>
      <c r="L836" s="170"/>
      <c r="M836" s="1"/>
      <c r="N836" s="458"/>
      <c r="O836" s="170"/>
      <c r="P836" s="441"/>
      <c r="Q836" s="55"/>
      <c r="R836" s="177"/>
      <c r="S836" s="454"/>
      <c r="T836" s="178"/>
      <c r="U836" s="178"/>
      <c r="V836" s="179"/>
      <c r="W836" s="180"/>
      <c r="X836" s="179"/>
      <c r="Y836" s="180"/>
      <c r="Z836" s="178"/>
      <c r="AA836" s="178"/>
      <c r="AB836" s="178"/>
      <c r="AC836" s="178"/>
      <c r="AD836" s="182"/>
      <c r="AE836" s="182"/>
      <c r="AF836" s="182"/>
      <c r="AG836" s="182"/>
      <c r="AH836" s="401"/>
      <c r="AI836" s="401"/>
      <c r="AJ836" s="401"/>
      <c r="AK836" s="401"/>
      <c r="AL836" s="401"/>
      <c r="AM836" s="189"/>
      <c r="AN836" s="829"/>
      <c r="AO836" s="830"/>
      <c r="AP836" s="401"/>
      <c r="AQ836" s="401"/>
      <c r="AR836" s="401"/>
      <c r="AS836" s="401"/>
      <c r="AT836" s="403"/>
      <c r="AU836" s="403"/>
      <c r="AV836" s="170"/>
      <c r="AW836" s="166"/>
      <c r="AX836" s="166"/>
      <c r="AY836" s="189"/>
      <c r="AZ836" s="189"/>
      <c r="BA836" s="196"/>
      <c r="BB836" s="629"/>
      <c r="BC836" s="190"/>
      <c r="BD836" s="510"/>
      <c r="BE836" s="510"/>
      <c r="BF836" s="177"/>
      <c r="BG836" s="177"/>
      <c r="BH836" s="166"/>
      <c r="BI836" s="474"/>
      <c r="BJ836" s="166"/>
      <c r="BK836" s="474"/>
      <c r="BL836" s="474"/>
      <c r="BM836" s="474"/>
      <c r="BN836" s="166"/>
      <c r="BO836" s="166"/>
      <c r="BP836" s="204"/>
      <c r="BQ836" s="475"/>
      <c r="BR836" s="205"/>
      <c r="BS836" s="509"/>
      <c r="BT836" s="509"/>
      <c r="BU836" s="459"/>
      <c r="BV836" s="459"/>
      <c r="BW836" s="1"/>
      <c r="BX836" s="1"/>
      <c r="BY836" s="546"/>
      <c r="BZ836" s="546"/>
      <c r="CA836" s="546"/>
      <c r="CB836" s="546"/>
      <c r="CC836" s="728"/>
      <c r="CD836" s="728"/>
      <c r="CE836" s="170"/>
      <c r="CF836"/>
    </row>
    <row r="837" spans="1:84" customFormat="1">
      <c r="A837" s="701"/>
      <c r="B837" s="447"/>
      <c r="C837" s="161"/>
      <c r="D837" s="162"/>
      <c r="E837" s="1"/>
      <c r="F837" s="811"/>
      <c r="G837" s="440"/>
      <c r="H837" s="1"/>
      <c r="I837" s="55"/>
      <c r="J837" s="170"/>
      <c r="K837" s="1"/>
      <c r="L837" s="170"/>
      <c r="M837" s="1"/>
      <c r="N837" s="458"/>
      <c r="O837" s="170"/>
      <c r="P837" s="441"/>
      <c r="Q837" s="55"/>
      <c r="R837" s="177"/>
      <c r="S837" s="454"/>
      <c r="T837" s="178"/>
      <c r="U837" s="178"/>
      <c r="V837" s="179"/>
      <c r="W837" s="180"/>
      <c r="X837" s="179"/>
      <c r="Y837" s="180"/>
      <c r="Z837" s="178"/>
      <c r="AA837" s="178"/>
      <c r="AB837" s="178"/>
      <c r="AC837" s="178"/>
      <c r="AD837" s="182"/>
      <c r="AE837" s="182"/>
      <c r="AF837" s="182"/>
      <c r="AG837" s="182"/>
      <c r="AH837" s="401"/>
      <c r="AI837" s="401"/>
      <c r="AJ837" s="401"/>
      <c r="AK837" s="401"/>
      <c r="AL837" s="401"/>
      <c r="AM837" s="189"/>
      <c r="AN837" s="829"/>
      <c r="AO837" s="830"/>
      <c r="AP837" s="401"/>
      <c r="AQ837" s="401"/>
      <c r="AR837" s="401"/>
      <c r="AS837" s="401"/>
      <c r="AT837" s="403"/>
      <c r="AU837" s="403"/>
      <c r="AV837" s="170"/>
      <c r="AW837" s="166"/>
      <c r="AX837" s="166"/>
      <c r="AY837" s="189"/>
      <c r="AZ837" s="189"/>
      <c r="BA837" s="196"/>
      <c r="BB837" s="629"/>
      <c r="BC837" s="190"/>
      <c r="BD837" s="510"/>
      <c r="BE837" s="510"/>
      <c r="BF837" s="177"/>
      <c r="BG837" s="177"/>
      <c r="BH837" s="166"/>
      <c r="BI837" s="474"/>
      <c r="BJ837" s="166"/>
      <c r="BK837" s="474"/>
      <c r="BL837" s="474"/>
      <c r="BM837" s="474"/>
      <c r="BN837" s="166"/>
      <c r="BO837" s="166"/>
      <c r="BP837" s="204"/>
      <c r="BQ837" s="475"/>
      <c r="BR837" s="205"/>
      <c r="BS837" s="509"/>
      <c r="BT837" s="509"/>
      <c r="BU837" s="459"/>
      <c r="BV837" s="459"/>
      <c r="BW837" s="1"/>
      <c r="BX837" s="1"/>
      <c r="BY837" s="546"/>
      <c r="BZ837" s="546"/>
      <c r="CA837" s="546"/>
      <c r="CB837" s="546"/>
      <c r="CC837" s="728"/>
      <c r="CD837" s="728"/>
      <c r="CE837" s="170"/>
    </row>
    <row r="838" spans="1:84">
      <c r="A838" s="701"/>
      <c r="B838" s="447"/>
      <c r="C838" s="161"/>
      <c r="D838" s="162"/>
      <c r="E838" s="1"/>
      <c r="F838" s="811"/>
      <c r="G838" s="440"/>
      <c r="H838" s="1"/>
      <c r="I838" s="55"/>
      <c r="J838" s="170"/>
      <c r="K838" s="1"/>
      <c r="L838" s="170"/>
      <c r="M838" s="1"/>
      <c r="N838" s="458"/>
      <c r="O838" s="170"/>
      <c r="P838" s="441"/>
      <c r="Q838" s="55"/>
      <c r="R838" s="177"/>
      <c r="S838" s="454"/>
      <c r="T838" s="178"/>
      <c r="U838" s="178"/>
      <c r="V838" s="179"/>
      <c r="W838" s="180"/>
      <c r="X838" s="179"/>
      <c r="Y838" s="180"/>
      <c r="Z838" s="178"/>
      <c r="AA838" s="178"/>
      <c r="AB838" s="178"/>
      <c r="AC838" s="178"/>
      <c r="AD838" s="182"/>
      <c r="AE838" s="182"/>
      <c r="AF838" s="182"/>
      <c r="AG838" s="182"/>
      <c r="AH838" s="401"/>
      <c r="AI838" s="401"/>
      <c r="AJ838" s="401"/>
      <c r="AK838" s="401"/>
      <c r="AL838" s="401"/>
      <c r="AM838" s="189"/>
      <c r="AN838" s="829"/>
      <c r="AO838" s="830"/>
      <c r="AP838" s="401"/>
      <c r="AQ838" s="401"/>
      <c r="AR838" s="401"/>
      <c r="AS838" s="401"/>
      <c r="AT838" s="403"/>
      <c r="AU838" s="403"/>
      <c r="AV838" s="170"/>
      <c r="AW838" s="166"/>
      <c r="AX838" s="166"/>
      <c r="AY838" s="189"/>
      <c r="AZ838" s="189"/>
      <c r="BA838" s="196"/>
      <c r="BB838" s="629"/>
      <c r="BC838" s="190"/>
      <c r="BD838" s="510"/>
      <c r="BE838" s="510"/>
      <c r="BF838" s="177"/>
      <c r="BG838" s="177"/>
      <c r="BH838" s="166"/>
      <c r="BI838" s="474"/>
      <c r="BJ838" s="166"/>
      <c r="BK838" s="474"/>
      <c r="BL838" s="474"/>
      <c r="BM838" s="474"/>
      <c r="BN838" s="166"/>
      <c r="BO838" s="166"/>
      <c r="BP838" s="204"/>
      <c r="BQ838" s="475"/>
      <c r="BR838" s="205"/>
      <c r="BS838" s="509"/>
      <c r="BT838" s="509"/>
      <c r="BU838" s="459"/>
      <c r="BV838" s="459"/>
      <c r="BW838" s="1"/>
      <c r="BX838" s="1"/>
      <c r="BY838" s="1"/>
      <c r="BZ838" s="1"/>
      <c r="CE838" s="170"/>
      <c r="CF838"/>
    </row>
    <row r="839" spans="1:84" customFormat="1">
      <c r="A839" s="701"/>
      <c r="B839" s="447"/>
      <c r="C839" s="161"/>
      <c r="D839" s="162"/>
      <c r="E839" s="1"/>
      <c r="F839" s="811"/>
      <c r="G839" s="440"/>
      <c r="H839" s="1"/>
      <c r="I839" s="55"/>
      <c r="J839" s="170"/>
      <c r="K839" s="1"/>
      <c r="L839" s="170"/>
      <c r="M839" s="1"/>
      <c r="N839" s="458"/>
      <c r="O839" s="170"/>
      <c r="P839" s="441"/>
      <c r="Q839" s="55"/>
      <c r="R839" s="177"/>
      <c r="S839" s="454"/>
      <c r="T839" s="178"/>
      <c r="U839" s="178"/>
      <c r="V839" s="179"/>
      <c r="W839" s="180"/>
      <c r="X839" s="179"/>
      <c r="Y839" s="180"/>
      <c r="Z839" s="178"/>
      <c r="AA839" s="178"/>
      <c r="AB839" s="178"/>
      <c r="AC839" s="178"/>
      <c r="AD839" s="182"/>
      <c r="AE839" s="182"/>
      <c r="AF839" s="182"/>
      <c r="AG839" s="182"/>
      <c r="AH839" s="401"/>
      <c r="AI839" s="401"/>
      <c r="AJ839" s="401"/>
      <c r="AK839" s="401"/>
      <c r="AL839" s="401"/>
      <c r="AM839" s="189"/>
      <c r="AN839" s="829"/>
      <c r="AO839" s="830"/>
      <c r="AP839" s="401"/>
      <c r="AQ839" s="401"/>
      <c r="AR839" s="401"/>
      <c r="AS839" s="401"/>
      <c r="AT839" s="403"/>
      <c r="AU839" s="403"/>
      <c r="AV839" s="170"/>
      <c r="AW839" s="166"/>
      <c r="AX839" s="166"/>
      <c r="AY839" s="189"/>
      <c r="AZ839" s="189"/>
      <c r="BA839" s="196"/>
      <c r="BB839" s="629"/>
      <c r="BC839" s="190"/>
      <c r="BD839" s="510"/>
      <c r="BE839" s="510"/>
      <c r="BF839" s="177"/>
      <c r="BG839" s="177"/>
      <c r="BH839" s="166"/>
      <c r="BI839" s="474"/>
      <c r="BJ839" s="166"/>
      <c r="BK839" s="474"/>
      <c r="BL839" s="474"/>
      <c r="BM839" s="474"/>
      <c r="BN839" s="166"/>
      <c r="BO839" s="166"/>
      <c r="BP839" s="204"/>
      <c r="BQ839" s="475"/>
      <c r="BR839" s="205"/>
      <c r="BS839" s="509"/>
      <c r="BT839" s="509"/>
      <c r="BU839" s="459"/>
      <c r="BV839" s="459"/>
      <c r="BW839" s="1"/>
      <c r="BX839" s="1"/>
      <c r="BY839" s="546"/>
      <c r="BZ839" s="546"/>
      <c r="CA839" s="546"/>
      <c r="CB839" s="546"/>
      <c r="CC839" s="728"/>
      <c r="CD839" s="728"/>
      <c r="CE839" s="170"/>
    </row>
    <row r="840" spans="1:84" customFormat="1">
      <c r="A840" s="701"/>
      <c r="B840" s="447"/>
      <c r="C840" s="161"/>
      <c r="D840" s="162"/>
      <c r="E840" s="1"/>
      <c r="F840" s="811"/>
      <c r="G840" s="440"/>
      <c r="H840" s="1"/>
      <c r="I840" s="55"/>
      <c r="J840" s="170"/>
      <c r="K840" s="1"/>
      <c r="L840" s="170"/>
      <c r="M840" s="1"/>
      <c r="N840" s="458"/>
      <c r="O840" s="170"/>
      <c r="P840" s="441"/>
      <c r="Q840" s="55"/>
      <c r="R840" s="177"/>
      <c r="S840" s="454"/>
      <c r="T840" s="178"/>
      <c r="U840" s="178"/>
      <c r="V840" s="179"/>
      <c r="W840" s="180"/>
      <c r="X840" s="179"/>
      <c r="Y840" s="180"/>
      <c r="Z840" s="178"/>
      <c r="AA840" s="178"/>
      <c r="AB840" s="178"/>
      <c r="AC840" s="178"/>
      <c r="AD840" s="182"/>
      <c r="AE840" s="182"/>
      <c r="AF840" s="182"/>
      <c r="AG840" s="182"/>
      <c r="AH840" s="401"/>
      <c r="AI840" s="401"/>
      <c r="AJ840" s="401"/>
      <c r="AK840" s="401"/>
      <c r="AL840" s="401"/>
      <c r="AM840" s="189"/>
      <c r="AN840" s="829"/>
      <c r="AO840" s="830"/>
      <c r="AP840" s="401"/>
      <c r="AQ840" s="401"/>
      <c r="AR840" s="401"/>
      <c r="AS840" s="401"/>
      <c r="AT840" s="403"/>
      <c r="AU840" s="403"/>
      <c r="AV840" s="170"/>
      <c r="AW840" s="166"/>
      <c r="AX840" s="166"/>
      <c r="AY840" s="189"/>
      <c r="AZ840" s="189"/>
      <c r="BA840" s="196"/>
      <c r="BB840" s="629"/>
      <c r="BC840" s="190"/>
      <c r="BD840" s="510"/>
      <c r="BE840" s="510"/>
      <c r="BF840" s="177"/>
      <c r="BG840" s="177"/>
      <c r="BH840" s="166"/>
      <c r="BI840" s="474"/>
      <c r="BJ840" s="166"/>
      <c r="BK840" s="474"/>
      <c r="BL840" s="474"/>
      <c r="BM840" s="474"/>
      <c r="BN840" s="166"/>
      <c r="BO840" s="166"/>
      <c r="BP840" s="204"/>
      <c r="BQ840" s="475"/>
      <c r="BR840" s="205"/>
      <c r="BS840" s="509"/>
      <c r="BT840" s="509"/>
      <c r="BU840" s="459"/>
      <c r="BV840" s="459"/>
      <c r="BW840" s="1"/>
      <c r="BX840" s="1"/>
      <c r="BY840" s="546"/>
      <c r="BZ840" s="546"/>
      <c r="CA840" s="546"/>
      <c r="CB840" s="546"/>
      <c r="CC840" s="728"/>
      <c r="CD840" s="728"/>
      <c r="CE840" s="170"/>
    </row>
    <row r="841" spans="1:84" customFormat="1">
      <c r="A841" s="701"/>
      <c r="B841" s="447"/>
      <c r="C841" s="1"/>
      <c r="D841" s="538"/>
      <c r="E841" s="1"/>
      <c r="F841" s="811"/>
      <c r="G841" s="440"/>
      <c r="H841" s="1"/>
      <c r="J841" s="171"/>
      <c r="K841" s="55"/>
      <c r="L841" s="171"/>
      <c r="M841" s="55"/>
      <c r="N841" s="172"/>
      <c r="O841" s="170"/>
      <c r="P841" s="139"/>
      <c r="Q841" s="171"/>
      <c r="R841" s="181"/>
      <c r="S841" s="455"/>
      <c r="T841" s="170"/>
      <c r="U841" s="170"/>
      <c r="V841" s="1"/>
      <c r="W841" s="173"/>
      <c r="X841" s="1"/>
      <c r="Y841" s="166"/>
      <c r="Z841" s="170"/>
      <c r="AA841" s="170"/>
      <c r="AB841" s="170"/>
      <c r="AC841" s="170"/>
      <c r="AD841" s="182"/>
      <c r="AE841" s="182"/>
      <c r="AF841" s="182"/>
      <c r="AG841" s="182"/>
      <c r="AH841" s="189"/>
      <c r="AI841" s="401"/>
      <c r="AJ841" s="189"/>
      <c r="AK841" s="401"/>
      <c r="AL841" s="401"/>
      <c r="AM841" s="189"/>
      <c r="AN841" s="782"/>
      <c r="AO841" s="189"/>
      <c r="AP841" s="401"/>
      <c r="AQ841" s="401"/>
      <c r="AR841" s="401"/>
      <c r="AS841" s="188"/>
      <c r="AT841" s="1"/>
      <c r="AU841" s="403"/>
      <c r="AV841" s="1"/>
      <c r="AW841" s="166"/>
      <c r="AX841" s="166"/>
      <c r="AY841" s="189"/>
      <c r="AZ841" s="189"/>
      <c r="BA841" s="196"/>
      <c r="BB841" s="629"/>
      <c r="BC841" s="197"/>
      <c r="BD841" s="510"/>
      <c r="BE841" s="510"/>
      <c r="BF841" s="177"/>
      <c r="BG841" s="177"/>
      <c r="BH841" s="166"/>
      <c r="BI841" s="474"/>
      <c r="BJ841" s="166"/>
      <c r="BK841" s="474"/>
      <c r="BL841" s="474"/>
      <c r="BM841" s="474"/>
      <c r="BN841" s="166"/>
      <c r="BO841" s="166"/>
      <c r="BP841" s="204"/>
      <c r="BQ841" s="475"/>
      <c r="BR841" s="205"/>
      <c r="BS841" s="509"/>
      <c r="BT841" s="509"/>
      <c r="BU841" s="459"/>
      <c r="BV841" s="459"/>
      <c r="BW841" s="1"/>
      <c r="BX841" s="1"/>
      <c r="BY841" s="546"/>
      <c r="BZ841" s="546"/>
      <c r="CA841" s="546"/>
      <c r="CB841" s="546"/>
      <c r="CC841" s="728"/>
      <c r="CD841" s="728"/>
      <c r="CE841" s="170"/>
    </row>
    <row r="842" spans="1:84" customFormat="1">
      <c r="A842" s="701"/>
      <c r="B842" s="447"/>
      <c r="C842" s="161"/>
      <c r="D842" s="162"/>
      <c r="E842" s="1"/>
      <c r="F842" s="811"/>
      <c r="G842" s="440"/>
      <c r="H842" s="1"/>
      <c r="I842" s="55"/>
      <c r="J842" s="170"/>
      <c r="K842" s="1"/>
      <c r="L842" s="170"/>
      <c r="M842" s="1"/>
      <c r="N842" s="458"/>
      <c r="O842" s="170"/>
      <c r="P842" s="441"/>
      <c r="Q842" s="55"/>
      <c r="R842" s="177"/>
      <c r="S842" s="454"/>
      <c r="T842" s="178"/>
      <c r="U842" s="178"/>
      <c r="V842" s="179"/>
      <c r="W842" s="180"/>
      <c r="X842" s="179"/>
      <c r="Y842" s="180"/>
      <c r="Z842" s="178"/>
      <c r="AA842" s="178"/>
      <c r="AB842" s="178"/>
      <c r="AC842" s="178"/>
      <c r="AD842" s="182"/>
      <c r="AE842" s="182"/>
      <c r="AF842" s="182"/>
      <c r="AG842" s="182"/>
      <c r="AH842" s="401"/>
      <c r="AI842" s="401"/>
      <c r="AJ842" s="401"/>
      <c r="AK842" s="401"/>
      <c r="AL842" s="401"/>
      <c r="AM842" s="189"/>
      <c r="AN842" s="829"/>
      <c r="AO842" s="830"/>
      <c r="AP842" s="401"/>
      <c r="AQ842" s="401"/>
      <c r="AR842" s="401"/>
      <c r="AS842" s="401"/>
      <c r="AT842" s="403"/>
      <c r="AU842" s="403"/>
      <c r="AV842" s="170"/>
      <c r="AW842" s="166"/>
      <c r="AX842" s="166"/>
      <c r="AY842" s="189"/>
      <c r="AZ842" s="189"/>
      <c r="BA842" s="196"/>
      <c r="BB842" s="629"/>
      <c r="BC842" s="190"/>
      <c r="BD842" s="510"/>
      <c r="BE842" s="510"/>
      <c r="BF842" s="177"/>
      <c r="BG842" s="177"/>
      <c r="BH842" s="166"/>
      <c r="BI842" s="474"/>
      <c r="BJ842" s="166"/>
      <c r="BK842" s="474"/>
      <c r="BL842" s="474"/>
      <c r="BM842" s="474"/>
      <c r="BN842" s="166"/>
      <c r="BO842" s="166"/>
      <c r="BP842" s="204"/>
      <c r="BQ842" s="475"/>
      <c r="BR842" s="205"/>
      <c r="BS842" s="509"/>
      <c r="BT842" s="509"/>
      <c r="BU842" s="459"/>
      <c r="BV842" s="459"/>
      <c r="BW842" s="1"/>
      <c r="BX842" s="1"/>
      <c r="BY842" s="546"/>
      <c r="BZ842" s="546"/>
      <c r="CA842" s="546"/>
      <c r="CB842" s="546"/>
      <c r="CC842" s="728"/>
      <c r="CD842" s="728"/>
      <c r="CE842" s="170"/>
    </row>
    <row r="843" spans="1:84" customFormat="1">
      <c r="A843" s="701"/>
      <c r="B843" s="447"/>
      <c r="C843" s="161"/>
      <c r="D843" s="162"/>
      <c r="E843" s="1"/>
      <c r="F843" s="811"/>
      <c r="G843" s="440"/>
      <c r="H843" s="1"/>
      <c r="I843" s="55"/>
      <c r="J843" s="170"/>
      <c r="K843" s="1"/>
      <c r="L843" s="170"/>
      <c r="M843" s="1"/>
      <c r="N843" s="458"/>
      <c r="O843" s="170"/>
      <c r="P843" s="441"/>
      <c r="Q843" s="55"/>
      <c r="R843" s="177"/>
      <c r="S843" s="454"/>
      <c r="T843" s="178"/>
      <c r="U843" s="178"/>
      <c r="V843" s="179"/>
      <c r="W843" s="180"/>
      <c r="X843" s="179"/>
      <c r="Y843" s="180"/>
      <c r="Z843" s="178"/>
      <c r="AA843" s="178"/>
      <c r="AB843" s="178"/>
      <c r="AC843" s="178"/>
      <c r="AD843" s="182"/>
      <c r="AE843" s="182"/>
      <c r="AF843" s="182"/>
      <c r="AG843" s="182"/>
      <c r="AH843" s="401"/>
      <c r="AI843" s="401"/>
      <c r="AJ843" s="401"/>
      <c r="AK843" s="401"/>
      <c r="AL843" s="401"/>
      <c r="AM843" s="189"/>
      <c r="AN843" s="829"/>
      <c r="AO843" s="830"/>
      <c r="AP843" s="401"/>
      <c r="AQ843" s="401"/>
      <c r="AR843" s="401"/>
      <c r="AS843" s="401"/>
      <c r="AT843" s="403"/>
      <c r="AU843" s="403"/>
      <c r="AV843" s="170"/>
      <c r="AW843" s="166"/>
      <c r="AX843" s="166"/>
      <c r="AY843" s="189"/>
      <c r="AZ843" s="189"/>
      <c r="BA843" s="196"/>
      <c r="BB843" s="629"/>
      <c r="BC843" s="190"/>
      <c r="BD843" s="510"/>
      <c r="BE843" s="510"/>
      <c r="BF843" s="177"/>
      <c r="BG843" s="177"/>
      <c r="BH843" s="166"/>
      <c r="BI843" s="474"/>
      <c r="BJ843" s="166"/>
      <c r="BK843" s="474"/>
      <c r="BL843" s="474"/>
      <c r="BM843" s="474"/>
      <c r="BN843" s="166"/>
      <c r="BO843" s="166"/>
      <c r="BP843" s="204"/>
      <c r="BQ843" s="475"/>
      <c r="BR843" s="205"/>
      <c r="BS843" s="509"/>
      <c r="BT843" s="509"/>
      <c r="BU843" s="459"/>
      <c r="BV843" s="459"/>
      <c r="BW843" s="1"/>
      <c r="BX843" s="1"/>
      <c r="BY843" s="546"/>
      <c r="BZ843" s="546"/>
      <c r="CA843" s="546"/>
      <c r="CB843" s="546"/>
      <c r="CC843" s="728"/>
      <c r="CD843" s="728"/>
      <c r="CE843" s="170"/>
    </row>
    <row r="844" spans="1:84" customFormat="1">
      <c r="A844" s="701"/>
      <c r="B844" s="447"/>
      <c r="C844" s="161"/>
      <c r="D844" s="162"/>
      <c r="E844" s="1"/>
      <c r="F844" s="811"/>
      <c r="G844" s="440"/>
      <c r="H844" s="1"/>
      <c r="I844" s="55"/>
      <c r="J844" s="457"/>
      <c r="K844" s="1"/>
      <c r="L844" s="170"/>
      <c r="M844" s="1"/>
      <c r="N844" s="458"/>
      <c r="O844" s="170"/>
      <c r="P844" s="441"/>
      <c r="Q844" s="55"/>
      <c r="R844" s="177"/>
      <c r="S844" s="454"/>
      <c r="T844" s="178"/>
      <c r="U844" s="178"/>
      <c r="V844" s="179"/>
      <c r="W844" s="180"/>
      <c r="X844" s="179"/>
      <c r="Y844" s="180"/>
      <c r="Z844" s="178"/>
      <c r="AA844" s="178"/>
      <c r="AB844" s="178"/>
      <c r="AC844" s="178"/>
      <c r="AD844" s="182"/>
      <c r="AE844" s="182"/>
      <c r="AF844" s="182"/>
      <c r="AG844" s="182"/>
      <c r="AH844" s="401"/>
      <c r="AI844" s="401"/>
      <c r="AJ844" s="401"/>
      <c r="AK844" s="401"/>
      <c r="AL844" s="401"/>
      <c r="AM844" s="189"/>
      <c r="AN844" s="829"/>
      <c r="AO844" s="830"/>
      <c r="AP844" s="401"/>
      <c r="AQ844" s="401"/>
      <c r="AR844" s="401"/>
      <c r="AS844" s="401"/>
      <c r="AT844" s="403"/>
      <c r="AU844" s="403"/>
      <c r="AV844" s="170"/>
      <c r="AW844" s="166"/>
      <c r="AX844" s="166"/>
      <c r="AY844" s="189"/>
      <c r="AZ844" s="189"/>
      <c r="BA844" s="196"/>
      <c r="BB844" s="629"/>
      <c r="BC844" s="190"/>
      <c r="BD844" s="510"/>
      <c r="BE844" s="510"/>
      <c r="BF844" s="177"/>
      <c r="BG844" s="177"/>
      <c r="BH844" s="166"/>
      <c r="BI844" s="474"/>
      <c r="BJ844" s="166"/>
      <c r="BK844" s="474"/>
      <c r="BL844" s="474"/>
      <c r="BM844" s="474"/>
      <c r="BN844" s="166"/>
      <c r="BO844" s="166"/>
      <c r="BP844" s="204"/>
      <c r="BQ844" s="475"/>
      <c r="BR844" s="205"/>
      <c r="BS844" s="509"/>
      <c r="BT844" s="509"/>
      <c r="BU844" s="459"/>
      <c r="BV844" s="459"/>
      <c r="BW844" s="1"/>
      <c r="BX844" s="1"/>
      <c r="BY844" s="546"/>
      <c r="BZ844" s="546"/>
      <c r="CA844" s="546"/>
      <c r="CB844" s="546"/>
      <c r="CC844" s="728"/>
      <c r="CD844" s="728"/>
      <c r="CE844" s="170"/>
    </row>
    <row r="845" spans="1:84" customFormat="1">
      <c r="A845" s="701"/>
      <c r="B845" s="447"/>
      <c r="C845" s="161"/>
      <c r="D845" s="162"/>
      <c r="E845" s="1"/>
      <c r="F845" s="811"/>
      <c r="G845" s="440"/>
      <c r="H845" s="1"/>
      <c r="I845" s="55"/>
      <c r="J845" s="170"/>
      <c r="K845" s="1"/>
      <c r="L845" s="170"/>
      <c r="M845" s="1"/>
      <c r="N845" s="458"/>
      <c r="O845" s="170"/>
      <c r="P845" s="441"/>
      <c r="Q845" s="55"/>
      <c r="R845" s="177"/>
      <c r="S845" s="454"/>
      <c r="T845" s="178"/>
      <c r="U845" s="178"/>
      <c r="V845" s="179"/>
      <c r="W845" s="180"/>
      <c r="X845" s="179"/>
      <c r="Y845" s="180"/>
      <c r="Z845" s="178"/>
      <c r="AA845" s="178"/>
      <c r="AB845" s="178"/>
      <c r="AC845" s="178"/>
      <c r="AD845" s="182"/>
      <c r="AE845" s="182"/>
      <c r="AF845" s="182"/>
      <c r="AG845" s="182"/>
      <c r="AH845" s="401"/>
      <c r="AI845" s="401"/>
      <c r="AJ845" s="401"/>
      <c r="AK845" s="401"/>
      <c r="AL845" s="401"/>
      <c r="AM845" s="189"/>
      <c r="AN845" s="829"/>
      <c r="AO845" s="830"/>
      <c r="AP845" s="401"/>
      <c r="AQ845" s="401"/>
      <c r="AR845" s="401"/>
      <c r="AS845" s="401"/>
      <c r="AT845" s="403"/>
      <c r="AU845" s="403"/>
      <c r="AV845" s="170"/>
      <c r="AW845" s="166"/>
      <c r="AX845" s="166"/>
      <c r="AY845" s="189"/>
      <c r="AZ845" s="189"/>
      <c r="BA845" s="196"/>
      <c r="BB845" s="629"/>
      <c r="BC845" s="190"/>
      <c r="BD845" s="510"/>
      <c r="BE845" s="510"/>
      <c r="BF845" s="177"/>
      <c r="BG845" s="177"/>
      <c r="BH845" s="166"/>
      <c r="BI845" s="474"/>
      <c r="BJ845" s="166"/>
      <c r="BK845" s="474"/>
      <c r="BL845" s="474"/>
      <c r="BM845" s="474"/>
      <c r="BN845" s="166"/>
      <c r="BO845" s="166"/>
      <c r="BP845" s="204"/>
      <c r="BQ845" s="475"/>
      <c r="BR845" s="205"/>
      <c r="BS845" s="509"/>
      <c r="BT845" s="509"/>
      <c r="BU845" s="459"/>
      <c r="BV845" s="459"/>
      <c r="BW845" s="1"/>
      <c r="BX845" s="1"/>
      <c r="BY845" s="546"/>
      <c r="BZ845" s="546"/>
      <c r="CA845" s="546"/>
      <c r="CB845" s="546"/>
      <c r="CC845" s="728"/>
      <c r="CD845" s="728"/>
      <c r="CE845" s="170"/>
    </row>
    <row r="846" spans="1:84" customFormat="1">
      <c r="A846" s="701"/>
      <c r="B846" s="447"/>
      <c r="C846" s="161"/>
      <c r="D846" s="162"/>
      <c r="E846" s="1"/>
      <c r="F846" s="811"/>
      <c r="G846" s="440"/>
      <c r="H846" s="1"/>
      <c r="I846" s="55"/>
      <c r="J846" s="170"/>
      <c r="K846" s="1"/>
      <c r="L846" s="170"/>
      <c r="M846" s="1"/>
      <c r="N846" s="458"/>
      <c r="O846" s="170"/>
      <c r="P846" s="441"/>
      <c r="Q846" s="55"/>
      <c r="R846" s="177"/>
      <c r="S846" s="454"/>
      <c r="T846" s="178"/>
      <c r="U846" s="178"/>
      <c r="V846" s="179"/>
      <c r="W846" s="180"/>
      <c r="X846" s="179"/>
      <c r="Y846" s="180"/>
      <c r="Z846" s="178"/>
      <c r="AA846" s="178"/>
      <c r="AB846" s="178"/>
      <c r="AC846" s="178"/>
      <c r="AD846" s="182"/>
      <c r="AE846" s="182"/>
      <c r="AF846" s="182"/>
      <c r="AG846" s="182"/>
      <c r="AH846" s="401"/>
      <c r="AI846" s="401"/>
      <c r="AJ846" s="401"/>
      <c r="AK846" s="401"/>
      <c r="AL846" s="401"/>
      <c r="AM846" s="189"/>
      <c r="AN846" s="829"/>
      <c r="AO846" s="830"/>
      <c r="AP846" s="401"/>
      <c r="AQ846" s="401"/>
      <c r="AR846" s="401"/>
      <c r="AS846" s="401"/>
      <c r="AT846" s="403"/>
      <c r="AU846" s="403"/>
      <c r="AV846" s="170"/>
      <c r="AW846" s="166"/>
      <c r="AX846" s="166"/>
      <c r="AY846" s="189"/>
      <c r="AZ846" s="189"/>
      <c r="BA846" s="196"/>
      <c r="BB846" s="629"/>
      <c r="BC846" s="190"/>
      <c r="BD846" s="510"/>
      <c r="BE846" s="510"/>
      <c r="BF846" s="177"/>
      <c r="BG846" s="177"/>
      <c r="BH846" s="166"/>
      <c r="BI846" s="474"/>
      <c r="BJ846" s="166"/>
      <c r="BK846" s="474"/>
      <c r="BL846" s="474"/>
      <c r="BM846" s="474"/>
      <c r="BN846" s="166"/>
      <c r="BO846" s="166"/>
      <c r="BP846" s="204"/>
      <c r="BQ846" s="475"/>
      <c r="BR846" s="205"/>
      <c r="BS846" s="509"/>
      <c r="BT846" s="509"/>
      <c r="BU846" s="459"/>
      <c r="BV846" s="459"/>
      <c r="BW846" s="1"/>
      <c r="BX846" s="1"/>
      <c r="BY846" s="1"/>
      <c r="BZ846" s="1"/>
      <c r="CA846" s="1"/>
      <c r="CB846" s="1"/>
      <c r="CC846" s="728"/>
      <c r="CD846" s="728"/>
      <c r="CE846" s="1"/>
    </row>
    <row r="847" spans="1:84" customFormat="1">
      <c r="A847" s="701"/>
      <c r="B847" s="447"/>
      <c r="C847" s="161"/>
      <c r="D847" s="162"/>
      <c r="E847" s="1"/>
      <c r="F847" s="811"/>
      <c r="G847" s="517"/>
      <c r="H847" s="1"/>
      <c r="I847" s="55"/>
      <c r="J847" s="170"/>
      <c r="K847" s="1"/>
      <c r="L847" s="170"/>
      <c r="M847" s="1"/>
      <c r="N847" s="458"/>
      <c r="O847" s="170"/>
      <c r="P847" s="441"/>
      <c r="Q847" s="55"/>
      <c r="R847" s="177"/>
      <c r="S847" s="454"/>
      <c r="T847" s="178"/>
      <c r="U847" s="178"/>
      <c r="V847" s="179"/>
      <c r="W847" s="180"/>
      <c r="X847" s="179"/>
      <c r="Y847" s="180"/>
      <c r="Z847" s="178"/>
      <c r="AA847" s="178"/>
      <c r="AB847" s="178"/>
      <c r="AC847" s="178"/>
      <c r="AD847" s="182"/>
      <c r="AE847" s="182"/>
      <c r="AF847" s="182"/>
      <c r="AG847" s="182"/>
      <c r="AH847" s="401"/>
      <c r="AI847" s="401"/>
      <c r="AJ847" s="401"/>
      <c r="AK847" s="401"/>
      <c r="AL847" s="401"/>
      <c r="AM847" s="189"/>
      <c r="AN847" s="829"/>
      <c r="AO847" s="830"/>
      <c r="AP847" s="401"/>
      <c r="AQ847" s="401"/>
      <c r="AR847" s="401"/>
      <c r="AS847" s="401"/>
      <c r="AT847" s="403"/>
      <c r="AU847" s="403"/>
      <c r="AV847" s="170"/>
      <c r="AW847" s="166"/>
      <c r="AX847" s="166"/>
      <c r="AY847" s="189"/>
      <c r="AZ847" s="189"/>
      <c r="BA847" s="196"/>
      <c r="BB847" s="629"/>
      <c r="BC847" s="190"/>
      <c r="BD847" s="510"/>
      <c r="BE847" s="510"/>
      <c r="BF847" s="177"/>
      <c r="BG847" s="177"/>
      <c r="BH847" s="166"/>
      <c r="BI847" s="474"/>
      <c r="BJ847" s="166"/>
      <c r="BK847" s="474"/>
      <c r="BL847" s="474"/>
      <c r="BM847" s="474"/>
      <c r="BN847" s="166"/>
      <c r="BO847" s="166"/>
      <c r="BP847" s="204"/>
      <c r="BQ847" s="475"/>
      <c r="BR847" s="205"/>
      <c r="BS847" s="509"/>
      <c r="BT847" s="509"/>
      <c r="BU847" s="459"/>
      <c r="BV847" s="459"/>
      <c r="BW847" s="1"/>
      <c r="BX847" s="1"/>
      <c r="BY847" s="1"/>
      <c r="BZ847" s="1"/>
      <c r="CA847" s="1"/>
      <c r="CB847" s="1"/>
      <c r="CC847" s="728"/>
      <c r="CD847" s="728"/>
      <c r="CE847" s="1"/>
    </row>
    <row r="848" spans="1:84" customFormat="1">
      <c r="A848" s="701"/>
      <c r="B848" s="447"/>
      <c r="C848" s="1"/>
      <c r="D848" s="538"/>
      <c r="E848" s="1"/>
      <c r="F848" s="811"/>
      <c r="G848" s="440"/>
      <c r="H848" s="1"/>
      <c r="J848" s="171"/>
      <c r="K848" s="55"/>
      <c r="L848" s="171"/>
      <c r="M848" s="55"/>
      <c r="N848" s="172"/>
      <c r="O848" s="170"/>
      <c r="P848" s="139"/>
      <c r="Q848" s="171"/>
      <c r="R848" s="181"/>
      <c r="S848" s="455"/>
      <c r="T848" s="170"/>
      <c r="U848" s="170"/>
      <c r="V848" s="1"/>
      <c r="W848" s="173"/>
      <c r="X848" s="1"/>
      <c r="Y848" s="166"/>
      <c r="Z848" s="170"/>
      <c r="AA848" s="170"/>
      <c r="AB848" s="170"/>
      <c r="AC848" s="170"/>
      <c r="AD848" s="182"/>
      <c r="AE848" s="182"/>
      <c r="AF848" s="182"/>
      <c r="AG848" s="182"/>
      <c r="AH848" s="189"/>
      <c r="AI848" s="401"/>
      <c r="AJ848" s="189"/>
      <c r="AK848" s="401"/>
      <c r="AL848" s="401"/>
      <c r="AM848" s="189"/>
      <c r="AN848" s="782"/>
      <c r="AO848" s="189"/>
      <c r="AP848" s="401"/>
      <c r="AQ848" s="401"/>
      <c r="AR848" s="401"/>
      <c r="AS848" s="188"/>
      <c r="AT848" s="1"/>
      <c r="AU848" s="403"/>
      <c r="AV848" s="1"/>
      <c r="AW848" s="166"/>
      <c r="AX848" s="166"/>
      <c r="AY848" s="189"/>
      <c r="AZ848" s="189"/>
      <c r="BA848" s="196"/>
      <c r="BB848" s="629"/>
      <c r="BC848" s="197"/>
      <c r="BD848" s="510"/>
      <c r="BE848" s="510"/>
      <c r="BF848" s="177"/>
      <c r="BG848" s="177"/>
      <c r="BH848" s="166"/>
      <c r="BI848" s="474"/>
      <c r="BJ848" s="166"/>
      <c r="BK848" s="474"/>
      <c r="BL848" s="474"/>
      <c r="BM848" s="474"/>
      <c r="BN848" s="166"/>
      <c r="BO848" s="166"/>
      <c r="BP848" s="204"/>
      <c r="BQ848" s="475"/>
      <c r="BR848" s="205"/>
      <c r="BS848" s="509"/>
      <c r="BT848" s="509"/>
      <c r="BU848" s="459"/>
      <c r="BV848" s="459"/>
      <c r="BW848" s="1"/>
      <c r="BX848" s="1"/>
      <c r="BY848" s="546"/>
      <c r="BZ848" s="546"/>
      <c r="CA848" s="546"/>
      <c r="CB848" s="546"/>
      <c r="CC848" s="728"/>
      <c r="CD848" s="728"/>
      <c r="CE848" s="170"/>
    </row>
    <row r="849" spans="1:83" customFormat="1">
      <c r="A849" s="701"/>
      <c r="B849" s="447"/>
      <c r="C849" s="161"/>
      <c r="D849" s="162"/>
      <c r="E849" s="1"/>
      <c r="F849" s="811"/>
      <c r="G849" s="440"/>
      <c r="H849" s="1"/>
      <c r="I849" s="55"/>
      <c r="J849" s="170"/>
      <c r="K849" s="1"/>
      <c r="L849" s="170"/>
      <c r="M849" s="1"/>
      <c r="N849" s="458"/>
      <c r="O849" s="170"/>
      <c r="P849" s="441"/>
      <c r="Q849" s="55"/>
      <c r="R849" s="177"/>
      <c r="S849" s="454"/>
      <c r="T849" s="178"/>
      <c r="U849" s="178"/>
      <c r="V849" s="179"/>
      <c r="W849" s="180"/>
      <c r="X849" s="179"/>
      <c r="Y849" s="180"/>
      <c r="Z849" s="178"/>
      <c r="AA849" s="178"/>
      <c r="AB849" s="178"/>
      <c r="AC849" s="178"/>
      <c r="AD849" s="182"/>
      <c r="AE849" s="182"/>
      <c r="AF849" s="182"/>
      <c r="AG849" s="182"/>
      <c r="AH849" s="401"/>
      <c r="AI849" s="401"/>
      <c r="AJ849" s="401"/>
      <c r="AK849" s="401"/>
      <c r="AL849" s="401"/>
      <c r="AM849" s="189"/>
      <c r="AN849" s="829"/>
      <c r="AO849" s="830"/>
      <c r="AP849" s="401"/>
      <c r="AQ849" s="401"/>
      <c r="AR849" s="401"/>
      <c r="AS849" s="401"/>
      <c r="AT849" s="403"/>
      <c r="AU849" s="403"/>
      <c r="AV849" s="170"/>
      <c r="AW849" s="166"/>
      <c r="AX849" s="166"/>
      <c r="AY849" s="189"/>
      <c r="AZ849" s="189"/>
      <c r="BA849" s="196"/>
      <c r="BB849" s="629"/>
      <c r="BC849" s="190"/>
      <c r="BD849" s="510"/>
      <c r="BE849" s="510"/>
      <c r="BF849" s="177"/>
      <c r="BG849" s="177"/>
      <c r="BH849" s="166"/>
      <c r="BI849" s="474"/>
      <c r="BJ849" s="166"/>
      <c r="BK849" s="474"/>
      <c r="BL849" s="474"/>
      <c r="BM849" s="474"/>
      <c r="BN849" s="166"/>
      <c r="BO849" s="166"/>
      <c r="BP849" s="204"/>
      <c r="BQ849" s="475"/>
      <c r="BR849" s="205"/>
      <c r="BS849" s="509"/>
      <c r="BT849" s="509"/>
      <c r="BU849" s="459"/>
      <c r="BV849" s="459"/>
      <c r="BW849" s="1"/>
      <c r="BX849" s="1"/>
      <c r="BY849" s="546"/>
      <c r="BZ849" s="546"/>
      <c r="CA849" s="546"/>
      <c r="CB849" s="546"/>
      <c r="CC849" s="728"/>
      <c r="CD849" s="728"/>
      <c r="CE849" s="170"/>
    </row>
    <row r="850" spans="1:83" customFormat="1">
      <c r="A850" s="701"/>
      <c r="B850" s="447"/>
      <c r="C850" s="161"/>
      <c r="D850" s="162"/>
      <c r="E850" s="1"/>
      <c r="F850" s="811"/>
      <c r="G850" s="440"/>
      <c r="H850" s="1"/>
      <c r="I850" s="55"/>
      <c r="J850" s="170"/>
      <c r="K850" s="1"/>
      <c r="L850" s="170"/>
      <c r="M850" s="1"/>
      <c r="N850" s="458"/>
      <c r="O850" s="170"/>
      <c r="P850" s="441"/>
      <c r="Q850" s="55"/>
      <c r="R850" s="177"/>
      <c r="S850" s="454"/>
      <c r="T850" s="178"/>
      <c r="U850" s="178"/>
      <c r="V850" s="179"/>
      <c r="W850" s="180"/>
      <c r="X850" s="179"/>
      <c r="Y850" s="180"/>
      <c r="Z850" s="178"/>
      <c r="AA850" s="178"/>
      <c r="AB850" s="178"/>
      <c r="AC850" s="178"/>
      <c r="AD850" s="182"/>
      <c r="AE850" s="182"/>
      <c r="AF850" s="182"/>
      <c r="AG850" s="182"/>
      <c r="AH850" s="401"/>
      <c r="AI850" s="401"/>
      <c r="AJ850" s="401"/>
      <c r="AK850" s="401"/>
      <c r="AL850" s="401"/>
      <c r="AM850" s="189"/>
      <c r="AN850" s="829"/>
      <c r="AO850" s="830"/>
      <c r="AP850" s="401"/>
      <c r="AQ850" s="401"/>
      <c r="AR850" s="401"/>
      <c r="AS850" s="401"/>
      <c r="AT850" s="403"/>
      <c r="AU850" s="403"/>
      <c r="AV850" s="170"/>
      <c r="AW850" s="166"/>
      <c r="AX850" s="166"/>
      <c r="AY850" s="189"/>
      <c r="AZ850" s="189"/>
      <c r="BA850" s="196"/>
      <c r="BB850" s="629"/>
      <c r="BC850" s="190"/>
      <c r="BD850" s="510"/>
      <c r="BE850" s="510"/>
      <c r="BF850" s="177"/>
      <c r="BG850" s="177"/>
      <c r="BH850" s="166"/>
      <c r="BI850" s="474"/>
      <c r="BJ850" s="166"/>
      <c r="BK850" s="474"/>
      <c r="BL850" s="474"/>
      <c r="BM850" s="474"/>
      <c r="BN850" s="166"/>
      <c r="BO850" s="166"/>
      <c r="BP850" s="204"/>
      <c r="BQ850" s="475"/>
      <c r="BR850" s="205"/>
      <c r="BS850" s="509"/>
      <c r="BT850" s="509"/>
      <c r="BU850" s="459"/>
      <c r="BV850" s="459"/>
      <c r="BW850" s="1"/>
      <c r="BX850" s="1"/>
      <c r="BY850" s="546"/>
      <c r="BZ850" s="546"/>
      <c r="CA850" s="546"/>
      <c r="CB850" s="546"/>
      <c r="CC850" s="728"/>
      <c r="CD850" s="728"/>
      <c r="CE850" s="170"/>
    </row>
    <row r="851" spans="1:83" customFormat="1">
      <c r="A851" s="701"/>
      <c r="B851" s="447"/>
      <c r="C851" s="161"/>
      <c r="D851" s="162"/>
      <c r="E851" s="1"/>
      <c r="F851" s="811"/>
      <c r="G851" s="440"/>
      <c r="H851" s="1"/>
      <c r="I851" s="55"/>
      <c r="J851" s="457"/>
      <c r="K851" s="1"/>
      <c r="L851" s="170"/>
      <c r="M851" s="1"/>
      <c r="N851" s="458"/>
      <c r="O851" s="170"/>
      <c r="P851" s="441"/>
      <c r="Q851" s="55"/>
      <c r="R851" s="177"/>
      <c r="S851" s="454"/>
      <c r="T851" s="178"/>
      <c r="U851" s="178"/>
      <c r="V851" s="179"/>
      <c r="W851" s="180"/>
      <c r="X851" s="179"/>
      <c r="Y851" s="180"/>
      <c r="Z851" s="178"/>
      <c r="AA851" s="178"/>
      <c r="AB851" s="178"/>
      <c r="AC851" s="178"/>
      <c r="AD851" s="182"/>
      <c r="AE851" s="182"/>
      <c r="AF851" s="182"/>
      <c r="AG851" s="182"/>
      <c r="AH851" s="401"/>
      <c r="AI851" s="401"/>
      <c r="AJ851" s="401"/>
      <c r="AK851" s="401"/>
      <c r="AL851" s="401"/>
      <c r="AM851" s="189"/>
      <c r="AN851" s="829"/>
      <c r="AO851" s="830"/>
      <c r="AP851" s="401"/>
      <c r="AQ851" s="401"/>
      <c r="AR851" s="401"/>
      <c r="AS851" s="401"/>
      <c r="AT851" s="403"/>
      <c r="AU851" s="403"/>
      <c r="AV851" s="170"/>
      <c r="AW851" s="166"/>
      <c r="AX851" s="166"/>
      <c r="AY851" s="189"/>
      <c r="AZ851" s="189"/>
      <c r="BA851" s="196"/>
      <c r="BB851" s="629"/>
      <c r="BC851" s="190"/>
      <c r="BD851" s="510"/>
      <c r="BE851" s="510"/>
      <c r="BF851" s="177"/>
      <c r="BG851" s="177"/>
      <c r="BH851" s="166"/>
      <c r="BI851" s="474"/>
      <c r="BJ851" s="166"/>
      <c r="BK851" s="474"/>
      <c r="BL851" s="474"/>
      <c r="BM851" s="474"/>
      <c r="BN851" s="166"/>
      <c r="BO851" s="166"/>
      <c r="BP851" s="204"/>
      <c r="BQ851" s="475"/>
      <c r="BR851" s="205"/>
      <c r="BS851" s="509"/>
      <c r="BT851" s="509"/>
      <c r="BU851" s="459"/>
      <c r="BV851" s="459"/>
      <c r="BW851" s="1"/>
      <c r="BX851" s="1"/>
      <c r="BY851" s="546"/>
      <c r="BZ851" s="546"/>
      <c r="CA851" s="546"/>
      <c r="CB851" s="546"/>
      <c r="CC851" s="728"/>
      <c r="CD851" s="728"/>
      <c r="CE851" s="170"/>
    </row>
    <row r="852" spans="1:83" customFormat="1">
      <c r="A852" s="701"/>
      <c r="B852" s="447"/>
      <c r="C852" s="161"/>
      <c r="D852" s="162"/>
      <c r="E852" s="1"/>
      <c r="F852" s="811"/>
      <c r="G852" s="440"/>
      <c r="H852" s="1"/>
      <c r="I852" s="55"/>
      <c r="J852" s="170"/>
      <c r="K852" s="1"/>
      <c r="L852" s="170"/>
      <c r="M852" s="1"/>
      <c r="N852" s="458"/>
      <c r="O852" s="170"/>
      <c r="P852" s="441"/>
      <c r="Q852" s="55"/>
      <c r="R852" s="177"/>
      <c r="S852" s="454"/>
      <c r="T852" s="178"/>
      <c r="U852" s="178"/>
      <c r="V852" s="179"/>
      <c r="W852" s="180"/>
      <c r="X852" s="179"/>
      <c r="Y852" s="180"/>
      <c r="Z852" s="178"/>
      <c r="AA852" s="178"/>
      <c r="AB852" s="178"/>
      <c r="AC852" s="178"/>
      <c r="AD852" s="182"/>
      <c r="AE852" s="182"/>
      <c r="AF852" s="182"/>
      <c r="AG852" s="182"/>
      <c r="AH852" s="401"/>
      <c r="AI852" s="401"/>
      <c r="AJ852" s="401"/>
      <c r="AK852" s="401"/>
      <c r="AL852" s="401"/>
      <c r="AM852" s="189"/>
      <c r="AN852" s="829"/>
      <c r="AO852" s="830"/>
      <c r="AP852" s="401"/>
      <c r="AQ852" s="401"/>
      <c r="AR852" s="401"/>
      <c r="AS852" s="401"/>
      <c r="AT852" s="403"/>
      <c r="AU852" s="403"/>
      <c r="AV852" s="170"/>
      <c r="AW852" s="166"/>
      <c r="AX852" s="166"/>
      <c r="AY852" s="189"/>
      <c r="AZ852" s="189"/>
      <c r="BA852" s="196"/>
      <c r="BB852" s="629"/>
      <c r="BC852" s="190"/>
      <c r="BD852" s="510"/>
      <c r="BE852" s="510"/>
      <c r="BF852" s="177"/>
      <c r="BG852" s="177"/>
      <c r="BH852" s="166"/>
      <c r="BI852" s="474"/>
      <c r="BJ852" s="166"/>
      <c r="BK852" s="474"/>
      <c r="BL852" s="474"/>
      <c r="BM852" s="474"/>
      <c r="BN852" s="166"/>
      <c r="BO852" s="166"/>
      <c r="BP852" s="204"/>
      <c r="BQ852" s="475"/>
      <c r="BR852" s="205"/>
      <c r="BS852" s="509"/>
      <c r="BT852" s="509"/>
      <c r="BU852" s="459"/>
      <c r="BV852" s="459"/>
      <c r="BW852" s="1"/>
      <c r="BX852" s="1"/>
      <c r="BY852" s="546"/>
      <c r="BZ852" s="546"/>
      <c r="CA852" s="546"/>
      <c r="CB852" s="546"/>
      <c r="CC852" s="728"/>
      <c r="CD852" s="728"/>
      <c r="CE852" s="170"/>
    </row>
    <row r="853" spans="1:83" customFormat="1">
      <c r="A853" s="701"/>
      <c r="B853" s="447"/>
      <c r="C853" s="161"/>
      <c r="D853" s="162"/>
      <c r="E853" s="1"/>
      <c r="F853" s="811"/>
      <c r="G853" s="517"/>
      <c r="H853" s="1"/>
      <c r="I853" s="55"/>
      <c r="J853" s="170"/>
      <c r="K853" s="1"/>
      <c r="L853" s="170"/>
      <c r="M853" s="1"/>
      <c r="N853" s="458"/>
      <c r="O853" s="170"/>
      <c r="P853" s="441"/>
      <c r="Q853" s="55"/>
      <c r="R853" s="177"/>
      <c r="S853" s="454"/>
      <c r="T853" s="178"/>
      <c r="U853" s="178"/>
      <c r="V853" s="179"/>
      <c r="W853" s="180"/>
      <c r="X853" s="179"/>
      <c r="Y853" s="180"/>
      <c r="Z853" s="178"/>
      <c r="AA853" s="178"/>
      <c r="AB853" s="178"/>
      <c r="AC853" s="178"/>
      <c r="AD853" s="182"/>
      <c r="AE853" s="182"/>
      <c r="AF853" s="182"/>
      <c r="AG853" s="182"/>
      <c r="AH853" s="401"/>
      <c r="AI853" s="401"/>
      <c r="AJ853" s="401"/>
      <c r="AK853" s="401"/>
      <c r="AL853" s="401"/>
      <c r="AM853" s="189"/>
      <c r="AN853" s="829"/>
      <c r="AO853" s="830"/>
      <c r="AP853" s="401"/>
      <c r="AQ853" s="401"/>
      <c r="AR853" s="401"/>
      <c r="AS853" s="401"/>
      <c r="AT853" s="403"/>
      <c r="AU853" s="403"/>
      <c r="AV853" s="170"/>
      <c r="AW853" s="166"/>
      <c r="AX853" s="166"/>
      <c r="AY853" s="189"/>
      <c r="AZ853" s="189"/>
      <c r="BA853" s="196"/>
      <c r="BB853" s="629"/>
      <c r="BC853" s="190"/>
      <c r="BD853" s="510"/>
      <c r="BE853" s="510"/>
      <c r="BF853" s="177"/>
      <c r="BG853" s="177"/>
      <c r="BH853" s="166"/>
      <c r="BI853" s="474"/>
      <c r="BJ853" s="166"/>
      <c r="BK853" s="474"/>
      <c r="BL853" s="474"/>
      <c r="BM853" s="474"/>
      <c r="BN853" s="166"/>
      <c r="BO853" s="166"/>
      <c r="BP853" s="204"/>
      <c r="BQ853" s="475"/>
      <c r="BR853" s="205"/>
      <c r="BS853" s="509"/>
      <c r="BT853" s="509"/>
      <c r="BU853" s="459"/>
      <c r="BV853" s="459"/>
      <c r="BW853" s="1"/>
      <c r="BX853" s="1"/>
      <c r="BY853" s="1"/>
      <c r="BZ853" s="1"/>
      <c r="CA853" s="1"/>
      <c r="CB853" s="1"/>
      <c r="CC853" s="728"/>
      <c r="CD853" s="728"/>
      <c r="CE853" s="1"/>
    </row>
    <row r="854" spans="1:83" customFormat="1">
      <c r="A854" s="701"/>
      <c r="B854" s="447"/>
      <c r="C854" s="161"/>
      <c r="D854" s="162"/>
      <c r="E854" s="1"/>
      <c r="F854" s="811"/>
      <c r="G854" s="440"/>
      <c r="H854" s="1"/>
      <c r="I854" s="55"/>
      <c r="J854" s="170"/>
      <c r="K854" s="1"/>
      <c r="L854" s="170"/>
      <c r="M854" s="1"/>
      <c r="N854" s="458"/>
      <c r="O854" s="170"/>
      <c r="P854" s="441"/>
      <c r="Q854" s="55"/>
      <c r="R854" s="177"/>
      <c r="S854" s="454"/>
      <c r="T854" s="178"/>
      <c r="U854" s="178"/>
      <c r="V854" s="179"/>
      <c r="W854" s="180"/>
      <c r="X854" s="179"/>
      <c r="Y854" s="180"/>
      <c r="Z854" s="178"/>
      <c r="AA854" s="178"/>
      <c r="AB854" s="178"/>
      <c r="AC854" s="178"/>
      <c r="AD854" s="182"/>
      <c r="AE854" s="182"/>
      <c r="AF854" s="182"/>
      <c r="AG854" s="182"/>
      <c r="AH854" s="401"/>
      <c r="AI854" s="401"/>
      <c r="AJ854" s="401"/>
      <c r="AK854" s="401"/>
      <c r="AL854" s="401"/>
      <c r="AM854" s="189"/>
      <c r="AN854" s="829"/>
      <c r="AO854" s="830"/>
      <c r="AP854" s="401"/>
      <c r="AQ854" s="401"/>
      <c r="AR854" s="401"/>
      <c r="AS854" s="401"/>
      <c r="AT854" s="403"/>
      <c r="AU854" s="403"/>
      <c r="AV854" s="170"/>
      <c r="AW854" s="166"/>
      <c r="AX854" s="166"/>
      <c r="AY854" s="189"/>
      <c r="AZ854" s="189"/>
      <c r="BA854" s="196"/>
      <c r="BB854" s="629"/>
      <c r="BC854" s="190"/>
      <c r="BD854" s="510"/>
      <c r="BE854" s="510"/>
      <c r="BF854" s="177"/>
      <c r="BG854" s="177"/>
      <c r="BH854" s="166"/>
      <c r="BI854" s="474"/>
      <c r="BJ854" s="166"/>
      <c r="BK854" s="474"/>
      <c r="BL854" s="474"/>
      <c r="BM854" s="474"/>
      <c r="BN854" s="166"/>
      <c r="BO854" s="166"/>
      <c r="BP854" s="204"/>
      <c r="BQ854" s="475"/>
      <c r="BR854" s="205"/>
      <c r="BS854" s="509"/>
      <c r="BT854" s="509"/>
      <c r="BU854" s="459"/>
      <c r="BV854" s="459"/>
      <c r="BW854" s="1"/>
      <c r="BX854" s="1"/>
      <c r="BY854" s="546"/>
      <c r="BZ854" s="546"/>
      <c r="CA854" s="546"/>
      <c r="CB854" s="546"/>
      <c r="CC854" s="728"/>
      <c r="CD854" s="728"/>
      <c r="CE854" s="170"/>
    </row>
    <row r="855" spans="1:83" customFormat="1">
      <c r="A855" s="701"/>
      <c r="B855" s="447"/>
      <c r="C855" s="161"/>
      <c r="D855" s="162"/>
      <c r="E855" s="1"/>
      <c r="F855" s="811"/>
      <c r="G855" s="440"/>
      <c r="H855" s="1"/>
      <c r="I855" s="55"/>
      <c r="J855" s="170"/>
      <c r="K855" s="1"/>
      <c r="L855" s="170"/>
      <c r="M855" s="1"/>
      <c r="N855" s="458"/>
      <c r="O855" s="170"/>
      <c r="P855" s="441"/>
      <c r="Q855" s="55"/>
      <c r="R855" s="177"/>
      <c r="S855" s="454"/>
      <c r="T855" s="178"/>
      <c r="U855" s="178"/>
      <c r="V855" s="179"/>
      <c r="W855" s="180"/>
      <c r="X855" s="179"/>
      <c r="Y855" s="180"/>
      <c r="Z855" s="178"/>
      <c r="AA855" s="178"/>
      <c r="AB855" s="178"/>
      <c r="AC855" s="178"/>
      <c r="AD855" s="182"/>
      <c r="AE855" s="182"/>
      <c r="AF855" s="182"/>
      <c r="AG855" s="182"/>
      <c r="AH855" s="401"/>
      <c r="AI855" s="401"/>
      <c r="AJ855" s="401"/>
      <c r="AK855" s="401"/>
      <c r="AL855" s="401"/>
      <c r="AM855" s="189"/>
      <c r="AN855" s="829"/>
      <c r="AO855" s="830"/>
      <c r="AP855" s="401"/>
      <c r="AQ855" s="401"/>
      <c r="AR855" s="401"/>
      <c r="AS855" s="401"/>
      <c r="AT855" s="403"/>
      <c r="AU855" s="403"/>
      <c r="AV855" s="170"/>
      <c r="AW855" s="166"/>
      <c r="AX855" s="166"/>
      <c r="AY855" s="189"/>
      <c r="AZ855" s="189"/>
      <c r="BA855" s="196"/>
      <c r="BB855" s="629"/>
      <c r="BC855" s="190"/>
      <c r="BD855" s="510"/>
      <c r="BE855" s="510"/>
      <c r="BF855" s="177"/>
      <c r="BG855" s="177"/>
      <c r="BH855" s="166"/>
      <c r="BI855" s="474"/>
      <c r="BJ855" s="166"/>
      <c r="BK855" s="474"/>
      <c r="BL855" s="474"/>
      <c r="BM855" s="474"/>
      <c r="BN855" s="166"/>
      <c r="BO855" s="166"/>
      <c r="BP855" s="204"/>
      <c r="BQ855" s="475"/>
      <c r="BR855" s="205"/>
      <c r="BS855" s="509"/>
      <c r="BT855" s="509"/>
      <c r="BU855" s="459"/>
      <c r="BV855" s="459"/>
      <c r="BW855" s="1"/>
      <c r="BX855" s="1"/>
      <c r="BY855" s="546"/>
      <c r="BZ855" s="546"/>
      <c r="CA855" s="546"/>
      <c r="CB855" s="546"/>
      <c r="CC855" s="728"/>
      <c r="CD855" s="728"/>
      <c r="CE855" s="170"/>
    </row>
    <row r="856" spans="1:83" customFormat="1">
      <c r="A856" s="701"/>
      <c r="B856" s="447"/>
      <c r="C856" s="161"/>
      <c r="D856" s="162"/>
      <c r="E856" s="1"/>
      <c r="F856" s="811"/>
      <c r="G856" s="440"/>
      <c r="H856" s="1"/>
      <c r="I856" s="55"/>
      <c r="J856" s="170"/>
      <c r="K856" s="1"/>
      <c r="L856" s="170"/>
      <c r="M856" s="1"/>
      <c r="N856" s="458"/>
      <c r="O856" s="170"/>
      <c r="P856" s="441"/>
      <c r="Q856" s="55"/>
      <c r="R856" s="177"/>
      <c r="S856" s="454"/>
      <c r="T856" s="178"/>
      <c r="U856" s="178"/>
      <c r="V856" s="179"/>
      <c r="W856" s="180"/>
      <c r="X856" s="179"/>
      <c r="Y856" s="180"/>
      <c r="Z856" s="178"/>
      <c r="AA856" s="178"/>
      <c r="AB856" s="178"/>
      <c r="AC856" s="178"/>
      <c r="AD856" s="182"/>
      <c r="AE856" s="182"/>
      <c r="AF856" s="182"/>
      <c r="AG856" s="182"/>
      <c r="AH856" s="401"/>
      <c r="AI856" s="401"/>
      <c r="AJ856" s="401"/>
      <c r="AK856" s="401"/>
      <c r="AL856" s="401"/>
      <c r="AM856" s="189"/>
      <c r="AN856" s="829"/>
      <c r="AO856" s="830"/>
      <c r="AP856" s="401"/>
      <c r="AQ856" s="401"/>
      <c r="AR856" s="401"/>
      <c r="AS856" s="401"/>
      <c r="AT856" s="403"/>
      <c r="AU856" s="403"/>
      <c r="AV856" s="170"/>
      <c r="AW856" s="166"/>
      <c r="AX856" s="166"/>
      <c r="AY856" s="189"/>
      <c r="AZ856" s="189"/>
      <c r="BA856" s="196"/>
      <c r="BB856" s="629"/>
      <c r="BC856" s="190"/>
      <c r="BD856" s="510"/>
      <c r="BE856" s="510"/>
      <c r="BF856" s="177"/>
      <c r="BG856" s="177"/>
      <c r="BH856" s="166"/>
      <c r="BI856" s="474"/>
      <c r="BJ856" s="166"/>
      <c r="BK856" s="474"/>
      <c r="BL856" s="474"/>
      <c r="BM856" s="474"/>
      <c r="BN856" s="166"/>
      <c r="BO856" s="166"/>
      <c r="BP856" s="204"/>
      <c r="BQ856" s="475"/>
      <c r="BR856" s="205"/>
      <c r="BS856" s="509"/>
      <c r="BT856" s="509"/>
      <c r="BU856" s="459"/>
      <c r="BV856" s="459"/>
      <c r="BW856" s="1"/>
      <c r="BX856" s="1"/>
      <c r="BY856" s="546"/>
      <c r="BZ856" s="546"/>
      <c r="CA856" s="546"/>
      <c r="CB856" s="546"/>
      <c r="CC856" s="728"/>
      <c r="CD856" s="728"/>
      <c r="CE856" s="170"/>
    </row>
    <row r="857" spans="1:83" customFormat="1">
      <c r="A857" s="701"/>
      <c r="B857" s="447"/>
      <c r="C857" s="161"/>
      <c r="D857" s="162"/>
      <c r="E857" s="1"/>
      <c r="F857" s="811"/>
      <c r="G857" s="440"/>
      <c r="H857" s="1"/>
      <c r="I857" s="55"/>
      <c r="J857" s="170"/>
      <c r="K857" s="1"/>
      <c r="L857" s="170"/>
      <c r="M857" s="1"/>
      <c r="N857" s="458"/>
      <c r="O857" s="170"/>
      <c r="P857" s="441"/>
      <c r="Q857" s="55"/>
      <c r="R857" s="177"/>
      <c r="S857" s="454"/>
      <c r="T857" s="178"/>
      <c r="U857" s="178"/>
      <c r="V857" s="179"/>
      <c r="W857" s="180"/>
      <c r="X857" s="179"/>
      <c r="Y857" s="180"/>
      <c r="Z857" s="178"/>
      <c r="AA857" s="178"/>
      <c r="AB857" s="178"/>
      <c r="AC857" s="178"/>
      <c r="AD857" s="182"/>
      <c r="AE857" s="182"/>
      <c r="AF857" s="182"/>
      <c r="AG857" s="182"/>
      <c r="AH857" s="401"/>
      <c r="AI857" s="401"/>
      <c r="AJ857" s="401"/>
      <c r="AK857" s="401"/>
      <c r="AL857" s="401"/>
      <c r="AM857" s="189"/>
      <c r="AN857" s="829"/>
      <c r="AO857" s="830"/>
      <c r="AP857" s="401"/>
      <c r="AQ857" s="401"/>
      <c r="AR857" s="401"/>
      <c r="AS857" s="401"/>
      <c r="AT857" s="403"/>
      <c r="AU857" s="403"/>
      <c r="AV857" s="170"/>
      <c r="AW857" s="166"/>
      <c r="AX857" s="166"/>
      <c r="AY857" s="189"/>
      <c r="AZ857" s="189"/>
      <c r="BA857" s="196"/>
      <c r="BB857" s="629"/>
      <c r="BC857" s="190"/>
      <c r="BD857" s="510"/>
      <c r="BE857" s="510"/>
      <c r="BF857" s="177"/>
      <c r="BG857" s="177"/>
      <c r="BH857" s="166"/>
      <c r="BI857" s="474"/>
      <c r="BJ857" s="166"/>
      <c r="BK857" s="474"/>
      <c r="BL857" s="474"/>
      <c r="BM857" s="474"/>
      <c r="BN857" s="166"/>
      <c r="BO857" s="166"/>
      <c r="BP857" s="204"/>
      <c r="BQ857" s="475"/>
      <c r="BR857" s="205"/>
      <c r="BS857" s="509"/>
      <c r="BT857" s="509"/>
      <c r="BU857" s="459"/>
      <c r="BV857" s="459"/>
      <c r="BW857" s="1"/>
      <c r="BX857" s="1"/>
      <c r="BY857" s="546"/>
      <c r="BZ857" s="546"/>
      <c r="CA857" s="546"/>
      <c r="CB857" s="546"/>
      <c r="CC857" s="728"/>
      <c r="CD857" s="728"/>
      <c r="CE857" s="170"/>
    </row>
    <row r="858" spans="1:83" customFormat="1">
      <c r="A858" s="701"/>
      <c r="B858" s="447"/>
      <c r="C858" s="161"/>
      <c r="D858" s="162"/>
      <c r="E858" s="1"/>
      <c r="F858" s="811"/>
      <c r="G858" s="440"/>
      <c r="H858" s="1"/>
      <c r="I858" s="55"/>
      <c r="J858" s="170"/>
      <c r="K858" s="1"/>
      <c r="L858" s="170"/>
      <c r="M858" s="1"/>
      <c r="N858" s="458"/>
      <c r="O858" s="170"/>
      <c r="P858" s="724"/>
      <c r="Q858" s="55"/>
      <c r="R858" s="177"/>
      <c r="S858" s="456"/>
      <c r="T858" s="205"/>
      <c r="U858" s="205"/>
      <c r="V858" s="34"/>
      <c r="W858" s="407"/>
      <c r="X858" s="34"/>
      <c r="Y858" s="407"/>
      <c r="Z858" s="205"/>
      <c r="AA858" s="205"/>
      <c r="AB858" s="205"/>
      <c r="AC858" s="205"/>
      <c r="AD858" s="182"/>
      <c r="AE858" s="182"/>
      <c r="AF858" s="182"/>
      <c r="AG858" s="182"/>
      <c r="AH858" s="401"/>
      <c r="AI858" s="401"/>
      <c r="AJ858" s="401"/>
      <c r="AK858" s="401"/>
      <c r="AL858" s="401"/>
      <c r="AM858" s="189"/>
      <c r="AN858" s="829"/>
      <c r="AO858" s="830"/>
      <c r="AP858" s="401"/>
      <c r="AQ858" s="401"/>
      <c r="AR858" s="401"/>
      <c r="AS858" s="401"/>
      <c r="AT858" s="403"/>
      <c r="AU858" s="403"/>
      <c r="AV858" s="170"/>
      <c r="AW858" s="166"/>
      <c r="AX858" s="166"/>
      <c r="AY858" s="189"/>
      <c r="AZ858" s="189"/>
      <c r="BA858" s="196"/>
      <c r="BB858" s="629"/>
      <c r="BC858" s="190"/>
      <c r="BD858" s="510"/>
      <c r="BE858" s="510"/>
      <c r="BF858" s="177"/>
      <c r="BG858" s="177"/>
      <c r="BH858" s="166"/>
      <c r="BI858" s="474"/>
      <c r="BJ858" s="166"/>
      <c r="BK858" s="474"/>
      <c r="BL858" s="474"/>
      <c r="BM858" s="474"/>
      <c r="BN858" s="166"/>
      <c r="BO858" s="166"/>
      <c r="BP858" s="204"/>
      <c r="BQ858" s="475"/>
      <c r="BR858" s="205"/>
      <c r="BS858" s="509"/>
      <c r="BT858" s="509"/>
      <c r="BU858" s="459"/>
      <c r="BV858" s="459"/>
      <c r="BW858" s="1"/>
      <c r="BX858" s="1"/>
      <c r="BY858" s="1"/>
      <c r="BZ858" s="1"/>
      <c r="CA858" s="1"/>
      <c r="CB858" s="1"/>
      <c r="CC858" s="728"/>
      <c r="CD858" s="728"/>
      <c r="CE858" s="1"/>
    </row>
    <row r="859" spans="1:83" customFormat="1">
      <c r="A859" s="701"/>
      <c r="B859" s="447"/>
      <c r="C859" s="161"/>
      <c r="D859" s="162"/>
      <c r="E859" s="1"/>
      <c r="F859" s="811"/>
      <c r="G859" s="440"/>
      <c r="H859" s="1"/>
      <c r="I859" s="55"/>
      <c r="J859" s="170"/>
      <c r="K859" s="1"/>
      <c r="L859" s="170"/>
      <c r="M859" s="1"/>
      <c r="N859" s="458"/>
      <c r="O859" s="170"/>
      <c r="P859" s="441"/>
      <c r="Q859" s="55"/>
      <c r="R859" s="177"/>
      <c r="S859" s="454"/>
      <c r="T859" s="178"/>
      <c r="U859" s="178"/>
      <c r="V859" s="179"/>
      <c r="W859" s="180"/>
      <c r="X859" s="179"/>
      <c r="Y859" s="180"/>
      <c r="Z859" s="178"/>
      <c r="AA859" s="178"/>
      <c r="AB859" s="178"/>
      <c r="AC859" s="178"/>
      <c r="AD859" s="182"/>
      <c r="AE859" s="182"/>
      <c r="AF859" s="182"/>
      <c r="AG859" s="182"/>
      <c r="AH859" s="401"/>
      <c r="AI859" s="401"/>
      <c r="AJ859" s="401"/>
      <c r="AK859" s="401"/>
      <c r="AL859" s="401"/>
      <c r="AM859" s="189"/>
      <c r="AN859" s="829"/>
      <c r="AO859" s="830"/>
      <c r="AP859" s="401"/>
      <c r="AQ859" s="401"/>
      <c r="AR859" s="401"/>
      <c r="AS859" s="401"/>
      <c r="AT859" s="403"/>
      <c r="AU859" s="403"/>
      <c r="AV859" s="170"/>
      <c r="AW859" s="166"/>
      <c r="AX859" s="166"/>
      <c r="AY859" s="189"/>
      <c r="AZ859" s="189"/>
      <c r="BA859" s="196"/>
      <c r="BB859" s="629"/>
      <c r="BC859" s="190"/>
      <c r="BD859" s="510"/>
      <c r="BE859" s="510"/>
      <c r="BF859" s="177"/>
      <c r="BG859" s="177"/>
      <c r="BH859" s="166"/>
      <c r="BI859" s="474"/>
      <c r="BJ859" s="166"/>
      <c r="BK859" s="474"/>
      <c r="BL859" s="474"/>
      <c r="BM859" s="474"/>
      <c r="BN859" s="166"/>
      <c r="BO859" s="166"/>
      <c r="BP859" s="204"/>
      <c r="BQ859" s="475"/>
      <c r="BR859" s="205"/>
      <c r="BS859" s="509"/>
      <c r="BT859" s="509"/>
      <c r="BU859" s="459"/>
      <c r="BV859" s="459"/>
      <c r="BW859" s="1"/>
      <c r="BX859" s="1"/>
      <c r="BY859" s="1"/>
      <c r="BZ859" s="1"/>
      <c r="CA859" s="1"/>
      <c r="CB859" s="1"/>
      <c r="CC859" s="728"/>
      <c r="CD859" s="728"/>
      <c r="CE859" s="1"/>
    </row>
    <row r="860" spans="1:83" customFormat="1">
      <c r="A860" s="701"/>
      <c r="B860" s="447"/>
      <c r="C860" s="161"/>
      <c r="D860" s="447"/>
      <c r="E860" s="1"/>
      <c r="F860" s="811"/>
      <c r="G860" s="440"/>
      <c r="H860" s="1"/>
      <c r="I860" s="55"/>
      <c r="J860" s="170"/>
      <c r="K860" s="1"/>
      <c r="L860" s="170"/>
      <c r="M860" s="1"/>
      <c r="N860" s="458"/>
      <c r="O860" s="170"/>
      <c r="P860" s="441"/>
      <c r="Q860" s="55"/>
      <c r="R860" s="177"/>
      <c r="S860" s="454"/>
      <c r="T860" s="178"/>
      <c r="U860" s="178"/>
      <c r="V860" s="179"/>
      <c r="W860" s="180"/>
      <c r="X860" s="179"/>
      <c r="Y860" s="180"/>
      <c r="Z860" s="178"/>
      <c r="AA860" s="178"/>
      <c r="AB860" s="178"/>
      <c r="AC860" s="178"/>
      <c r="AD860" s="182"/>
      <c r="AE860" s="182"/>
      <c r="AF860" s="182"/>
      <c r="AG860" s="182"/>
      <c r="AH860" s="401"/>
      <c r="AI860" s="401"/>
      <c r="AJ860" s="401"/>
      <c r="AK860" s="401"/>
      <c r="AL860" s="401"/>
      <c r="AM860" s="189"/>
      <c r="AN860" s="829"/>
      <c r="AO860" s="830"/>
      <c r="AP860" s="401"/>
      <c r="AQ860" s="401"/>
      <c r="AR860" s="401"/>
      <c r="AS860" s="401"/>
      <c r="AT860" s="402"/>
      <c r="AU860" s="403"/>
      <c r="AV860" s="170"/>
      <c r="AW860" s="166"/>
      <c r="AX860" s="166"/>
      <c r="AY860" s="189"/>
      <c r="AZ860" s="189"/>
      <c r="BA860" s="196"/>
      <c r="BB860" s="629"/>
      <c r="BC860" s="190"/>
      <c r="BD860" s="510"/>
      <c r="BE860" s="510"/>
      <c r="BF860" s="177"/>
      <c r="BG860" s="177"/>
      <c r="BH860" s="166"/>
      <c r="BI860" s="474"/>
      <c r="BJ860" s="166"/>
      <c r="BK860" s="474"/>
      <c r="BL860" s="474"/>
      <c r="BM860" s="474"/>
      <c r="BN860" s="166"/>
      <c r="BO860" s="166"/>
      <c r="BP860" s="204"/>
      <c r="BQ860" s="475"/>
      <c r="BR860" s="205"/>
      <c r="BS860" s="509"/>
      <c r="BT860" s="509"/>
      <c r="BU860" s="459"/>
      <c r="BV860" s="459"/>
      <c r="BW860" s="1"/>
      <c r="BX860" s="1"/>
      <c r="BY860" s="546"/>
      <c r="BZ860" s="546"/>
      <c r="CA860" s="546"/>
      <c r="CB860" s="546"/>
      <c r="CC860" s="728"/>
      <c r="CD860" s="728"/>
      <c r="CE860" s="170"/>
    </row>
    <row r="861" spans="1:83" customFormat="1">
      <c r="A861" s="701"/>
      <c r="B861" s="447"/>
      <c r="C861" s="161"/>
      <c r="D861" s="162"/>
      <c r="E861" s="1"/>
      <c r="F861" s="811"/>
      <c r="G861" s="517"/>
      <c r="H861" s="1"/>
      <c r="I861" s="55"/>
      <c r="J861" s="170"/>
      <c r="K861" s="1"/>
      <c r="L861" s="170"/>
      <c r="M861" s="1"/>
      <c r="N861" s="458"/>
      <c r="O861" s="170"/>
      <c r="P861" s="723"/>
      <c r="Q861" s="55"/>
      <c r="R861" s="177"/>
      <c r="S861" s="454"/>
      <c r="T861" s="178"/>
      <c r="U861" s="178"/>
      <c r="V861" s="179"/>
      <c r="W861" s="180"/>
      <c r="X861" s="179"/>
      <c r="Y861" s="180"/>
      <c r="Z861" s="178"/>
      <c r="AA861" s="178"/>
      <c r="AB861" s="178"/>
      <c r="AC861" s="178"/>
      <c r="AD861" s="182"/>
      <c r="AE861" s="182"/>
      <c r="AF861" s="182"/>
      <c r="AG861" s="182"/>
      <c r="AH861" s="401"/>
      <c r="AI861" s="401"/>
      <c r="AJ861" s="401"/>
      <c r="AK861" s="401"/>
      <c r="AL861" s="401"/>
      <c r="AM861" s="189"/>
      <c r="AN861" s="829"/>
      <c r="AO861" s="830"/>
      <c r="AP861" s="401"/>
      <c r="AQ861" s="401"/>
      <c r="AR861" s="401"/>
      <c r="AS861" s="401"/>
      <c r="AT861" s="403"/>
      <c r="AU861" s="403"/>
      <c r="AV861" s="170"/>
      <c r="AW861" s="166"/>
      <c r="AX861" s="166"/>
      <c r="AY861" s="189"/>
      <c r="AZ861" s="189"/>
      <c r="BA861" s="196"/>
      <c r="BB861" s="629"/>
      <c r="BC861" s="190"/>
      <c r="BD861" s="510"/>
      <c r="BE861" s="510"/>
      <c r="BF861" s="177"/>
      <c r="BG861" s="177"/>
      <c r="BH861" s="166"/>
      <c r="BI861" s="474"/>
      <c r="BJ861" s="166"/>
      <c r="BK861" s="474"/>
      <c r="BL861" s="474"/>
      <c r="BM861" s="474"/>
      <c r="BN861" s="166"/>
      <c r="BO861" s="166"/>
      <c r="BP861" s="204"/>
      <c r="BQ861" s="475"/>
      <c r="BR861" s="205"/>
      <c r="BS861" s="509"/>
      <c r="BT861" s="509"/>
      <c r="BU861" s="459"/>
      <c r="BV861" s="459"/>
      <c r="BW861" s="1"/>
      <c r="BX861" s="1"/>
      <c r="BY861" s="1"/>
      <c r="BZ861" s="1"/>
      <c r="CA861" s="1"/>
      <c r="CB861" s="1"/>
      <c r="CC861" s="728"/>
      <c r="CD861" s="728"/>
      <c r="CE861" s="1"/>
    </row>
    <row r="862" spans="1:83" customFormat="1">
      <c r="A862" s="701"/>
      <c r="B862" s="447"/>
      <c r="C862" s="161"/>
      <c r="D862" s="162"/>
      <c r="E862" s="1"/>
      <c r="F862" s="811"/>
      <c r="G862" s="440"/>
      <c r="H862" s="1"/>
      <c r="I862" s="55"/>
      <c r="J862" s="170"/>
      <c r="K862" s="1"/>
      <c r="L862" s="170"/>
      <c r="M862" s="1"/>
      <c r="N862" s="458"/>
      <c r="O862" s="170"/>
      <c r="P862" s="441"/>
      <c r="Q862" s="55"/>
      <c r="R862" s="177"/>
      <c r="S862" s="454"/>
      <c r="T862" s="178"/>
      <c r="U862" s="178"/>
      <c r="V862" s="179"/>
      <c r="W862" s="180"/>
      <c r="X862" s="179"/>
      <c r="Y862" s="180"/>
      <c r="Z862" s="178"/>
      <c r="AA862" s="178"/>
      <c r="AB862" s="178"/>
      <c r="AC862" s="178"/>
      <c r="AD862" s="182"/>
      <c r="AE862" s="182"/>
      <c r="AF862" s="182"/>
      <c r="AG862" s="182"/>
      <c r="AH862" s="401"/>
      <c r="AI862" s="401"/>
      <c r="AJ862" s="401"/>
      <c r="AK862" s="401"/>
      <c r="AL862" s="401"/>
      <c r="AM862" s="189"/>
      <c r="AN862" s="829"/>
      <c r="AO862" s="830"/>
      <c r="AP862" s="401"/>
      <c r="AQ862" s="401"/>
      <c r="AR862" s="401"/>
      <c r="AS862" s="401"/>
      <c r="AT862" s="403"/>
      <c r="AU862" s="403"/>
      <c r="AV862" s="170"/>
      <c r="AW862" s="166"/>
      <c r="AX862" s="166"/>
      <c r="AY862" s="189"/>
      <c r="AZ862" s="189"/>
      <c r="BA862" s="196"/>
      <c r="BB862" s="629"/>
      <c r="BC862" s="190"/>
      <c r="BD862" s="510"/>
      <c r="BE862" s="510"/>
      <c r="BF862" s="177"/>
      <c r="BG862" s="177"/>
      <c r="BH862" s="166"/>
      <c r="BI862" s="474"/>
      <c r="BJ862" s="166"/>
      <c r="BK862" s="474"/>
      <c r="BL862" s="474"/>
      <c r="BM862" s="474"/>
      <c r="BN862" s="166"/>
      <c r="BO862" s="166"/>
      <c r="BP862" s="204"/>
      <c r="BQ862" s="475"/>
      <c r="BR862" s="205"/>
      <c r="BS862" s="509"/>
      <c r="BT862" s="509"/>
      <c r="BU862" s="459"/>
      <c r="BV862" s="459"/>
      <c r="BW862" s="1"/>
      <c r="BX862" s="1"/>
      <c r="BY862" s="546"/>
      <c r="BZ862" s="546"/>
      <c r="CA862" s="546"/>
      <c r="CB862" s="546"/>
      <c r="CC862" s="728"/>
      <c r="CD862" s="728"/>
      <c r="CE862" s="170"/>
    </row>
    <row r="863" spans="1:83" customFormat="1">
      <c r="A863" s="701"/>
      <c r="B863" s="447"/>
      <c r="C863" s="161"/>
      <c r="D863" s="162"/>
      <c r="E863" s="1"/>
      <c r="F863" s="811"/>
      <c r="G863" s="440"/>
      <c r="H863" s="1"/>
      <c r="I863" s="55"/>
      <c r="J863" s="170"/>
      <c r="K863" s="1"/>
      <c r="L863" s="170"/>
      <c r="M863" s="1"/>
      <c r="N863" s="458"/>
      <c r="O863" s="170"/>
      <c r="P863" s="441"/>
      <c r="Q863" s="55"/>
      <c r="R863" s="177"/>
      <c r="S863" s="454"/>
      <c r="T863" s="178"/>
      <c r="U863" s="178"/>
      <c r="V863" s="179"/>
      <c r="W863" s="180"/>
      <c r="X863" s="179"/>
      <c r="Y863" s="180"/>
      <c r="Z863" s="178"/>
      <c r="AA863" s="178"/>
      <c r="AB863" s="178"/>
      <c r="AC863" s="178"/>
      <c r="AD863" s="182"/>
      <c r="AE863" s="182"/>
      <c r="AF863" s="182"/>
      <c r="AG863" s="182"/>
      <c r="AH863" s="401"/>
      <c r="AI863" s="401"/>
      <c r="AJ863" s="401"/>
      <c r="AK863" s="401"/>
      <c r="AL863" s="401"/>
      <c r="AM863" s="189"/>
      <c r="AN863" s="829"/>
      <c r="AO863" s="830"/>
      <c r="AP863" s="401"/>
      <c r="AQ863" s="401"/>
      <c r="AR863" s="401"/>
      <c r="AS863" s="401"/>
      <c r="AT863" s="403"/>
      <c r="AU863" s="403"/>
      <c r="AV863" s="170"/>
      <c r="AW863" s="166"/>
      <c r="AX863" s="166"/>
      <c r="AY863" s="189"/>
      <c r="AZ863" s="189"/>
      <c r="BA863" s="196"/>
      <c r="BB863" s="629"/>
      <c r="BC863" s="190"/>
      <c r="BD863" s="510"/>
      <c r="BE863" s="510"/>
      <c r="BF863" s="177"/>
      <c r="BG863" s="177"/>
      <c r="BH863" s="166"/>
      <c r="BI863" s="474"/>
      <c r="BJ863" s="166"/>
      <c r="BK863" s="474"/>
      <c r="BL863" s="474"/>
      <c r="BM863" s="474"/>
      <c r="BN863" s="166"/>
      <c r="BO863" s="166"/>
      <c r="BP863" s="204"/>
      <c r="BQ863" s="475"/>
      <c r="BR863" s="205"/>
      <c r="BS863" s="509"/>
      <c r="BT863" s="509"/>
      <c r="BU863" s="459"/>
      <c r="BV863" s="459"/>
      <c r="BW863" s="1"/>
      <c r="BX863" s="1"/>
      <c r="BY863" s="1"/>
      <c r="BZ863" s="1"/>
      <c r="CA863" s="1"/>
      <c r="CB863" s="1"/>
      <c r="CC863" s="728"/>
      <c r="CD863" s="728"/>
      <c r="CE863" s="1"/>
    </row>
    <row r="864" spans="1:83" customFormat="1">
      <c r="A864" s="701"/>
      <c r="B864" s="447"/>
      <c r="C864" s="161"/>
      <c r="D864" s="162"/>
      <c r="E864" s="1"/>
      <c r="F864" s="811"/>
      <c r="G864" s="440"/>
      <c r="H864" s="1"/>
      <c r="I864" s="55"/>
      <c r="J864" s="170"/>
      <c r="K864" s="1"/>
      <c r="L864" s="170"/>
      <c r="M864" s="1"/>
      <c r="N864" s="458"/>
      <c r="O864" s="170"/>
      <c r="P864" s="441"/>
      <c r="Q864" s="55"/>
      <c r="R864" s="177"/>
      <c r="S864" s="454"/>
      <c r="T864" s="178"/>
      <c r="U864" s="178"/>
      <c r="V864" s="179"/>
      <c r="W864" s="180"/>
      <c r="X864" s="179"/>
      <c r="Y864" s="180"/>
      <c r="Z864" s="178"/>
      <c r="AA864" s="178"/>
      <c r="AB864" s="178"/>
      <c r="AC864" s="178"/>
      <c r="AD864" s="182"/>
      <c r="AE864" s="182"/>
      <c r="AF864" s="182"/>
      <c r="AG864" s="182"/>
      <c r="AH864" s="401"/>
      <c r="AI864" s="401"/>
      <c r="AJ864" s="401"/>
      <c r="AK864" s="401"/>
      <c r="AL864" s="401"/>
      <c r="AM864" s="189"/>
      <c r="AN864" s="829"/>
      <c r="AO864" s="830"/>
      <c r="AP864" s="401"/>
      <c r="AQ864" s="401"/>
      <c r="AR864" s="401"/>
      <c r="AS864" s="401"/>
      <c r="AT864" s="403"/>
      <c r="AU864" s="403"/>
      <c r="AV864" s="170"/>
      <c r="AW864" s="166"/>
      <c r="AX864" s="166"/>
      <c r="AY864" s="189"/>
      <c r="AZ864" s="189"/>
      <c r="BA864" s="196"/>
      <c r="BB864" s="629"/>
      <c r="BC864" s="190"/>
      <c r="BD864" s="510"/>
      <c r="BE864" s="510"/>
      <c r="BF864" s="177"/>
      <c r="BG864" s="177"/>
      <c r="BH864" s="166"/>
      <c r="BI864" s="474"/>
      <c r="BJ864" s="166"/>
      <c r="BK864" s="474"/>
      <c r="BL864" s="474"/>
      <c r="BM864" s="474"/>
      <c r="BN864" s="166"/>
      <c r="BO864" s="166"/>
      <c r="BP864" s="204"/>
      <c r="BQ864" s="475"/>
      <c r="BR864" s="205"/>
      <c r="BS864" s="509"/>
      <c r="BT864" s="509"/>
      <c r="BU864" s="459"/>
      <c r="BV864" s="459"/>
      <c r="BW864" s="1"/>
      <c r="BX864" s="1"/>
      <c r="BY864" s="1"/>
      <c r="BZ864" s="1"/>
      <c r="CA864" s="1"/>
      <c r="CB864" s="1"/>
      <c r="CC864" s="728"/>
      <c r="CD864" s="728"/>
      <c r="CE864" s="1"/>
    </row>
    <row r="865" spans="1:84" customFormat="1">
      <c r="A865" s="701"/>
      <c r="B865" s="447"/>
      <c r="C865" s="1"/>
      <c r="D865" s="538"/>
      <c r="E865" s="1"/>
      <c r="F865" s="811"/>
      <c r="G865" s="440"/>
      <c r="H865" s="1"/>
      <c r="J865" s="171"/>
      <c r="K865" s="55"/>
      <c r="L865" s="171"/>
      <c r="M865" s="55"/>
      <c r="N865" s="172"/>
      <c r="O865" s="170"/>
      <c r="P865" s="139"/>
      <c r="Q865" s="171"/>
      <c r="R865" s="181"/>
      <c r="S865" s="455"/>
      <c r="T865" s="170"/>
      <c r="U865" s="170"/>
      <c r="V865" s="1"/>
      <c r="W865" s="173"/>
      <c r="X865" s="1"/>
      <c r="Y865" s="166"/>
      <c r="Z865" s="170"/>
      <c r="AA865" s="170"/>
      <c r="AB865" s="170"/>
      <c r="AC865" s="170"/>
      <c r="AD865" s="182"/>
      <c r="AE865" s="182"/>
      <c r="AF865" s="182"/>
      <c r="AG865" s="182"/>
      <c r="AH865" s="189"/>
      <c r="AI865" s="401"/>
      <c r="AJ865" s="189"/>
      <c r="AK865" s="401"/>
      <c r="AL865" s="401"/>
      <c r="AM865" s="189"/>
      <c r="AN865" s="782"/>
      <c r="AO865" s="189"/>
      <c r="AP865" s="401"/>
      <c r="AQ865" s="401"/>
      <c r="AR865" s="401"/>
      <c r="AS865" s="188"/>
      <c r="AT865" s="1"/>
      <c r="AU865" s="403"/>
      <c r="AV865" s="1"/>
      <c r="AW865" s="166"/>
      <c r="AX865" s="166"/>
      <c r="AY865" s="189"/>
      <c r="AZ865" s="189"/>
      <c r="BA865" s="196"/>
      <c r="BB865" s="629"/>
      <c r="BC865" s="197"/>
      <c r="BD865" s="510"/>
      <c r="BE865" s="510"/>
      <c r="BF865" s="177"/>
      <c r="BG865" s="177"/>
      <c r="BH865" s="166"/>
      <c r="BI865" s="474"/>
      <c r="BJ865" s="166"/>
      <c r="BK865" s="474"/>
      <c r="BL865" s="474"/>
      <c r="BM865" s="474"/>
      <c r="BN865" s="166"/>
      <c r="BO865" s="166"/>
      <c r="BP865" s="204"/>
      <c r="BQ865" s="475"/>
      <c r="BR865" s="205"/>
      <c r="BS865" s="509"/>
      <c r="BT865" s="509"/>
      <c r="BU865" s="459"/>
      <c r="BV865" s="459"/>
      <c r="BW865" s="1"/>
      <c r="BX865" s="1"/>
      <c r="BY865" s="546"/>
      <c r="BZ865" s="546"/>
      <c r="CA865" s="546"/>
      <c r="CB865" s="546"/>
      <c r="CC865" s="728"/>
      <c r="CD865" s="728"/>
      <c r="CE865" s="170"/>
    </row>
    <row r="866" spans="1:84" customFormat="1">
      <c r="A866" s="701"/>
      <c r="B866" s="447"/>
      <c r="C866" s="161"/>
      <c r="D866" s="162"/>
      <c r="E866" s="1"/>
      <c r="F866" s="811"/>
      <c r="G866" s="440"/>
      <c r="H866" s="1"/>
      <c r="I866" s="55"/>
      <c r="J866" s="170"/>
      <c r="K866" s="1"/>
      <c r="L866" s="170"/>
      <c r="M866" s="1"/>
      <c r="N866" s="458"/>
      <c r="O866" s="170"/>
      <c r="P866" s="441"/>
      <c r="Q866" s="55"/>
      <c r="R866" s="177"/>
      <c r="S866" s="454"/>
      <c r="T866" s="178"/>
      <c r="U866" s="178"/>
      <c r="V866" s="179"/>
      <c r="W866" s="180"/>
      <c r="X866" s="179"/>
      <c r="Y866" s="180"/>
      <c r="Z866" s="178"/>
      <c r="AA866" s="178"/>
      <c r="AB866" s="178"/>
      <c r="AC866" s="178"/>
      <c r="AD866" s="182"/>
      <c r="AE866" s="182"/>
      <c r="AF866" s="182"/>
      <c r="AG866" s="182"/>
      <c r="AH866" s="401"/>
      <c r="AI866" s="401"/>
      <c r="AJ866" s="401"/>
      <c r="AK866" s="401"/>
      <c r="AL866" s="401"/>
      <c r="AM866" s="189"/>
      <c r="AN866" s="829"/>
      <c r="AO866" s="830"/>
      <c r="AP866" s="401"/>
      <c r="AQ866" s="401"/>
      <c r="AR866" s="401"/>
      <c r="AS866" s="401"/>
      <c r="AT866" s="403"/>
      <c r="AU866" s="403"/>
      <c r="AV866" s="170"/>
      <c r="AW866" s="166"/>
      <c r="AX866" s="166"/>
      <c r="AY866" s="189"/>
      <c r="AZ866" s="189"/>
      <c r="BA866" s="196"/>
      <c r="BB866" s="629"/>
      <c r="BC866" s="190"/>
      <c r="BD866" s="510"/>
      <c r="BE866" s="510"/>
      <c r="BF866" s="177"/>
      <c r="BG866" s="177"/>
      <c r="BH866" s="166"/>
      <c r="BI866" s="474"/>
      <c r="BJ866" s="166"/>
      <c r="BK866" s="474"/>
      <c r="BL866" s="474"/>
      <c r="BM866" s="474"/>
      <c r="BN866" s="166"/>
      <c r="BO866" s="166"/>
      <c r="BP866" s="204"/>
      <c r="BQ866" s="475"/>
      <c r="BR866" s="205"/>
      <c r="BS866" s="509"/>
      <c r="BT866" s="509"/>
      <c r="BU866" s="459"/>
      <c r="BV866" s="459"/>
      <c r="BW866" s="1"/>
      <c r="BX866" s="1"/>
      <c r="BY866" s="546"/>
      <c r="BZ866" s="546"/>
      <c r="CA866" s="546"/>
      <c r="CB866" s="546"/>
      <c r="CC866" s="728"/>
      <c r="CD866" s="728"/>
      <c r="CE866" s="170"/>
    </row>
    <row r="867" spans="1:84" customFormat="1">
      <c r="A867" s="701"/>
      <c r="B867" s="447"/>
      <c r="C867" s="161"/>
      <c r="D867" s="162"/>
      <c r="E867" s="1"/>
      <c r="F867" s="811"/>
      <c r="G867" s="440"/>
      <c r="H867" s="1"/>
      <c r="I867" s="55"/>
      <c r="J867" s="170"/>
      <c r="K867" s="1"/>
      <c r="L867" s="170"/>
      <c r="M867" s="1"/>
      <c r="N867" s="458"/>
      <c r="O867" s="170"/>
      <c r="P867" s="441"/>
      <c r="Q867" s="55"/>
      <c r="R867" s="177"/>
      <c r="S867" s="454"/>
      <c r="T867" s="178"/>
      <c r="U867" s="178"/>
      <c r="V867" s="179"/>
      <c r="W867" s="180"/>
      <c r="X867" s="179"/>
      <c r="Y867" s="180"/>
      <c r="Z867" s="178"/>
      <c r="AA867" s="178"/>
      <c r="AB867" s="178"/>
      <c r="AC867" s="178"/>
      <c r="AD867" s="182"/>
      <c r="AE867" s="182"/>
      <c r="AF867" s="182"/>
      <c r="AG867" s="182"/>
      <c r="AH867" s="401"/>
      <c r="AI867" s="401"/>
      <c r="AJ867" s="401"/>
      <c r="AK867" s="401"/>
      <c r="AL867" s="401"/>
      <c r="AM867" s="189"/>
      <c r="AN867" s="829"/>
      <c r="AO867" s="830"/>
      <c r="AP867" s="401"/>
      <c r="AQ867" s="401"/>
      <c r="AR867" s="401"/>
      <c r="AS867" s="401"/>
      <c r="AT867" s="403"/>
      <c r="AU867" s="403"/>
      <c r="AV867" s="170"/>
      <c r="AW867" s="166"/>
      <c r="AX867" s="166"/>
      <c r="AY867" s="189"/>
      <c r="AZ867" s="189"/>
      <c r="BA867" s="196"/>
      <c r="BB867" s="629"/>
      <c r="BC867" s="190"/>
      <c r="BD867" s="510"/>
      <c r="BE867" s="510"/>
      <c r="BF867" s="177"/>
      <c r="BG867" s="177"/>
      <c r="BH867" s="166"/>
      <c r="BI867" s="474"/>
      <c r="BJ867" s="166"/>
      <c r="BK867" s="474"/>
      <c r="BL867" s="474"/>
      <c r="BM867" s="474"/>
      <c r="BN867" s="166"/>
      <c r="BO867" s="166"/>
      <c r="BP867" s="204"/>
      <c r="BQ867" s="475"/>
      <c r="BR867" s="205"/>
      <c r="BS867" s="509"/>
      <c r="BT867" s="509"/>
      <c r="BU867" s="459"/>
      <c r="BV867" s="459"/>
      <c r="BW867" s="1"/>
      <c r="BX867" s="1"/>
      <c r="BY867" s="546"/>
      <c r="BZ867" s="546"/>
      <c r="CA867" s="546"/>
      <c r="CB867" s="546"/>
      <c r="CC867" s="728"/>
      <c r="CD867" s="728"/>
      <c r="CE867" s="170"/>
    </row>
    <row r="868" spans="1:84" customFormat="1">
      <c r="A868" s="701"/>
      <c r="B868" s="447"/>
      <c r="C868" s="161"/>
      <c r="D868" s="162"/>
      <c r="E868" s="1"/>
      <c r="F868" s="811"/>
      <c r="G868" s="440"/>
      <c r="H868" s="1"/>
      <c r="I868" s="55"/>
      <c r="J868" s="457"/>
      <c r="K868" s="1"/>
      <c r="L868" s="170"/>
      <c r="M868" s="1"/>
      <c r="N868" s="458"/>
      <c r="O868" s="170"/>
      <c r="P868" s="441"/>
      <c r="Q868" s="55"/>
      <c r="R868" s="177"/>
      <c r="S868" s="454"/>
      <c r="T868" s="178"/>
      <c r="U868" s="178"/>
      <c r="V868" s="179"/>
      <c r="W868" s="180"/>
      <c r="X868" s="179"/>
      <c r="Y868" s="180"/>
      <c r="Z868" s="178"/>
      <c r="AA868" s="178"/>
      <c r="AB868" s="178"/>
      <c r="AC868" s="178"/>
      <c r="AD868" s="182"/>
      <c r="AE868" s="182"/>
      <c r="AF868" s="182"/>
      <c r="AG868" s="182"/>
      <c r="AH868" s="401"/>
      <c r="AI868" s="401"/>
      <c r="AJ868" s="401"/>
      <c r="AK868" s="401"/>
      <c r="AL868" s="401"/>
      <c r="AM868" s="189"/>
      <c r="AN868" s="829"/>
      <c r="AO868" s="830"/>
      <c r="AP868" s="401"/>
      <c r="AQ868" s="401"/>
      <c r="AR868" s="401"/>
      <c r="AS868" s="401"/>
      <c r="AT868" s="403"/>
      <c r="AU868" s="403"/>
      <c r="AV868" s="170"/>
      <c r="AW868" s="166"/>
      <c r="AX868" s="166"/>
      <c r="AY868" s="189"/>
      <c r="AZ868" s="189"/>
      <c r="BA868" s="196"/>
      <c r="BB868" s="629"/>
      <c r="BC868" s="190"/>
      <c r="BD868" s="510"/>
      <c r="BE868" s="510"/>
      <c r="BF868" s="177"/>
      <c r="BG868" s="177"/>
      <c r="BH868" s="166"/>
      <c r="BI868" s="474"/>
      <c r="BJ868" s="166"/>
      <c r="BK868" s="474"/>
      <c r="BL868" s="474"/>
      <c r="BM868" s="474"/>
      <c r="BN868" s="166"/>
      <c r="BO868" s="166"/>
      <c r="BP868" s="204"/>
      <c r="BQ868" s="475"/>
      <c r="BR868" s="205"/>
      <c r="BS868" s="509"/>
      <c r="BT868" s="509"/>
      <c r="BU868" s="459"/>
      <c r="BV868" s="459"/>
      <c r="BW868" s="1"/>
      <c r="BX868" s="1"/>
      <c r="BY868" s="546"/>
      <c r="BZ868" s="546"/>
      <c r="CA868" s="546"/>
      <c r="CB868" s="546"/>
      <c r="CC868" s="728"/>
      <c r="CD868" s="728"/>
      <c r="CE868" s="170"/>
    </row>
    <row r="869" spans="1:84" customFormat="1">
      <c r="A869" s="701"/>
      <c r="B869" s="447"/>
      <c r="C869" s="161"/>
      <c r="D869" s="162"/>
      <c r="E869" s="1"/>
      <c r="F869" s="811"/>
      <c r="G869" s="440"/>
      <c r="H869" s="1"/>
      <c r="I869" s="55"/>
      <c r="J869" s="170"/>
      <c r="K869" s="1"/>
      <c r="L869" s="170"/>
      <c r="M869" s="1"/>
      <c r="N869" s="458"/>
      <c r="O869" s="170"/>
      <c r="P869" s="441"/>
      <c r="Q869" s="55"/>
      <c r="R869" s="177"/>
      <c r="S869" s="454"/>
      <c r="T869" s="178"/>
      <c r="U869" s="178"/>
      <c r="V869" s="179"/>
      <c r="W869" s="180"/>
      <c r="X869" s="179"/>
      <c r="Y869" s="180"/>
      <c r="Z869" s="178"/>
      <c r="AA869" s="178"/>
      <c r="AB869" s="178"/>
      <c r="AC869" s="178"/>
      <c r="AD869" s="182"/>
      <c r="AE869" s="182"/>
      <c r="AF869" s="182"/>
      <c r="AG869" s="182"/>
      <c r="AH869" s="401"/>
      <c r="AI869" s="401"/>
      <c r="AJ869" s="401"/>
      <c r="AK869" s="401"/>
      <c r="AL869" s="401"/>
      <c r="AM869" s="189"/>
      <c r="AN869" s="829"/>
      <c r="AO869" s="830"/>
      <c r="AP869" s="401"/>
      <c r="AQ869" s="401"/>
      <c r="AR869" s="401"/>
      <c r="AS869" s="401"/>
      <c r="AT869" s="403"/>
      <c r="AU869" s="403"/>
      <c r="AV869" s="170"/>
      <c r="AW869" s="166"/>
      <c r="AX869" s="166"/>
      <c r="AY869" s="189"/>
      <c r="AZ869" s="189"/>
      <c r="BA869" s="196"/>
      <c r="BB869" s="629"/>
      <c r="BC869" s="190"/>
      <c r="BD869" s="510"/>
      <c r="BE869" s="510"/>
      <c r="BF869" s="177"/>
      <c r="BG869" s="177"/>
      <c r="BH869" s="166"/>
      <c r="BI869" s="474"/>
      <c r="BJ869" s="166"/>
      <c r="BK869" s="474"/>
      <c r="BL869" s="474"/>
      <c r="BM869" s="474"/>
      <c r="BN869" s="166"/>
      <c r="BO869" s="166"/>
      <c r="BP869" s="204"/>
      <c r="BQ869" s="475"/>
      <c r="BR869" s="205"/>
      <c r="BS869" s="509"/>
      <c r="BT869" s="509"/>
      <c r="BU869" s="459"/>
      <c r="BV869" s="459"/>
      <c r="BW869" s="1"/>
      <c r="BX869" s="1"/>
      <c r="BY869" s="546"/>
      <c r="BZ869" s="546"/>
      <c r="CA869" s="546"/>
      <c r="CB869" s="546"/>
      <c r="CC869" s="728"/>
      <c r="CD869" s="728"/>
      <c r="CE869" s="170"/>
    </row>
    <row r="870" spans="1:84" customFormat="1">
      <c r="A870" s="701"/>
      <c r="B870" s="447"/>
      <c r="C870" s="161"/>
      <c r="D870" s="162"/>
      <c r="E870" s="1"/>
      <c r="F870" s="811"/>
      <c r="G870" s="440"/>
      <c r="H870" s="1"/>
      <c r="I870" s="55"/>
      <c r="J870" s="170"/>
      <c r="K870" s="1"/>
      <c r="L870" s="170"/>
      <c r="M870" s="1"/>
      <c r="N870" s="458"/>
      <c r="O870" s="170"/>
      <c r="P870" s="441"/>
      <c r="Q870" s="55"/>
      <c r="R870" s="177"/>
      <c r="S870" s="454"/>
      <c r="T870" s="178"/>
      <c r="U870" s="178"/>
      <c r="V870" s="179"/>
      <c r="W870" s="180"/>
      <c r="X870" s="179"/>
      <c r="Y870" s="180"/>
      <c r="Z870" s="178"/>
      <c r="AA870" s="178"/>
      <c r="AB870" s="178"/>
      <c r="AC870" s="178"/>
      <c r="AD870" s="182"/>
      <c r="AE870" s="182"/>
      <c r="AF870" s="182"/>
      <c r="AG870" s="182"/>
      <c r="AH870" s="401"/>
      <c r="AI870" s="401"/>
      <c r="AJ870" s="401"/>
      <c r="AK870" s="401"/>
      <c r="AL870" s="401"/>
      <c r="AM870" s="189"/>
      <c r="AN870" s="829"/>
      <c r="AO870" s="830"/>
      <c r="AP870" s="401"/>
      <c r="AQ870" s="401"/>
      <c r="AR870" s="401"/>
      <c r="AS870" s="401"/>
      <c r="AT870" s="403"/>
      <c r="AU870" s="403"/>
      <c r="AV870" s="170"/>
      <c r="AW870" s="166"/>
      <c r="AX870" s="166"/>
      <c r="AY870" s="189"/>
      <c r="AZ870" s="189"/>
      <c r="BA870" s="196"/>
      <c r="BB870" s="629"/>
      <c r="BC870" s="190"/>
      <c r="BD870" s="510"/>
      <c r="BE870" s="510"/>
      <c r="BF870" s="177"/>
      <c r="BG870" s="177"/>
      <c r="BH870" s="166"/>
      <c r="BI870" s="474"/>
      <c r="BJ870" s="166"/>
      <c r="BK870" s="474"/>
      <c r="BL870" s="474"/>
      <c r="BM870" s="474"/>
      <c r="BN870" s="166"/>
      <c r="BO870" s="166"/>
      <c r="BP870" s="204"/>
      <c r="BQ870" s="475"/>
      <c r="BR870" s="205"/>
      <c r="BS870" s="509"/>
      <c r="BT870" s="509"/>
      <c r="BU870" s="459"/>
      <c r="BV870" s="459"/>
      <c r="BW870" s="1"/>
      <c r="BX870" s="1"/>
      <c r="BY870" s="546"/>
      <c r="BZ870" s="546"/>
      <c r="CA870" s="546"/>
      <c r="CB870" s="546"/>
      <c r="CC870" s="728"/>
      <c r="CD870" s="728"/>
      <c r="CE870" s="170"/>
    </row>
    <row r="871" spans="1:84" customFormat="1">
      <c r="A871" s="701"/>
      <c r="B871" s="447"/>
      <c r="C871" s="161"/>
      <c r="D871" s="162"/>
      <c r="E871" s="1"/>
      <c r="F871" s="811"/>
      <c r="G871" s="440"/>
      <c r="H871" s="1"/>
      <c r="I871" s="55"/>
      <c r="J871" s="170"/>
      <c r="K871" s="1"/>
      <c r="L871" s="170"/>
      <c r="M871" s="1"/>
      <c r="N871" s="458"/>
      <c r="O871" s="170"/>
      <c r="P871" s="441"/>
      <c r="Q871" s="55"/>
      <c r="R871" s="177"/>
      <c r="S871" s="454"/>
      <c r="T871" s="178"/>
      <c r="U871" s="178"/>
      <c r="V871" s="179"/>
      <c r="W871" s="180"/>
      <c r="X871" s="179"/>
      <c r="Y871" s="180"/>
      <c r="Z871" s="178"/>
      <c r="AA871" s="178"/>
      <c r="AB871" s="178"/>
      <c r="AC871" s="178"/>
      <c r="AD871" s="182"/>
      <c r="AE871" s="182"/>
      <c r="AF871" s="182"/>
      <c r="AG871" s="182"/>
      <c r="AH871" s="401"/>
      <c r="AI871" s="401"/>
      <c r="AJ871" s="401"/>
      <c r="AK871" s="401"/>
      <c r="AL871" s="401"/>
      <c r="AM871" s="189"/>
      <c r="AN871" s="829"/>
      <c r="AO871" s="830"/>
      <c r="AP871" s="401"/>
      <c r="AQ871" s="401"/>
      <c r="AR871" s="401"/>
      <c r="AS871" s="401"/>
      <c r="AT871" s="403"/>
      <c r="AU871" s="403"/>
      <c r="AV871" s="170"/>
      <c r="AW871" s="166"/>
      <c r="AX871" s="166"/>
      <c r="AY871" s="189"/>
      <c r="AZ871" s="189"/>
      <c r="BA871" s="196"/>
      <c r="BB871" s="629"/>
      <c r="BC871" s="190"/>
      <c r="BD871" s="510"/>
      <c r="BE871" s="510"/>
      <c r="BF871" s="177"/>
      <c r="BG871" s="177"/>
      <c r="BH871" s="166"/>
      <c r="BI871" s="474"/>
      <c r="BJ871" s="166"/>
      <c r="BK871" s="474"/>
      <c r="BL871" s="474"/>
      <c r="BM871" s="474"/>
      <c r="BN871" s="166"/>
      <c r="BO871" s="166"/>
      <c r="BP871" s="204"/>
      <c r="BQ871" s="475"/>
      <c r="BR871" s="205"/>
      <c r="BS871" s="509"/>
      <c r="BT871" s="509"/>
      <c r="BU871" s="459"/>
      <c r="BV871" s="459"/>
      <c r="BW871" s="1"/>
      <c r="BX871" s="1"/>
      <c r="BY871" s="546"/>
      <c r="BZ871" s="546"/>
      <c r="CA871" s="546"/>
      <c r="CB871" s="546"/>
      <c r="CC871" s="728"/>
      <c r="CD871" s="728"/>
      <c r="CE871" s="170"/>
    </row>
    <row r="872" spans="1:84" customFormat="1">
      <c r="A872" s="701"/>
      <c r="B872" s="447"/>
      <c r="C872" s="161"/>
      <c r="D872" s="162"/>
      <c r="E872" s="1"/>
      <c r="F872" s="811"/>
      <c r="G872" s="440"/>
      <c r="H872" s="1"/>
      <c r="I872" s="55"/>
      <c r="J872" s="170"/>
      <c r="K872" s="1"/>
      <c r="L872" s="170"/>
      <c r="M872" s="1"/>
      <c r="N872" s="458"/>
      <c r="O872" s="170"/>
      <c r="P872" s="441"/>
      <c r="Q872" s="55"/>
      <c r="R872" s="177"/>
      <c r="S872" s="454"/>
      <c r="T872" s="178"/>
      <c r="U872" s="178"/>
      <c r="V872" s="179"/>
      <c r="W872" s="180"/>
      <c r="X872" s="179"/>
      <c r="Y872" s="180"/>
      <c r="Z872" s="178"/>
      <c r="AA872" s="178"/>
      <c r="AB872" s="178"/>
      <c r="AC872" s="178"/>
      <c r="AD872" s="182"/>
      <c r="AE872" s="182"/>
      <c r="AF872" s="182"/>
      <c r="AG872" s="182"/>
      <c r="AH872" s="401"/>
      <c r="AI872" s="401"/>
      <c r="AJ872" s="401"/>
      <c r="AK872" s="401"/>
      <c r="AL872" s="401"/>
      <c r="AM872" s="189"/>
      <c r="AN872" s="829"/>
      <c r="AO872" s="830"/>
      <c r="AP872" s="401"/>
      <c r="AQ872" s="401"/>
      <c r="AR872" s="401"/>
      <c r="AS872" s="401"/>
      <c r="AT872" s="403"/>
      <c r="AU872" s="403"/>
      <c r="AV872" s="170"/>
      <c r="AW872" s="166"/>
      <c r="AX872" s="166"/>
      <c r="AY872" s="189"/>
      <c r="AZ872" s="189"/>
      <c r="BA872" s="196"/>
      <c r="BB872" s="629"/>
      <c r="BC872" s="190"/>
      <c r="BD872" s="510"/>
      <c r="BE872" s="510"/>
      <c r="BF872" s="177"/>
      <c r="BG872" s="177"/>
      <c r="BH872" s="166"/>
      <c r="BI872" s="474"/>
      <c r="BJ872" s="166"/>
      <c r="BK872" s="474"/>
      <c r="BL872" s="474"/>
      <c r="BM872" s="474"/>
      <c r="BN872" s="166"/>
      <c r="BO872" s="166"/>
      <c r="BP872" s="204"/>
      <c r="BQ872" s="475"/>
      <c r="BR872" s="205"/>
      <c r="BS872" s="509"/>
      <c r="BT872" s="509"/>
      <c r="BU872" s="459"/>
      <c r="BV872" s="459"/>
      <c r="BW872" s="1"/>
      <c r="BX872" s="1"/>
      <c r="BY872" s="546"/>
      <c r="BZ872" s="546"/>
      <c r="CA872" s="546"/>
      <c r="CB872" s="546"/>
      <c r="CC872" s="728"/>
      <c r="CD872" s="728"/>
      <c r="CE872" s="170"/>
    </row>
    <row r="873" spans="1:84" customFormat="1">
      <c r="A873" s="701"/>
      <c r="B873" s="447"/>
      <c r="C873" s="161"/>
      <c r="D873" s="162"/>
      <c r="E873" s="1"/>
      <c r="F873" s="811"/>
      <c r="G873" s="440"/>
      <c r="H873" s="1"/>
      <c r="I873" s="55"/>
      <c r="J873" s="170"/>
      <c r="K873" s="1"/>
      <c r="L873" s="170"/>
      <c r="M873" s="1"/>
      <c r="N873" s="166"/>
      <c r="O873" s="170"/>
      <c r="P873" s="441"/>
      <c r="Q873" s="55"/>
      <c r="R873" s="177"/>
      <c r="S873" s="454"/>
      <c r="T873" s="178"/>
      <c r="U873" s="178"/>
      <c r="V873" s="179"/>
      <c r="W873" s="180"/>
      <c r="X873" s="179"/>
      <c r="Y873" s="180"/>
      <c r="Z873" s="178"/>
      <c r="AA873" s="178"/>
      <c r="AB873" s="178"/>
      <c r="AC873" s="178"/>
      <c r="AD873" s="182"/>
      <c r="AE873" s="182"/>
      <c r="AF873" s="182"/>
      <c r="AG873" s="182"/>
      <c r="AH873" s="401"/>
      <c r="AI873" s="182"/>
      <c r="AJ873" s="182"/>
      <c r="AK873" s="401"/>
      <c r="AL873" s="401"/>
      <c r="AM873" s="189"/>
      <c r="AN873" s="829"/>
      <c r="AO873" s="830"/>
      <c r="AP873" s="401"/>
      <c r="AQ873" s="401"/>
      <c r="AR873" s="401"/>
      <c r="AS873" s="401"/>
      <c r="AT873" s="403"/>
      <c r="AU873" s="403"/>
      <c r="AV873" s="170"/>
      <c r="AW873" s="166"/>
      <c r="AX873" s="166"/>
      <c r="AY873" s="189"/>
      <c r="AZ873" s="189"/>
      <c r="BA873" s="196"/>
      <c r="BB873" s="629"/>
      <c r="BC873" s="190"/>
      <c r="BD873" s="510"/>
      <c r="BE873" s="510"/>
      <c r="BF873" s="177"/>
      <c r="BG873" s="177"/>
      <c r="BH873" s="166"/>
      <c r="BI873" s="474"/>
      <c r="BJ873" s="166"/>
      <c r="BK873" s="474"/>
      <c r="BL873" s="474"/>
      <c r="BM873" s="474"/>
      <c r="BN873" s="166"/>
      <c r="BO873" s="166"/>
      <c r="BP873" s="204"/>
      <c r="BQ873" s="475"/>
      <c r="BR873" s="205"/>
      <c r="BS873" s="509"/>
      <c r="BT873" s="509"/>
      <c r="BU873" s="459"/>
      <c r="BV873" s="459"/>
      <c r="BW873" s="1"/>
      <c r="BX873" s="1"/>
      <c r="BY873" s="1"/>
      <c r="BZ873" s="1"/>
      <c r="CA873" s="1"/>
      <c r="CB873" s="1"/>
      <c r="CC873" s="728"/>
      <c r="CD873" s="728"/>
      <c r="CE873" s="1"/>
    </row>
    <row r="874" spans="1:84">
      <c r="A874" s="701"/>
      <c r="B874" s="447"/>
      <c r="C874" s="161"/>
      <c r="D874" s="162"/>
      <c r="E874" s="1"/>
      <c r="F874" s="811"/>
      <c r="G874" s="440"/>
      <c r="H874" s="1"/>
      <c r="I874" s="55"/>
      <c r="J874" s="170"/>
      <c r="K874" s="1"/>
      <c r="L874" s="170"/>
      <c r="M874" s="1"/>
      <c r="N874" s="458"/>
      <c r="O874" s="170"/>
      <c r="P874" s="441"/>
      <c r="Q874" s="55"/>
      <c r="R874" s="177"/>
      <c r="S874" s="454"/>
      <c r="T874" s="178"/>
      <c r="U874" s="178"/>
      <c r="V874" s="179"/>
      <c r="W874" s="180"/>
      <c r="X874" s="179"/>
      <c r="Y874" s="180"/>
      <c r="Z874" s="178"/>
      <c r="AA874" s="178"/>
      <c r="AB874" s="178"/>
      <c r="AC874" s="178"/>
      <c r="AD874" s="182"/>
      <c r="AE874" s="182"/>
      <c r="AF874" s="182"/>
      <c r="AG874" s="182"/>
      <c r="AH874" s="401"/>
      <c r="AI874" s="401"/>
      <c r="AJ874" s="401"/>
      <c r="AK874" s="401"/>
      <c r="AL874" s="401"/>
      <c r="AM874" s="189"/>
      <c r="AN874" s="829"/>
      <c r="AO874" s="830"/>
      <c r="AP874" s="401"/>
      <c r="AQ874" s="401"/>
      <c r="AR874" s="401"/>
      <c r="AS874" s="401"/>
      <c r="AT874" s="403"/>
      <c r="AU874" s="403"/>
      <c r="AV874" s="170"/>
      <c r="AW874" s="166"/>
      <c r="AX874" s="166"/>
      <c r="AY874" s="189"/>
      <c r="AZ874" s="189"/>
      <c r="BA874" s="196"/>
      <c r="BB874" s="629"/>
      <c r="BC874" s="190"/>
      <c r="BD874" s="510"/>
      <c r="BE874" s="510"/>
      <c r="BF874" s="177"/>
      <c r="BG874" s="177"/>
      <c r="BH874" s="166"/>
      <c r="BI874" s="474"/>
      <c r="BJ874" s="166"/>
      <c r="BK874" s="474"/>
      <c r="BL874" s="474"/>
      <c r="BM874" s="474"/>
      <c r="BN874" s="166"/>
      <c r="BO874" s="166"/>
      <c r="BP874" s="204"/>
      <c r="BQ874" s="475"/>
      <c r="BR874" s="205"/>
      <c r="BS874" s="509"/>
      <c r="BT874" s="509"/>
      <c r="BU874" s="459"/>
      <c r="BV874" s="459"/>
      <c r="BW874" s="1"/>
      <c r="BX874" s="1"/>
      <c r="BY874" s="1"/>
      <c r="BZ874" s="1"/>
      <c r="CE874" s="170"/>
      <c r="CF874"/>
    </row>
    <row r="875" spans="1:84" customFormat="1">
      <c r="A875" s="701"/>
      <c r="B875" s="447"/>
      <c r="C875" s="161"/>
      <c r="D875" s="162"/>
      <c r="E875" s="1"/>
      <c r="F875" s="811"/>
      <c r="G875" s="440"/>
      <c r="H875" s="1"/>
      <c r="I875" s="55"/>
      <c r="J875" s="170"/>
      <c r="K875" s="1"/>
      <c r="L875" s="170"/>
      <c r="M875" s="1"/>
      <c r="N875" s="458"/>
      <c r="O875" s="170"/>
      <c r="P875" s="441"/>
      <c r="Q875" s="55"/>
      <c r="R875" s="177"/>
      <c r="S875" s="454"/>
      <c r="T875" s="178"/>
      <c r="U875" s="178"/>
      <c r="V875" s="179"/>
      <c r="W875" s="180"/>
      <c r="X875" s="179"/>
      <c r="Y875" s="180"/>
      <c r="Z875" s="178"/>
      <c r="AA875" s="178"/>
      <c r="AB875" s="178"/>
      <c r="AC875" s="178"/>
      <c r="AD875" s="182"/>
      <c r="AE875" s="182"/>
      <c r="AF875" s="182"/>
      <c r="AG875" s="182"/>
      <c r="AH875" s="401"/>
      <c r="AI875" s="401"/>
      <c r="AJ875" s="401"/>
      <c r="AK875" s="401"/>
      <c r="AL875" s="401"/>
      <c r="AM875" s="189"/>
      <c r="AN875" s="829"/>
      <c r="AO875" s="830"/>
      <c r="AP875" s="401"/>
      <c r="AQ875" s="401"/>
      <c r="AR875" s="401"/>
      <c r="AS875" s="401"/>
      <c r="AT875" s="403"/>
      <c r="AU875" s="403"/>
      <c r="AV875" s="170"/>
      <c r="AW875" s="166"/>
      <c r="AX875" s="166"/>
      <c r="AY875" s="189"/>
      <c r="AZ875" s="189"/>
      <c r="BA875" s="196"/>
      <c r="BB875" s="629"/>
      <c r="BC875" s="190"/>
      <c r="BD875" s="510"/>
      <c r="BE875" s="510"/>
      <c r="BF875" s="177"/>
      <c r="BG875" s="177"/>
      <c r="BH875" s="166"/>
      <c r="BI875" s="474"/>
      <c r="BJ875" s="166"/>
      <c r="BK875" s="474"/>
      <c r="BL875" s="474"/>
      <c r="BM875" s="474"/>
      <c r="BN875" s="166"/>
      <c r="BO875" s="166"/>
      <c r="BP875" s="204"/>
      <c r="BQ875" s="475"/>
      <c r="BR875" s="205"/>
      <c r="BS875" s="509"/>
      <c r="BT875" s="509"/>
      <c r="BU875" s="459"/>
      <c r="BV875" s="459"/>
      <c r="BW875" s="1"/>
      <c r="BX875" s="1"/>
      <c r="BY875" s="1"/>
      <c r="BZ875" s="1"/>
      <c r="CA875" s="1"/>
      <c r="CB875" s="1"/>
      <c r="CC875" s="728"/>
      <c r="CD875" s="728"/>
      <c r="CE875" s="1"/>
    </row>
    <row r="876" spans="1:84" customFormat="1">
      <c r="A876" s="701"/>
      <c r="B876" s="447"/>
      <c r="C876" s="161"/>
      <c r="D876" s="162"/>
      <c r="E876" s="1"/>
      <c r="F876" s="811"/>
      <c r="G876" s="440"/>
      <c r="H876" s="1"/>
      <c r="I876" s="55"/>
      <c r="J876" s="170"/>
      <c r="K876" s="1"/>
      <c r="L876" s="170"/>
      <c r="M876" s="1"/>
      <c r="N876" s="458"/>
      <c r="O876" s="170"/>
      <c r="P876" s="441"/>
      <c r="Q876" s="55"/>
      <c r="R876" s="177"/>
      <c r="S876" s="454"/>
      <c r="T876" s="178"/>
      <c r="U876" s="178"/>
      <c r="V876" s="179"/>
      <c r="W876" s="180"/>
      <c r="X876" s="179"/>
      <c r="Y876" s="180"/>
      <c r="Z876" s="178"/>
      <c r="AA876" s="178"/>
      <c r="AB876" s="178"/>
      <c r="AC876" s="178"/>
      <c r="AD876" s="182"/>
      <c r="AE876" s="182"/>
      <c r="AF876" s="182"/>
      <c r="AG876" s="182"/>
      <c r="AH876" s="401"/>
      <c r="AI876" s="401"/>
      <c r="AJ876" s="401"/>
      <c r="AK876" s="401"/>
      <c r="AL876" s="401"/>
      <c r="AM876" s="189"/>
      <c r="AN876" s="829"/>
      <c r="AO876" s="830"/>
      <c r="AP876" s="401"/>
      <c r="AQ876" s="401"/>
      <c r="AR876" s="401"/>
      <c r="AS876" s="401"/>
      <c r="AT876" s="403"/>
      <c r="AU876" s="403"/>
      <c r="AV876" s="170"/>
      <c r="AW876" s="166"/>
      <c r="AX876" s="166"/>
      <c r="AY876" s="189"/>
      <c r="AZ876" s="189"/>
      <c r="BA876" s="196"/>
      <c r="BB876" s="629"/>
      <c r="BC876" s="190"/>
      <c r="BD876" s="510"/>
      <c r="BE876" s="510"/>
      <c r="BF876" s="177"/>
      <c r="BG876" s="177"/>
      <c r="BH876" s="166"/>
      <c r="BI876" s="474"/>
      <c r="BJ876" s="166"/>
      <c r="BK876" s="474"/>
      <c r="BL876" s="474"/>
      <c r="BM876" s="474"/>
      <c r="BN876" s="166"/>
      <c r="BO876" s="166"/>
      <c r="BP876" s="204"/>
      <c r="BQ876" s="475"/>
      <c r="BR876" s="205"/>
      <c r="BS876" s="509"/>
      <c r="BT876" s="509"/>
      <c r="BU876" s="459"/>
      <c r="BV876" s="459"/>
      <c r="BW876" s="1"/>
      <c r="BX876" s="1"/>
      <c r="BY876" s="1"/>
      <c r="BZ876" s="1"/>
      <c r="CA876" s="1"/>
      <c r="CB876" s="1"/>
      <c r="CC876" s="728"/>
      <c r="CD876" s="728"/>
      <c r="CE876" s="1"/>
    </row>
    <row r="877" spans="1:84" customFormat="1">
      <c r="A877" s="701"/>
      <c r="B877" s="447"/>
      <c r="C877" s="1"/>
      <c r="D877" s="538"/>
      <c r="E877" s="1"/>
      <c r="F877" s="811"/>
      <c r="G877" s="440"/>
      <c r="H877" s="1"/>
      <c r="J877" s="171"/>
      <c r="K877" s="55"/>
      <c r="L877" s="171"/>
      <c r="M877" s="55"/>
      <c r="N877" s="172"/>
      <c r="O877" s="170"/>
      <c r="P877" s="139"/>
      <c r="Q877" s="171"/>
      <c r="R877" s="181"/>
      <c r="S877" s="455"/>
      <c r="T877" s="170"/>
      <c r="U877" s="170"/>
      <c r="V877" s="1"/>
      <c r="W877" s="173"/>
      <c r="X877" s="1"/>
      <c r="Y877" s="166"/>
      <c r="Z877" s="170"/>
      <c r="AA877" s="170"/>
      <c r="AB877" s="170"/>
      <c r="AC877" s="170"/>
      <c r="AD877" s="182"/>
      <c r="AE877" s="182"/>
      <c r="AF877" s="182"/>
      <c r="AG877" s="182"/>
      <c r="AH877" s="189"/>
      <c r="AI877" s="401"/>
      <c r="AJ877" s="189"/>
      <c r="AK877" s="401"/>
      <c r="AL877" s="401"/>
      <c r="AM877" s="189"/>
      <c r="AN877" s="782"/>
      <c r="AO877" s="189"/>
      <c r="AP877" s="401"/>
      <c r="AQ877" s="401"/>
      <c r="AR877" s="401"/>
      <c r="AS877" s="188"/>
      <c r="AT877" s="1"/>
      <c r="AU877" s="403"/>
      <c r="AV877" s="1"/>
      <c r="AW877" s="166"/>
      <c r="AX877" s="166"/>
      <c r="AY877" s="189"/>
      <c r="AZ877" s="189"/>
      <c r="BA877" s="196"/>
      <c r="BB877" s="629"/>
      <c r="BC877" s="197"/>
      <c r="BD877" s="510"/>
      <c r="BE877" s="510"/>
      <c r="BF877" s="177"/>
      <c r="BG877" s="177"/>
      <c r="BH877" s="166"/>
      <c r="BI877" s="474"/>
      <c r="BJ877" s="166"/>
      <c r="BK877" s="474"/>
      <c r="BL877" s="474"/>
      <c r="BM877" s="474"/>
      <c r="BN877" s="166"/>
      <c r="BO877" s="166"/>
      <c r="BP877" s="204"/>
      <c r="BQ877" s="475"/>
      <c r="BR877" s="205"/>
      <c r="BS877" s="509"/>
      <c r="BT877" s="509"/>
      <c r="BU877" s="459"/>
      <c r="BV877" s="459"/>
      <c r="BW877" s="1"/>
      <c r="BX877" s="1"/>
      <c r="BY877" s="546"/>
      <c r="BZ877" s="546"/>
      <c r="CA877" s="546"/>
      <c r="CB877" s="546"/>
      <c r="CC877" s="728"/>
      <c r="CD877" s="728"/>
      <c r="CE877" s="170"/>
    </row>
    <row r="878" spans="1:84" customFormat="1">
      <c r="A878" s="701"/>
      <c r="B878" s="447"/>
      <c r="C878" s="161"/>
      <c r="D878" s="162"/>
      <c r="E878" s="1"/>
      <c r="F878" s="811"/>
      <c r="G878" s="440"/>
      <c r="H878" s="1"/>
      <c r="I878" s="55"/>
      <c r="J878" s="170"/>
      <c r="K878" s="1"/>
      <c r="L878" s="170"/>
      <c r="M878" s="1"/>
      <c r="N878" s="458"/>
      <c r="O878" s="170"/>
      <c r="P878" s="441"/>
      <c r="Q878" s="55"/>
      <c r="R878" s="177"/>
      <c r="S878" s="454"/>
      <c r="T878" s="178"/>
      <c r="U878" s="178"/>
      <c r="V878" s="179"/>
      <c r="W878" s="180"/>
      <c r="X878" s="179"/>
      <c r="Y878" s="180"/>
      <c r="Z878" s="178"/>
      <c r="AA878" s="178"/>
      <c r="AB878" s="178"/>
      <c r="AC878" s="178"/>
      <c r="AD878" s="182"/>
      <c r="AE878" s="182"/>
      <c r="AF878" s="182"/>
      <c r="AG878" s="182"/>
      <c r="AH878" s="401"/>
      <c r="AI878" s="401"/>
      <c r="AJ878" s="401"/>
      <c r="AK878" s="401"/>
      <c r="AL878" s="401"/>
      <c r="AM878" s="189"/>
      <c r="AN878" s="829"/>
      <c r="AO878" s="830"/>
      <c r="AP878" s="401"/>
      <c r="AQ878" s="401"/>
      <c r="AR878" s="401"/>
      <c r="AS878" s="401"/>
      <c r="AT878" s="403"/>
      <c r="AU878" s="403"/>
      <c r="AV878" s="170"/>
      <c r="AW878" s="166"/>
      <c r="AX878" s="166"/>
      <c r="AY878" s="189"/>
      <c r="AZ878" s="189"/>
      <c r="BA878" s="196"/>
      <c r="BB878" s="629"/>
      <c r="BC878" s="190"/>
      <c r="BD878" s="510"/>
      <c r="BE878" s="510"/>
      <c r="BF878" s="177"/>
      <c r="BG878" s="177"/>
      <c r="BH878" s="166"/>
      <c r="BI878" s="474"/>
      <c r="BJ878" s="166"/>
      <c r="BK878" s="474"/>
      <c r="BL878" s="474"/>
      <c r="BM878" s="474"/>
      <c r="BN878" s="166"/>
      <c r="BO878" s="166"/>
      <c r="BP878" s="204"/>
      <c r="BQ878" s="475"/>
      <c r="BR878" s="205"/>
      <c r="BS878" s="509"/>
      <c r="BT878" s="509"/>
      <c r="BU878" s="459"/>
      <c r="BV878" s="459"/>
      <c r="BW878" s="1"/>
      <c r="BX878" s="1"/>
      <c r="BY878" s="546"/>
      <c r="BZ878" s="546"/>
      <c r="CA878" s="546"/>
      <c r="CB878" s="546"/>
      <c r="CC878" s="728"/>
      <c r="CD878" s="728"/>
      <c r="CE878" s="170"/>
    </row>
    <row r="879" spans="1:84" customFormat="1">
      <c r="A879" s="701"/>
      <c r="B879" s="447"/>
      <c r="C879" s="161"/>
      <c r="D879" s="162"/>
      <c r="E879" s="1"/>
      <c r="F879" s="811"/>
      <c r="G879" s="440"/>
      <c r="H879" s="1"/>
      <c r="I879" s="55"/>
      <c r="J879" s="170"/>
      <c r="K879" s="1"/>
      <c r="L879" s="170"/>
      <c r="M879" s="1"/>
      <c r="N879" s="458"/>
      <c r="O879" s="170"/>
      <c r="P879" s="441"/>
      <c r="Q879" s="55"/>
      <c r="R879" s="177"/>
      <c r="S879" s="454"/>
      <c r="T879" s="178"/>
      <c r="U879" s="178"/>
      <c r="V879" s="179"/>
      <c r="W879" s="180"/>
      <c r="X879" s="179"/>
      <c r="Y879" s="180"/>
      <c r="Z879" s="178"/>
      <c r="AA879" s="178"/>
      <c r="AB879" s="178"/>
      <c r="AC879" s="178"/>
      <c r="AD879" s="182"/>
      <c r="AE879" s="182"/>
      <c r="AF879" s="182"/>
      <c r="AG879" s="182"/>
      <c r="AH879" s="401"/>
      <c r="AI879" s="401"/>
      <c r="AJ879" s="401"/>
      <c r="AK879" s="401"/>
      <c r="AL879" s="401"/>
      <c r="AM879" s="189"/>
      <c r="AN879" s="829"/>
      <c r="AO879" s="830"/>
      <c r="AP879" s="401"/>
      <c r="AQ879" s="401"/>
      <c r="AR879" s="401"/>
      <c r="AS879" s="401"/>
      <c r="AT879" s="403"/>
      <c r="AU879" s="403"/>
      <c r="AV879" s="170"/>
      <c r="AW879" s="166"/>
      <c r="AX879" s="166"/>
      <c r="AY879" s="189"/>
      <c r="AZ879" s="189"/>
      <c r="BA879" s="196"/>
      <c r="BB879" s="629"/>
      <c r="BC879" s="190"/>
      <c r="BD879" s="510"/>
      <c r="BE879" s="510"/>
      <c r="BF879" s="177"/>
      <c r="BG879" s="177"/>
      <c r="BH879" s="166"/>
      <c r="BI879" s="474"/>
      <c r="BJ879" s="166"/>
      <c r="BK879" s="474"/>
      <c r="BL879" s="474"/>
      <c r="BM879" s="474"/>
      <c r="BN879" s="166"/>
      <c r="BO879" s="166"/>
      <c r="BP879" s="204"/>
      <c r="BQ879" s="475"/>
      <c r="BR879" s="205"/>
      <c r="BS879" s="509"/>
      <c r="BT879" s="509"/>
      <c r="BU879" s="459"/>
      <c r="BV879" s="459"/>
      <c r="BW879" s="1"/>
      <c r="BX879" s="1"/>
      <c r="BY879" s="546"/>
      <c r="BZ879" s="546"/>
      <c r="CA879" s="546"/>
      <c r="CB879" s="546"/>
      <c r="CC879" s="728"/>
      <c r="CD879" s="728"/>
      <c r="CE879" s="170"/>
    </row>
    <row r="880" spans="1:84" customFormat="1">
      <c r="A880" s="701"/>
      <c r="B880" s="447"/>
      <c r="C880" s="161"/>
      <c r="D880" s="162"/>
      <c r="E880" s="1"/>
      <c r="F880" s="811"/>
      <c r="G880" s="440"/>
      <c r="H880" s="1"/>
      <c r="I880" s="55"/>
      <c r="J880" s="457"/>
      <c r="K880" s="1"/>
      <c r="L880" s="170"/>
      <c r="M880" s="1"/>
      <c r="N880" s="458"/>
      <c r="O880" s="170"/>
      <c r="P880" s="441"/>
      <c r="Q880" s="55"/>
      <c r="R880" s="177"/>
      <c r="S880" s="454"/>
      <c r="T880" s="178"/>
      <c r="U880" s="178"/>
      <c r="V880" s="179"/>
      <c r="W880" s="180"/>
      <c r="X880" s="179"/>
      <c r="Y880" s="180"/>
      <c r="Z880" s="178"/>
      <c r="AA880" s="178"/>
      <c r="AB880" s="178"/>
      <c r="AC880" s="178"/>
      <c r="AD880" s="182"/>
      <c r="AE880" s="182"/>
      <c r="AF880" s="182"/>
      <c r="AG880" s="182"/>
      <c r="AH880" s="401"/>
      <c r="AI880" s="401"/>
      <c r="AJ880" s="401"/>
      <c r="AK880" s="401"/>
      <c r="AL880" s="401"/>
      <c r="AM880" s="189"/>
      <c r="AN880" s="829"/>
      <c r="AO880" s="830"/>
      <c r="AP880" s="401"/>
      <c r="AQ880" s="401"/>
      <c r="AR880" s="401"/>
      <c r="AS880" s="401"/>
      <c r="AT880" s="403"/>
      <c r="AU880" s="403"/>
      <c r="AV880" s="170"/>
      <c r="AW880" s="166"/>
      <c r="AX880" s="166"/>
      <c r="AY880" s="189"/>
      <c r="AZ880" s="189"/>
      <c r="BA880" s="196"/>
      <c r="BB880" s="629"/>
      <c r="BC880" s="190"/>
      <c r="BD880" s="510"/>
      <c r="BE880" s="510"/>
      <c r="BF880" s="177"/>
      <c r="BG880" s="177"/>
      <c r="BH880" s="166"/>
      <c r="BI880" s="474"/>
      <c r="BJ880" s="166"/>
      <c r="BK880" s="474"/>
      <c r="BL880" s="474"/>
      <c r="BM880" s="474"/>
      <c r="BN880" s="166"/>
      <c r="BO880" s="166"/>
      <c r="BP880" s="204"/>
      <c r="BQ880" s="475"/>
      <c r="BR880" s="205"/>
      <c r="BS880" s="509"/>
      <c r="BT880" s="509"/>
      <c r="BU880" s="459"/>
      <c r="BV880" s="459"/>
      <c r="BW880" s="1"/>
      <c r="BX880" s="1"/>
      <c r="BY880" s="546"/>
      <c r="BZ880" s="546"/>
      <c r="CA880" s="546"/>
      <c r="CB880" s="546"/>
      <c r="CC880" s="728"/>
      <c r="CD880" s="728"/>
      <c r="CE880" s="170"/>
    </row>
    <row r="881" spans="1:84" customFormat="1">
      <c r="A881" s="701"/>
      <c r="B881" s="447"/>
      <c r="C881" s="161"/>
      <c r="D881" s="162"/>
      <c r="E881" s="1"/>
      <c r="F881" s="811"/>
      <c r="G881" s="440"/>
      <c r="H881" s="1"/>
      <c r="I881" s="55"/>
      <c r="J881" s="170"/>
      <c r="K881" s="1"/>
      <c r="L881" s="170"/>
      <c r="M881" s="1"/>
      <c r="N881" s="458"/>
      <c r="O881" s="170"/>
      <c r="P881" s="441"/>
      <c r="Q881" s="55"/>
      <c r="R881" s="177"/>
      <c r="S881" s="454"/>
      <c r="T881" s="178"/>
      <c r="U881" s="178"/>
      <c r="V881" s="179"/>
      <c r="W881" s="180"/>
      <c r="X881" s="179"/>
      <c r="Y881" s="180"/>
      <c r="Z881" s="178"/>
      <c r="AA881" s="178"/>
      <c r="AB881" s="178"/>
      <c r="AC881" s="178"/>
      <c r="AD881" s="182"/>
      <c r="AE881" s="182"/>
      <c r="AF881" s="182"/>
      <c r="AG881" s="182"/>
      <c r="AH881" s="401"/>
      <c r="AI881" s="401"/>
      <c r="AJ881" s="401"/>
      <c r="AK881" s="401"/>
      <c r="AL881" s="401"/>
      <c r="AM881" s="189"/>
      <c r="AN881" s="829"/>
      <c r="AO881" s="830"/>
      <c r="AP881" s="401"/>
      <c r="AQ881" s="401"/>
      <c r="AR881" s="401"/>
      <c r="AS881" s="401"/>
      <c r="AT881" s="403"/>
      <c r="AU881" s="403"/>
      <c r="AV881" s="170"/>
      <c r="AW881" s="166"/>
      <c r="AX881" s="166"/>
      <c r="AY881" s="189"/>
      <c r="AZ881" s="189"/>
      <c r="BA881" s="196"/>
      <c r="BB881" s="629"/>
      <c r="BC881" s="190"/>
      <c r="BD881" s="510"/>
      <c r="BE881" s="510"/>
      <c r="BF881" s="177"/>
      <c r="BG881" s="177"/>
      <c r="BH881" s="166"/>
      <c r="BI881" s="474"/>
      <c r="BJ881" s="166"/>
      <c r="BK881" s="474"/>
      <c r="BL881" s="474"/>
      <c r="BM881" s="474"/>
      <c r="BN881" s="166"/>
      <c r="BO881" s="166"/>
      <c r="BP881" s="204"/>
      <c r="BQ881" s="475"/>
      <c r="BR881" s="205"/>
      <c r="BS881" s="509"/>
      <c r="BT881" s="509"/>
      <c r="BU881" s="459"/>
      <c r="BV881" s="459"/>
      <c r="BW881" s="1"/>
      <c r="BX881" s="1"/>
      <c r="BY881" s="546"/>
      <c r="BZ881" s="546"/>
      <c r="CA881" s="546"/>
      <c r="CB881" s="546"/>
      <c r="CC881" s="728"/>
      <c r="CD881" s="728"/>
      <c r="CE881" s="170"/>
    </row>
    <row r="882" spans="1:84" customFormat="1">
      <c r="A882" s="701"/>
      <c r="B882" s="447"/>
      <c r="C882" s="161"/>
      <c r="D882" s="162"/>
      <c r="E882" s="1"/>
      <c r="F882" s="811"/>
      <c r="G882" s="440"/>
      <c r="H882" s="1"/>
      <c r="I882" s="55"/>
      <c r="J882" s="170"/>
      <c r="K882" s="1"/>
      <c r="L882" s="170"/>
      <c r="M882" s="1"/>
      <c r="N882" s="458"/>
      <c r="O882" s="170"/>
      <c r="P882" s="441"/>
      <c r="Q882" s="55"/>
      <c r="R882" s="177"/>
      <c r="S882" s="454"/>
      <c r="T882" s="178"/>
      <c r="U882" s="178"/>
      <c r="V882" s="179"/>
      <c r="W882" s="180"/>
      <c r="X882" s="179"/>
      <c r="Y882" s="180"/>
      <c r="Z882" s="178"/>
      <c r="AA882" s="178"/>
      <c r="AB882" s="178"/>
      <c r="AC882" s="178"/>
      <c r="AD882" s="182"/>
      <c r="AE882" s="182"/>
      <c r="AF882" s="182"/>
      <c r="AG882" s="182"/>
      <c r="AH882" s="401"/>
      <c r="AI882" s="401"/>
      <c r="AJ882" s="401"/>
      <c r="AK882" s="401"/>
      <c r="AL882" s="401"/>
      <c r="AM882" s="189"/>
      <c r="AN882" s="829"/>
      <c r="AO882" s="830"/>
      <c r="AP882" s="401"/>
      <c r="AQ882" s="401"/>
      <c r="AR882" s="401"/>
      <c r="AS882" s="401"/>
      <c r="AT882" s="403"/>
      <c r="AU882" s="403"/>
      <c r="AV882" s="170"/>
      <c r="AW882" s="166"/>
      <c r="AX882" s="166"/>
      <c r="AY882" s="189"/>
      <c r="AZ882" s="189"/>
      <c r="BA882" s="196"/>
      <c r="BB882" s="629"/>
      <c r="BC882" s="190"/>
      <c r="BD882" s="510"/>
      <c r="BE882" s="510"/>
      <c r="BF882" s="177"/>
      <c r="BG882" s="177"/>
      <c r="BH882" s="166"/>
      <c r="BI882" s="474"/>
      <c r="BJ882" s="166"/>
      <c r="BK882" s="474"/>
      <c r="BL882" s="474"/>
      <c r="BM882" s="474"/>
      <c r="BN882" s="166"/>
      <c r="BO882" s="166"/>
      <c r="BP882" s="204"/>
      <c r="BQ882" s="475"/>
      <c r="BR882" s="205"/>
      <c r="BS882" s="509"/>
      <c r="BT882" s="509"/>
      <c r="BU882" s="459"/>
      <c r="BV882" s="459"/>
      <c r="BW882" s="1"/>
      <c r="BX882" s="1"/>
      <c r="BY882" s="546"/>
      <c r="BZ882" s="546"/>
      <c r="CA882" s="546"/>
      <c r="CB882" s="546"/>
      <c r="CC882" s="728"/>
      <c r="CD882" s="728"/>
      <c r="CE882" s="170"/>
    </row>
    <row r="883" spans="1:84" customFormat="1">
      <c r="A883" s="701"/>
      <c r="B883" s="447"/>
      <c r="C883" s="161"/>
      <c r="D883" s="162"/>
      <c r="E883" s="1"/>
      <c r="F883" s="811"/>
      <c r="G883" s="440"/>
      <c r="H883" s="1"/>
      <c r="I883" s="55"/>
      <c r="J883" s="170"/>
      <c r="K883" s="1"/>
      <c r="L883" s="170"/>
      <c r="M883" s="1"/>
      <c r="N883" s="458"/>
      <c r="O883" s="170"/>
      <c r="P883" s="441"/>
      <c r="Q883" s="55"/>
      <c r="R883" s="177"/>
      <c r="S883" s="454"/>
      <c r="T883" s="178"/>
      <c r="U883" s="178"/>
      <c r="V883" s="179"/>
      <c r="W883" s="180"/>
      <c r="X883" s="179"/>
      <c r="Y883" s="180"/>
      <c r="Z883" s="178"/>
      <c r="AA883" s="178"/>
      <c r="AB883" s="178"/>
      <c r="AC883" s="178"/>
      <c r="AD883" s="182"/>
      <c r="AE883" s="182"/>
      <c r="AF883" s="182"/>
      <c r="AG883" s="182"/>
      <c r="AH883" s="401"/>
      <c r="AI883" s="401"/>
      <c r="AJ883" s="401"/>
      <c r="AK883" s="401"/>
      <c r="AL883" s="401"/>
      <c r="AM883" s="189"/>
      <c r="AN883" s="829"/>
      <c r="AO883" s="830"/>
      <c r="AP883" s="401"/>
      <c r="AQ883" s="401"/>
      <c r="AR883" s="401"/>
      <c r="AS883" s="401"/>
      <c r="AT883" s="403"/>
      <c r="AU883" s="403"/>
      <c r="AV883" s="170"/>
      <c r="AW883" s="166"/>
      <c r="AX883" s="166"/>
      <c r="AY883" s="189"/>
      <c r="AZ883" s="189"/>
      <c r="BA883" s="196"/>
      <c r="BB883" s="629"/>
      <c r="BC883" s="190"/>
      <c r="BD883" s="510"/>
      <c r="BE883" s="510"/>
      <c r="BF883" s="177"/>
      <c r="BG883" s="177"/>
      <c r="BH883" s="166"/>
      <c r="BI883" s="474"/>
      <c r="BJ883" s="166"/>
      <c r="BK883" s="474"/>
      <c r="BL883" s="474"/>
      <c r="BM883" s="474"/>
      <c r="BN883" s="166"/>
      <c r="BO883" s="166"/>
      <c r="BP883" s="204"/>
      <c r="BQ883" s="475"/>
      <c r="BR883" s="205"/>
      <c r="BS883" s="509"/>
      <c r="BT883" s="509"/>
      <c r="BU883" s="459"/>
      <c r="BV883" s="459"/>
      <c r="BW883" s="1"/>
      <c r="BX883" s="1"/>
      <c r="BY883" s="546"/>
      <c r="BZ883" s="546"/>
      <c r="CA883" s="546"/>
      <c r="CB883" s="546"/>
      <c r="CC883" s="728"/>
      <c r="CD883" s="728"/>
      <c r="CE883" s="170"/>
    </row>
    <row r="884" spans="1:84" customFormat="1">
      <c r="A884" s="701"/>
      <c r="B884" s="447"/>
      <c r="C884" s="161"/>
      <c r="D884" s="162"/>
      <c r="E884" s="1"/>
      <c r="F884" s="811"/>
      <c r="G884" s="440"/>
      <c r="H884" s="1"/>
      <c r="I884" s="55"/>
      <c r="J884" s="170"/>
      <c r="K884" s="1"/>
      <c r="L884" s="170"/>
      <c r="M884" s="1"/>
      <c r="N884" s="458"/>
      <c r="O884" s="170"/>
      <c r="P884" s="441"/>
      <c r="Q884" s="55"/>
      <c r="R884" s="177"/>
      <c r="S884" s="454"/>
      <c r="T884" s="178"/>
      <c r="U884" s="178"/>
      <c r="V884" s="179"/>
      <c r="W884" s="180"/>
      <c r="X884" s="179"/>
      <c r="Y884" s="180"/>
      <c r="Z884" s="178"/>
      <c r="AA884" s="178"/>
      <c r="AB884" s="178"/>
      <c r="AC884" s="178"/>
      <c r="AD884" s="182"/>
      <c r="AE884" s="182"/>
      <c r="AF884" s="182"/>
      <c r="AG884" s="182"/>
      <c r="AH884" s="401"/>
      <c r="AI884" s="401"/>
      <c r="AJ884" s="401"/>
      <c r="AK884" s="401"/>
      <c r="AL884" s="401"/>
      <c r="AM884" s="189"/>
      <c r="AN884" s="829"/>
      <c r="AO884" s="830"/>
      <c r="AP884" s="401"/>
      <c r="AQ884" s="401"/>
      <c r="AR884" s="401"/>
      <c r="AS884" s="401"/>
      <c r="AT884" s="403"/>
      <c r="AU884" s="403"/>
      <c r="AV884" s="170"/>
      <c r="AW884" s="166"/>
      <c r="AX884" s="166"/>
      <c r="AY884" s="189"/>
      <c r="AZ884" s="189"/>
      <c r="BA884" s="196"/>
      <c r="BB884" s="629"/>
      <c r="BC884" s="190"/>
      <c r="BD884" s="510"/>
      <c r="BE884" s="510"/>
      <c r="BF884" s="177"/>
      <c r="BG884" s="177"/>
      <c r="BH884" s="166"/>
      <c r="BI884" s="474"/>
      <c r="BJ884" s="166"/>
      <c r="BK884" s="474"/>
      <c r="BL884" s="474"/>
      <c r="BM884" s="474"/>
      <c r="BN884" s="166"/>
      <c r="BO884" s="166"/>
      <c r="BP884" s="204"/>
      <c r="BQ884" s="475"/>
      <c r="BR884" s="205"/>
      <c r="BS884" s="509"/>
      <c r="BT884" s="509"/>
      <c r="BU884" s="459"/>
      <c r="BV884" s="459"/>
      <c r="BW884" s="1"/>
      <c r="BX884" s="1"/>
      <c r="BY884" s="546"/>
      <c r="BZ884" s="546"/>
      <c r="CA884" s="546"/>
      <c r="CB884" s="546"/>
      <c r="CC884" s="728"/>
      <c r="CD884" s="728"/>
      <c r="CE884" s="170"/>
    </row>
    <row r="885" spans="1:84" customFormat="1">
      <c r="A885" s="701"/>
      <c r="B885" s="447"/>
      <c r="C885" s="161"/>
      <c r="D885" s="162"/>
      <c r="E885" s="1"/>
      <c r="F885" s="811"/>
      <c r="G885" s="440"/>
      <c r="H885" s="1"/>
      <c r="I885" s="55"/>
      <c r="J885" s="170"/>
      <c r="K885" s="1"/>
      <c r="L885" s="170"/>
      <c r="M885" s="1"/>
      <c r="N885" s="166"/>
      <c r="O885" s="170"/>
      <c r="P885" s="441"/>
      <c r="Q885" s="55"/>
      <c r="R885" s="177"/>
      <c r="S885" s="454"/>
      <c r="T885" s="178"/>
      <c r="U885" s="178"/>
      <c r="V885" s="179"/>
      <c r="W885" s="180"/>
      <c r="X885" s="179"/>
      <c r="Y885" s="180"/>
      <c r="Z885" s="178"/>
      <c r="AA885" s="178"/>
      <c r="AB885" s="178"/>
      <c r="AC885" s="178"/>
      <c r="AD885" s="182"/>
      <c r="AE885" s="182"/>
      <c r="AF885" s="182"/>
      <c r="AG885" s="182"/>
      <c r="AH885" s="401"/>
      <c r="AI885" s="182"/>
      <c r="AJ885" s="182"/>
      <c r="AK885" s="401"/>
      <c r="AL885" s="401"/>
      <c r="AM885" s="189"/>
      <c r="AN885" s="829"/>
      <c r="AO885" s="830"/>
      <c r="AP885" s="401"/>
      <c r="AQ885" s="401"/>
      <c r="AR885" s="401"/>
      <c r="AS885" s="401"/>
      <c r="AT885" s="403"/>
      <c r="AU885" s="403"/>
      <c r="AV885" s="170"/>
      <c r="AW885" s="166"/>
      <c r="AX885" s="166"/>
      <c r="AY885" s="189"/>
      <c r="AZ885" s="189"/>
      <c r="BA885" s="196"/>
      <c r="BB885" s="629"/>
      <c r="BC885" s="190"/>
      <c r="BD885" s="510"/>
      <c r="BE885" s="510"/>
      <c r="BF885" s="177"/>
      <c r="BG885" s="177"/>
      <c r="BH885" s="166"/>
      <c r="BI885" s="474"/>
      <c r="BJ885" s="166"/>
      <c r="BK885" s="474"/>
      <c r="BL885" s="474"/>
      <c r="BM885" s="474"/>
      <c r="BN885" s="166"/>
      <c r="BO885" s="166"/>
      <c r="BP885" s="204"/>
      <c r="BQ885" s="475"/>
      <c r="BR885" s="205"/>
      <c r="BS885" s="509"/>
      <c r="BT885" s="509"/>
      <c r="BU885" s="459"/>
      <c r="BV885" s="459"/>
      <c r="BW885" s="1"/>
      <c r="BX885" s="1"/>
      <c r="BY885" s="1"/>
      <c r="BZ885" s="1"/>
      <c r="CA885" s="1"/>
      <c r="CB885" s="1"/>
      <c r="CC885" s="728"/>
      <c r="CD885" s="728"/>
      <c r="CE885" s="1"/>
    </row>
    <row r="886" spans="1:84">
      <c r="A886" s="701"/>
      <c r="B886" s="447"/>
      <c r="C886" s="161"/>
      <c r="D886" s="162"/>
      <c r="E886" s="1"/>
      <c r="F886" s="811"/>
      <c r="G886" s="440"/>
      <c r="H886" s="1"/>
      <c r="I886" s="55"/>
      <c r="J886" s="170"/>
      <c r="K886" s="1"/>
      <c r="L886" s="170"/>
      <c r="M886" s="1"/>
      <c r="N886" s="458"/>
      <c r="O886" s="170"/>
      <c r="P886" s="441"/>
      <c r="Q886" s="55"/>
      <c r="R886" s="177"/>
      <c r="S886" s="454"/>
      <c r="T886" s="178"/>
      <c r="U886" s="178"/>
      <c r="V886" s="179"/>
      <c r="W886" s="180"/>
      <c r="X886" s="179"/>
      <c r="Y886" s="180"/>
      <c r="Z886" s="178"/>
      <c r="AA886" s="178"/>
      <c r="AB886" s="178"/>
      <c r="AC886" s="178"/>
      <c r="AD886" s="182"/>
      <c r="AE886" s="182"/>
      <c r="AF886" s="182"/>
      <c r="AG886" s="182"/>
      <c r="AH886" s="401"/>
      <c r="AI886" s="401"/>
      <c r="AJ886" s="401"/>
      <c r="AK886" s="401"/>
      <c r="AL886" s="401"/>
      <c r="AM886" s="189"/>
      <c r="AN886" s="829"/>
      <c r="AO886" s="830"/>
      <c r="AP886" s="401"/>
      <c r="AQ886" s="401"/>
      <c r="AR886" s="401"/>
      <c r="AS886" s="401"/>
      <c r="AT886" s="403"/>
      <c r="AU886" s="403"/>
      <c r="AV886" s="170"/>
      <c r="AW886" s="166"/>
      <c r="AX886" s="166"/>
      <c r="AY886" s="189"/>
      <c r="AZ886" s="189"/>
      <c r="BA886" s="196"/>
      <c r="BB886" s="629"/>
      <c r="BC886" s="190"/>
      <c r="BD886" s="510"/>
      <c r="BE886" s="510"/>
      <c r="BF886" s="177"/>
      <c r="BG886" s="177"/>
      <c r="BH886" s="166"/>
      <c r="BI886" s="474"/>
      <c r="BJ886" s="166"/>
      <c r="BK886" s="474"/>
      <c r="BL886" s="474"/>
      <c r="BM886" s="474"/>
      <c r="BN886" s="166"/>
      <c r="BO886" s="166"/>
      <c r="BP886" s="204"/>
      <c r="BQ886" s="475"/>
      <c r="BR886" s="205"/>
      <c r="BS886" s="509"/>
      <c r="BT886" s="509"/>
      <c r="BU886" s="459"/>
      <c r="BV886" s="459"/>
      <c r="BW886" s="1"/>
      <c r="BX886" s="1"/>
      <c r="BY886" s="1"/>
      <c r="BZ886" s="1"/>
      <c r="CE886" s="170"/>
      <c r="CF886"/>
    </row>
    <row r="887" spans="1:84" customFormat="1">
      <c r="A887" s="701"/>
      <c r="B887" s="447"/>
      <c r="C887" s="161"/>
      <c r="D887" s="162"/>
      <c r="E887" s="1"/>
      <c r="F887" s="811"/>
      <c r="G887" s="440"/>
      <c r="H887" s="1"/>
      <c r="I887" s="55"/>
      <c r="J887" s="170"/>
      <c r="K887" s="1"/>
      <c r="L887" s="170"/>
      <c r="M887" s="1"/>
      <c r="N887" s="458"/>
      <c r="O887" s="170"/>
      <c r="P887" s="441"/>
      <c r="Q887" s="55"/>
      <c r="R887" s="177"/>
      <c r="S887" s="454"/>
      <c r="T887" s="178"/>
      <c r="U887" s="178"/>
      <c r="V887" s="179"/>
      <c r="W887" s="180"/>
      <c r="X887" s="179"/>
      <c r="Y887" s="180"/>
      <c r="Z887" s="178"/>
      <c r="AA887" s="178"/>
      <c r="AB887" s="178"/>
      <c r="AC887" s="178"/>
      <c r="AD887" s="182"/>
      <c r="AE887" s="182"/>
      <c r="AF887" s="182"/>
      <c r="AG887" s="182"/>
      <c r="AH887" s="401"/>
      <c r="AI887" s="401"/>
      <c r="AJ887" s="401"/>
      <c r="AK887" s="401"/>
      <c r="AL887" s="401"/>
      <c r="AM887" s="189"/>
      <c r="AN887" s="829"/>
      <c r="AO887" s="830"/>
      <c r="AP887" s="401"/>
      <c r="AQ887" s="401"/>
      <c r="AR887" s="401"/>
      <c r="AS887" s="401"/>
      <c r="AT887" s="403"/>
      <c r="AU887" s="403"/>
      <c r="AV887" s="170"/>
      <c r="AW887" s="166"/>
      <c r="AX887" s="166"/>
      <c r="AY887" s="189"/>
      <c r="AZ887" s="189"/>
      <c r="BA887" s="190"/>
      <c r="BB887" s="629"/>
      <c r="BC887" s="190"/>
      <c r="BD887" s="510"/>
      <c r="BE887" s="510"/>
      <c r="BF887" s="177"/>
      <c r="BG887" s="177"/>
      <c r="BH887" s="166"/>
      <c r="BI887" s="474"/>
      <c r="BJ887" s="166"/>
      <c r="BK887" s="474"/>
      <c r="BL887" s="474"/>
      <c r="BM887" s="474"/>
      <c r="BN887" s="166"/>
      <c r="BO887" s="166"/>
      <c r="BP887" s="204"/>
      <c r="BQ887" s="475"/>
      <c r="BR887" s="205"/>
      <c r="BS887" s="509"/>
      <c r="BT887" s="509"/>
      <c r="BU887" s="459"/>
      <c r="BV887" s="459"/>
      <c r="BW887" s="1"/>
      <c r="BX887" s="1"/>
      <c r="BY887" s="1"/>
      <c r="BZ887" s="1"/>
      <c r="CA887" s="1"/>
      <c r="CB887" s="1"/>
      <c r="CC887" s="728"/>
      <c r="CD887" s="728"/>
      <c r="CE887" s="1"/>
    </row>
    <row r="888" spans="1:84" customFormat="1">
      <c r="A888" s="701"/>
      <c r="B888" s="447"/>
      <c r="C888" s="161"/>
      <c r="D888" s="162"/>
      <c r="E888" s="1"/>
      <c r="F888" s="811"/>
      <c r="G888" s="440"/>
      <c r="H888" s="1"/>
      <c r="I888" s="55"/>
      <c r="J888" s="170"/>
      <c r="K888" s="1"/>
      <c r="L888" s="170"/>
      <c r="M888" s="1"/>
      <c r="N888" s="458"/>
      <c r="O888" s="170"/>
      <c r="P888" s="441"/>
      <c r="Q888" s="55"/>
      <c r="R888" s="177"/>
      <c r="S888" s="454"/>
      <c r="T888" s="178"/>
      <c r="U888" s="178"/>
      <c r="V888" s="179"/>
      <c r="W888" s="180"/>
      <c r="X888" s="179"/>
      <c r="Y888" s="180"/>
      <c r="Z888" s="178"/>
      <c r="AA888" s="178"/>
      <c r="AB888" s="178"/>
      <c r="AC888" s="178"/>
      <c r="AD888" s="182"/>
      <c r="AE888" s="182"/>
      <c r="AF888" s="182"/>
      <c r="AG888" s="182"/>
      <c r="AH888" s="401"/>
      <c r="AI888" s="401"/>
      <c r="AJ888" s="401"/>
      <c r="AK888" s="401"/>
      <c r="AL888" s="401"/>
      <c r="AM888" s="189"/>
      <c r="AN888" s="829"/>
      <c r="AO888" s="830"/>
      <c r="AP888" s="401"/>
      <c r="AQ888" s="401"/>
      <c r="AR888" s="401"/>
      <c r="AS888" s="401"/>
      <c r="AT888" s="403"/>
      <c r="AU888" s="403"/>
      <c r="AV888" s="170"/>
      <c r="AW888" s="166"/>
      <c r="AX888" s="166"/>
      <c r="AY888" s="189"/>
      <c r="AZ888" s="189"/>
      <c r="BA888" s="196"/>
      <c r="BB888" s="629"/>
      <c r="BC888" s="190"/>
      <c r="BD888" s="510"/>
      <c r="BE888" s="510"/>
      <c r="BF888" s="177"/>
      <c r="BG888" s="177"/>
      <c r="BH888" s="166"/>
      <c r="BI888" s="474"/>
      <c r="BJ888" s="166"/>
      <c r="BK888" s="474"/>
      <c r="BL888" s="474"/>
      <c r="BM888" s="474"/>
      <c r="BN888" s="166"/>
      <c r="BO888" s="166"/>
      <c r="BP888" s="204"/>
      <c r="BQ888" s="475"/>
      <c r="BR888" s="205"/>
      <c r="BS888" s="509"/>
      <c r="BT888" s="509"/>
      <c r="BU888" s="459"/>
      <c r="BV888" s="459"/>
      <c r="BW888" s="1"/>
      <c r="BX888" s="1"/>
      <c r="BY888" s="1"/>
      <c r="BZ888" s="1"/>
      <c r="CA888" s="1"/>
      <c r="CB888" s="1"/>
      <c r="CC888" s="728"/>
      <c r="CD888" s="728"/>
      <c r="CE888" s="1"/>
    </row>
    <row r="889" spans="1:84" customFormat="1">
      <c r="A889" s="701"/>
      <c r="B889" s="447"/>
      <c r="C889" s="1"/>
      <c r="D889" s="538"/>
      <c r="E889" s="1"/>
      <c r="F889" s="811"/>
      <c r="G889" s="440"/>
      <c r="H889" s="1"/>
      <c r="J889" s="171"/>
      <c r="K889" s="55"/>
      <c r="L889" s="171"/>
      <c r="M889" s="55"/>
      <c r="N889" s="172"/>
      <c r="O889" s="170"/>
      <c r="P889" s="139"/>
      <c r="Q889" s="171"/>
      <c r="R889" s="181"/>
      <c r="S889" s="455"/>
      <c r="T889" s="170"/>
      <c r="U889" s="170"/>
      <c r="V889" s="1"/>
      <c r="W889" s="173"/>
      <c r="X889" s="1"/>
      <c r="Y889" s="166"/>
      <c r="Z889" s="170"/>
      <c r="AA889" s="170"/>
      <c r="AB889" s="170"/>
      <c r="AC889" s="170"/>
      <c r="AD889" s="182"/>
      <c r="AE889" s="182"/>
      <c r="AF889" s="182"/>
      <c r="AG889" s="182"/>
      <c r="AH889" s="189"/>
      <c r="AI889" s="401"/>
      <c r="AJ889" s="189"/>
      <c r="AK889" s="401"/>
      <c r="AL889" s="401"/>
      <c r="AM889" s="189"/>
      <c r="AN889" s="782"/>
      <c r="AO889" s="189"/>
      <c r="AP889" s="401"/>
      <c r="AQ889" s="401"/>
      <c r="AR889" s="401"/>
      <c r="AS889" s="188"/>
      <c r="AT889" s="1"/>
      <c r="AU889" s="403"/>
      <c r="AV889" s="1"/>
      <c r="AW889" s="166"/>
      <c r="AX889" s="166"/>
      <c r="AY889" s="189"/>
      <c r="AZ889" s="189"/>
      <c r="BA889" s="196"/>
      <c r="BB889" s="629"/>
      <c r="BC889" s="197"/>
      <c r="BD889" s="510"/>
      <c r="BE889" s="510"/>
      <c r="BF889" s="177"/>
      <c r="BG889" s="177"/>
      <c r="BH889" s="166"/>
      <c r="BI889" s="474"/>
      <c r="BJ889" s="166"/>
      <c r="BK889" s="474"/>
      <c r="BL889" s="474"/>
      <c r="BM889" s="474"/>
      <c r="BN889" s="166"/>
      <c r="BO889" s="166"/>
      <c r="BP889" s="204"/>
      <c r="BQ889" s="475"/>
      <c r="BR889" s="205"/>
      <c r="BS889" s="509"/>
      <c r="BT889" s="509"/>
      <c r="BU889" s="459"/>
      <c r="BV889" s="459"/>
      <c r="BW889" s="1"/>
      <c r="BX889" s="1"/>
      <c r="BY889" s="546"/>
      <c r="BZ889" s="546"/>
      <c r="CA889" s="546"/>
      <c r="CB889" s="546"/>
      <c r="CC889" s="728"/>
      <c r="CD889" s="728"/>
      <c r="CE889" s="170"/>
    </row>
    <row r="890" spans="1:84">
      <c r="A890" s="701"/>
      <c r="B890" s="447"/>
      <c r="C890" s="161"/>
      <c r="D890" s="162"/>
      <c r="E890" s="1"/>
      <c r="F890" s="811"/>
      <c r="G890" s="440"/>
      <c r="H890" s="1"/>
      <c r="I890" s="55"/>
      <c r="J890" s="170"/>
      <c r="K890" s="1"/>
      <c r="L890" s="170"/>
      <c r="M890" s="1"/>
      <c r="N890" s="458"/>
      <c r="O890" s="170"/>
      <c r="P890" s="441"/>
      <c r="Q890" s="55"/>
      <c r="R890" s="177"/>
      <c r="S890" s="454"/>
      <c r="T890" s="178"/>
      <c r="U890" s="178"/>
      <c r="V890" s="179"/>
      <c r="W890" s="180"/>
      <c r="X890" s="179"/>
      <c r="Y890" s="180"/>
      <c r="Z890" s="178"/>
      <c r="AA890" s="178"/>
      <c r="AB890" s="178"/>
      <c r="AC890" s="178"/>
      <c r="AD890" s="182"/>
      <c r="AE890" s="182"/>
      <c r="AF890" s="182"/>
      <c r="AG890" s="182"/>
      <c r="AH890" s="401"/>
      <c r="AI890" s="401"/>
      <c r="AJ890" s="401"/>
      <c r="AK890" s="401"/>
      <c r="AL890" s="401"/>
      <c r="AM890" s="189"/>
      <c r="AN890" s="829"/>
      <c r="AO890" s="830"/>
      <c r="AP890" s="401"/>
      <c r="AQ890" s="401"/>
      <c r="AR890" s="401"/>
      <c r="AS890" s="401"/>
      <c r="AT890" s="403"/>
      <c r="AU890" s="403"/>
      <c r="AV890" s="170"/>
      <c r="AW890" s="166"/>
      <c r="AX890" s="166"/>
      <c r="AY890" s="189"/>
      <c r="AZ890" s="189"/>
      <c r="BA890" s="196"/>
      <c r="BB890" s="629"/>
      <c r="BC890" s="190"/>
      <c r="BD890" s="510"/>
      <c r="BE890" s="510"/>
      <c r="BF890" s="177"/>
      <c r="BG890" s="177"/>
      <c r="BH890" s="166"/>
      <c r="BI890" s="474"/>
      <c r="BJ890" s="166"/>
      <c r="BK890" s="474"/>
      <c r="BL890" s="474"/>
      <c r="BM890" s="474"/>
      <c r="BN890" s="166"/>
      <c r="BO890" s="166"/>
      <c r="BP890" s="204"/>
      <c r="BQ890" s="475"/>
      <c r="BR890" s="205"/>
      <c r="BS890" s="509"/>
      <c r="BT890" s="509"/>
      <c r="BU890" s="459"/>
      <c r="BV890" s="459"/>
      <c r="BW890" s="1"/>
      <c r="BX890" s="1"/>
      <c r="BY890" s="546"/>
      <c r="BZ890" s="546"/>
      <c r="CA890" s="546"/>
      <c r="CB890" s="546"/>
      <c r="CC890" s="728"/>
      <c r="CD890" s="728"/>
      <c r="CE890" s="170"/>
      <c r="CF890"/>
    </row>
    <row r="891" spans="1:84">
      <c r="A891" s="701"/>
      <c r="B891" s="447"/>
      <c r="C891" s="161"/>
      <c r="D891" s="162"/>
      <c r="E891" s="1"/>
      <c r="F891" s="811"/>
      <c r="G891" s="440"/>
      <c r="H891" s="1"/>
      <c r="I891" s="55"/>
      <c r="J891" s="170"/>
      <c r="K891" s="1"/>
      <c r="L891" s="170"/>
      <c r="M891" s="1"/>
      <c r="N891" s="458"/>
      <c r="O891" s="170"/>
      <c r="P891" s="441"/>
      <c r="Q891" s="55"/>
      <c r="R891" s="177"/>
      <c r="S891" s="454"/>
      <c r="T891" s="178"/>
      <c r="U891" s="178"/>
      <c r="V891" s="179"/>
      <c r="W891" s="180"/>
      <c r="X891" s="179"/>
      <c r="Y891" s="180"/>
      <c r="Z891" s="178"/>
      <c r="AA891" s="178"/>
      <c r="AB891" s="178"/>
      <c r="AC891" s="178"/>
      <c r="AD891" s="182"/>
      <c r="AE891" s="182"/>
      <c r="AF891" s="182"/>
      <c r="AG891" s="182"/>
      <c r="AH891" s="401"/>
      <c r="AI891" s="401"/>
      <c r="AJ891" s="401"/>
      <c r="AK891" s="401"/>
      <c r="AL891" s="401"/>
      <c r="AM891" s="189"/>
      <c r="AN891" s="829"/>
      <c r="AO891" s="830"/>
      <c r="AP891" s="401"/>
      <c r="AQ891" s="401"/>
      <c r="AR891" s="401"/>
      <c r="AS891" s="401"/>
      <c r="AT891" s="403"/>
      <c r="AU891" s="403"/>
      <c r="AV891" s="170"/>
      <c r="AW891" s="166"/>
      <c r="AX891" s="166"/>
      <c r="AY891" s="189"/>
      <c r="AZ891" s="189"/>
      <c r="BA891" s="196"/>
      <c r="BB891" s="629"/>
      <c r="BC891" s="190"/>
      <c r="BD891" s="510"/>
      <c r="BE891" s="510"/>
      <c r="BF891" s="177"/>
      <c r="BG891" s="177"/>
      <c r="BH891" s="166"/>
      <c r="BI891" s="474"/>
      <c r="BJ891" s="166"/>
      <c r="BK891" s="474"/>
      <c r="BL891" s="474"/>
      <c r="BM891" s="474"/>
      <c r="BN891" s="166"/>
      <c r="BO891" s="166"/>
      <c r="BP891" s="204"/>
      <c r="BQ891" s="475"/>
      <c r="BR891" s="205"/>
      <c r="BS891" s="509"/>
      <c r="BT891" s="509"/>
      <c r="BU891" s="459"/>
      <c r="BV891" s="459"/>
      <c r="BW891" s="1"/>
      <c r="BX891" s="1"/>
      <c r="BY891" s="546"/>
      <c r="BZ891" s="546"/>
      <c r="CA891" s="546"/>
      <c r="CB891" s="546"/>
      <c r="CC891" s="728"/>
      <c r="CD891" s="728"/>
      <c r="CE891" s="170"/>
      <c r="CF891"/>
    </row>
    <row r="892" spans="1:84">
      <c r="A892" s="701"/>
      <c r="B892" s="447"/>
      <c r="C892" s="161"/>
      <c r="D892" s="162"/>
      <c r="E892" s="1"/>
      <c r="F892" s="811"/>
      <c r="G892" s="440"/>
      <c r="H892" s="1"/>
      <c r="I892" s="55"/>
      <c r="J892" s="457"/>
      <c r="K892" s="1"/>
      <c r="L892" s="170"/>
      <c r="M892" s="1"/>
      <c r="N892" s="458"/>
      <c r="O892" s="170"/>
      <c r="P892" s="441"/>
      <c r="Q892" s="55"/>
      <c r="R892" s="177"/>
      <c r="S892" s="454"/>
      <c r="T892" s="178"/>
      <c r="U892" s="178"/>
      <c r="V892" s="179"/>
      <c r="W892" s="180"/>
      <c r="X892" s="179"/>
      <c r="Y892" s="180"/>
      <c r="Z892" s="178"/>
      <c r="AA892" s="178"/>
      <c r="AB892" s="178"/>
      <c r="AC892" s="178"/>
      <c r="AD892" s="182"/>
      <c r="AE892" s="182"/>
      <c r="AF892" s="182"/>
      <c r="AG892" s="182"/>
      <c r="AH892" s="401"/>
      <c r="AI892" s="401"/>
      <c r="AJ892" s="401"/>
      <c r="AK892" s="401"/>
      <c r="AL892" s="401"/>
      <c r="AM892" s="189"/>
      <c r="AN892" s="829"/>
      <c r="AO892" s="830"/>
      <c r="AP892" s="401"/>
      <c r="AQ892" s="401"/>
      <c r="AR892" s="401"/>
      <c r="AS892" s="401"/>
      <c r="AT892" s="403"/>
      <c r="AU892" s="403"/>
      <c r="AV892" s="170"/>
      <c r="AW892" s="166"/>
      <c r="AX892" s="166"/>
      <c r="AY892" s="189"/>
      <c r="AZ892" s="189"/>
      <c r="BA892" s="196"/>
      <c r="BB892" s="629"/>
      <c r="BC892" s="190"/>
      <c r="BD892" s="510"/>
      <c r="BE892" s="510"/>
      <c r="BF892" s="177"/>
      <c r="BG892" s="177"/>
      <c r="BH892" s="166"/>
      <c r="BI892" s="474"/>
      <c r="BJ892" s="166"/>
      <c r="BK892" s="474"/>
      <c r="BL892" s="474"/>
      <c r="BM892" s="474"/>
      <c r="BN892" s="166"/>
      <c r="BO892" s="166"/>
      <c r="BP892" s="204"/>
      <c r="BQ892" s="475"/>
      <c r="BR892" s="205"/>
      <c r="BS892" s="509"/>
      <c r="BT892" s="509"/>
      <c r="BU892" s="459"/>
      <c r="BV892" s="459"/>
      <c r="BW892" s="1"/>
      <c r="BX892" s="1"/>
      <c r="BY892" s="546"/>
      <c r="BZ892" s="546"/>
      <c r="CA892" s="546"/>
      <c r="CB892" s="546"/>
      <c r="CC892" s="728"/>
      <c r="CD892" s="728"/>
      <c r="CE892" s="170"/>
      <c r="CF892"/>
    </row>
    <row r="893" spans="1:84">
      <c r="A893" s="701"/>
      <c r="B893" s="447"/>
      <c r="C893" s="161"/>
      <c r="D893" s="162"/>
      <c r="E893" s="1"/>
      <c r="F893" s="811"/>
      <c r="G893" s="440"/>
      <c r="H893" s="1"/>
      <c r="I893" s="55"/>
      <c r="J893" s="170"/>
      <c r="K893" s="1"/>
      <c r="L893" s="170"/>
      <c r="M893" s="1"/>
      <c r="N893" s="458"/>
      <c r="O893" s="170"/>
      <c r="P893" s="441"/>
      <c r="Q893" s="55"/>
      <c r="R893" s="177"/>
      <c r="S893" s="454"/>
      <c r="T893" s="178"/>
      <c r="U893" s="178"/>
      <c r="V893" s="179"/>
      <c r="W893" s="180"/>
      <c r="X893" s="179"/>
      <c r="Y893" s="180"/>
      <c r="Z893" s="178"/>
      <c r="AA893" s="178"/>
      <c r="AB893" s="178"/>
      <c r="AC893" s="178"/>
      <c r="AD893" s="182"/>
      <c r="AE893" s="182"/>
      <c r="AF893" s="182"/>
      <c r="AG893" s="182"/>
      <c r="AH893" s="401"/>
      <c r="AI893" s="401"/>
      <c r="AJ893" s="401"/>
      <c r="AK893" s="401"/>
      <c r="AL893" s="401"/>
      <c r="AM893" s="189"/>
      <c r="AN893" s="829"/>
      <c r="AO893" s="830"/>
      <c r="AP893" s="401"/>
      <c r="AQ893" s="401"/>
      <c r="AR893" s="401"/>
      <c r="AS893" s="401"/>
      <c r="AT893" s="403"/>
      <c r="AU893" s="403"/>
      <c r="AV893" s="170"/>
      <c r="AW893" s="166"/>
      <c r="AX893" s="166"/>
      <c r="AY893" s="189"/>
      <c r="AZ893" s="189"/>
      <c r="BA893" s="196"/>
      <c r="BB893" s="629"/>
      <c r="BC893" s="190"/>
      <c r="BD893" s="510"/>
      <c r="BE893" s="510"/>
      <c r="BF893" s="177"/>
      <c r="BG893" s="177"/>
      <c r="BH893" s="166"/>
      <c r="BI893" s="474"/>
      <c r="BJ893" s="166"/>
      <c r="BK893" s="474"/>
      <c r="BL893" s="474"/>
      <c r="BM893" s="474"/>
      <c r="BN893" s="166"/>
      <c r="BO893" s="166"/>
      <c r="BP893" s="204"/>
      <c r="BQ893" s="475"/>
      <c r="BR893" s="205"/>
      <c r="BS893" s="509"/>
      <c r="BT893" s="509"/>
      <c r="BU893" s="459"/>
      <c r="BV893" s="459"/>
      <c r="BW893" s="1"/>
      <c r="BX893" s="1"/>
      <c r="BY893" s="546"/>
      <c r="BZ893" s="546"/>
      <c r="CA893" s="546"/>
      <c r="CB893" s="546"/>
      <c r="CC893" s="728"/>
      <c r="CD893" s="728"/>
      <c r="CE893" s="170"/>
      <c r="CF893"/>
    </row>
    <row r="894" spans="1:84">
      <c r="A894" s="701"/>
      <c r="B894" s="447"/>
      <c r="C894" s="161"/>
      <c r="D894" s="162"/>
      <c r="E894" s="1"/>
      <c r="F894" s="811"/>
      <c r="G894" s="440"/>
      <c r="H894" s="1"/>
      <c r="I894" s="55"/>
      <c r="J894" s="170"/>
      <c r="K894" s="1"/>
      <c r="L894" s="170"/>
      <c r="M894" s="1"/>
      <c r="N894" s="458"/>
      <c r="O894" s="170"/>
      <c r="P894" s="441"/>
      <c r="Q894" s="55"/>
      <c r="R894" s="177"/>
      <c r="S894" s="454"/>
      <c r="T894" s="178"/>
      <c r="U894" s="178"/>
      <c r="V894" s="179"/>
      <c r="W894" s="180"/>
      <c r="X894" s="179"/>
      <c r="Y894" s="180"/>
      <c r="Z894" s="178"/>
      <c r="AA894" s="178"/>
      <c r="AB894" s="178"/>
      <c r="AC894" s="178"/>
      <c r="AD894" s="182"/>
      <c r="AE894" s="182"/>
      <c r="AF894" s="182"/>
      <c r="AG894" s="182"/>
      <c r="AH894" s="401"/>
      <c r="AI894" s="401"/>
      <c r="AJ894" s="401"/>
      <c r="AK894" s="401"/>
      <c r="AL894" s="401"/>
      <c r="AM894" s="189"/>
      <c r="AN894" s="829"/>
      <c r="AO894" s="830"/>
      <c r="AP894" s="401"/>
      <c r="AQ894" s="401"/>
      <c r="AR894" s="401"/>
      <c r="AS894" s="401"/>
      <c r="AT894" s="403"/>
      <c r="AU894" s="403"/>
      <c r="AV894" s="170"/>
      <c r="AW894" s="166"/>
      <c r="AX894" s="166"/>
      <c r="AY894" s="189"/>
      <c r="AZ894" s="189"/>
      <c r="BA894" s="196"/>
      <c r="BB894" s="629"/>
      <c r="BC894" s="190"/>
      <c r="BD894" s="510"/>
      <c r="BE894" s="510"/>
      <c r="BF894" s="177"/>
      <c r="BG894" s="177"/>
      <c r="BH894" s="166"/>
      <c r="BI894" s="474"/>
      <c r="BJ894" s="166"/>
      <c r="BK894" s="474"/>
      <c r="BL894" s="474"/>
      <c r="BM894" s="474"/>
      <c r="BN894" s="166"/>
      <c r="BO894" s="166"/>
      <c r="BP894" s="204"/>
      <c r="BQ894" s="475"/>
      <c r="BR894" s="205"/>
      <c r="BS894" s="509"/>
      <c r="BT894" s="509"/>
      <c r="BU894" s="459"/>
      <c r="BV894" s="459"/>
      <c r="BW894" s="1"/>
      <c r="BX894" s="1"/>
      <c r="BY894" s="546"/>
      <c r="BZ894" s="546"/>
      <c r="CA894" s="546"/>
      <c r="CB894" s="546"/>
      <c r="CC894" s="728"/>
      <c r="CD894" s="728"/>
      <c r="CE894" s="170"/>
      <c r="CF894"/>
    </row>
    <row r="895" spans="1:84">
      <c r="A895" s="701"/>
      <c r="B895" s="447"/>
      <c r="C895" s="161"/>
      <c r="D895" s="162"/>
      <c r="E895" s="1"/>
      <c r="F895" s="811"/>
      <c r="G895" s="440"/>
      <c r="H895" s="1"/>
      <c r="I895" s="55"/>
      <c r="J895" s="170"/>
      <c r="K895" s="1"/>
      <c r="L895" s="170"/>
      <c r="M895" s="1"/>
      <c r="N895" s="458"/>
      <c r="O895" s="170"/>
      <c r="P895" s="441"/>
      <c r="Q895" s="55"/>
      <c r="R895" s="177"/>
      <c r="S895" s="454"/>
      <c r="T895" s="178"/>
      <c r="U895" s="178"/>
      <c r="V895" s="179"/>
      <c r="W895" s="180"/>
      <c r="X895" s="179"/>
      <c r="Y895" s="180"/>
      <c r="Z895" s="178"/>
      <c r="AA895" s="178"/>
      <c r="AB895" s="178"/>
      <c r="AC895" s="178"/>
      <c r="AD895" s="182"/>
      <c r="AE895" s="182"/>
      <c r="AF895" s="182"/>
      <c r="AG895" s="182"/>
      <c r="AH895" s="401"/>
      <c r="AI895" s="401"/>
      <c r="AJ895" s="401"/>
      <c r="AK895" s="401"/>
      <c r="AL895" s="401"/>
      <c r="AM895" s="189"/>
      <c r="AN895" s="829"/>
      <c r="AO895" s="830"/>
      <c r="AP895" s="401"/>
      <c r="AQ895" s="401"/>
      <c r="AR895" s="401"/>
      <c r="AS895" s="401"/>
      <c r="AT895" s="403"/>
      <c r="AU895" s="403"/>
      <c r="AV895" s="170"/>
      <c r="AW895" s="166"/>
      <c r="AX895" s="166"/>
      <c r="AY895" s="189"/>
      <c r="AZ895" s="189"/>
      <c r="BA895" s="196"/>
      <c r="BB895" s="629"/>
      <c r="BC895" s="190"/>
      <c r="BD895" s="510"/>
      <c r="BE895" s="510"/>
      <c r="BF895" s="177"/>
      <c r="BG895" s="177"/>
      <c r="BH895" s="166"/>
      <c r="BI895" s="474"/>
      <c r="BJ895" s="166"/>
      <c r="BK895" s="474"/>
      <c r="BL895" s="474"/>
      <c r="BM895" s="474"/>
      <c r="BN895" s="166"/>
      <c r="BO895" s="166"/>
      <c r="BP895" s="204"/>
      <c r="BQ895" s="475"/>
      <c r="BR895" s="205"/>
      <c r="BS895" s="509"/>
      <c r="BT895" s="509"/>
      <c r="BU895" s="459"/>
      <c r="BV895" s="459"/>
      <c r="BW895" s="1"/>
      <c r="BX895" s="1"/>
      <c r="BY895" s="546"/>
      <c r="BZ895" s="546"/>
      <c r="CA895" s="546"/>
      <c r="CB895" s="546"/>
      <c r="CC895" s="728"/>
      <c r="CD895" s="728"/>
      <c r="CE895" s="170"/>
      <c r="CF895"/>
    </row>
    <row r="896" spans="1:84" customFormat="1">
      <c r="A896" s="701"/>
      <c r="B896" s="447"/>
      <c r="C896" s="161"/>
      <c r="D896" s="162"/>
      <c r="E896" s="1"/>
      <c r="F896" s="811"/>
      <c r="G896" s="440"/>
      <c r="H896" s="1"/>
      <c r="I896" s="55"/>
      <c r="J896" s="170"/>
      <c r="K896" s="1"/>
      <c r="L896" s="170"/>
      <c r="M896" s="1"/>
      <c r="N896" s="166"/>
      <c r="O896" s="170"/>
      <c r="P896" s="441"/>
      <c r="Q896" s="55"/>
      <c r="R896" s="177"/>
      <c r="S896" s="454"/>
      <c r="T896" s="178"/>
      <c r="U896" s="178"/>
      <c r="V896" s="179"/>
      <c r="W896" s="180"/>
      <c r="X896" s="179"/>
      <c r="Y896" s="180"/>
      <c r="Z896" s="178"/>
      <c r="AA896" s="178"/>
      <c r="AB896" s="178"/>
      <c r="AC896" s="178"/>
      <c r="AD896" s="182"/>
      <c r="AE896" s="182"/>
      <c r="AF896" s="182"/>
      <c r="AG896" s="182"/>
      <c r="AH896" s="401"/>
      <c r="AI896" s="182"/>
      <c r="AJ896" s="182"/>
      <c r="AK896" s="401"/>
      <c r="AL896" s="401"/>
      <c r="AM896" s="189"/>
      <c r="AN896" s="829"/>
      <c r="AO896" s="830"/>
      <c r="AP896" s="401"/>
      <c r="AQ896" s="401"/>
      <c r="AR896" s="401"/>
      <c r="AS896" s="401"/>
      <c r="AT896" s="403"/>
      <c r="AU896" s="403"/>
      <c r="AV896" s="170"/>
      <c r="AW896" s="166"/>
      <c r="AX896" s="166"/>
      <c r="AY896" s="189"/>
      <c r="AZ896" s="189"/>
      <c r="BA896" s="196"/>
      <c r="BB896" s="629"/>
      <c r="BC896" s="190"/>
      <c r="BD896" s="510"/>
      <c r="BE896" s="510"/>
      <c r="BF896" s="177"/>
      <c r="BG896" s="177"/>
      <c r="BH896" s="166"/>
      <c r="BI896" s="474"/>
      <c r="BJ896" s="166"/>
      <c r="BK896" s="474"/>
      <c r="BL896" s="474"/>
      <c r="BM896" s="474"/>
      <c r="BN896" s="166"/>
      <c r="BO896" s="166"/>
      <c r="BP896" s="204"/>
      <c r="BQ896" s="475"/>
      <c r="BR896" s="205"/>
      <c r="BS896" s="509"/>
      <c r="BT896" s="509"/>
      <c r="BU896" s="459"/>
      <c r="BV896" s="459"/>
      <c r="BW896" s="1"/>
      <c r="BX896" s="1"/>
      <c r="BY896" s="1"/>
      <c r="BZ896" s="1"/>
      <c r="CA896" s="1"/>
      <c r="CB896" s="1"/>
      <c r="CC896" s="728"/>
      <c r="CD896" s="728"/>
      <c r="CE896" s="1"/>
    </row>
    <row r="897" spans="1:84">
      <c r="A897" s="701"/>
      <c r="B897" s="447"/>
      <c r="C897" s="161"/>
      <c r="D897" s="162"/>
      <c r="E897" s="1"/>
      <c r="F897" s="811"/>
      <c r="G897" s="440"/>
      <c r="H897" s="1"/>
      <c r="I897" s="55"/>
      <c r="J897" s="170"/>
      <c r="K897" s="1"/>
      <c r="L897" s="170"/>
      <c r="M897" s="1"/>
      <c r="N897" s="458"/>
      <c r="O897" s="170"/>
      <c r="P897" s="441"/>
      <c r="Q897" s="55"/>
      <c r="R897" s="177"/>
      <c r="S897" s="454"/>
      <c r="T897" s="178"/>
      <c r="U897" s="178"/>
      <c r="V897" s="179"/>
      <c r="W897" s="180"/>
      <c r="X897" s="179"/>
      <c r="Y897" s="180"/>
      <c r="Z897" s="178"/>
      <c r="AA897" s="178"/>
      <c r="AB897" s="178"/>
      <c r="AC897" s="178"/>
      <c r="AD897" s="182"/>
      <c r="AE897" s="182"/>
      <c r="AF897" s="182"/>
      <c r="AG897" s="182"/>
      <c r="AH897" s="401"/>
      <c r="AI897" s="401"/>
      <c r="AJ897" s="401"/>
      <c r="AK897" s="401"/>
      <c r="AL897" s="401"/>
      <c r="AM897" s="189"/>
      <c r="AN897" s="829"/>
      <c r="AO897" s="830"/>
      <c r="AP897" s="401"/>
      <c r="AQ897" s="401"/>
      <c r="AR897" s="401"/>
      <c r="AS897" s="401"/>
      <c r="AT897" s="403"/>
      <c r="AU897" s="403"/>
      <c r="AV897" s="170"/>
      <c r="AW897" s="166"/>
      <c r="AX897" s="166"/>
      <c r="AY897" s="189"/>
      <c r="AZ897" s="189"/>
      <c r="BA897" s="196"/>
      <c r="BB897" s="629"/>
      <c r="BC897" s="190"/>
      <c r="BD897" s="510"/>
      <c r="BE897" s="510"/>
      <c r="BF897" s="177"/>
      <c r="BG897" s="177"/>
      <c r="BH897" s="166"/>
      <c r="BI897" s="474"/>
      <c r="BJ897" s="166"/>
      <c r="BK897" s="474"/>
      <c r="BL897" s="474"/>
      <c r="BM897" s="474"/>
      <c r="BN897" s="166"/>
      <c r="BO897" s="166"/>
      <c r="BP897" s="204"/>
      <c r="BQ897" s="475"/>
      <c r="BR897" s="205"/>
      <c r="BS897" s="509"/>
      <c r="BT897" s="509"/>
      <c r="BU897" s="459"/>
      <c r="BV897" s="459"/>
      <c r="BW897" s="1"/>
      <c r="BX897" s="1"/>
      <c r="BY897" s="1"/>
      <c r="BZ897" s="1"/>
      <c r="CE897" s="170"/>
      <c r="CF897"/>
    </row>
    <row r="898" spans="1:84" customFormat="1">
      <c r="A898" s="701"/>
      <c r="B898" s="447"/>
      <c r="C898" s="161"/>
      <c r="D898" s="162"/>
      <c r="E898" s="1"/>
      <c r="F898" s="811"/>
      <c r="G898" s="440"/>
      <c r="H898" s="1"/>
      <c r="I898" s="55"/>
      <c r="J898" s="170"/>
      <c r="K898" s="1"/>
      <c r="L898" s="170"/>
      <c r="M898" s="1"/>
      <c r="N898" s="166"/>
      <c r="O898" s="170"/>
      <c r="P898" s="441"/>
      <c r="Q898" s="55"/>
      <c r="R898" s="177"/>
      <c r="S898" s="454"/>
      <c r="T898" s="178"/>
      <c r="U898" s="178"/>
      <c r="V898" s="179"/>
      <c r="W898" s="180"/>
      <c r="X898" s="179"/>
      <c r="Y898" s="180"/>
      <c r="Z898" s="178"/>
      <c r="AA898" s="178"/>
      <c r="AB898" s="178"/>
      <c r="AC898" s="178"/>
      <c r="AD898" s="182"/>
      <c r="AE898" s="182"/>
      <c r="AF898" s="182"/>
      <c r="AG898" s="182"/>
      <c r="AH898" s="401"/>
      <c r="AI898" s="182"/>
      <c r="AJ898" s="182"/>
      <c r="AK898" s="401"/>
      <c r="AL898" s="401"/>
      <c r="AM898" s="189"/>
      <c r="AN898" s="829"/>
      <c r="AO898" s="830"/>
      <c r="AP898" s="401"/>
      <c r="AQ898" s="401"/>
      <c r="AR898" s="401"/>
      <c r="AS898" s="401"/>
      <c r="AT898" s="403"/>
      <c r="AU898" s="403"/>
      <c r="AV898" s="170"/>
      <c r="AW898" s="166"/>
      <c r="AX898" s="166"/>
      <c r="AY898" s="189"/>
      <c r="AZ898" s="189"/>
      <c r="BA898" s="196"/>
      <c r="BB898" s="629"/>
      <c r="BC898" s="190"/>
      <c r="BD898" s="510"/>
      <c r="BE898" s="510"/>
      <c r="BF898" s="177"/>
      <c r="BG898" s="177"/>
      <c r="BH898" s="166"/>
      <c r="BI898" s="474"/>
      <c r="BJ898" s="166"/>
      <c r="BK898" s="474"/>
      <c r="BL898" s="474"/>
      <c r="BM898" s="474"/>
      <c r="BN898" s="166"/>
      <c r="BO898" s="166"/>
      <c r="BP898" s="204"/>
      <c r="BQ898" s="475"/>
      <c r="BR898" s="205"/>
      <c r="BS898" s="509"/>
      <c r="BT898" s="509"/>
      <c r="BU898" s="459"/>
      <c r="BV898" s="459"/>
      <c r="BW898" s="1"/>
      <c r="BX898" s="1"/>
      <c r="BY898" s="1"/>
      <c r="BZ898" s="1"/>
      <c r="CA898" s="1"/>
      <c r="CB898" s="1"/>
      <c r="CC898" s="728"/>
      <c r="CD898" s="728"/>
      <c r="CE898" s="1"/>
    </row>
    <row r="899" spans="1:84" customFormat="1">
      <c r="A899" s="701"/>
      <c r="B899" s="447"/>
      <c r="C899" s="161"/>
      <c r="D899" s="162"/>
      <c r="E899" s="1"/>
      <c r="F899" s="811"/>
      <c r="G899" s="440"/>
      <c r="H899" s="1"/>
      <c r="I899" s="55"/>
      <c r="J899" s="170"/>
      <c r="K899" s="1"/>
      <c r="L899" s="170"/>
      <c r="M899" s="1"/>
      <c r="N899" s="458"/>
      <c r="O899" s="170"/>
      <c r="P899" s="441"/>
      <c r="Q899" s="55"/>
      <c r="R899" s="177"/>
      <c r="S899" s="454"/>
      <c r="T899" s="178"/>
      <c r="U899" s="178"/>
      <c r="V899" s="179"/>
      <c r="W899" s="180"/>
      <c r="X899" s="179"/>
      <c r="Y899" s="180"/>
      <c r="Z899" s="178"/>
      <c r="AA899" s="178"/>
      <c r="AB899" s="178"/>
      <c r="AC899" s="178"/>
      <c r="AD899" s="182"/>
      <c r="AE899" s="182"/>
      <c r="AF899" s="182"/>
      <c r="AG899" s="182"/>
      <c r="AH899" s="401"/>
      <c r="AI899" s="401"/>
      <c r="AJ899" s="401"/>
      <c r="AK899" s="401"/>
      <c r="AL899" s="401"/>
      <c r="AM899" s="189"/>
      <c r="AN899" s="829"/>
      <c r="AO899" s="830"/>
      <c r="AP899" s="401"/>
      <c r="AQ899" s="401"/>
      <c r="AR899" s="401"/>
      <c r="AS899" s="401"/>
      <c r="AT899" s="403"/>
      <c r="AU899" s="403"/>
      <c r="AV899" s="170"/>
      <c r="AW899" s="166"/>
      <c r="AX899" s="166"/>
      <c r="AY899" s="189"/>
      <c r="AZ899" s="189"/>
      <c r="BA899" s="196"/>
      <c r="BB899" s="629"/>
      <c r="BC899" s="190"/>
      <c r="BD899" s="510"/>
      <c r="BE899" s="510"/>
      <c r="BF899" s="177"/>
      <c r="BG899" s="177"/>
      <c r="BH899" s="166"/>
      <c r="BI899" s="474"/>
      <c r="BJ899" s="166"/>
      <c r="BK899" s="474"/>
      <c r="BL899" s="474"/>
      <c r="BM899" s="474"/>
      <c r="BN899" s="166"/>
      <c r="BO899" s="166"/>
      <c r="BP899" s="204"/>
      <c r="BQ899" s="475"/>
      <c r="BR899" s="205"/>
      <c r="BS899" s="509"/>
      <c r="BT899" s="509"/>
      <c r="BU899" s="459"/>
      <c r="BV899" s="459"/>
      <c r="BW899" s="1"/>
      <c r="BX899" s="1"/>
      <c r="BY899" s="1"/>
      <c r="BZ899" s="1"/>
      <c r="CA899" s="1"/>
      <c r="CB899" s="1"/>
      <c r="CC899" s="728"/>
      <c r="CD899" s="728"/>
      <c r="CE899" s="1"/>
    </row>
    <row r="900" spans="1:84" customFormat="1">
      <c r="A900" s="701"/>
      <c r="B900" s="447"/>
      <c r="C900" s="1"/>
      <c r="D900" s="538"/>
      <c r="E900" s="1"/>
      <c r="F900" s="811"/>
      <c r="G900" s="440"/>
      <c r="H900" s="1"/>
      <c r="J900" s="171"/>
      <c r="K900" s="55"/>
      <c r="L900" s="171"/>
      <c r="M900" s="55"/>
      <c r="N900" s="172"/>
      <c r="O900" s="170"/>
      <c r="P900" s="139"/>
      <c r="Q900" s="171"/>
      <c r="R900" s="181"/>
      <c r="S900" s="455"/>
      <c r="T900" s="170"/>
      <c r="U900" s="170"/>
      <c r="V900" s="1"/>
      <c r="W900" s="173"/>
      <c r="X900" s="1"/>
      <c r="Y900" s="166"/>
      <c r="Z900" s="170"/>
      <c r="AA900" s="170"/>
      <c r="AB900" s="170"/>
      <c r="AC900" s="170"/>
      <c r="AD900" s="182"/>
      <c r="AE900" s="182"/>
      <c r="AF900" s="182"/>
      <c r="AG900" s="182"/>
      <c r="AH900" s="189"/>
      <c r="AI900" s="401"/>
      <c r="AJ900" s="189"/>
      <c r="AK900" s="401"/>
      <c r="AL900" s="401"/>
      <c r="AM900" s="189"/>
      <c r="AN900" s="782"/>
      <c r="AO900" s="189"/>
      <c r="AP900" s="401"/>
      <c r="AQ900" s="401"/>
      <c r="AR900" s="401"/>
      <c r="AS900" s="188"/>
      <c r="AT900" s="1"/>
      <c r="AU900" s="403"/>
      <c r="AV900" s="1"/>
      <c r="AW900" s="166"/>
      <c r="AX900" s="166"/>
      <c r="AY900" s="189"/>
      <c r="AZ900" s="189"/>
      <c r="BA900" s="196"/>
      <c r="BB900" s="629"/>
      <c r="BC900" s="197"/>
      <c r="BD900" s="510"/>
      <c r="BE900" s="510"/>
      <c r="BF900" s="177"/>
      <c r="BG900" s="177"/>
      <c r="BH900" s="166"/>
      <c r="BI900" s="474"/>
      <c r="BJ900" s="166"/>
      <c r="BK900" s="474"/>
      <c r="BL900" s="474"/>
      <c r="BM900" s="474"/>
      <c r="BN900" s="166"/>
      <c r="BO900" s="166"/>
      <c r="BP900" s="204"/>
      <c r="BQ900" s="475"/>
      <c r="BR900" s="205"/>
      <c r="BS900" s="509"/>
      <c r="BT900" s="509"/>
      <c r="BU900" s="459"/>
      <c r="BV900" s="459"/>
      <c r="BW900" s="1"/>
      <c r="BX900" s="1"/>
      <c r="BY900" s="546"/>
      <c r="BZ900" s="546"/>
      <c r="CA900" s="546"/>
      <c r="CB900" s="546"/>
      <c r="CC900" s="728"/>
      <c r="CD900" s="728"/>
      <c r="CE900" s="170"/>
    </row>
    <row r="901" spans="1:84">
      <c r="A901" s="701"/>
      <c r="B901" s="447"/>
      <c r="C901" s="161"/>
      <c r="D901" s="162"/>
      <c r="E901" s="1"/>
      <c r="F901" s="811"/>
      <c r="G901" s="440"/>
      <c r="H901" s="1"/>
      <c r="I901" s="55"/>
      <c r="J901" s="170"/>
      <c r="K901" s="1"/>
      <c r="L901" s="170"/>
      <c r="M901" s="1"/>
      <c r="N901" s="458"/>
      <c r="O901" s="170"/>
      <c r="P901" s="441"/>
      <c r="Q901" s="55"/>
      <c r="R901" s="177"/>
      <c r="S901" s="454"/>
      <c r="T901" s="178"/>
      <c r="U901" s="178"/>
      <c r="V901" s="179"/>
      <c r="W901" s="180"/>
      <c r="X901" s="179"/>
      <c r="Y901" s="180"/>
      <c r="Z901" s="178"/>
      <c r="AA901" s="178"/>
      <c r="AB901" s="178"/>
      <c r="AC901" s="178"/>
      <c r="AD901" s="182"/>
      <c r="AE901" s="182"/>
      <c r="AF901" s="182"/>
      <c r="AG901" s="182"/>
      <c r="AH901" s="401"/>
      <c r="AI901" s="401"/>
      <c r="AJ901" s="401"/>
      <c r="AK901" s="401"/>
      <c r="AL901" s="401"/>
      <c r="AM901" s="189"/>
      <c r="AN901" s="829"/>
      <c r="AO901" s="830"/>
      <c r="AP901" s="401"/>
      <c r="AQ901" s="401"/>
      <c r="AR901" s="401"/>
      <c r="AS901" s="401"/>
      <c r="AT901" s="403"/>
      <c r="AU901" s="403"/>
      <c r="AV901" s="170"/>
      <c r="AW901" s="166"/>
      <c r="AX901" s="166"/>
      <c r="AY901" s="189"/>
      <c r="AZ901" s="189"/>
      <c r="BA901" s="196"/>
      <c r="BB901" s="629"/>
      <c r="BC901" s="190"/>
      <c r="BD901" s="510"/>
      <c r="BE901" s="510"/>
      <c r="BF901" s="177"/>
      <c r="BG901" s="177"/>
      <c r="BH901" s="166"/>
      <c r="BI901" s="474"/>
      <c r="BJ901" s="166"/>
      <c r="BK901" s="474"/>
      <c r="BL901" s="474"/>
      <c r="BM901" s="474"/>
      <c r="BN901" s="166"/>
      <c r="BO901" s="166"/>
      <c r="BP901" s="204"/>
      <c r="BQ901" s="475"/>
      <c r="BR901" s="205"/>
      <c r="BS901" s="509"/>
      <c r="BT901" s="509"/>
      <c r="BU901" s="459"/>
      <c r="BV901" s="459"/>
      <c r="BW901" s="1"/>
      <c r="BX901" s="1"/>
      <c r="BY901" s="546"/>
      <c r="BZ901" s="546"/>
      <c r="CA901" s="546"/>
      <c r="CB901" s="546"/>
      <c r="CC901" s="728"/>
      <c r="CD901" s="728"/>
      <c r="CE901" s="170"/>
      <c r="CF901"/>
    </row>
    <row r="902" spans="1:84">
      <c r="A902" s="701"/>
      <c r="B902" s="447"/>
      <c r="C902" s="161"/>
      <c r="D902" s="162"/>
      <c r="E902" s="1"/>
      <c r="F902" s="811"/>
      <c r="G902" s="440"/>
      <c r="H902" s="1"/>
      <c r="I902" s="55"/>
      <c r="J902" s="170"/>
      <c r="K902" s="1"/>
      <c r="L902" s="170"/>
      <c r="M902" s="1"/>
      <c r="N902" s="458"/>
      <c r="O902" s="170"/>
      <c r="P902" s="441"/>
      <c r="Q902" s="55"/>
      <c r="R902" s="177"/>
      <c r="S902" s="454"/>
      <c r="T902" s="178"/>
      <c r="U902" s="178"/>
      <c r="V902" s="179"/>
      <c r="W902" s="180"/>
      <c r="X902" s="179"/>
      <c r="Y902" s="180"/>
      <c r="Z902" s="178"/>
      <c r="AA902" s="178"/>
      <c r="AB902" s="178"/>
      <c r="AC902" s="178"/>
      <c r="AD902" s="182"/>
      <c r="AE902" s="182"/>
      <c r="AF902" s="182"/>
      <c r="AG902" s="182"/>
      <c r="AH902" s="401"/>
      <c r="AI902" s="401"/>
      <c r="AJ902" s="401"/>
      <c r="AK902" s="401"/>
      <c r="AL902" s="401"/>
      <c r="AM902" s="189"/>
      <c r="AN902" s="829"/>
      <c r="AO902" s="830"/>
      <c r="AP902" s="401"/>
      <c r="AQ902" s="401"/>
      <c r="AR902" s="401"/>
      <c r="AS902" s="401"/>
      <c r="AT902" s="403"/>
      <c r="AU902" s="403"/>
      <c r="AV902" s="170"/>
      <c r="AW902" s="166"/>
      <c r="AX902" s="166"/>
      <c r="AY902" s="189"/>
      <c r="AZ902" s="189"/>
      <c r="BA902" s="196"/>
      <c r="BB902" s="629"/>
      <c r="BC902" s="190"/>
      <c r="BD902" s="510"/>
      <c r="BE902" s="510"/>
      <c r="BF902" s="177"/>
      <c r="BG902" s="177"/>
      <c r="BH902" s="166"/>
      <c r="BI902" s="474"/>
      <c r="BJ902" s="166"/>
      <c r="BK902" s="474"/>
      <c r="BL902" s="474"/>
      <c r="BM902" s="474"/>
      <c r="BN902" s="166"/>
      <c r="BO902" s="166"/>
      <c r="BP902" s="204"/>
      <c r="BQ902" s="475"/>
      <c r="BR902" s="205"/>
      <c r="BS902" s="509"/>
      <c r="BT902" s="509"/>
      <c r="BU902" s="459"/>
      <c r="BV902" s="459"/>
      <c r="BW902" s="1"/>
      <c r="BX902" s="1"/>
      <c r="BY902" s="546"/>
      <c r="BZ902" s="546"/>
      <c r="CA902" s="546"/>
      <c r="CB902" s="546"/>
      <c r="CC902" s="728"/>
      <c r="CD902" s="728"/>
      <c r="CE902" s="170"/>
      <c r="CF902"/>
    </row>
    <row r="903" spans="1:84">
      <c r="A903" s="701"/>
      <c r="B903" s="447"/>
      <c r="C903" s="161"/>
      <c r="D903" s="162"/>
      <c r="E903" s="1"/>
      <c r="F903" s="811"/>
      <c r="G903" s="440"/>
      <c r="H903" s="1"/>
      <c r="I903" s="55"/>
      <c r="J903" s="457"/>
      <c r="K903" s="1"/>
      <c r="L903" s="170"/>
      <c r="M903" s="1"/>
      <c r="N903" s="458"/>
      <c r="O903" s="170"/>
      <c r="P903" s="441"/>
      <c r="Q903" s="55"/>
      <c r="R903" s="177"/>
      <c r="S903" s="454"/>
      <c r="T903" s="178"/>
      <c r="U903" s="178"/>
      <c r="V903" s="179"/>
      <c r="W903" s="180"/>
      <c r="X903" s="179"/>
      <c r="Y903" s="180"/>
      <c r="Z903" s="178"/>
      <c r="AA903" s="178"/>
      <c r="AB903" s="178"/>
      <c r="AC903" s="178"/>
      <c r="AD903" s="182"/>
      <c r="AE903" s="182"/>
      <c r="AF903" s="182"/>
      <c r="AG903" s="182"/>
      <c r="AH903" s="401"/>
      <c r="AI903" s="401"/>
      <c r="AJ903" s="401"/>
      <c r="AK903" s="401"/>
      <c r="AL903" s="401"/>
      <c r="AM903" s="189"/>
      <c r="AN903" s="829"/>
      <c r="AO903" s="830"/>
      <c r="AP903" s="401"/>
      <c r="AQ903" s="401"/>
      <c r="AR903" s="401"/>
      <c r="AS903" s="401"/>
      <c r="AT903" s="403"/>
      <c r="AU903" s="403"/>
      <c r="AV903" s="170"/>
      <c r="AW903" s="166"/>
      <c r="AX903" s="166"/>
      <c r="AY903" s="189"/>
      <c r="AZ903" s="189"/>
      <c r="BA903" s="196"/>
      <c r="BB903" s="629"/>
      <c r="BC903" s="190"/>
      <c r="BD903" s="510"/>
      <c r="BE903" s="510"/>
      <c r="BF903" s="177"/>
      <c r="BG903" s="177"/>
      <c r="BH903" s="166"/>
      <c r="BI903" s="474"/>
      <c r="BJ903" s="166"/>
      <c r="BK903" s="474"/>
      <c r="BL903" s="474"/>
      <c r="BM903" s="474"/>
      <c r="BN903" s="166"/>
      <c r="BO903" s="166"/>
      <c r="BP903" s="204"/>
      <c r="BQ903" s="475"/>
      <c r="BR903" s="205"/>
      <c r="BS903" s="509"/>
      <c r="BT903" s="509"/>
      <c r="BU903" s="459"/>
      <c r="BV903" s="459"/>
      <c r="BW903" s="1"/>
      <c r="BX903" s="1"/>
      <c r="BY903" s="546"/>
      <c r="BZ903" s="546"/>
      <c r="CA903" s="546"/>
      <c r="CB903" s="546"/>
      <c r="CC903" s="728"/>
      <c r="CD903" s="728"/>
      <c r="CE903" s="170"/>
      <c r="CF903"/>
    </row>
    <row r="904" spans="1:84">
      <c r="A904" s="701"/>
      <c r="B904" s="447"/>
      <c r="C904" s="161"/>
      <c r="D904" s="162"/>
      <c r="E904" s="1"/>
      <c r="F904" s="811"/>
      <c r="G904" s="440"/>
      <c r="H904" s="1"/>
      <c r="I904" s="55"/>
      <c r="J904" s="170"/>
      <c r="K904" s="1"/>
      <c r="L904" s="170"/>
      <c r="M904" s="1"/>
      <c r="N904" s="458"/>
      <c r="O904" s="170"/>
      <c r="P904" s="441"/>
      <c r="Q904" s="55"/>
      <c r="R904" s="177"/>
      <c r="S904" s="454"/>
      <c r="T904" s="178"/>
      <c r="U904" s="178"/>
      <c r="V904" s="179"/>
      <c r="W904" s="180"/>
      <c r="X904" s="179"/>
      <c r="Y904" s="180"/>
      <c r="Z904" s="178"/>
      <c r="AA904" s="178"/>
      <c r="AB904" s="178"/>
      <c r="AC904" s="178"/>
      <c r="AD904" s="182"/>
      <c r="AE904" s="182"/>
      <c r="AF904" s="182"/>
      <c r="AG904" s="182"/>
      <c r="AH904" s="401"/>
      <c r="AI904" s="401"/>
      <c r="AJ904" s="401"/>
      <c r="AK904" s="401"/>
      <c r="AL904" s="401"/>
      <c r="AM904" s="189"/>
      <c r="AN904" s="829"/>
      <c r="AO904" s="830"/>
      <c r="AP904" s="401"/>
      <c r="AQ904" s="401"/>
      <c r="AR904" s="401"/>
      <c r="AS904" s="401"/>
      <c r="AT904" s="403"/>
      <c r="AU904" s="403"/>
      <c r="AV904" s="170"/>
      <c r="AW904" s="166"/>
      <c r="AX904" s="166"/>
      <c r="AY904" s="189"/>
      <c r="AZ904" s="189"/>
      <c r="BA904" s="196"/>
      <c r="BB904" s="629"/>
      <c r="BC904" s="190"/>
      <c r="BD904" s="510"/>
      <c r="BE904" s="510"/>
      <c r="BF904" s="177"/>
      <c r="BG904" s="177"/>
      <c r="BH904" s="166"/>
      <c r="BI904" s="474"/>
      <c r="BJ904" s="166"/>
      <c r="BK904" s="474"/>
      <c r="BL904" s="474"/>
      <c r="BM904" s="474"/>
      <c r="BN904" s="166"/>
      <c r="BO904" s="166"/>
      <c r="BP904" s="204"/>
      <c r="BQ904" s="475"/>
      <c r="BR904" s="205"/>
      <c r="BS904" s="509"/>
      <c r="BT904" s="509"/>
      <c r="BU904" s="459"/>
      <c r="BV904" s="459"/>
      <c r="BW904" s="1"/>
      <c r="BX904" s="1"/>
      <c r="BY904" s="546"/>
      <c r="BZ904" s="546"/>
      <c r="CA904" s="546"/>
      <c r="CB904" s="546"/>
      <c r="CC904" s="728"/>
      <c r="CD904" s="728"/>
      <c r="CE904" s="170"/>
      <c r="CF904"/>
    </row>
    <row r="905" spans="1:84">
      <c r="A905" s="701"/>
      <c r="B905" s="447"/>
      <c r="C905" s="161"/>
      <c r="D905" s="162"/>
      <c r="E905" s="1"/>
      <c r="F905" s="811"/>
      <c r="G905" s="440"/>
      <c r="H905" s="1"/>
      <c r="I905" s="55"/>
      <c r="J905" s="170"/>
      <c r="K905" s="1"/>
      <c r="L905" s="170"/>
      <c r="M905" s="1"/>
      <c r="N905" s="458"/>
      <c r="O905" s="170"/>
      <c r="P905" s="441"/>
      <c r="Q905" s="55"/>
      <c r="R905" s="177"/>
      <c r="S905" s="454"/>
      <c r="T905" s="178"/>
      <c r="U905" s="178"/>
      <c r="V905" s="179"/>
      <c r="W905" s="180"/>
      <c r="X905" s="179"/>
      <c r="Y905" s="180"/>
      <c r="Z905" s="178"/>
      <c r="AA905" s="178"/>
      <c r="AB905" s="178"/>
      <c r="AC905" s="178"/>
      <c r="AD905" s="182"/>
      <c r="AE905" s="182"/>
      <c r="AF905" s="182"/>
      <c r="AG905" s="182"/>
      <c r="AH905" s="401"/>
      <c r="AI905" s="401"/>
      <c r="AJ905" s="401"/>
      <c r="AK905" s="401"/>
      <c r="AL905" s="401"/>
      <c r="AM905" s="189"/>
      <c r="AN905" s="829"/>
      <c r="AO905" s="830"/>
      <c r="AP905" s="401"/>
      <c r="AQ905" s="401"/>
      <c r="AR905" s="401"/>
      <c r="AS905" s="401"/>
      <c r="AT905" s="403"/>
      <c r="AU905" s="403"/>
      <c r="AV905" s="170"/>
      <c r="AW905" s="166"/>
      <c r="AX905" s="166"/>
      <c r="AY905" s="189"/>
      <c r="AZ905" s="189"/>
      <c r="BA905" s="196"/>
      <c r="BB905" s="629"/>
      <c r="BC905" s="190"/>
      <c r="BD905" s="510"/>
      <c r="BE905" s="510"/>
      <c r="BF905" s="177"/>
      <c r="BG905" s="177"/>
      <c r="BH905" s="166"/>
      <c r="BI905" s="474"/>
      <c r="BJ905" s="166"/>
      <c r="BK905" s="474"/>
      <c r="BL905" s="474"/>
      <c r="BM905" s="474"/>
      <c r="BN905" s="166"/>
      <c r="BO905" s="166"/>
      <c r="BP905" s="204"/>
      <c r="BQ905" s="475"/>
      <c r="BR905" s="205"/>
      <c r="BS905" s="509"/>
      <c r="BT905" s="509"/>
      <c r="BU905" s="459"/>
      <c r="BV905" s="459"/>
      <c r="BW905" s="1"/>
      <c r="BX905" s="1"/>
      <c r="BY905" s="546"/>
      <c r="BZ905" s="546"/>
      <c r="CA905" s="546"/>
      <c r="CB905" s="546"/>
      <c r="CC905" s="728"/>
      <c r="CD905" s="728"/>
      <c r="CE905" s="170"/>
      <c r="CF905"/>
    </row>
    <row r="906" spans="1:84">
      <c r="A906" s="701"/>
      <c r="B906" s="447"/>
      <c r="C906" s="161"/>
      <c r="D906" s="162"/>
      <c r="E906" s="1"/>
      <c r="F906" s="811"/>
      <c r="G906" s="440"/>
      <c r="H906" s="1"/>
      <c r="I906" s="55"/>
      <c r="J906" s="170"/>
      <c r="K906" s="1"/>
      <c r="L906" s="170"/>
      <c r="M906" s="1"/>
      <c r="N906" s="458"/>
      <c r="O906" s="170"/>
      <c r="P906" s="441"/>
      <c r="Q906" s="55"/>
      <c r="R906" s="177"/>
      <c r="S906" s="454"/>
      <c r="T906" s="178"/>
      <c r="U906" s="178"/>
      <c r="V906" s="179"/>
      <c r="W906" s="180"/>
      <c r="X906" s="179"/>
      <c r="Y906" s="180"/>
      <c r="Z906" s="178"/>
      <c r="AA906" s="178"/>
      <c r="AB906" s="178"/>
      <c r="AC906" s="178"/>
      <c r="AD906" s="182"/>
      <c r="AE906" s="182"/>
      <c r="AF906" s="182"/>
      <c r="AG906" s="182"/>
      <c r="AH906" s="401"/>
      <c r="AI906" s="401"/>
      <c r="AJ906" s="401"/>
      <c r="AK906" s="401"/>
      <c r="AL906" s="401"/>
      <c r="AM906" s="189"/>
      <c r="AN906" s="829"/>
      <c r="AO906" s="830"/>
      <c r="AP906" s="401"/>
      <c r="AQ906" s="401"/>
      <c r="AR906" s="401"/>
      <c r="AS906" s="401"/>
      <c r="AT906" s="403"/>
      <c r="AU906" s="403"/>
      <c r="AV906" s="170"/>
      <c r="AW906" s="166"/>
      <c r="AX906" s="166"/>
      <c r="AY906" s="189"/>
      <c r="AZ906" s="189"/>
      <c r="BA906" s="196"/>
      <c r="BB906" s="629"/>
      <c r="BC906" s="190"/>
      <c r="BD906" s="510"/>
      <c r="BE906" s="510"/>
      <c r="BF906" s="177"/>
      <c r="BG906" s="177"/>
      <c r="BH906" s="166"/>
      <c r="BI906" s="474"/>
      <c r="BJ906" s="166"/>
      <c r="BK906" s="474"/>
      <c r="BL906" s="474"/>
      <c r="BM906" s="474"/>
      <c r="BN906" s="166"/>
      <c r="BO906" s="166"/>
      <c r="BP906" s="204"/>
      <c r="BQ906" s="475"/>
      <c r="BR906" s="205"/>
      <c r="BS906" s="509"/>
      <c r="BT906" s="509"/>
      <c r="BU906" s="459"/>
      <c r="BV906" s="459"/>
      <c r="BW906" s="1"/>
      <c r="BX906" s="1"/>
      <c r="BY906" s="546"/>
      <c r="BZ906" s="546"/>
      <c r="CA906" s="546"/>
      <c r="CB906" s="546"/>
      <c r="CC906" s="728"/>
      <c r="CD906" s="728"/>
      <c r="CE906" s="170"/>
      <c r="CF906"/>
    </row>
    <row r="907" spans="1:84" customFormat="1">
      <c r="A907" s="701"/>
      <c r="B907" s="447"/>
      <c r="C907" s="161"/>
      <c r="D907" s="162"/>
      <c r="E907" s="1"/>
      <c r="F907" s="811"/>
      <c r="G907" s="440"/>
      <c r="H907" s="1"/>
      <c r="I907" s="55"/>
      <c r="J907" s="170"/>
      <c r="K907" s="1"/>
      <c r="L907" s="170"/>
      <c r="M907" s="1"/>
      <c r="N907" s="166"/>
      <c r="O907" s="170"/>
      <c r="P907" s="441"/>
      <c r="Q907" s="55"/>
      <c r="R907" s="177"/>
      <c r="S907" s="454"/>
      <c r="T907" s="178"/>
      <c r="U907" s="178"/>
      <c r="V907" s="179"/>
      <c r="W907" s="180"/>
      <c r="X907" s="179"/>
      <c r="Y907" s="180"/>
      <c r="Z907" s="178"/>
      <c r="AA907" s="178"/>
      <c r="AB907" s="178"/>
      <c r="AC907" s="178"/>
      <c r="AD907" s="182"/>
      <c r="AE907" s="182"/>
      <c r="AF907" s="182"/>
      <c r="AG907" s="182"/>
      <c r="AH907" s="401"/>
      <c r="AI907" s="182"/>
      <c r="AJ907" s="182"/>
      <c r="AK907" s="401"/>
      <c r="AL907" s="401"/>
      <c r="AM907" s="189"/>
      <c r="AN907" s="829"/>
      <c r="AO907" s="830"/>
      <c r="AP907" s="401"/>
      <c r="AQ907" s="401"/>
      <c r="AR907" s="401"/>
      <c r="AS907" s="401"/>
      <c r="AT907" s="403"/>
      <c r="AU907" s="403"/>
      <c r="AV907" s="170"/>
      <c r="AW907" s="166"/>
      <c r="AX907" s="166"/>
      <c r="AY907" s="189"/>
      <c r="AZ907" s="189"/>
      <c r="BA907" s="196"/>
      <c r="BB907" s="629"/>
      <c r="BC907" s="190"/>
      <c r="BD907" s="510"/>
      <c r="BE907" s="510"/>
      <c r="BF907" s="177"/>
      <c r="BG907" s="177"/>
      <c r="BH907" s="166"/>
      <c r="BI907" s="474"/>
      <c r="BJ907" s="166"/>
      <c r="BK907" s="474"/>
      <c r="BL907" s="474"/>
      <c r="BM907" s="474"/>
      <c r="BN907" s="166"/>
      <c r="BO907" s="166"/>
      <c r="BP907" s="204"/>
      <c r="BQ907" s="475"/>
      <c r="BR907" s="205"/>
      <c r="BS907" s="509"/>
      <c r="BT907" s="509"/>
      <c r="BU907" s="459"/>
      <c r="BV907" s="459"/>
      <c r="BW907" s="1"/>
      <c r="BX907" s="1"/>
      <c r="BY907" s="1"/>
      <c r="BZ907" s="1"/>
      <c r="CA907" s="1"/>
      <c r="CB907" s="1"/>
      <c r="CC907" s="728"/>
      <c r="CD907" s="728"/>
      <c r="CE907" s="1"/>
    </row>
    <row r="908" spans="1:84">
      <c r="A908" s="701"/>
      <c r="B908" s="447"/>
      <c r="C908" s="161"/>
      <c r="D908" s="162"/>
      <c r="E908" s="1"/>
      <c r="F908" s="811"/>
      <c r="G908" s="440"/>
      <c r="H908" s="1"/>
      <c r="I908" s="55"/>
      <c r="J908" s="170"/>
      <c r="K908" s="1"/>
      <c r="L908" s="170"/>
      <c r="M908" s="1"/>
      <c r="N908" s="458"/>
      <c r="O908" s="170"/>
      <c r="P908" s="441"/>
      <c r="Q908" s="55"/>
      <c r="R908" s="177"/>
      <c r="S908" s="454"/>
      <c r="T908" s="178"/>
      <c r="U908" s="178"/>
      <c r="V908" s="179"/>
      <c r="W908" s="180"/>
      <c r="X908" s="179"/>
      <c r="Y908" s="180"/>
      <c r="Z908" s="178"/>
      <c r="AA908" s="178"/>
      <c r="AB908" s="178"/>
      <c r="AC908" s="178"/>
      <c r="AD908" s="182"/>
      <c r="AE908" s="182"/>
      <c r="AF908" s="182"/>
      <c r="AG908" s="182"/>
      <c r="AH908" s="401"/>
      <c r="AI908" s="401"/>
      <c r="AJ908" s="401"/>
      <c r="AK908" s="401"/>
      <c r="AL908" s="401"/>
      <c r="AM908" s="189"/>
      <c r="AN908" s="829"/>
      <c r="AO908" s="830"/>
      <c r="AP908" s="401"/>
      <c r="AQ908" s="401"/>
      <c r="AR908" s="401"/>
      <c r="AS908" s="401"/>
      <c r="AT908" s="403"/>
      <c r="AU908" s="403"/>
      <c r="AV908" s="170"/>
      <c r="AW908" s="166"/>
      <c r="AX908" s="166"/>
      <c r="AY908" s="189"/>
      <c r="AZ908" s="189"/>
      <c r="BA908" s="196"/>
      <c r="BB908" s="629"/>
      <c r="BC908" s="190"/>
      <c r="BD908" s="510"/>
      <c r="BE908" s="510"/>
      <c r="BF908" s="177"/>
      <c r="BG908" s="177"/>
      <c r="BH908" s="166"/>
      <c r="BI908" s="474"/>
      <c r="BJ908" s="166"/>
      <c r="BK908" s="474"/>
      <c r="BL908" s="474"/>
      <c r="BM908" s="474"/>
      <c r="BN908" s="166"/>
      <c r="BO908" s="166"/>
      <c r="BP908" s="204"/>
      <c r="BQ908" s="475"/>
      <c r="BR908" s="205"/>
      <c r="BS908" s="509"/>
      <c r="BT908" s="509"/>
      <c r="BU908" s="459"/>
      <c r="BV908" s="459"/>
      <c r="BW908" s="1"/>
      <c r="BX908" s="1"/>
      <c r="BY908" s="1"/>
      <c r="BZ908" s="1"/>
      <c r="CE908" s="170"/>
      <c r="CF908"/>
    </row>
    <row r="909" spans="1:84" customFormat="1">
      <c r="A909" s="701"/>
      <c r="B909" s="447"/>
      <c r="C909" s="161"/>
      <c r="D909" s="162"/>
      <c r="E909" s="1"/>
      <c r="F909" s="811"/>
      <c r="G909" s="440"/>
      <c r="H909" s="1"/>
      <c r="I909" s="55"/>
      <c r="J909" s="170"/>
      <c r="K909" s="1"/>
      <c r="L909" s="170"/>
      <c r="M909" s="1"/>
      <c r="N909" s="458"/>
      <c r="O909" s="170"/>
      <c r="P909" s="441"/>
      <c r="Q909" s="55"/>
      <c r="R909" s="177"/>
      <c r="S909" s="454"/>
      <c r="T909" s="178"/>
      <c r="U909" s="178"/>
      <c r="V909" s="179"/>
      <c r="W909" s="180"/>
      <c r="X909" s="179"/>
      <c r="Y909" s="180"/>
      <c r="Z909" s="178"/>
      <c r="AA909" s="178"/>
      <c r="AB909" s="178"/>
      <c r="AC909" s="178"/>
      <c r="AD909" s="182"/>
      <c r="AE909" s="182"/>
      <c r="AF909" s="182"/>
      <c r="AG909" s="182"/>
      <c r="AH909" s="401"/>
      <c r="AI909" s="401"/>
      <c r="AJ909" s="401"/>
      <c r="AK909" s="401"/>
      <c r="AL909" s="401"/>
      <c r="AM909" s="189"/>
      <c r="AN909" s="829"/>
      <c r="AO909" s="830"/>
      <c r="AP909" s="401"/>
      <c r="AQ909" s="401"/>
      <c r="AR909" s="401"/>
      <c r="AS909" s="401"/>
      <c r="AT909" s="403"/>
      <c r="AU909" s="403"/>
      <c r="AV909" s="170"/>
      <c r="AW909" s="166"/>
      <c r="AX909" s="166"/>
      <c r="AY909" s="189"/>
      <c r="AZ909" s="189"/>
      <c r="BA909" s="196"/>
      <c r="BB909" s="629"/>
      <c r="BC909" s="190"/>
      <c r="BD909" s="510"/>
      <c r="BE909" s="510"/>
      <c r="BF909" s="177"/>
      <c r="BG909" s="177"/>
      <c r="BH909" s="166"/>
      <c r="BI909" s="474"/>
      <c r="BJ909" s="166"/>
      <c r="BK909" s="474"/>
      <c r="BL909" s="474"/>
      <c r="BM909" s="474"/>
      <c r="BN909" s="166"/>
      <c r="BO909" s="166"/>
      <c r="BP909" s="204"/>
      <c r="BQ909" s="475"/>
      <c r="BR909" s="205"/>
      <c r="BS909" s="509"/>
      <c r="BT909" s="509"/>
      <c r="BU909" s="459"/>
      <c r="BV909" s="459"/>
      <c r="BW909" s="1"/>
      <c r="BX909" s="1"/>
      <c r="BY909" s="1"/>
      <c r="BZ909" s="1"/>
      <c r="CA909" s="1"/>
      <c r="CB909" s="1"/>
      <c r="CC909" s="728"/>
      <c r="CD909" s="728"/>
      <c r="CE909" s="1"/>
    </row>
    <row r="910" spans="1:84" customFormat="1">
      <c r="A910" s="701"/>
      <c r="B910" s="447"/>
      <c r="C910" s="161"/>
      <c r="D910" s="162"/>
      <c r="E910" s="1"/>
      <c r="F910" s="811"/>
      <c r="G910" s="440"/>
      <c r="H910" s="1"/>
      <c r="I910" s="55"/>
      <c r="J910" s="170"/>
      <c r="K910" s="1"/>
      <c r="L910" s="170"/>
      <c r="M910" s="1"/>
      <c r="N910" s="458"/>
      <c r="O910" s="170"/>
      <c r="P910" s="441"/>
      <c r="Q910" s="55"/>
      <c r="R910" s="177"/>
      <c r="S910" s="454"/>
      <c r="T910" s="178"/>
      <c r="U910" s="178"/>
      <c r="V910" s="179"/>
      <c r="W910" s="180"/>
      <c r="X910" s="179"/>
      <c r="Y910" s="180"/>
      <c r="Z910" s="178"/>
      <c r="AA910" s="178"/>
      <c r="AB910" s="178"/>
      <c r="AC910" s="178"/>
      <c r="AD910" s="182"/>
      <c r="AE910" s="182"/>
      <c r="AF910" s="182"/>
      <c r="AG910" s="182"/>
      <c r="AH910" s="401"/>
      <c r="AI910" s="401"/>
      <c r="AJ910" s="401"/>
      <c r="AK910" s="401"/>
      <c r="AL910" s="401"/>
      <c r="AM910" s="189"/>
      <c r="AN910" s="829"/>
      <c r="AO910" s="830"/>
      <c r="AP910" s="401"/>
      <c r="AQ910" s="401"/>
      <c r="AR910" s="401"/>
      <c r="AS910" s="401"/>
      <c r="AT910" s="403"/>
      <c r="AU910" s="403"/>
      <c r="AV910" s="170"/>
      <c r="AW910" s="166"/>
      <c r="AX910" s="166"/>
      <c r="AY910" s="189"/>
      <c r="AZ910" s="189"/>
      <c r="BA910" s="196"/>
      <c r="BB910" s="629"/>
      <c r="BC910" s="190"/>
      <c r="BD910" s="510"/>
      <c r="BE910" s="510"/>
      <c r="BF910" s="177"/>
      <c r="BG910" s="177"/>
      <c r="BH910" s="166"/>
      <c r="BI910" s="474"/>
      <c r="BJ910" s="166"/>
      <c r="BK910" s="474"/>
      <c r="BL910" s="474"/>
      <c r="BM910" s="474"/>
      <c r="BN910" s="166"/>
      <c r="BO910" s="166"/>
      <c r="BP910" s="204"/>
      <c r="BQ910" s="475"/>
      <c r="BR910" s="205"/>
      <c r="BS910" s="509"/>
      <c r="BT910" s="509"/>
      <c r="BU910" s="459"/>
      <c r="BV910" s="459"/>
      <c r="BW910" s="1"/>
      <c r="BX910" s="1"/>
      <c r="BY910" s="1"/>
      <c r="BZ910" s="1"/>
      <c r="CA910" s="1"/>
      <c r="CB910" s="1"/>
      <c r="CC910" s="728"/>
      <c r="CD910" s="728"/>
      <c r="CE910" s="1"/>
    </row>
    <row r="911" spans="1:84" customFormat="1">
      <c r="A911" s="701"/>
      <c r="B911" s="447"/>
      <c r="C911" s="161"/>
      <c r="D911" s="162"/>
      <c r="E911" s="1"/>
      <c r="F911" s="811"/>
      <c r="G911" s="440"/>
      <c r="H911" s="1"/>
      <c r="I911" s="55"/>
      <c r="J911" s="170"/>
      <c r="K911" s="1"/>
      <c r="L911" s="170"/>
      <c r="M911" s="1"/>
      <c r="N911" s="458"/>
      <c r="O911" s="170"/>
      <c r="P911" s="441"/>
      <c r="Q911" s="55"/>
      <c r="R911" s="177"/>
      <c r="S911" s="454"/>
      <c r="T911" s="178"/>
      <c r="U911" s="178"/>
      <c r="V911" s="179"/>
      <c r="W911" s="180"/>
      <c r="X911" s="179"/>
      <c r="Y911" s="180"/>
      <c r="Z911" s="178"/>
      <c r="AA911" s="178"/>
      <c r="AB911" s="178"/>
      <c r="AC911" s="178"/>
      <c r="AD911" s="182"/>
      <c r="AE911" s="182"/>
      <c r="AF911" s="182"/>
      <c r="AG911" s="182"/>
      <c r="AH911" s="401"/>
      <c r="AI911" s="401"/>
      <c r="AJ911" s="401"/>
      <c r="AK911" s="401"/>
      <c r="AL911" s="401"/>
      <c r="AM911" s="189"/>
      <c r="AN911" s="829"/>
      <c r="AO911" s="830"/>
      <c r="AP911" s="401"/>
      <c r="AQ911" s="401"/>
      <c r="AR911" s="401"/>
      <c r="AS911" s="401"/>
      <c r="AT911" s="403"/>
      <c r="AU911" s="403"/>
      <c r="AV911" s="170"/>
      <c r="AW911" s="166"/>
      <c r="AX911" s="166"/>
      <c r="AY911" s="189"/>
      <c r="AZ911" s="189"/>
      <c r="BA911" s="196"/>
      <c r="BB911" s="629"/>
      <c r="BC911" s="190"/>
      <c r="BD911" s="510"/>
      <c r="BE911" s="510"/>
      <c r="BF911" s="177"/>
      <c r="BG911" s="177"/>
      <c r="BH911" s="166"/>
      <c r="BI911" s="474"/>
      <c r="BJ911" s="166"/>
      <c r="BK911" s="474"/>
      <c r="BL911" s="474"/>
      <c r="BM911" s="474"/>
      <c r="BN911" s="166"/>
      <c r="BO911" s="166"/>
      <c r="BP911" s="204"/>
      <c r="BQ911" s="475"/>
      <c r="BR911" s="205"/>
      <c r="BS911" s="509"/>
      <c r="BT911" s="509"/>
      <c r="BU911" s="459"/>
      <c r="BV911" s="459"/>
      <c r="BW911" s="1"/>
      <c r="BX911" s="1"/>
      <c r="BY911" s="1"/>
      <c r="BZ911" s="1"/>
      <c r="CA911" s="1"/>
      <c r="CB911" s="1"/>
      <c r="CC911" s="728"/>
      <c r="CD911" s="728"/>
      <c r="CE911" s="1"/>
    </row>
    <row r="912" spans="1:84" customFormat="1">
      <c r="A912" s="701"/>
      <c r="B912" s="447"/>
      <c r="C912" s="1"/>
      <c r="D912" s="538"/>
      <c r="E912" s="1"/>
      <c r="F912" s="811"/>
      <c r="G912" s="440"/>
      <c r="H912" s="1"/>
      <c r="J912" s="171"/>
      <c r="K912" s="55"/>
      <c r="L912" s="171"/>
      <c r="M912" s="55"/>
      <c r="N912" s="172"/>
      <c r="O912" s="170"/>
      <c r="P912" s="139"/>
      <c r="Q912" s="171"/>
      <c r="R912" s="181"/>
      <c r="S912" s="455"/>
      <c r="T912" s="170"/>
      <c r="U912" s="170"/>
      <c r="V912" s="1"/>
      <c r="W912" s="173"/>
      <c r="X912" s="1"/>
      <c r="Y912" s="166"/>
      <c r="Z912" s="170"/>
      <c r="AA912" s="170"/>
      <c r="AB912" s="170"/>
      <c r="AC912" s="170"/>
      <c r="AD912" s="182"/>
      <c r="AE912" s="182"/>
      <c r="AF912" s="182"/>
      <c r="AG912" s="182"/>
      <c r="AH912" s="189"/>
      <c r="AI912" s="401"/>
      <c r="AJ912" s="189"/>
      <c r="AK912" s="401"/>
      <c r="AL912" s="401"/>
      <c r="AM912" s="189"/>
      <c r="AN912" s="782"/>
      <c r="AO912" s="189"/>
      <c r="AP912" s="401"/>
      <c r="AQ912" s="401"/>
      <c r="AR912" s="401"/>
      <c r="AS912" s="188"/>
      <c r="AT912" s="1"/>
      <c r="AU912" s="403"/>
      <c r="AV912" s="1"/>
      <c r="AW912" s="166"/>
      <c r="AX912" s="166"/>
      <c r="AY912" s="189"/>
      <c r="AZ912" s="189"/>
      <c r="BA912" s="196"/>
      <c r="BB912" s="629"/>
      <c r="BC912" s="197"/>
      <c r="BD912" s="510"/>
      <c r="BE912" s="510"/>
      <c r="BF912" s="177"/>
      <c r="BG912" s="177"/>
      <c r="BH912" s="166"/>
      <c r="BI912" s="474"/>
      <c r="BJ912" s="166"/>
      <c r="BK912" s="474"/>
      <c r="BL912" s="474"/>
      <c r="BM912" s="474"/>
      <c r="BN912" s="166"/>
      <c r="BO912" s="166"/>
      <c r="BP912" s="204"/>
      <c r="BQ912" s="475"/>
      <c r="BR912" s="205"/>
      <c r="BS912" s="509"/>
      <c r="BT912" s="509"/>
      <c r="BU912" s="459"/>
      <c r="BV912" s="459"/>
      <c r="BW912" s="1"/>
      <c r="BX912" s="1"/>
      <c r="BY912" s="546"/>
      <c r="BZ912" s="546"/>
      <c r="CA912" s="546"/>
      <c r="CB912" s="546"/>
      <c r="CC912" s="728"/>
      <c r="CD912" s="728"/>
      <c r="CE912" s="170"/>
    </row>
    <row r="913" spans="1:83" customFormat="1">
      <c r="A913" s="701"/>
      <c r="B913" s="447"/>
      <c r="C913" s="161"/>
      <c r="D913" s="162"/>
      <c r="E913" s="1"/>
      <c r="F913" s="811"/>
      <c r="G913" s="440"/>
      <c r="H913" s="1"/>
      <c r="I913" s="55"/>
      <c r="J913" s="170"/>
      <c r="K913" s="1"/>
      <c r="L913" s="170"/>
      <c r="M913" s="1"/>
      <c r="N913" s="458"/>
      <c r="O913" s="170"/>
      <c r="P913" s="441"/>
      <c r="Q913" s="55"/>
      <c r="R913" s="177"/>
      <c r="S913" s="454"/>
      <c r="T913" s="178"/>
      <c r="U913" s="178"/>
      <c r="V913" s="179"/>
      <c r="W913" s="180"/>
      <c r="X913" s="179"/>
      <c r="Y913" s="180"/>
      <c r="Z913" s="178"/>
      <c r="AA913" s="178"/>
      <c r="AB913" s="178"/>
      <c r="AC913" s="178"/>
      <c r="AD913" s="182"/>
      <c r="AE913" s="182"/>
      <c r="AF913" s="182"/>
      <c r="AG913" s="182"/>
      <c r="AH913" s="401"/>
      <c r="AI913" s="401"/>
      <c r="AJ913" s="401"/>
      <c r="AK913" s="401"/>
      <c r="AL913" s="401"/>
      <c r="AM913" s="189"/>
      <c r="AN913" s="829"/>
      <c r="AO913" s="830"/>
      <c r="AP913" s="401"/>
      <c r="AQ913" s="401"/>
      <c r="AR913" s="401"/>
      <c r="AS913" s="401"/>
      <c r="AT913" s="403"/>
      <c r="AU913" s="403"/>
      <c r="AV913" s="170"/>
      <c r="AW913" s="166"/>
      <c r="AX913" s="166"/>
      <c r="AY913" s="189"/>
      <c r="AZ913" s="189"/>
      <c r="BA913" s="196"/>
      <c r="BB913" s="629"/>
      <c r="BC913" s="190"/>
      <c r="BD913" s="510"/>
      <c r="BE913" s="510"/>
      <c r="BF913" s="177"/>
      <c r="BG913" s="177"/>
      <c r="BH913" s="166"/>
      <c r="BI913" s="474"/>
      <c r="BJ913" s="166"/>
      <c r="BK913" s="474"/>
      <c r="BL913" s="474"/>
      <c r="BM913" s="474"/>
      <c r="BN913" s="166"/>
      <c r="BO913" s="166"/>
      <c r="BP913" s="204"/>
      <c r="BQ913" s="475"/>
      <c r="BR913" s="205"/>
      <c r="BS913" s="509"/>
      <c r="BT913" s="509"/>
      <c r="BU913" s="459"/>
      <c r="BV913" s="459"/>
      <c r="BW913" s="1"/>
      <c r="BX913" s="1"/>
      <c r="BY913" s="546"/>
      <c r="BZ913" s="546"/>
      <c r="CA913" s="546"/>
      <c r="CB913" s="546"/>
      <c r="CC913" s="728"/>
      <c r="CD913" s="728"/>
      <c r="CE913" s="170"/>
    </row>
    <row r="914" spans="1:83" customFormat="1">
      <c r="A914" s="701"/>
      <c r="B914" s="447"/>
      <c r="C914" s="161"/>
      <c r="D914" s="162"/>
      <c r="E914" s="1"/>
      <c r="F914" s="811"/>
      <c r="G914" s="440"/>
      <c r="H914" s="1"/>
      <c r="I914" s="55"/>
      <c r="J914" s="170"/>
      <c r="K914" s="1"/>
      <c r="L914" s="170"/>
      <c r="M914" s="1"/>
      <c r="N914" s="458"/>
      <c r="O914" s="170"/>
      <c r="P914" s="441"/>
      <c r="Q914" s="55"/>
      <c r="R914" s="177"/>
      <c r="S914" s="454"/>
      <c r="T914" s="178"/>
      <c r="U914" s="178"/>
      <c r="V914" s="179"/>
      <c r="W914" s="180"/>
      <c r="X914" s="179"/>
      <c r="Y914" s="180"/>
      <c r="Z914" s="178"/>
      <c r="AA914" s="178"/>
      <c r="AB914" s="178"/>
      <c r="AC914" s="178"/>
      <c r="AD914" s="182"/>
      <c r="AE914" s="182"/>
      <c r="AF914" s="182"/>
      <c r="AG914" s="182"/>
      <c r="AH914" s="401"/>
      <c r="AI914" s="401"/>
      <c r="AJ914" s="401"/>
      <c r="AK914" s="401"/>
      <c r="AL914" s="401"/>
      <c r="AM914" s="189"/>
      <c r="AN914" s="829"/>
      <c r="AO914" s="830"/>
      <c r="AP914" s="401"/>
      <c r="AQ914" s="401"/>
      <c r="AR914" s="401"/>
      <c r="AS914" s="401"/>
      <c r="AT914" s="403"/>
      <c r="AU914" s="403"/>
      <c r="AV914" s="170"/>
      <c r="AW914" s="166"/>
      <c r="AX914" s="166"/>
      <c r="AY914" s="189"/>
      <c r="AZ914" s="189"/>
      <c r="BA914" s="196"/>
      <c r="BB914" s="629"/>
      <c r="BC914" s="190"/>
      <c r="BD914" s="510"/>
      <c r="BE914" s="510"/>
      <c r="BF914" s="177"/>
      <c r="BG914" s="177"/>
      <c r="BH914" s="166"/>
      <c r="BI914" s="474"/>
      <c r="BJ914" s="166"/>
      <c r="BK914" s="474"/>
      <c r="BL914" s="474"/>
      <c r="BM914" s="474"/>
      <c r="BN914" s="166"/>
      <c r="BO914" s="166"/>
      <c r="BP914" s="204"/>
      <c r="BQ914" s="475"/>
      <c r="BR914" s="205"/>
      <c r="BS914" s="509"/>
      <c r="BT914" s="509"/>
      <c r="BU914" s="459"/>
      <c r="BV914" s="459"/>
      <c r="BW914" s="1"/>
      <c r="BX914" s="1"/>
      <c r="BY914" s="546"/>
      <c r="BZ914" s="546"/>
      <c r="CA914" s="546"/>
      <c r="CB914" s="546"/>
      <c r="CC914" s="728"/>
      <c r="CD914" s="728"/>
      <c r="CE914" s="170"/>
    </row>
    <row r="915" spans="1:83" customFormat="1">
      <c r="A915" s="701"/>
      <c r="B915" s="447"/>
      <c r="C915" s="161"/>
      <c r="D915" s="162"/>
      <c r="E915" s="1"/>
      <c r="F915" s="811"/>
      <c r="G915" s="440"/>
      <c r="H915" s="1"/>
      <c r="I915" s="55"/>
      <c r="J915" s="457"/>
      <c r="K915" s="1"/>
      <c r="L915" s="170"/>
      <c r="M915" s="1"/>
      <c r="N915" s="458"/>
      <c r="O915" s="170"/>
      <c r="P915" s="441"/>
      <c r="Q915" s="55"/>
      <c r="R915" s="177"/>
      <c r="S915" s="454"/>
      <c r="T915" s="178"/>
      <c r="U915" s="178"/>
      <c r="V915" s="179"/>
      <c r="W915" s="180"/>
      <c r="X915" s="179"/>
      <c r="Y915" s="180"/>
      <c r="Z915" s="178"/>
      <c r="AA915" s="178"/>
      <c r="AB915" s="178"/>
      <c r="AC915" s="178"/>
      <c r="AD915" s="182"/>
      <c r="AE915" s="182"/>
      <c r="AF915" s="182"/>
      <c r="AG915" s="182"/>
      <c r="AH915" s="401"/>
      <c r="AI915" s="401"/>
      <c r="AJ915" s="401"/>
      <c r="AK915" s="401"/>
      <c r="AL915" s="401"/>
      <c r="AM915" s="189"/>
      <c r="AN915" s="829"/>
      <c r="AO915" s="830"/>
      <c r="AP915" s="401"/>
      <c r="AQ915" s="401"/>
      <c r="AR915" s="401"/>
      <c r="AS915" s="401"/>
      <c r="AT915" s="403"/>
      <c r="AU915" s="403"/>
      <c r="AV915" s="170"/>
      <c r="AW915" s="166"/>
      <c r="AX915" s="166"/>
      <c r="AY915" s="189"/>
      <c r="AZ915" s="189"/>
      <c r="BA915" s="196"/>
      <c r="BB915" s="629"/>
      <c r="BC915" s="190"/>
      <c r="BD915" s="510"/>
      <c r="BE915" s="510"/>
      <c r="BF915" s="177"/>
      <c r="BG915" s="177"/>
      <c r="BH915" s="166"/>
      <c r="BI915" s="474"/>
      <c r="BJ915" s="166"/>
      <c r="BK915" s="474"/>
      <c r="BL915" s="474"/>
      <c r="BM915" s="474"/>
      <c r="BN915" s="166"/>
      <c r="BO915" s="166"/>
      <c r="BP915" s="204"/>
      <c r="BQ915" s="475"/>
      <c r="BR915" s="205"/>
      <c r="BS915" s="509"/>
      <c r="BT915" s="509"/>
      <c r="BU915" s="459"/>
      <c r="BV915" s="459"/>
      <c r="BW915" s="1"/>
      <c r="BX915" s="1"/>
      <c r="BY915" s="546"/>
      <c r="BZ915" s="546"/>
      <c r="CA915" s="546"/>
      <c r="CB915" s="546"/>
      <c r="CC915" s="728"/>
      <c r="CD915" s="728"/>
      <c r="CE915" s="170"/>
    </row>
    <row r="916" spans="1:83" customFormat="1">
      <c r="A916" s="701"/>
      <c r="B916" s="447"/>
      <c r="C916" s="161"/>
      <c r="D916" s="162"/>
      <c r="E916" s="1"/>
      <c r="F916" s="811"/>
      <c r="G916" s="440"/>
      <c r="H916" s="1"/>
      <c r="I916" s="55"/>
      <c r="J916" s="170"/>
      <c r="K916" s="1"/>
      <c r="L916" s="170"/>
      <c r="M916" s="1"/>
      <c r="N916" s="458"/>
      <c r="O916" s="170"/>
      <c r="P916" s="441"/>
      <c r="Q916" s="55"/>
      <c r="R916" s="177"/>
      <c r="S916" s="454"/>
      <c r="T916" s="178"/>
      <c r="U916" s="178"/>
      <c r="V916" s="179"/>
      <c r="W916" s="180"/>
      <c r="X916" s="179"/>
      <c r="Y916" s="180"/>
      <c r="Z916" s="178"/>
      <c r="AA916" s="178"/>
      <c r="AB916" s="178"/>
      <c r="AC916" s="178"/>
      <c r="AD916" s="182"/>
      <c r="AE916" s="182"/>
      <c r="AF916" s="182"/>
      <c r="AG916" s="182"/>
      <c r="AH916" s="401"/>
      <c r="AI916" s="401"/>
      <c r="AJ916" s="401"/>
      <c r="AK916" s="401"/>
      <c r="AL916" s="401"/>
      <c r="AM916" s="189"/>
      <c r="AN916" s="829"/>
      <c r="AO916" s="830"/>
      <c r="AP916" s="401"/>
      <c r="AQ916" s="401"/>
      <c r="AR916" s="401"/>
      <c r="AS916" s="401"/>
      <c r="AT916" s="403"/>
      <c r="AU916" s="403"/>
      <c r="AV916" s="170"/>
      <c r="AW916" s="166"/>
      <c r="AX916" s="166"/>
      <c r="AY916" s="189"/>
      <c r="AZ916" s="189"/>
      <c r="BA916" s="196"/>
      <c r="BB916" s="629"/>
      <c r="BC916" s="190"/>
      <c r="BD916" s="510"/>
      <c r="BE916" s="510"/>
      <c r="BF916" s="177"/>
      <c r="BG916" s="177"/>
      <c r="BH916" s="166"/>
      <c r="BI916" s="474"/>
      <c r="BJ916" s="166"/>
      <c r="BK916" s="474"/>
      <c r="BL916" s="474"/>
      <c r="BM916" s="474"/>
      <c r="BN916" s="166"/>
      <c r="BO916" s="166"/>
      <c r="BP916" s="204"/>
      <c r="BQ916" s="475"/>
      <c r="BR916" s="205"/>
      <c r="BS916" s="509"/>
      <c r="BT916" s="509"/>
      <c r="BU916" s="459"/>
      <c r="BV916" s="459"/>
      <c r="BW916" s="1"/>
      <c r="BX916" s="1"/>
      <c r="BY916" s="546"/>
      <c r="BZ916" s="546"/>
      <c r="CA916" s="546"/>
      <c r="CB916" s="546"/>
      <c r="CC916" s="728"/>
      <c r="CD916" s="728"/>
      <c r="CE916" s="170"/>
    </row>
    <row r="917" spans="1:83" customFormat="1">
      <c r="A917" s="701"/>
      <c r="B917" s="447"/>
      <c r="C917" s="161"/>
      <c r="D917" s="162"/>
      <c r="E917" s="1"/>
      <c r="F917" s="811"/>
      <c r="G917" s="440"/>
      <c r="H917" s="1"/>
      <c r="I917" s="55"/>
      <c r="J917" s="170"/>
      <c r="K917" s="1"/>
      <c r="L917" s="170"/>
      <c r="M917" s="1"/>
      <c r="N917" s="458"/>
      <c r="O917" s="170"/>
      <c r="P917" s="441"/>
      <c r="Q917" s="55"/>
      <c r="R917" s="177"/>
      <c r="S917" s="454"/>
      <c r="T917" s="178"/>
      <c r="U917" s="178"/>
      <c r="V917" s="179"/>
      <c r="W917" s="180"/>
      <c r="X917" s="179"/>
      <c r="Y917" s="180"/>
      <c r="Z917" s="178"/>
      <c r="AA917" s="178"/>
      <c r="AB917" s="178"/>
      <c r="AC917" s="178"/>
      <c r="AD917" s="182"/>
      <c r="AE917" s="182"/>
      <c r="AF917" s="182"/>
      <c r="AG917" s="182"/>
      <c r="AH917" s="401"/>
      <c r="AI917" s="401"/>
      <c r="AJ917" s="401"/>
      <c r="AK917" s="401"/>
      <c r="AL917" s="401"/>
      <c r="AM917" s="189"/>
      <c r="AN917" s="829"/>
      <c r="AO917" s="830"/>
      <c r="AP917" s="401"/>
      <c r="AQ917" s="401"/>
      <c r="AR917" s="401"/>
      <c r="AS917" s="401"/>
      <c r="AT917" s="403"/>
      <c r="AU917" s="403"/>
      <c r="AV917" s="170"/>
      <c r="AW917" s="166"/>
      <c r="AX917" s="166"/>
      <c r="AY917" s="189"/>
      <c r="AZ917" s="189"/>
      <c r="BA917" s="196"/>
      <c r="BB917" s="629"/>
      <c r="BC917" s="190"/>
      <c r="BD917" s="510"/>
      <c r="BE917" s="510"/>
      <c r="BF917" s="177"/>
      <c r="BG917" s="177"/>
      <c r="BH917" s="166"/>
      <c r="BI917" s="474"/>
      <c r="BJ917" s="166"/>
      <c r="BK917" s="474"/>
      <c r="BL917" s="474"/>
      <c r="BM917" s="474"/>
      <c r="BN917" s="166"/>
      <c r="BO917" s="166"/>
      <c r="BP917" s="204"/>
      <c r="BQ917" s="475"/>
      <c r="BR917" s="205"/>
      <c r="BS917" s="509"/>
      <c r="BT917" s="509"/>
      <c r="BU917" s="459"/>
      <c r="BV917" s="459"/>
      <c r="BW917" s="1"/>
      <c r="BX917" s="1"/>
      <c r="BY917" s="1"/>
      <c r="BZ917" s="1"/>
      <c r="CA917" s="1"/>
      <c r="CB917" s="1"/>
      <c r="CC917" s="728"/>
      <c r="CD917" s="728"/>
      <c r="CE917" s="1"/>
    </row>
    <row r="918" spans="1:83" customFormat="1">
      <c r="A918" s="701"/>
      <c r="B918" s="447"/>
      <c r="C918" s="1"/>
      <c r="D918" s="538"/>
      <c r="E918" s="1"/>
      <c r="F918" s="811"/>
      <c r="G918" s="440"/>
      <c r="H918" s="1"/>
      <c r="J918" s="171"/>
      <c r="K918" s="55"/>
      <c r="L918" s="171"/>
      <c r="M918" s="55"/>
      <c r="N918" s="172"/>
      <c r="O918" s="170"/>
      <c r="P918" s="139"/>
      <c r="Q918" s="171"/>
      <c r="R918" s="181"/>
      <c r="S918" s="455"/>
      <c r="T918" s="170"/>
      <c r="U918" s="170"/>
      <c r="V918" s="1"/>
      <c r="W918" s="173"/>
      <c r="X918" s="1"/>
      <c r="Y918" s="166"/>
      <c r="Z918" s="170"/>
      <c r="AA918" s="170"/>
      <c r="AB918" s="170"/>
      <c r="AC918" s="170"/>
      <c r="AD918" s="182"/>
      <c r="AE918" s="182"/>
      <c r="AF918" s="182"/>
      <c r="AG918" s="182"/>
      <c r="AH918" s="189"/>
      <c r="AI918" s="401"/>
      <c r="AJ918" s="189"/>
      <c r="AK918" s="401"/>
      <c r="AL918" s="401"/>
      <c r="AM918" s="189"/>
      <c r="AN918" s="782"/>
      <c r="AO918" s="189"/>
      <c r="AP918" s="401"/>
      <c r="AQ918" s="401"/>
      <c r="AR918" s="401"/>
      <c r="AS918" s="188"/>
      <c r="AT918" s="1"/>
      <c r="AU918" s="403"/>
      <c r="AV918" s="1"/>
      <c r="AW918" s="166"/>
      <c r="AX918" s="166"/>
      <c r="AY918" s="189"/>
      <c r="AZ918" s="189"/>
      <c r="BA918" s="196"/>
      <c r="BB918" s="629"/>
      <c r="BC918" s="197"/>
      <c r="BD918" s="510"/>
      <c r="BE918" s="510"/>
      <c r="BF918" s="177"/>
      <c r="BG918" s="177"/>
      <c r="BH918" s="166"/>
      <c r="BI918" s="474"/>
      <c r="BJ918" s="166"/>
      <c r="BK918" s="474"/>
      <c r="BL918" s="474"/>
      <c r="BM918" s="474"/>
      <c r="BN918" s="166"/>
      <c r="BO918" s="166"/>
      <c r="BP918" s="204"/>
      <c r="BQ918" s="475"/>
      <c r="BR918" s="205"/>
      <c r="BS918" s="509"/>
      <c r="BT918" s="509"/>
      <c r="BU918" s="459"/>
      <c r="BV918" s="459"/>
      <c r="BW918" s="1"/>
      <c r="BX918" s="1"/>
      <c r="BY918" s="546"/>
      <c r="BZ918" s="546"/>
      <c r="CA918" s="546"/>
      <c r="CB918" s="546"/>
      <c r="CC918" s="728"/>
      <c r="CD918" s="728"/>
      <c r="CE918" s="170"/>
    </row>
    <row r="919" spans="1:83" customFormat="1">
      <c r="A919" s="701"/>
      <c r="B919" s="447"/>
      <c r="C919" s="161"/>
      <c r="D919" s="162"/>
      <c r="E919" s="1"/>
      <c r="F919" s="811"/>
      <c r="G919" s="440"/>
      <c r="H919" s="1"/>
      <c r="I919" s="55"/>
      <c r="J919" s="170"/>
      <c r="K919" s="1"/>
      <c r="L919" s="170"/>
      <c r="M919" s="1"/>
      <c r="N919" s="458"/>
      <c r="O919" s="170"/>
      <c r="P919" s="441"/>
      <c r="Q919" s="55"/>
      <c r="R919" s="177"/>
      <c r="S919" s="454"/>
      <c r="T919" s="178"/>
      <c r="U919" s="178"/>
      <c r="V919" s="179"/>
      <c r="W919" s="180"/>
      <c r="X919" s="179"/>
      <c r="Y919" s="180"/>
      <c r="Z919" s="178"/>
      <c r="AA919" s="178"/>
      <c r="AB919" s="178"/>
      <c r="AC919" s="178"/>
      <c r="AD919" s="182"/>
      <c r="AE919" s="182"/>
      <c r="AF919" s="182"/>
      <c r="AG919" s="182"/>
      <c r="AH919" s="401"/>
      <c r="AI919" s="401"/>
      <c r="AJ919" s="401"/>
      <c r="AK919" s="401"/>
      <c r="AL919" s="401"/>
      <c r="AM919" s="189"/>
      <c r="AN919" s="829"/>
      <c r="AO919" s="830"/>
      <c r="AP919" s="401"/>
      <c r="AQ919" s="401"/>
      <c r="AR919" s="401"/>
      <c r="AS919" s="401"/>
      <c r="AT919" s="403"/>
      <c r="AU919" s="403"/>
      <c r="AV919" s="170"/>
      <c r="AW919" s="166"/>
      <c r="AX919" s="166"/>
      <c r="AY919" s="189"/>
      <c r="AZ919" s="189"/>
      <c r="BA919" s="196"/>
      <c r="BB919" s="629"/>
      <c r="BC919" s="190"/>
      <c r="BD919" s="510"/>
      <c r="BE919" s="510"/>
      <c r="BF919" s="177"/>
      <c r="BG919" s="177"/>
      <c r="BH919" s="166"/>
      <c r="BI919" s="474"/>
      <c r="BJ919" s="166"/>
      <c r="BK919" s="474"/>
      <c r="BL919" s="474"/>
      <c r="BM919" s="474"/>
      <c r="BN919" s="166"/>
      <c r="BO919" s="166"/>
      <c r="BP919" s="204"/>
      <c r="BQ919" s="475"/>
      <c r="BR919" s="205"/>
      <c r="BS919" s="509"/>
      <c r="BT919" s="509"/>
      <c r="BU919" s="459"/>
      <c r="BV919" s="459"/>
      <c r="BW919" s="1"/>
      <c r="BX919" s="1"/>
      <c r="BY919" s="546"/>
      <c r="BZ919" s="546"/>
      <c r="CA919" s="546"/>
      <c r="CB919" s="546"/>
      <c r="CC919" s="728"/>
      <c r="CD919" s="728"/>
      <c r="CE919" s="170"/>
    </row>
    <row r="920" spans="1:83" customFormat="1">
      <c r="A920" s="701"/>
      <c r="B920" s="447"/>
      <c r="C920" s="161"/>
      <c r="D920" s="162"/>
      <c r="E920" s="1"/>
      <c r="F920" s="811"/>
      <c r="G920" s="440"/>
      <c r="H920" s="1"/>
      <c r="I920" s="55"/>
      <c r="J920" s="170"/>
      <c r="K920" s="1"/>
      <c r="L920" s="170"/>
      <c r="M920" s="1"/>
      <c r="N920" s="458"/>
      <c r="O920" s="170"/>
      <c r="P920" s="441"/>
      <c r="Q920" s="55"/>
      <c r="R920" s="177"/>
      <c r="S920" s="454"/>
      <c r="T920" s="178"/>
      <c r="U920" s="178"/>
      <c r="V920" s="179"/>
      <c r="W920" s="180"/>
      <c r="X920" s="179"/>
      <c r="Y920" s="180"/>
      <c r="Z920" s="178"/>
      <c r="AA920" s="178"/>
      <c r="AB920" s="178"/>
      <c r="AC920" s="178"/>
      <c r="AD920" s="182"/>
      <c r="AE920" s="182"/>
      <c r="AF920" s="182"/>
      <c r="AG920" s="182"/>
      <c r="AH920" s="401"/>
      <c r="AI920" s="401"/>
      <c r="AJ920" s="401"/>
      <c r="AK920" s="401"/>
      <c r="AL920" s="401"/>
      <c r="AM920" s="189"/>
      <c r="AN920" s="829"/>
      <c r="AO920" s="830"/>
      <c r="AP920" s="401"/>
      <c r="AQ920" s="401"/>
      <c r="AR920" s="401"/>
      <c r="AS920" s="401"/>
      <c r="AT920" s="403"/>
      <c r="AU920" s="403"/>
      <c r="AV920" s="170"/>
      <c r="AW920" s="166"/>
      <c r="AX920" s="166"/>
      <c r="AY920" s="189"/>
      <c r="AZ920" s="189"/>
      <c r="BA920" s="196"/>
      <c r="BB920" s="629"/>
      <c r="BC920" s="190"/>
      <c r="BD920" s="510"/>
      <c r="BE920" s="510"/>
      <c r="BF920" s="177"/>
      <c r="BG920" s="177"/>
      <c r="BH920" s="166"/>
      <c r="BI920" s="474"/>
      <c r="BJ920" s="166"/>
      <c r="BK920" s="474"/>
      <c r="BL920" s="474"/>
      <c r="BM920" s="474"/>
      <c r="BN920" s="166"/>
      <c r="BO920" s="166"/>
      <c r="BP920" s="204"/>
      <c r="BQ920" s="475"/>
      <c r="BR920" s="205"/>
      <c r="BS920" s="509"/>
      <c r="BT920" s="509"/>
      <c r="BU920" s="459"/>
      <c r="BV920" s="459"/>
      <c r="BW920" s="1"/>
      <c r="BX920" s="1"/>
      <c r="BY920" s="546"/>
      <c r="BZ920" s="546"/>
      <c r="CA920" s="546"/>
      <c r="CB920" s="546"/>
      <c r="CC920" s="728"/>
      <c r="CD920" s="728"/>
      <c r="CE920" s="170"/>
    </row>
    <row r="921" spans="1:83" customFormat="1">
      <c r="A921" s="701"/>
      <c r="B921" s="447"/>
      <c r="C921" s="161"/>
      <c r="D921" s="162"/>
      <c r="E921" s="1"/>
      <c r="F921" s="811"/>
      <c r="G921" s="440"/>
      <c r="H921" s="1"/>
      <c r="I921" s="55"/>
      <c r="J921" s="457"/>
      <c r="K921" s="1"/>
      <c r="L921" s="170"/>
      <c r="M921" s="1"/>
      <c r="N921" s="458"/>
      <c r="O921" s="170"/>
      <c r="P921" s="441"/>
      <c r="Q921" s="55"/>
      <c r="R921" s="177"/>
      <c r="S921" s="454"/>
      <c r="T921" s="178"/>
      <c r="U921" s="178"/>
      <c r="V921" s="179"/>
      <c r="W921" s="180"/>
      <c r="X921" s="179"/>
      <c r="Y921" s="180"/>
      <c r="Z921" s="178"/>
      <c r="AA921" s="178"/>
      <c r="AB921" s="178"/>
      <c r="AC921" s="178"/>
      <c r="AD921" s="182"/>
      <c r="AE921" s="182"/>
      <c r="AF921" s="182"/>
      <c r="AG921" s="182"/>
      <c r="AH921" s="401"/>
      <c r="AI921" s="401"/>
      <c r="AJ921" s="401"/>
      <c r="AK921" s="401"/>
      <c r="AL921" s="401"/>
      <c r="AM921" s="189"/>
      <c r="AN921" s="829"/>
      <c r="AO921" s="830"/>
      <c r="AP921" s="401"/>
      <c r="AQ921" s="401"/>
      <c r="AR921" s="401"/>
      <c r="AS921" s="401"/>
      <c r="AT921" s="403"/>
      <c r="AU921" s="403"/>
      <c r="AV921" s="170"/>
      <c r="AW921" s="166"/>
      <c r="AX921" s="166"/>
      <c r="AY921" s="189"/>
      <c r="AZ921" s="189"/>
      <c r="BA921" s="196"/>
      <c r="BB921" s="629"/>
      <c r="BC921" s="190"/>
      <c r="BD921" s="510"/>
      <c r="BE921" s="510"/>
      <c r="BF921" s="177"/>
      <c r="BG921" s="177"/>
      <c r="BH921" s="166"/>
      <c r="BI921" s="474"/>
      <c r="BJ921" s="166"/>
      <c r="BK921" s="474"/>
      <c r="BL921" s="474"/>
      <c r="BM921" s="474"/>
      <c r="BN921" s="166"/>
      <c r="BO921" s="166"/>
      <c r="BP921" s="204"/>
      <c r="BQ921" s="475"/>
      <c r="BR921" s="205"/>
      <c r="BS921" s="509"/>
      <c r="BT921" s="509"/>
      <c r="BU921" s="459"/>
      <c r="BV921" s="459"/>
      <c r="BW921" s="1"/>
      <c r="BX921" s="1"/>
      <c r="BY921" s="546"/>
      <c r="BZ921" s="546"/>
      <c r="CA921" s="546"/>
      <c r="CB921" s="546"/>
      <c r="CC921" s="728"/>
      <c r="CD921" s="728"/>
      <c r="CE921" s="170"/>
    </row>
    <row r="922" spans="1:83" customFormat="1">
      <c r="A922" s="701"/>
      <c r="B922" s="447"/>
      <c r="C922" s="161"/>
      <c r="D922" s="162"/>
      <c r="E922" s="1"/>
      <c r="F922" s="811"/>
      <c r="G922" s="440"/>
      <c r="H922" s="1"/>
      <c r="I922" s="55"/>
      <c r="J922" s="170"/>
      <c r="K922" s="1"/>
      <c r="L922" s="170"/>
      <c r="M922" s="1"/>
      <c r="N922" s="458"/>
      <c r="O922" s="170"/>
      <c r="P922" s="441"/>
      <c r="Q922" s="55"/>
      <c r="R922" s="177"/>
      <c r="S922" s="454"/>
      <c r="T922" s="178"/>
      <c r="U922" s="178"/>
      <c r="V922" s="179"/>
      <c r="W922" s="180"/>
      <c r="X922" s="179"/>
      <c r="Y922" s="180"/>
      <c r="Z922" s="178"/>
      <c r="AA922" s="178"/>
      <c r="AB922" s="178"/>
      <c r="AC922" s="178"/>
      <c r="AD922" s="182"/>
      <c r="AE922" s="182"/>
      <c r="AF922" s="182"/>
      <c r="AG922" s="182"/>
      <c r="AH922" s="401"/>
      <c r="AI922" s="401"/>
      <c r="AJ922" s="401"/>
      <c r="AK922" s="401"/>
      <c r="AL922" s="401"/>
      <c r="AM922" s="189"/>
      <c r="AN922" s="829"/>
      <c r="AO922" s="830"/>
      <c r="AP922" s="401"/>
      <c r="AQ922" s="401"/>
      <c r="AR922" s="401"/>
      <c r="AS922" s="401"/>
      <c r="AT922" s="403"/>
      <c r="AU922" s="403"/>
      <c r="AV922" s="170"/>
      <c r="AW922" s="166"/>
      <c r="AX922" s="166"/>
      <c r="AY922" s="189"/>
      <c r="AZ922" s="189"/>
      <c r="BA922" s="196"/>
      <c r="BB922" s="629"/>
      <c r="BC922" s="190"/>
      <c r="BD922" s="510"/>
      <c r="BE922" s="510"/>
      <c r="BF922" s="177"/>
      <c r="BG922" s="177"/>
      <c r="BH922" s="166"/>
      <c r="BI922" s="474"/>
      <c r="BJ922" s="166"/>
      <c r="BK922" s="474"/>
      <c r="BL922" s="474"/>
      <c r="BM922" s="474"/>
      <c r="BN922" s="166"/>
      <c r="BO922" s="166"/>
      <c r="BP922" s="204"/>
      <c r="BQ922" s="475"/>
      <c r="BR922" s="205"/>
      <c r="BS922" s="509"/>
      <c r="BT922" s="509"/>
      <c r="BU922" s="459"/>
      <c r="BV922" s="459"/>
      <c r="BW922" s="1"/>
      <c r="BX922" s="1"/>
      <c r="BY922" s="546"/>
      <c r="BZ922" s="546"/>
      <c r="CA922" s="546"/>
      <c r="CB922" s="546"/>
      <c r="CC922" s="728"/>
      <c r="CD922" s="728"/>
      <c r="CE922" s="170"/>
    </row>
    <row r="923" spans="1:83" customFormat="1">
      <c r="A923" s="701"/>
      <c r="B923" s="447"/>
      <c r="C923" s="161"/>
      <c r="D923" s="162"/>
      <c r="E923" s="1"/>
      <c r="F923" s="811"/>
      <c r="G923" s="440"/>
      <c r="H923" s="1"/>
      <c r="I923" s="55"/>
      <c r="J923" s="170"/>
      <c r="K923" s="1"/>
      <c r="L923" s="170"/>
      <c r="M923" s="1"/>
      <c r="N923" s="458"/>
      <c r="O923" s="170"/>
      <c r="P923" s="441"/>
      <c r="Q923" s="55"/>
      <c r="R923" s="177"/>
      <c r="S923" s="454"/>
      <c r="T923" s="178"/>
      <c r="U923" s="178"/>
      <c r="V923" s="179"/>
      <c r="W923" s="180"/>
      <c r="X923" s="179"/>
      <c r="Y923" s="180"/>
      <c r="Z923" s="178"/>
      <c r="AA923" s="178"/>
      <c r="AB923" s="178"/>
      <c r="AC923" s="178"/>
      <c r="AD923" s="182"/>
      <c r="AE923" s="182"/>
      <c r="AF923" s="182"/>
      <c r="AG923" s="182"/>
      <c r="AH923" s="401"/>
      <c r="AI923" s="401"/>
      <c r="AJ923" s="401"/>
      <c r="AK923" s="401"/>
      <c r="AL923" s="401"/>
      <c r="AM923" s="189"/>
      <c r="AN923" s="829"/>
      <c r="AO923" s="830"/>
      <c r="AP923" s="401"/>
      <c r="AQ923" s="401"/>
      <c r="AR923" s="401"/>
      <c r="AS923" s="401"/>
      <c r="AT923" s="403"/>
      <c r="AU923" s="403"/>
      <c r="AV923" s="170"/>
      <c r="AW923" s="166"/>
      <c r="AX923" s="166"/>
      <c r="AY923" s="189"/>
      <c r="AZ923" s="189"/>
      <c r="BA923" s="196"/>
      <c r="BB923" s="629"/>
      <c r="BC923" s="190"/>
      <c r="BD923" s="510"/>
      <c r="BE923" s="510"/>
      <c r="BF923" s="177"/>
      <c r="BG923" s="177"/>
      <c r="BH923" s="166"/>
      <c r="BI923" s="474"/>
      <c r="BJ923" s="166"/>
      <c r="BK923" s="474"/>
      <c r="BL923" s="474"/>
      <c r="BM923" s="474"/>
      <c r="BN923" s="166"/>
      <c r="BO923" s="166"/>
      <c r="BP923" s="204"/>
      <c r="BQ923" s="475"/>
      <c r="BR923" s="205"/>
      <c r="BS923" s="509"/>
      <c r="BT923" s="509"/>
      <c r="BU923" s="459"/>
      <c r="BV923" s="459"/>
      <c r="BW923" s="1"/>
      <c r="BX923" s="1"/>
      <c r="BY923" s="1"/>
      <c r="BZ923" s="1"/>
      <c r="CA923" s="1"/>
      <c r="CB923" s="1"/>
      <c r="CC923" s="728"/>
      <c r="CD923" s="728"/>
      <c r="CE923" s="1"/>
    </row>
    <row r="924" spans="1:83" customFormat="1">
      <c r="A924" s="701"/>
      <c r="B924" s="447"/>
      <c r="C924" s="161"/>
      <c r="D924" s="162"/>
      <c r="E924" s="1"/>
      <c r="F924" s="811"/>
      <c r="G924" s="440"/>
      <c r="H924" s="1"/>
      <c r="I924" s="55"/>
      <c r="J924" s="170"/>
      <c r="K924" s="1"/>
      <c r="L924" s="170"/>
      <c r="M924" s="1"/>
      <c r="N924" s="166"/>
      <c r="O924" s="170"/>
      <c r="P924" s="441"/>
      <c r="Q924" s="55"/>
      <c r="R924" s="177"/>
      <c r="S924" s="454"/>
      <c r="T924" s="178"/>
      <c r="U924" s="178"/>
      <c r="V924" s="179"/>
      <c r="W924" s="180"/>
      <c r="X924" s="179"/>
      <c r="Y924" s="180"/>
      <c r="Z924" s="178"/>
      <c r="AA924" s="178"/>
      <c r="AB924" s="178"/>
      <c r="AC924" s="178"/>
      <c r="AD924" s="182"/>
      <c r="AE924" s="182"/>
      <c r="AF924" s="182"/>
      <c r="AG924" s="182"/>
      <c r="AH924" s="401"/>
      <c r="AI924" s="182"/>
      <c r="AJ924" s="182"/>
      <c r="AK924" s="401"/>
      <c r="AL924" s="401"/>
      <c r="AM924" s="189"/>
      <c r="AN924" s="829"/>
      <c r="AO924" s="830"/>
      <c r="AP924" s="401"/>
      <c r="AQ924" s="401"/>
      <c r="AR924" s="401"/>
      <c r="AS924" s="401"/>
      <c r="AT924" s="403"/>
      <c r="AU924" s="403"/>
      <c r="AV924" s="170"/>
      <c r="AW924" s="166"/>
      <c r="AX924" s="166"/>
      <c r="AY924" s="189"/>
      <c r="AZ924" s="189"/>
      <c r="BA924" s="196"/>
      <c r="BB924" s="629"/>
      <c r="BC924" s="190"/>
      <c r="BD924" s="510"/>
      <c r="BE924" s="510"/>
      <c r="BF924" s="177"/>
      <c r="BG924" s="177"/>
      <c r="BH924" s="166"/>
      <c r="BI924" s="474"/>
      <c r="BJ924" s="166"/>
      <c r="BK924" s="474"/>
      <c r="BL924" s="474"/>
      <c r="BM924" s="474"/>
      <c r="BN924" s="166"/>
      <c r="BO924" s="166"/>
      <c r="BP924" s="204"/>
      <c r="BQ924" s="475"/>
      <c r="BR924" s="205"/>
      <c r="BS924" s="509"/>
      <c r="BT924" s="509"/>
      <c r="BU924" s="459"/>
      <c r="BV924" s="459"/>
      <c r="BW924" s="1"/>
      <c r="BX924" s="1"/>
      <c r="BY924" s="1"/>
      <c r="BZ924" s="1"/>
      <c r="CA924" s="1"/>
      <c r="CB924" s="1"/>
      <c r="CC924" s="728"/>
      <c r="CD924" s="728"/>
      <c r="CE924" s="1"/>
    </row>
    <row r="925" spans="1:83" customFormat="1">
      <c r="A925" s="701"/>
      <c r="B925" s="447"/>
      <c r="C925" s="1"/>
      <c r="D925" s="538"/>
      <c r="E925" s="1"/>
      <c r="F925" s="811"/>
      <c r="G925" s="440"/>
      <c r="H925" s="1"/>
      <c r="J925" s="171"/>
      <c r="K925" s="55"/>
      <c r="L925" s="171"/>
      <c r="M925" s="55"/>
      <c r="N925" s="172"/>
      <c r="O925" s="170"/>
      <c r="P925" s="139"/>
      <c r="Q925" s="171"/>
      <c r="R925" s="181"/>
      <c r="S925" s="455"/>
      <c r="T925" s="170"/>
      <c r="U925" s="170"/>
      <c r="V925" s="1"/>
      <c r="W925" s="173"/>
      <c r="X925" s="1"/>
      <c r="Y925" s="166"/>
      <c r="Z925" s="170"/>
      <c r="AA925" s="170"/>
      <c r="AB925" s="170"/>
      <c r="AC925" s="170"/>
      <c r="AD925" s="182"/>
      <c r="AE925" s="182"/>
      <c r="AF925" s="182"/>
      <c r="AG925" s="182"/>
      <c r="AH925" s="189"/>
      <c r="AI925" s="401"/>
      <c r="AJ925" s="189"/>
      <c r="AK925" s="401"/>
      <c r="AL925" s="401"/>
      <c r="AM925" s="189"/>
      <c r="AN925" s="782"/>
      <c r="AO925" s="189"/>
      <c r="AP925" s="401"/>
      <c r="AQ925" s="401"/>
      <c r="AR925" s="401"/>
      <c r="AS925" s="188"/>
      <c r="AT925" s="1"/>
      <c r="AU925" s="403"/>
      <c r="AV925" s="1"/>
      <c r="AW925" s="166"/>
      <c r="AX925" s="166"/>
      <c r="AY925" s="189"/>
      <c r="AZ925" s="189"/>
      <c r="BA925" s="196"/>
      <c r="BB925" s="629"/>
      <c r="BC925" s="197"/>
      <c r="BD925" s="510"/>
      <c r="BE925" s="510"/>
      <c r="BF925" s="177"/>
      <c r="BG925" s="177"/>
      <c r="BH925" s="166"/>
      <c r="BI925" s="474"/>
      <c r="BJ925" s="166"/>
      <c r="BK925" s="474"/>
      <c r="BL925" s="474"/>
      <c r="BM925" s="474"/>
      <c r="BN925" s="166"/>
      <c r="BO925" s="166"/>
      <c r="BP925" s="204"/>
      <c r="BQ925" s="475"/>
      <c r="BR925" s="205"/>
      <c r="BS925" s="509"/>
      <c r="BT925" s="509"/>
      <c r="BU925" s="459"/>
      <c r="BV925" s="459"/>
      <c r="BW925" s="1"/>
      <c r="BX925" s="1"/>
      <c r="BY925" s="546"/>
      <c r="BZ925" s="546"/>
      <c r="CA925" s="546"/>
      <c r="CB925" s="546"/>
      <c r="CC925" s="728"/>
      <c r="CD925" s="728"/>
      <c r="CE925" s="170"/>
    </row>
    <row r="926" spans="1:83" customFormat="1">
      <c r="A926" s="701"/>
      <c r="B926" s="447"/>
      <c r="C926" s="161"/>
      <c r="D926" s="162"/>
      <c r="E926" s="1"/>
      <c r="F926" s="811"/>
      <c r="G926" s="440"/>
      <c r="H926" s="1"/>
      <c r="I926" s="55"/>
      <c r="J926" s="170"/>
      <c r="K926" s="1"/>
      <c r="L926" s="170"/>
      <c r="M926" s="1"/>
      <c r="N926" s="458"/>
      <c r="O926" s="170"/>
      <c r="P926" s="441"/>
      <c r="Q926" s="55"/>
      <c r="R926" s="177"/>
      <c r="S926" s="454"/>
      <c r="T926" s="178"/>
      <c r="U926" s="178"/>
      <c r="V926" s="179"/>
      <c r="W926" s="180"/>
      <c r="X926" s="179"/>
      <c r="Y926" s="180"/>
      <c r="Z926" s="178"/>
      <c r="AA926" s="178"/>
      <c r="AB926" s="178"/>
      <c r="AC926" s="178"/>
      <c r="AD926" s="182"/>
      <c r="AE926" s="182"/>
      <c r="AF926" s="182"/>
      <c r="AG926" s="182"/>
      <c r="AH926" s="401"/>
      <c r="AI926" s="401"/>
      <c r="AJ926" s="401"/>
      <c r="AK926" s="401"/>
      <c r="AL926" s="401"/>
      <c r="AM926" s="189"/>
      <c r="AN926" s="829"/>
      <c r="AO926" s="830"/>
      <c r="AP926" s="401"/>
      <c r="AQ926" s="401"/>
      <c r="AR926" s="401"/>
      <c r="AS926" s="401"/>
      <c r="AT926" s="403"/>
      <c r="AU926" s="403"/>
      <c r="AV926" s="170"/>
      <c r="AW926" s="166"/>
      <c r="AX926" s="166"/>
      <c r="AY926" s="189"/>
      <c r="AZ926" s="189"/>
      <c r="BA926" s="196"/>
      <c r="BB926" s="629"/>
      <c r="BC926" s="190"/>
      <c r="BD926" s="510"/>
      <c r="BE926" s="510"/>
      <c r="BF926" s="177"/>
      <c r="BG926" s="177"/>
      <c r="BH926" s="166"/>
      <c r="BI926" s="474"/>
      <c r="BJ926" s="166"/>
      <c r="BK926" s="474"/>
      <c r="BL926" s="474"/>
      <c r="BM926" s="474"/>
      <c r="BN926" s="166"/>
      <c r="BO926" s="166"/>
      <c r="BP926" s="204"/>
      <c r="BQ926" s="475"/>
      <c r="BR926" s="205"/>
      <c r="BS926" s="509"/>
      <c r="BT926" s="509"/>
      <c r="BU926" s="459"/>
      <c r="BV926" s="459"/>
      <c r="BW926" s="1"/>
      <c r="BX926" s="1"/>
      <c r="BY926" s="546"/>
      <c r="BZ926" s="546"/>
      <c r="CA926" s="546"/>
      <c r="CB926" s="546"/>
      <c r="CC926" s="728"/>
      <c r="CD926" s="728"/>
      <c r="CE926" s="170"/>
    </row>
    <row r="927" spans="1:83" customFormat="1">
      <c r="A927" s="701"/>
      <c r="B927" s="447"/>
      <c r="C927" s="161"/>
      <c r="D927" s="162"/>
      <c r="E927" s="1"/>
      <c r="F927" s="811"/>
      <c r="G927" s="440"/>
      <c r="H927" s="1"/>
      <c r="I927" s="55"/>
      <c r="J927" s="170"/>
      <c r="K927" s="1"/>
      <c r="L927" s="170"/>
      <c r="M927" s="1"/>
      <c r="N927" s="458"/>
      <c r="O927" s="170"/>
      <c r="P927" s="441"/>
      <c r="Q927" s="55"/>
      <c r="R927" s="177"/>
      <c r="S927" s="454"/>
      <c r="T927" s="178"/>
      <c r="U927" s="178"/>
      <c r="V927" s="179"/>
      <c r="W927" s="180"/>
      <c r="X927" s="179"/>
      <c r="Y927" s="180"/>
      <c r="Z927" s="178"/>
      <c r="AA927" s="178"/>
      <c r="AB927" s="178"/>
      <c r="AC927" s="178"/>
      <c r="AD927" s="182"/>
      <c r="AE927" s="182"/>
      <c r="AF927" s="182"/>
      <c r="AG927" s="182"/>
      <c r="AH927" s="401"/>
      <c r="AI927" s="401"/>
      <c r="AJ927" s="401"/>
      <c r="AK927" s="401"/>
      <c r="AL927" s="401"/>
      <c r="AM927" s="189"/>
      <c r="AN927" s="829"/>
      <c r="AO927" s="830"/>
      <c r="AP927" s="401"/>
      <c r="AQ927" s="401"/>
      <c r="AR927" s="401"/>
      <c r="AS927" s="401"/>
      <c r="AT927" s="403"/>
      <c r="AU927" s="403"/>
      <c r="AV927" s="170"/>
      <c r="AW927" s="166"/>
      <c r="AX927" s="166"/>
      <c r="AY927" s="189"/>
      <c r="AZ927" s="189"/>
      <c r="BA927" s="196"/>
      <c r="BB927" s="629"/>
      <c r="BC927" s="190"/>
      <c r="BD927" s="510"/>
      <c r="BE927" s="510"/>
      <c r="BF927" s="177"/>
      <c r="BG927" s="177"/>
      <c r="BH927" s="166"/>
      <c r="BI927" s="474"/>
      <c r="BJ927" s="166"/>
      <c r="BK927" s="474"/>
      <c r="BL927" s="474"/>
      <c r="BM927" s="474"/>
      <c r="BN927" s="166"/>
      <c r="BO927" s="166"/>
      <c r="BP927" s="204"/>
      <c r="BQ927" s="475"/>
      <c r="BR927" s="205"/>
      <c r="BS927" s="509"/>
      <c r="BT927" s="509"/>
      <c r="BU927" s="459"/>
      <c r="BV927" s="459"/>
      <c r="BW927" s="1"/>
      <c r="BX927" s="1"/>
      <c r="BY927" s="546"/>
      <c r="BZ927" s="546"/>
      <c r="CA927" s="546"/>
      <c r="CB927" s="546"/>
      <c r="CC927" s="728"/>
      <c r="CD927" s="728"/>
      <c r="CE927" s="170"/>
    </row>
    <row r="928" spans="1:83" customFormat="1">
      <c r="A928" s="701"/>
      <c r="B928" s="447"/>
      <c r="C928" s="161"/>
      <c r="D928" s="162"/>
      <c r="E928" s="1"/>
      <c r="F928" s="811"/>
      <c r="G928" s="440"/>
      <c r="H928" s="1"/>
      <c r="I928" s="55"/>
      <c r="J928" s="457"/>
      <c r="K928" s="1"/>
      <c r="L928" s="170"/>
      <c r="M928" s="1"/>
      <c r="N928" s="458"/>
      <c r="O928" s="170"/>
      <c r="P928" s="441"/>
      <c r="Q928" s="55"/>
      <c r="R928" s="177"/>
      <c r="S928" s="454"/>
      <c r="T928" s="178"/>
      <c r="U928" s="178"/>
      <c r="V928" s="179"/>
      <c r="W928" s="180"/>
      <c r="X928" s="179"/>
      <c r="Y928" s="180"/>
      <c r="Z928" s="178"/>
      <c r="AA928" s="178"/>
      <c r="AB928" s="178"/>
      <c r="AC928" s="178"/>
      <c r="AD928" s="182"/>
      <c r="AE928" s="182"/>
      <c r="AF928" s="182"/>
      <c r="AG928" s="182"/>
      <c r="AH928" s="401"/>
      <c r="AI928" s="401"/>
      <c r="AJ928" s="401"/>
      <c r="AK928" s="401"/>
      <c r="AL928" s="401"/>
      <c r="AM928" s="189"/>
      <c r="AN928" s="829"/>
      <c r="AO928" s="830"/>
      <c r="AP928" s="401"/>
      <c r="AQ928" s="401"/>
      <c r="AR928" s="401"/>
      <c r="AS928" s="401"/>
      <c r="AT928" s="403"/>
      <c r="AU928" s="403"/>
      <c r="AV928" s="170"/>
      <c r="AW928" s="166"/>
      <c r="AX928" s="166"/>
      <c r="AY928" s="189"/>
      <c r="AZ928" s="189"/>
      <c r="BA928" s="196"/>
      <c r="BB928" s="629"/>
      <c r="BC928" s="190"/>
      <c r="BD928" s="510"/>
      <c r="BE928" s="510"/>
      <c r="BF928" s="177"/>
      <c r="BG928" s="177"/>
      <c r="BH928" s="166"/>
      <c r="BI928" s="474"/>
      <c r="BJ928" s="166"/>
      <c r="BK928" s="474"/>
      <c r="BL928" s="474"/>
      <c r="BM928" s="474"/>
      <c r="BN928" s="166"/>
      <c r="BO928" s="166"/>
      <c r="BP928" s="204"/>
      <c r="BQ928" s="475"/>
      <c r="BR928" s="205"/>
      <c r="BS928" s="509"/>
      <c r="BT928" s="509"/>
      <c r="BU928" s="459"/>
      <c r="BV928" s="459"/>
      <c r="BW928" s="1"/>
      <c r="BX928" s="1"/>
      <c r="BY928" s="546"/>
      <c r="BZ928" s="546"/>
      <c r="CA928" s="546"/>
      <c r="CB928" s="546"/>
      <c r="CC928" s="728"/>
      <c r="CD928" s="728"/>
      <c r="CE928" s="170"/>
    </row>
    <row r="929" spans="1:83" customFormat="1">
      <c r="A929" s="701"/>
      <c r="B929" s="447"/>
      <c r="C929" s="161"/>
      <c r="D929" s="162"/>
      <c r="E929" s="1"/>
      <c r="F929" s="811"/>
      <c r="G929" s="440"/>
      <c r="H929" s="1"/>
      <c r="I929" s="55"/>
      <c r="J929" s="170"/>
      <c r="K929" s="1"/>
      <c r="L929" s="170"/>
      <c r="M929" s="1"/>
      <c r="N929" s="458"/>
      <c r="O929" s="170"/>
      <c r="P929" s="441"/>
      <c r="Q929" s="55"/>
      <c r="R929" s="177"/>
      <c r="S929" s="454"/>
      <c r="T929" s="178"/>
      <c r="U929" s="178"/>
      <c r="V929" s="179"/>
      <c r="W929" s="180"/>
      <c r="X929" s="179"/>
      <c r="Y929" s="180"/>
      <c r="Z929" s="178"/>
      <c r="AA929" s="178"/>
      <c r="AB929" s="178"/>
      <c r="AC929" s="178"/>
      <c r="AD929" s="182"/>
      <c r="AE929" s="182"/>
      <c r="AF929" s="182"/>
      <c r="AG929" s="182"/>
      <c r="AH929" s="401"/>
      <c r="AI929" s="401"/>
      <c r="AJ929" s="401"/>
      <c r="AK929" s="401"/>
      <c r="AL929" s="401"/>
      <c r="AM929" s="189"/>
      <c r="AN929" s="829"/>
      <c r="AO929" s="830"/>
      <c r="AP929" s="401"/>
      <c r="AQ929" s="401"/>
      <c r="AR929" s="401"/>
      <c r="AS929" s="401"/>
      <c r="AT929" s="403"/>
      <c r="AU929" s="403"/>
      <c r="AV929" s="170"/>
      <c r="AW929" s="166"/>
      <c r="AX929" s="166"/>
      <c r="AY929" s="189"/>
      <c r="AZ929" s="189"/>
      <c r="BA929" s="196"/>
      <c r="BB929" s="629"/>
      <c r="BC929" s="190"/>
      <c r="BD929" s="510"/>
      <c r="BE929" s="510"/>
      <c r="BF929" s="177"/>
      <c r="BG929" s="177"/>
      <c r="BH929" s="166"/>
      <c r="BI929" s="474"/>
      <c r="BJ929" s="166"/>
      <c r="BK929" s="474"/>
      <c r="BL929" s="474"/>
      <c r="BM929" s="474"/>
      <c r="BN929" s="166"/>
      <c r="BO929" s="166"/>
      <c r="BP929" s="204"/>
      <c r="BQ929" s="475"/>
      <c r="BR929" s="205"/>
      <c r="BS929" s="509"/>
      <c r="BT929" s="509"/>
      <c r="BU929" s="459"/>
      <c r="BV929" s="459"/>
      <c r="BW929" s="1"/>
      <c r="BX929" s="1"/>
      <c r="BY929" s="546"/>
      <c r="BZ929" s="546"/>
      <c r="CA929" s="546"/>
      <c r="CB929" s="546"/>
      <c r="CC929" s="728"/>
      <c r="CD929" s="728"/>
      <c r="CE929" s="170"/>
    </row>
    <row r="930" spans="1:83" customFormat="1">
      <c r="A930" s="701"/>
      <c r="B930" s="447"/>
      <c r="C930" s="161"/>
      <c r="D930" s="162"/>
      <c r="E930" s="1"/>
      <c r="F930" s="811"/>
      <c r="G930" s="440"/>
      <c r="H930" s="1"/>
      <c r="I930" s="55"/>
      <c r="J930" s="170"/>
      <c r="K930" s="1"/>
      <c r="L930" s="170"/>
      <c r="M930" s="1"/>
      <c r="N930" s="458"/>
      <c r="O930" s="170"/>
      <c r="P930" s="441"/>
      <c r="Q930" s="55"/>
      <c r="R930" s="177"/>
      <c r="S930" s="454"/>
      <c r="T930" s="178"/>
      <c r="U930" s="178"/>
      <c r="V930" s="179"/>
      <c r="W930" s="180"/>
      <c r="X930" s="179"/>
      <c r="Y930" s="180"/>
      <c r="Z930" s="178"/>
      <c r="AA930" s="178"/>
      <c r="AB930" s="178"/>
      <c r="AC930" s="178"/>
      <c r="AD930" s="182"/>
      <c r="AE930" s="182"/>
      <c r="AF930" s="182"/>
      <c r="AG930" s="182"/>
      <c r="AH930" s="401"/>
      <c r="AI930" s="401"/>
      <c r="AJ930" s="401"/>
      <c r="AK930" s="401"/>
      <c r="AL930" s="401"/>
      <c r="AM930" s="189"/>
      <c r="AN930" s="829"/>
      <c r="AO930" s="830"/>
      <c r="AP930" s="401"/>
      <c r="AQ930" s="401"/>
      <c r="AR930" s="401"/>
      <c r="AS930" s="401"/>
      <c r="AT930" s="403"/>
      <c r="AU930" s="403"/>
      <c r="AV930" s="170"/>
      <c r="AW930" s="166"/>
      <c r="AX930" s="166"/>
      <c r="AY930" s="189"/>
      <c r="AZ930" s="189"/>
      <c r="BA930" s="196"/>
      <c r="BB930" s="629"/>
      <c r="BC930" s="190"/>
      <c r="BD930" s="510"/>
      <c r="BE930" s="510"/>
      <c r="BF930" s="177"/>
      <c r="BG930" s="177"/>
      <c r="BH930" s="166"/>
      <c r="BI930" s="474"/>
      <c r="BJ930" s="166"/>
      <c r="BK930" s="474"/>
      <c r="BL930" s="474"/>
      <c r="BM930" s="474"/>
      <c r="BN930" s="166"/>
      <c r="BO930" s="166"/>
      <c r="BP930" s="204"/>
      <c r="BQ930" s="475"/>
      <c r="BR930" s="205"/>
      <c r="BS930" s="509"/>
      <c r="BT930" s="509"/>
      <c r="BU930" s="459"/>
      <c r="BV930" s="459"/>
      <c r="BW930" s="1"/>
      <c r="BX930" s="1"/>
      <c r="BY930" s="546"/>
      <c r="BZ930" s="546"/>
      <c r="CA930" s="546"/>
      <c r="CB930" s="546"/>
      <c r="CC930" s="728"/>
      <c r="CD930" s="728"/>
      <c r="CE930" s="170"/>
    </row>
    <row r="931" spans="1:83" customFormat="1">
      <c r="A931" s="701"/>
      <c r="B931" s="447"/>
      <c r="C931" s="161"/>
      <c r="D931" s="162"/>
      <c r="E931" s="1"/>
      <c r="F931" s="811"/>
      <c r="G931" s="440"/>
      <c r="H931" s="1"/>
      <c r="I931" s="55"/>
      <c r="J931" s="170"/>
      <c r="K931" s="1"/>
      <c r="L931" s="170"/>
      <c r="M931" s="1"/>
      <c r="N931" s="458"/>
      <c r="O931" s="170"/>
      <c r="P931" s="441"/>
      <c r="Q931" s="55"/>
      <c r="R931" s="177"/>
      <c r="S931" s="454"/>
      <c r="T931" s="178"/>
      <c r="U931" s="178"/>
      <c r="V931" s="179"/>
      <c r="W931" s="180"/>
      <c r="X931" s="179"/>
      <c r="Y931" s="180"/>
      <c r="Z931" s="178"/>
      <c r="AA931" s="178"/>
      <c r="AB931" s="178"/>
      <c r="AC931" s="178"/>
      <c r="AD931" s="182"/>
      <c r="AE931" s="182"/>
      <c r="AF931" s="182"/>
      <c r="AG931" s="182"/>
      <c r="AH931" s="401"/>
      <c r="AI931" s="401"/>
      <c r="AJ931" s="401"/>
      <c r="AK931" s="401"/>
      <c r="AL931" s="401"/>
      <c r="AM931" s="189"/>
      <c r="AN931" s="829"/>
      <c r="AO931" s="830"/>
      <c r="AP931" s="401"/>
      <c r="AQ931" s="401"/>
      <c r="AR931" s="401"/>
      <c r="AS931" s="401"/>
      <c r="AT931" s="403"/>
      <c r="AU931" s="403"/>
      <c r="AV931" s="170"/>
      <c r="AW931" s="166"/>
      <c r="AX931" s="166"/>
      <c r="AY931" s="189"/>
      <c r="AZ931" s="189"/>
      <c r="BA931" s="196"/>
      <c r="BB931" s="629"/>
      <c r="BC931" s="190"/>
      <c r="BD931" s="510"/>
      <c r="BE931" s="510"/>
      <c r="BF931" s="177"/>
      <c r="BG931" s="177"/>
      <c r="BH931" s="166"/>
      <c r="BI931" s="474"/>
      <c r="BJ931" s="166"/>
      <c r="BK931" s="474"/>
      <c r="BL931" s="474"/>
      <c r="BM931" s="474"/>
      <c r="BN931" s="166"/>
      <c r="BO931" s="166"/>
      <c r="BP931" s="204"/>
      <c r="BQ931" s="475"/>
      <c r="BR931" s="205"/>
      <c r="BS931" s="509"/>
      <c r="BT931" s="509"/>
      <c r="BU931" s="459"/>
      <c r="BV931" s="459"/>
      <c r="BW931" s="1"/>
      <c r="BX931" s="1"/>
      <c r="BY931" s="546"/>
      <c r="BZ931" s="546"/>
      <c r="CA931" s="546"/>
      <c r="CB931" s="546"/>
      <c r="CC931" s="728"/>
      <c r="CD931" s="728"/>
      <c r="CE931" s="170"/>
    </row>
    <row r="932" spans="1:83" customFormat="1">
      <c r="A932" s="701"/>
      <c r="B932" s="447"/>
      <c r="C932" s="161"/>
      <c r="D932" s="162"/>
      <c r="E932" s="1"/>
      <c r="F932" s="811"/>
      <c r="G932" s="440"/>
      <c r="H932" s="1"/>
      <c r="I932" s="55"/>
      <c r="J932" s="170"/>
      <c r="K932" s="1"/>
      <c r="L932" s="170"/>
      <c r="M932" s="1"/>
      <c r="N932" s="458"/>
      <c r="O932" s="170"/>
      <c r="P932" s="441"/>
      <c r="Q932" s="55"/>
      <c r="R932" s="177"/>
      <c r="S932" s="454"/>
      <c r="T932" s="178"/>
      <c r="U932" s="178"/>
      <c r="V932" s="179"/>
      <c r="W932" s="180"/>
      <c r="X932" s="179"/>
      <c r="Y932" s="180"/>
      <c r="Z932" s="178"/>
      <c r="AA932" s="178"/>
      <c r="AB932" s="178"/>
      <c r="AC932" s="178"/>
      <c r="AD932" s="182"/>
      <c r="AE932" s="182"/>
      <c r="AF932" s="182"/>
      <c r="AG932" s="182"/>
      <c r="AH932" s="401"/>
      <c r="AI932" s="401"/>
      <c r="AJ932" s="401"/>
      <c r="AK932" s="401"/>
      <c r="AL932" s="401"/>
      <c r="AM932" s="189"/>
      <c r="AN932" s="829"/>
      <c r="AO932" s="830"/>
      <c r="AP932" s="401"/>
      <c r="AQ932" s="401"/>
      <c r="AR932" s="401"/>
      <c r="AS932" s="401"/>
      <c r="AT932" s="403"/>
      <c r="AU932" s="403"/>
      <c r="AV932" s="170"/>
      <c r="AW932" s="166"/>
      <c r="AX932" s="166"/>
      <c r="AY932" s="189"/>
      <c r="AZ932" s="189"/>
      <c r="BA932" s="196"/>
      <c r="BB932" s="629"/>
      <c r="BC932" s="190"/>
      <c r="BD932" s="510"/>
      <c r="BE932" s="510"/>
      <c r="BF932" s="177"/>
      <c r="BG932" s="177"/>
      <c r="BH932" s="166"/>
      <c r="BI932" s="474"/>
      <c r="BJ932" s="166"/>
      <c r="BK932" s="474"/>
      <c r="BL932" s="474"/>
      <c r="BM932" s="474"/>
      <c r="BN932" s="166"/>
      <c r="BO932" s="166"/>
      <c r="BP932" s="204"/>
      <c r="BQ932" s="475"/>
      <c r="BR932" s="205"/>
      <c r="BS932" s="509"/>
      <c r="BT932" s="509"/>
      <c r="BU932" s="459"/>
      <c r="BV932" s="459"/>
      <c r="BW932" s="1"/>
      <c r="BX932" s="1"/>
      <c r="BY932" s="1"/>
      <c r="BZ932" s="1"/>
      <c r="CA932" s="1"/>
      <c r="CB932" s="1"/>
      <c r="CC932" s="728"/>
      <c r="CD932" s="728"/>
      <c r="CE932" s="1"/>
    </row>
    <row r="933" spans="1:83" customFormat="1">
      <c r="A933" s="701"/>
      <c r="B933" s="447"/>
      <c r="C933" s="161"/>
      <c r="D933" s="162"/>
      <c r="E933" s="1"/>
      <c r="F933" s="811"/>
      <c r="G933" s="440"/>
      <c r="H933" s="1"/>
      <c r="I933" s="55"/>
      <c r="J933" s="170"/>
      <c r="K933" s="1"/>
      <c r="L933" s="170"/>
      <c r="M933" s="1"/>
      <c r="N933" s="458"/>
      <c r="O933" s="170"/>
      <c r="P933" s="441"/>
      <c r="Q933" s="55"/>
      <c r="R933" s="177"/>
      <c r="S933" s="454"/>
      <c r="T933" s="178"/>
      <c r="U933" s="178"/>
      <c r="V933" s="179"/>
      <c r="W933" s="180"/>
      <c r="X933" s="179"/>
      <c r="Y933" s="180"/>
      <c r="Z933" s="178"/>
      <c r="AA933" s="178"/>
      <c r="AB933" s="178"/>
      <c r="AC933" s="178"/>
      <c r="AD933" s="182"/>
      <c r="AE933" s="182"/>
      <c r="AF933" s="182"/>
      <c r="AG933" s="182"/>
      <c r="AH933" s="401"/>
      <c r="AI933" s="401"/>
      <c r="AJ933" s="401"/>
      <c r="AK933" s="401"/>
      <c r="AL933" s="401"/>
      <c r="AM933" s="189"/>
      <c r="AN933" s="829"/>
      <c r="AO933" s="830"/>
      <c r="AP933" s="401"/>
      <c r="AQ933" s="401"/>
      <c r="AR933" s="401"/>
      <c r="AS933" s="401"/>
      <c r="AT933" s="403"/>
      <c r="AU933" s="403"/>
      <c r="AV933" s="170"/>
      <c r="AW933" s="166"/>
      <c r="AX933" s="166"/>
      <c r="AY933" s="189"/>
      <c r="AZ933" s="189"/>
      <c r="BA933" s="190"/>
      <c r="BB933" s="629"/>
      <c r="BC933" s="190"/>
      <c r="BD933" s="510"/>
      <c r="BE933" s="510"/>
      <c r="BF933" s="177"/>
      <c r="BG933" s="177"/>
      <c r="BH933" s="166"/>
      <c r="BI933" s="474"/>
      <c r="BJ933" s="166"/>
      <c r="BK933" s="474"/>
      <c r="BL933" s="474"/>
      <c r="BM933" s="474"/>
      <c r="BN933" s="166"/>
      <c r="BO933" s="166"/>
      <c r="BP933" s="204"/>
      <c r="BQ933" s="475"/>
      <c r="BR933" s="205"/>
      <c r="BS933" s="509"/>
      <c r="BT933" s="509"/>
      <c r="BU933" s="459"/>
      <c r="BV933" s="459"/>
      <c r="BW933" s="1"/>
      <c r="BX933" s="1"/>
      <c r="BY933" s="1"/>
      <c r="BZ933" s="1"/>
      <c r="CA933" s="1"/>
      <c r="CB933" s="1"/>
      <c r="CC933" s="728"/>
      <c r="CD933" s="728"/>
      <c r="CE933" s="1"/>
    </row>
    <row r="934" spans="1:83" customFormat="1">
      <c r="A934" s="701"/>
      <c r="B934" s="447"/>
      <c r="C934" s="1"/>
      <c r="D934" s="538"/>
      <c r="E934" s="1"/>
      <c r="F934" s="811"/>
      <c r="G934" s="440"/>
      <c r="H934" s="1"/>
      <c r="J934" s="171"/>
      <c r="K934" s="55"/>
      <c r="L934" s="171"/>
      <c r="M934" s="55"/>
      <c r="N934" s="172"/>
      <c r="O934" s="170"/>
      <c r="P934" s="139"/>
      <c r="Q934" s="171"/>
      <c r="R934" s="181"/>
      <c r="S934" s="455"/>
      <c r="T934" s="170"/>
      <c r="U934" s="170"/>
      <c r="V934" s="1"/>
      <c r="W934" s="173"/>
      <c r="X934" s="1"/>
      <c r="Y934" s="166"/>
      <c r="Z934" s="170"/>
      <c r="AA934" s="170"/>
      <c r="AB934" s="170"/>
      <c r="AC934" s="170"/>
      <c r="AD934" s="182"/>
      <c r="AE934" s="182"/>
      <c r="AF934" s="182"/>
      <c r="AG934" s="182"/>
      <c r="AH934" s="189"/>
      <c r="AI934" s="401"/>
      <c r="AJ934" s="189"/>
      <c r="AK934" s="401"/>
      <c r="AL934" s="401"/>
      <c r="AM934" s="189"/>
      <c r="AN934" s="782"/>
      <c r="AO934" s="189"/>
      <c r="AP934" s="401"/>
      <c r="AQ934" s="401"/>
      <c r="AR934" s="401"/>
      <c r="AS934" s="188"/>
      <c r="AT934" s="1"/>
      <c r="AU934" s="403"/>
      <c r="AV934" s="1"/>
      <c r="AW934" s="166"/>
      <c r="AX934" s="166"/>
      <c r="AY934" s="189"/>
      <c r="AZ934" s="189"/>
      <c r="BA934" s="196"/>
      <c r="BB934" s="629"/>
      <c r="BC934" s="197"/>
      <c r="BD934" s="510"/>
      <c r="BE934" s="510"/>
      <c r="BF934" s="177"/>
      <c r="BG934" s="177"/>
      <c r="BH934" s="166"/>
      <c r="BI934" s="474"/>
      <c r="BJ934" s="166"/>
      <c r="BK934" s="474"/>
      <c r="BL934" s="474"/>
      <c r="BM934" s="474"/>
      <c r="BN934" s="166"/>
      <c r="BO934" s="166"/>
      <c r="BP934" s="204"/>
      <c r="BQ934" s="475"/>
      <c r="BR934" s="205"/>
      <c r="BS934" s="509"/>
      <c r="BT934" s="509"/>
      <c r="BU934" s="459"/>
      <c r="BV934" s="459"/>
      <c r="BW934" s="1"/>
      <c r="BX934" s="1"/>
      <c r="BY934" s="546"/>
      <c r="BZ934" s="546"/>
      <c r="CA934" s="546"/>
      <c r="CB934" s="546"/>
      <c r="CC934" s="728"/>
      <c r="CD934" s="728"/>
      <c r="CE934" s="170"/>
    </row>
    <row r="935" spans="1:83" customFormat="1">
      <c r="A935" s="701"/>
      <c r="B935" s="447"/>
      <c r="C935" s="161"/>
      <c r="D935" s="162"/>
      <c r="E935" s="1"/>
      <c r="F935" s="811"/>
      <c r="G935" s="440"/>
      <c r="H935" s="1"/>
      <c r="I935" s="55"/>
      <c r="J935" s="170"/>
      <c r="K935" s="1"/>
      <c r="L935" s="170"/>
      <c r="M935" s="1"/>
      <c r="N935" s="458"/>
      <c r="O935" s="170"/>
      <c r="P935" s="441"/>
      <c r="Q935" s="55"/>
      <c r="R935" s="177"/>
      <c r="S935" s="454"/>
      <c r="T935" s="178"/>
      <c r="U935" s="178"/>
      <c r="V935" s="179"/>
      <c r="W935" s="180"/>
      <c r="X935" s="179"/>
      <c r="Y935" s="180"/>
      <c r="Z935" s="178"/>
      <c r="AA935" s="178"/>
      <c r="AB935" s="178"/>
      <c r="AC935" s="178"/>
      <c r="AD935" s="182"/>
      <c r="AE935" s="182"/>
      <c r="AF935" s="182"/>
      <c r="AG935" s="182"/>
      <c r="AH935" s="401"/>
      <c r="AI935" s="401"/>
      <c r="AJ935" s="401"/>
      <c r="AK935" s="401"/>
      <c r="AL935" s="401"/>
      <c r="AM935" s="189"/>
      <c r="AN935" s="829"/>
      <c r="AO935" s="830"/>
      <c r="AP935" s="401"/>
      <c r="AQ935" s="401"/>
      <c r="AR935" s="401"/>
      <c r="AS935" s="401"/>
      <c r="AT935" s="403"/>
      <c r="AU935" s="403"/>
      <c r="AV935" s="170"/>
      <c r="AW935" s="166"/>
      <c r="AX935" s="166"/>
      <c r="AY935" s="189"/>
      <c r="AZ935" s="189"/>
      <c r="BA935" s="196"/>
      <c r="BB935" s="629"/>
      <c r="BC935" s="190"/>
      <c r="BD935" s="510"/>
      <c r="BE935" s="510"/>
      <c r="BF935" s="177"/>
      <c r="BG935" s="177"/>
      <c r="BH935" s="166"/>
      <c r="BI935" s="474"/>
      <c r="BJ935" s="166"/>
      <c r="BK935" s="474"/>
      <c r="BL935" s="474"/>
      <c r="BM935" s="474"/>
      <c r="BN935" s="166"/>
      <c r="BO935" s="166"/>
      <c r="BP935" s="204"/>
      <c r="BQ935" s="475"/>
      <c r="BR935" s="205"/>
      <c r="BS935" s="509"/>
      <c r="BT935" s="509"/>
      <c r="BU935" s="459"/>
      <c r="BV935" s="459"/>
      <c r="BW935" s="1"/>
      <c r="BX935" s="1"/>
      <c r="BY935" s="546"/>
      <c r="BZ935" s="546"/>
      <c r="CA935" s="546"/>
      <c r="CB935" s="546"/>
      <c r="CC935" s="728"/>
      <c r="CD935" s="728"/>
      <c r="CE935" s="170"/>
    </row>
    <row r="936" spans="1:83" customFormat="1">
      <c r="A936" s="701"/>
      <c r="B936" s="447"/>
      <c r="C936" s="161"/>
      <c r="D936" s="162"/>
      <c r="E936" s="1"/>
      <c r="F936" s="811"/>
      <c r="G936" s="440"/>
      <c r="H936" s="1"/>
      <c r="I936" s="55"/>
      <c r="J936" s="170"/>
      <c r="K936" s="1"/>
      <c r="L936" s="170"/>
      <c r="M936" s="1"/>
      <c r="N936" s="458"/>
      <c r="O936" s="170"/>
      <c r="P936" s="441"/>
      <c r="Q936" s="55"/>
      <c r="R936" s="177"/>
      <c r="S936" s="454"/>
      <c r="T936" s="178"/>
      <c r="U936" s="178"/>
      <c r="V936" s="179"/>
      <c r="W936" s="180"/>
      <c r="X936" s="179"/>
      <c r="Y936" s="180"/>
      <c r="Z936" s="178"/>
      <c r="AA936" s="178"/>
      <c r="AB936" s="178"/>
      <c r="AC936" s="178"/>
      <c r="AD936" s="182"/>
      <c r="AE936" s="182"/>
      <c r="AF936" s="182"/>
      <c r="AG936" s="182"/>
      <c r="AH936" s="401"/>
      <c r="AI936" s="401"/>
      <c r="AJ936" s="401"/>
      <c r="AK936" s="401"/>
      <c r="AL936" s="401"/>
      <c r="AM936" s="189"/>
      <c r="AN936" s="829"/>
      <c r="AO936" s="830"/>
      <c r="AP936" s="401"/>
      <c r="AQ936" s="401"/>
      <c r="AR936" s="401"/>
      <c r="AS936" s="401"/>
      <c r="AT936" s="403"/>
      <c r="AU936" s="403"/>
      <c r="AV936" s="170"/>
      <c r="AW936" s="166"/>
      <c r="AX936" s="166"/>
      <c r="AY936" s="189"/>
      <c r="AZ936" s="189"/>
      <c r="BA936" s="196"/>
      <c r="BB936" s="629"/>
      <c r="BC936" s="190"/>
      <c r="BD936" s="510"/>
      <c r="BE936" s="510"/>
      <c r="BF936" s="177"/>
      <c r="BG936" s="177"/>
      <c r="BH936" s="166"/>
      <c r="BI936" s="474"/>
      <c r="BJ936" s="166"/>
      <c r="BK936" s="474"/>
      <c r="BL936" s="474"/>
      <c r="BM936" s="474"/>
      <c r="BN936" s="166"/>
      <c r="BO936" s="166"/>
      <c r="BP936" s="204"/>
      <c r="BQ936" s="475"/>
      <c r="BR936" s="205"/>
      <c r="BS936" s="509"/>
      <c r="BT936" s="509"/>
      <c r="BU936" s="459"/>
      <c r="BV936" s="459"/>
      <c r="BW936" s="1"/>
      <c r="BX936" s="1"/>
      <c r="BY936" s="546"/>
      <c r="BZ936" s="546"/>
      <c r="CA936" s="546"/>
      <c r="CB936" s="546"/>
      <c r="CC936" s="728"/>
      <c r="CD936" s="728"/>
      <c r="CE936" s="170"/>
    </row>
    <row r="937" spans="1:83" customFormat="1">
      <c r="A937" s="701"/>
      <c r="B937" s="447"/>
      <c r="C937" s="161"/>
      <c r="D937" s="162"/>
      <c r="E937" s="1"/>
      <c r="F937" s="811"/>
      <c r="G937" s="440"/>
      <c r="H937" s="1"/>
      <c r="I937" s="55"/>
      <c r="J937" s="457"/>
      <c r="K937" s="1"/>
      <c r="L937" s="170"/>
      <c r="M937" s="1"/>
      <c r="N937" s="458"/>
      <c r="O937" s="170"/>
      <c r="P937" s="441"/>
      <c r="Q937" s="55"/>
      <c r="R937" s="177"/>
      <c r="S937" s="454"/>
      <c r="T937" s="178"/>
      <c r="U937" s="178"/>
      <c r="V937" s="179"/>
      <c r="W937" s="180"/>
      <c r="X937" s="179"/>
      <c r="Y937" s="180"/>
      <c r="Z937" s="178"/>
      <c r="AA937" s="178"/>
      <c r="AB937" s="178"/>
      <c r="AC937" s="178"/>
      <c r="AD937" s="182"/>
      <c r="AE937" s="182"/>
      <c r="AF937" s="182"/>
      <c r="AG937" s="182"/>
      <c r="AH937" s="401"/>
      <c r="AI937" s="401"/>
      <c r="AJ937" s="401"/>
      <c r="AK937" s="401"/>
      <c r="AL937" s="401"/>
      <c r="AM937" s="189"/>
      <c r="AN937" s="829"/>
      <c r="AO937" s="830"/>
      <c r="AP937" s="401"/>
      <c r="AQ937" s="401"/>
      <c r="AR937" s="401"/>
      <c r="AS937" s="401"/>
      <c r="AT937" s="403"/>
      <c r="AU937" s="403"/>
      <c r="AV937" s="170"/>
      <c r="AW937" s="166"/>
      <c r="AX937" s="166"/>
      <c r="AY937" s="189"/>
      <c r="AZ937" s="189"/>
      <c r="BA937" s="196"/>
      <c r="BB937" s="629"/>
      <c r="BC937" s="190"/>
      <c r="BD937" s="510"/>
      <c r="BE937" s="510"/>
      <c r="BF937" s="177"/>
      <c r="BG937" s="177"/>
      <c r="BH937" s="166"/>
      <c r="BI937" s="474"/>
      <c r="BJ937" s="166"/>
      <c r="BK937" s="474"/>
      <c r="BL937" s="474"/>
      <c r="BM937" s="474"/>
      <c r="BN937" s="166"/>
      <c r="BO937" s="166"/>
      <c r="BP937" s="204"/>
      <c r="BQ937" s="475"/>
      <c r="BR937" s="205"/>
      <c r="BS937" s="509"/>
      <c r="BT937" s="509"/>
      <c r="BU937" s="459"/>
      <c r="BV937" s="459"/>
      <c r="BW937" s="1"/>
      <c r="BX937" s="1"/>
      <c r="BY937" s="546"/>
      <c r="BZ937" s="546"/>
      <c r="CA937" s="546"/>
      <c r="CB937" s="546"/>
      <c r="CC937" s="728"/>
      <c r="CD937" s="728"/>
      <c r="CE937" s="170"/>
    </row>
    <row r="938" spans="1:83" customFormat="1">
      <c r="A938" s="701"/>
      <c r="B938" s="447"/>
      <c r="C938" s="161"/>
      <c r="D938" s="162"/>
      <c r="E938" s="1"/>
      <c r="F938" s="811"/>
      <c r="G938" s="440"/>
      <c r="H938" s="1"/>
      <c r="I938" s="55"/>
      <c r="J938" s="170"/>
      <c r="K938" s="1"/>
      <c r="L938" s="170"/>
      <c r="M938" s="1"/>
      <c r="N938" s="458"/>
      <c r="O938" s="170"/>
      <c r="P938" s="441"/>
      <c r="Q938" s="55"/>
      <c r="R938" s="177"/>
      <c r="S938" s="454"/>
      <c r="T938" s="178"/>
      <c r="U938" s="178"/>
      <c r="V938" s="179"/>
      <c r="W938" s="180"/>
      <c r="X938" s="179"/>
      <c r="Y938" s="180"/>
      <c r="Z938" s="178"/>
      <c r="AA938" s="178"/>
      <c r="AB938" s="178"/>
      <c r="AC938" s="178"/>
      <c r="AD938" s="182"/>
      <c r="AE938" s="182"/>
      <c r="AF938" s="182"/>
      <c r="AG938" s="182"/>
      <c r="AH938" s="401"/>
      <c r="AI938" s="401"/>
      <c r="AJ938" s="401"/>
      <c r="AK938" s="401"/>
      <c r="AL938" s="401"/>
      <c r="AM938" s="189"/>
      <c r="AN938" s="829"/>
      <c r="AO938" s="830"/>
      <c r="AP938" s="401"/>
      <c r="AQ938" s="401"/>
      <c r="AR938" s="401"/>
      <c r="AS938" s="401"/>
      <c r="AT938" s="403"/>
      <c r="AU938" s="403"/>
      <c r="AV938" s="170"/>
      <c r="AW938" s="166"/>
      <c r="AX938" s="166"/>
      <c r="AY938" s="189"/>
      <c r="AZ938" s="189"/>
      <c r="BA938" s="196"/>
      <c r="BB938" s="629"/>
      <c r="BC938" s="190"/>
      <c r="BD938" s="510"/>
      <c r="BE938" s="510"/>
      <c r="BF938" s="177"/>
      <c r="BG938" s="177"/>
      <c r="BH938" s="166"/>
      <c r="BI938" s="474"/>
      <c r="BJ938" s="166"/>
      <c r="BK938" s="474"/>
      <c r="BL938" s="474"/>
      <c r="BM938" s="474"/>
      <c r="BN938" s="166"/>
      <c r="BO938" s="166"/>
      <c r="BP938" s="204"/>
      <c r="BQ938" s="475"/>
      <c r="BR938" s="205"/>
      <c r="BS938" s="509"/>
      <c r="BT938" s="509"/>
      <c r="BU938" s="459"/>
      <c r="BV938" s="459"/>
      <c r="BW938" s="1"/>
      <c r="BX938" s="1"/>
      <c r="BY938" s="546"/>
      <c r="BZ938" s="546"/>
      <c r="CA938" s="546"/>
      <c r="CB938" s="546"/>
      <c r="CC938" s="728"/>
      <c r="CD938" s="728"/>
      <c r="CE938" s="170"/>
    </row>
    <row r="939" spans="1:83" customFormat="1">
      <c r="A939" s="701"/>
      <c r="B939" s="447"/>
      <c r="C939" s="161"/>
      <c r="D939" s="162"/>
      <c r="E939" s="1"/>
      <c r="F939" s="811"/>
      <c r="G939" s="440"/>
      <c r="H939" s="1"/>
      <c r="I939" s="55"/>
      <c r="J939" s="170"/>
      <c r="K939" s="1"/>
      <c r="L939" s="170"/>
      <c r="M939" s="1"/>
      <c r="N939" s="458"/>
      <c r="O939" s="170"/>
      <c r="P939" s="441"/>
      <c r="Q939" s="55"/>
      <c r="R939" s="177"/>
      <c r="S939" s="454"/>
      <c r="T939" s="178"/>
      <c r="U939" s="178"/>
      <c r="V939" s="179"/>
      <c r="W939" s="180"/>
      <c r="X939" s="179"/>
      <c r="Y939" s="180"/>
      <c r="Z939" s="178"/>
      <c r="AA939" s="178"/>
      <c r="AB939" s="178"/>
      <c r="AC939" s="178"/>
      <c r="AD939" s="182"/>
      <c r="AE939" s="182"/>
      <c r="AF939" s="182"/>
      <c r="AG939" s="182"/>
      <c r="AH939" s="401"/>
      <c r="AI939" s="401"/>
      <c r="AJ939" s="401"/>
      <c r="AK939" s="401"/>
      <c r="AL939" s="401"/>
      <c r="AM939" s="189"/>
      <c r="AN939" s="829"/>
      <c r="AO939" s="830"/>
      <c r="AP939" s="401"/>
      <c r="AQ939" s="401"/>
      <c r="AR939" s="401"/>
      <c r="AS939" s="401"/>
      <c r="AT939" s="403"/>
      <c r="AU939" s="403"/>
      <c r="AV939" s="170"/>
      <c r="AW939" s="166"/>
      <c r="AX939" s="166"/>
      <c r="AY939" s="189"/>
      <c r="AZ939" s="189"/>
      <c r="BA939" s="196"/>
      <c r="BB939" s="629"/>
      <c r="BC939" s="190"/>
      <c r="BD939" s="510"/>
      <c r="BE939" s="510"/>
      <c r="BF939" s="177"/>
      <c r="BG939" s="177"/>
      <c r="BH939" s="166"/>
      <c r="BI939" s="474"/>
      <c r="BJ939" s="166"/>
      <c r="BK939" s="474"/>
      <c r="BL939" s="474"/>
      <c r="BM939" s="474"/>
      <c r="BN939" s="166"/>
      <c r="BO939" s="166"/>
      <c r="BP939" s="204"/>
      <c r="BQ939" s="475"/>
      <c r="BR939" s="205"/>
      <c r="BS939" s="509"/>
      <c r="BT939" s="509"/>
      <c r="BU939" s="459"/>
      <c r="BV939" s="459"/>
      <c r="BW939" s="1"/>
      <c r="BX939" s="1"/>
      <c r="BY939" s="546"/>
      <c r="BZ939" s="546"/>
      <c r="CA939" s="546"/>
      <c r="CB939" s="546"/>
      <c r="CC939" s="728"/>
      <c r="CD939" s="728"/>
      <c r="CE939" s="170"/>
    </row>
    <row r="940" spans="1:83" customFormat="1">
      <c r="A940" s="701"/>
      <c r="B940" s="447"/>
      <c r="C940" s="161"/>
      <c r="D940" s="162"/>
      <c r="E940" s="1"/>
      <c r="F940" s="811"/>
      <c r="G940" s="440"/>
      <c r="H940" s="1"/>
      <c r="I940" s="55"/>
      <c r="J940" s="457"/>
      <c r="K940" s="1"/>
      <c r="L940" s="170"/>
      <c r="M940" s="1"/>
      <c r="N940" s="458"/>
      <c r="O940" s="170"/>
      <c r="P940" s="441"/>
      <c r="Q940" s="55"/>
      <c r="R940" s="177"/>
      <c r="S940" s="454"/>
      <c r="T940" s="178"/>
      <c r="U940" s="178"/>
      <c r="V940" s="179"/>
      <c r="W940" s="180"/>
      <c r="X940" s="179"/>
      <c r="Y940" s="180"/>
      <c r="Z940" s="178"/>
      <c r="AA940" s="178"/>
      <c r="AB940" s="178"/>
      <c r="AC940" s="178"/>
      <c r="AD940" s="182"/>
      <c r="AE940" s="182"/>
      <c r="AF940" s="182"/>
      <c r="AG940" s="182"/>
      <c r="AH940" s="401"/>
      <c r="AI940" s="401"/>
      <c r="AJ940" s="401"/>
      <c r="AK940" s="401"/>
      <c r="AL940" s="401"/>
      <c r="AM940" s="189"/>
      <c r="AN940" s="829"/>
      <c r="AO940" s="830"/>
      <c r="AP940" s="401"/>
      <c r="AQ940" s="401"/>
      <c r="AR940" s="401"/>
      <c r="AS940" s="401"/>
      <c r="AT940" s="403"/>
      <c r="AU940" s="403"/>
      <c r="AV940" s="170"/>
      <c r="AW940" s="166"/>
      <c r="AX940" s="166"/>
      <c r="AY940" s="189"/>
      <c r="AZ940" s="189"/>
      <c r="BA940" s="196"/>
      <c r="BB940" s="629"/>
      <c r="BC940" s="190"/>
      <c r="BD940" s="510"/>
      <c r="BE940" s="510"/>
      <c r="BF940" s="177"/>
      <c r="BG940" s="177"/>
      <c r="BH940" s="166"/>
      <c r="BI940" s="474"/>
      <c r="BJ940" s="166"/>
      <c r="BK940" s="474"/>
      <c r="BL940" s="474"/>
      <c r="BM940" s="474"/>
      <c r="BN940" s="166"/>
      <c r="BO940" s="166"/>
      <c r="BP940" s="204"/>
      <c r="BQ940" s="475"/>
      <c r="BR940" s="205"/>
      <c r="BS940" s="509"/>
      <c r="BT940" s="509"/>
      <c r="BU940" s="459"/>
      <c r="BV940" s="459"/>
      <c r="BW940" s="1"/>
      <c r="BX940" s="1"/>
      <c r="BY940" s="546"/>
      <c r="BZ940" s="546"/>
      <c r="CA940" s="546"/>
      <c r="CB940" s="546"/>
      <c r="CC940" s="728"/>
      <c r="CD940" s="728"/>
      <c r="CE940" s="170"/>
    </row>
    <row r="941" spans="1:83" customFormat="1">
      <c r="A941" s="701"/>
      <c r="B941" s="447"/>
      <c r="C941" s="161"/>
      <c r="D941" s="162"/>
      <c r="E941" s="1"/>
      <c r="F941" s="811"/>
      <c r="G941" s="440"/>
      <c r="H941" s="1"/>
      <c r="I941" s="55"/>
      <c r="J941" s="170"/>
      <c r="K941" s="1"/>
      <c r="L941" s="170"/>
      <c r="M941" s="1"/>
      <c r="N941" s="166"/>
      <c r="O941" s="170"/>
      <c r="P941" s="441"/>
      <c r="Q941" s="55"/>
      <c r="R941" s="177"/>
      <c r="S941" s="454"/>
      <c r="T941" s="178"/>
      <c r="U941" s="178"/>
      <c r="V941" s="179"/>
      <c r="W941" s="180"/>
      <c r="X941" s="179"/>
      <c r="Y941" s="180"/>
      <c r="Z941" s="178"/>
      <c r="AA941" s="178"/>
      <c r="AB941" s="178"/>
      <c r="AC941" s="178"/>
      <c r="AD941" s="182"/>
      <c r="AE941" s="182"/>
      <c r="AF941" s="182"/>
      <c r="AG941" s="182"/>
      <c r="AH941" s="401"/>
      <c r="AI941" s="401"/>
      <c r="AJ941" s="182"/>
      <c r="AK941" s="401"/>
      <c r="AL941" s="401"/>
      <c r="AM941" s="189"/>
      <c r="AN941" s="829"/>
      <c r="AO941" s="830"/>
      <c r="AP941" s="401"/>
      <c r="AQ941" s="401"/>
      <c r="AR941" s="401"/>
      <c r="AS941" s="401"/>
      <c r="AT941" s="403"/>
      <c r="AU941" s="403"/>
      <c r="AV941" s="170"/>
      <c r="AW941" s="166"/>
      <c r="AX941" s="166"/>
      <c r="AY941" s="189"/>
      <c r="AZ941" s="189"/>
      <c r="BA941" s="196"/>
      <c r="BB941" s="629"/>
      <c r="BC941" s="190"/>
      <c r="BD941" s="510"/>
      <c r="BE941" s="510"/>
      <c r="BF941" s="177"/>
      <c r="BG941" s="177"/>
      <c r="BH941" s="166"/>
      <c r="BI941" s="474"/>
      <c r="BJ941" s="166"/>
      <c r="BK941" s="474"/>
      <c r="BL941" s="474"/>
      <c r="BM941" s="474"/>
      <c r="BN941" s="166"/>
      <c r="BO941" s="166"/>
      <c r="BP941" s="204"/>
      <c r="BQ941" s="475"/>
      <c r="BR941" s="205"/>
      <c r="BS941" s="509"/>
      <c r="BT941" s="509"/>
      <c r="BU941" s="459"/>
      <c r="BV941" s="459"/>
      <c r="BW941" s="1"/>
      <c r="BX941" s="1"/>
      <c r="BY941" s="546"/>
      <c r="BZ941" s="546"/>
      <c r="CA941" s="546"/>
      <c r="CB941" s="546"/>
      <c r="CC941" s="728"/>
      <c r="CD941" s="728"/>
      <c r="CE941" s="170"/>
    </row>
    <row r="942" spans="1:83" customFormat="1">
      <c r="A942" s="701"/>
      <c r="B942" s="447"/>
      <c r="C942" s="1"/>
      <c r="D942" s="538"/>
      <c r="E942" s="1"/>
      <c r="F942" s="811"/>
      <c r="G942" s="440"/>
      <c r="H942" s="1"/>
      <c r="I942" s="55"/>
      <c r="J942" s="171"/>
      <c r="K942" s="55"/>
      <c r="L942" s="171"/>
      <c r="M942" s="55"/>
      <c r="N942" s="172"/>
      <c r="O942" s="170"/>
      <c r="P942" s="139"/>
      <c r="Q942" s="172"/>
      <c r="R942" s="181"/>
      <c r="S942" s="455"/>
      <c r="T942" s="170"/>
      <c r="U942" s="170"/>
      <c r="V942" s="1"/>
      <c r="W942" s="173"/>
      <c r="X942" s="1"/>
      <c r="Y942" s="166"/>
      <c r="Z942" s="170"/>
      <c r="AA942" s="170"/>
      <c r="AB942" s="170"/>
      <c r="AC942" s="170"/>
      <c r="AD942" s="182"/>
      <c r="AE942" s="182"/>
      <c r="AF942" s="182"/>
      <c r="AG942" s="182"/>
      <c r="AH942" s="189"/>
      <c r="AI942" s="401"/>
      <c r="AJ942" s="189"/>
      <c r="AK942" s="401"/>
      <c r="AL942" s="401"/>
      <c r="AM942" s="189"/>
      <c r="AN942" s="782"/>
      <c r="AO942" s="189"/>
      <c r="AP942" s="401"/>
      <c r="AQ942" s="401"/>
      <c r="AR942" s="401"/>
      <c r="AS942" s="188"/>
      <c r="AT942" s="1"/>
      <c r="AU942" s="403"/>
      <c r="AV942" s="1"/>
      <c r="AW942" s="166"/>
      <c r="AX942" s="166"/>
      <c r="AY942" s="189"/>
      <c r="AZ942" s="189"/>
      <c r="BA942" s="196"/>
      <c r="BB942" s="629"/>
      <c r="BC942" s="197"/>
      <c r="BD942" s="510"/>
      <c r="BE942" s="510"/>
      <c r="BF942" s="177"/>
      <c r="BG942" s="177"/>
      <c r="BH942" s="166"/>
      <c r="BI942" s="474"/>
      <c r="BJ942" s="166"/>
      <c r="BK942" s="474"/>
      <c r="BL942" s="474"/>
      <c r="BM942" s="474"/>
      <c r="BN942" s="166"/>
      <c r="BO942" s="166"/>
      <c r="BP942" s="204"/>
      <c r="BQ942" s="475"/>
      <c r="BR942" s="205"/>
      <c r="BS942" s="509"/>
      <c r="BT942" s="509"/>
      <c r="BU942" s="459"/>
      <c r="BV942" s="459"/>
      <c r="BW942" s="1"/>
      <c r="BX942" s="1"/>
      <c r="BY942" s="546"/>
      <c r="BZ942" s="546"/>
      <c r="CA942" s="546"/>
      <c r="CB942" s="546"/>
      <c r="CC942" s="728"/>
      <c r="CD942" s="728"/>
      <c r="CE942" s="170"/>
    </row>
    <row r="943" spans="1:83" customFormat="1">
      <c r="A943" s="701"/>
      <c r="B943" s="447"/>
      <c r="C943" s="161"/>
      <c r="D943" s="162"/>
      <c r="E943" s="1"/>
      <c r="F943" s="811"/>
      <c r="G943" s="440"/>
      <c r="H943" s="1"/>
      <c r="I943" s="55"/>
      <c r="J943" s="170"/>
      <c r="K943" s="1"/>
      <c r="L943" s="170"/>
      <c r="M943" s="1"/>
      <c r="N943" s="458"/>
      <c r="O943" s="170"/>
      <c r="P943" s="441"/>
      <c r="Q943" s="55"/>
      <c r="R943" s="177"/>
      <c r="S943" s="454"/>
      <c r="T943" s="178"/>
      <c r="U943" s="178"/>
      <c r="V943" s="179"/>
      <c r="W943" s="180"/>
      <c r="X943" s="179"/>
      <c r="Y943" s="180"/>
      <c r="Z943" s="178"/>
      <c r="AA943" s="178"/>
      <c r="AB943" s="178"/>
      <c r="AC943" s="178"/>
      <c r="AD943" s="182"/>
      <c r="AE943" s="182"/>
      <c r="AF943" s="182"/>
      <c r="AG943" s="182"/>
      <c r="AH943" s="401"/>
      <c r="AI943" s="401"/>
      <c r="AJ943" s="401"/>
      <c r="AK943" s="401"/>
      <c r="AL943" s="401"/>
      <c r="AM943" s="189"/>
      <c r="AN943" s="829"/>
      <c r="AO943" s="830"/>
      <c r="AP943" s="401"/>
      <c r="AQ943" s="401"/>
      <c r="AR943" s="401"/>
      <c r="AS943" s="401"/>
      <c r="AT943" s="403"/>
      <c r="AU943" s="403"/>
      <c r="AV943" s="170"/>
      <c r="AW943" s="166"/>
      <c r="AX943" s="166"/>
      <c r="AY943" s="189"/>
      <c r="AZ943" s="189"/>
      <c r="BA943" s="196"/>
      <c r="BB943" s="629"/>
      <c r="BC943" s="190"/>
      <c r="BD943" s="510"/>
      <c r="BE943" s="510"/>
      <c r="BF943" s="177"/>
      <c r="BG943" s="177"/>
      <c r="BH943" s="166"/>
      <c r="BI943" s="474"/>
      <c r="BJ943" s="166"/>
      <c r="BK943" s="474"/>
      <c r="BL943" s="474"/>
      <c r="BM943" s="474"/>
      <c r="BN943" s="166"/>
      <c r="BO943" s="166"/>
      <c r="BP943" s="204"/>
      <c r="BQ943" s="475"/>
      <c r="BR943" s="205"/>
      <c r="BS943" s="509"/>
      <c r="BT943" s="509"/>
      <c r="BU943" s="459"/>
      <c r="BV943" s="459"/>
      <c r="BW943" s="1"/>
      <c r="BX943" s="1"/>
      <c r="BY943" s="546"/>
      <c r="BZ943" s="546"/>
      <c r="CA943" s="546"/>
      <c r="CB943" s="546"/>
      <c r="CC943" s="728"/>
      <c r="CD943" s="728"/>
      <c r="CE943" s="170"/>
    </row>
    <row r="944" spans="1:83" customFormat="1">
      <c r="A944" s="701"/>
      <c r="B944" s="447"/>
      <c r="C944" s="161"/>
      <c r="D944" s="162"/>
      <c r="E944" s="1"/>
      <c r="F944" s="811"/>
      <c r="G944" s="440"/>
      <c r="H944" s="1"/>
      <c r="I944" s="55"/>
      <c r="J944" s="170"/>
      <c r="K944" s="1"/>
      <c r="L944" s="170"/>
      <c r="M944" s="1"/>
      <c r="N944" s="458"/>
      <c r="O944" s="170"/>
      <c r="P944" s="441"/>
      <c r="Q944" s="55"/>
      <c r="R944" s="177"/>
      <c r="S944" s="454"/>
      <c r="T944" s="178"/>
      <c r="U944" s="178"/>
      <c r="V944" s="179"/>
      <c r="W944" s="180"/>
      <c r="X944" s="179"/>
      <c r="Y944" s="180"/>
      <c r="Z944" s="178"/>
      <c r="AA944" s="178"/>
      <c r="AB944" s="178"/>
      <c r="AC944" s="178"/>
      <c r="AD944" s="182"/>
      <c r="AE944" s="182"/>
      <c r="AF944" s="182"/>
      <c r="AG944" s="182"/>
      <c r="AH944" s="401"/>
      <c r="AI944" s="401"/>
      <c r="AJ944" s="401"/>
      <c r="AK944" s="401"/>
      <c r="AL944" s="401"/>
      <c r="AM944" s="189"/>
      <c r="AN944" s="829"/>
      <c r="AO944" s="830"/>
      <c r="AP944" s="401"/>
      <c r="AQ944" s="401"/>
      <c r="AR944" s="401"/>
      <c r="AS944" s="401"/>
      <c r="AT944" s="403"/>
      <c r="AU944" s="403"/>
      <c r="AV944" s="170"/>
      <c r="AW944" s="166"/>
      <c r="AX944" s="166"/>
      <c r="AY944" s="189"/>
      <c r="AZ944" s="189"/>
      <c r="BA944" s="196"/>
      <c r="BB944" s="629"/>
      <c r="BC944" s="190"/>
      <c r="BD944" s="510"/>
      <c r="BE944" s="510"/>
      <c r="BF944" s="177"/>
      <c r="BG944" s="177"/>
      <c r="BH944" s="166"/>
      <c r="BI944" s="474"/>
      <c r="BJ944" s="166"/>
      <c r="BK944" s="474"/>
      <c r="BL944" s="474"/>
      <c r="BM944" s="474"/>
      <c r="BN944" s="166"/>
      <c r="BO944" s="166"/>
      <c r="BP944" s="204"/>
      <c r="BQ944" s="475"/>
      <c r="BR944" s="205"/>
      <c r="BS944" s="509"/>
      <c r="BT944" s="509"/>
      <c r="BU944" s="459"/>
      <c r="BV944" s="459"/>
      <c r="BW944" s="1"/>
      <c r="BX944" s="1"/>
      <c r="BY944" s="546"/>
      <c r="BZ944" s="546"/>
      <c r="CA944" s="546"/>
      <c r="CB944" s="546"/>
      <c r="CC944" s="728"/>
      <c r="CD944" s="728"/>
      <c r="CE944" s="170"/>
    </row>
    <row r="945" spans="1:83" customFormat="1">
      <c r="A945" s="701"/>
      <c r="B945" s="447"/>
      <c r="C945" s="161"/>
      <c r="D945" s="162"/>
      <c r="E945" s="1"/>
      <c r="F945" s="811"/>
      <c r="G945" s="440"/>
      <c r="H945" s="1"/>
      <c r="I945" s="55"/>
      <c r="J945" s="170"/>
      <c r="K945" s="1"/>
      <c r="L945" s="170"/>
      <c r="M945" s="1"/>
      <c r="N945" s="458"/>
      <c r="O945" s="170"/>
      <c r="P945" s="441"/>
      <c r="Q945" s="55"/>
      <c r="R945" s="177"/>
      <c r="S945" s="454"/>
      <c r="T945" s="178"/>
      <c r="U945" s="178"/>
      <c r="V945" s="179"/>
      <c r="W945" s="180"/>
      <c r="X945" s="179"/>
      <c r="Y945" s="180"/>
      <c r="Z945" s="178"/>
      <c r="AA945" s="178"/>
      <c r="AB945" s="178"/>
      <c r="AC945" s="178"/>
      <c r="AD945" s="182"/>
      <c r="AE945" s="182"/>
      <c r="AF945" s="182"/>
      <c r="AG945" s="182"/>
      <c r="AH945" s="401"/>
      <c r="AI945" s="401"/>
      <c r="AJ945" s="401"/>
      <c r="AK945" s="401"/>
      <c r="AL945" s="401"/>
      <c r="AM945" s="189"/>
      <c r="AN945" s="829"/>
      <c r="AO945" s="830"/>
      <c r="AP945" s="401"/>
      <c r="AQ945" s="401"/>
      <c r="AR945" s="401"/>
      <c r="AS945" s="401"/>
      <c r="AT945" s="403"/>
      <c r="AU945" s="403"/>
      <c r="AV945" s="170"/>
      <c r="AW945" s="166"/>
      <c r="AX945" s="166"/>
      <c r="AY945" s="189"/>
      <c r="AZ945" s="189"/>
      <c r="BA945" s="196"/>
      <c r="BB945" s="629"/>
      <c r="BC945" s="190"/>
      <c r="BD945" s="510"/>
      <c r="BE945" s="510"/>
      <c r="BF945" s="177"/>
      <c r="BG945" s="177"/>
      <c r="BH945" s="166"/>
      <c r="BI945" s="474"/>
      <c r="BJ945" s="166"/>
      <c r="BK945" s="474"/>
      <c r="BL945" s="474"/>
      <c r="BM945" s="474"/>
      <c r="BN945" s="166"/>
      <c r="BO945" s="166"/>
      <c r="BP945" s="204"/>
      <c r="BQ945" s="475"/>
      <c r="BR945" s="205"/>
      <c r="BS945" s="509"/>
      <c r="BT945" s="509"/>
      <c r="BU945" s="459"/>
      <c r="BV945" s="459"/>
      <c r="BW945" s="1"/>
      <c r="BX945" s="1"/>
      <c r="BY945" s="546"/>
      <c r="BZ945" s="546"/>
      <c r="CA945" s="546"/>
      <c r="CB945" s="546"/>
      <c r="CC945" s="728"/>
      <c r="CD945" s="728"/>
      <c r="CE945" s="170"/>
    </row>
    <row r="946" spans="1:83" customFormat="1">
      <c r="A946" s="701"/>
      <c r="B946" s="447"/>
      <c r="C946" s="1"/>
      <c r="D946" s="538"/>
      <c r="E946" s="1"/>
      <c r="F946" s="811"/>
      <c r="G946" s="440"/>
      <c r="H946" s="371"/>
      <c r="I946" s="55"/>
      <c r="J946" s="370"/>
      <c r="K946" s="55"/>
      <c r="L946" s="370"/>
      <c r="M946" s="55"/>
      <c r="N946" s="452"/>
      <c r="O946" s="170"/>
      <c r="P946" s="139"/>
      <c r="Q946" s="369"/>
      <c r="R946" s="181"/>
      <c r="S946" s="455"/>
      <c r="T946" s="170"/>
      <c r="U946" s="170"/>
      <c r="V946" s="1"/>
      <c r="W946" s="173"/>
      <c r="X946" s="1"/>
      <c r="Y946" s="166"/>
      <c r="Z946" s="170"/>
      <c r="AA946" s="170"/>
      <c r="AB946" s="170"/>
      <c r="AC946" s="170"/>
      <c r="AD946" s="182"/>
      <c r="AE946" s="182"/>
      <c r="AF946" s="182"/>
      <c r="AG946" s="182"/>
      <c r="AH946" s="189"/>
      <c r="AI946" s="401"/>
      <c r="AJ946" s="189"/>
      <c r="AK946" s="401"/>
      <c r="AL946" s="401"/>
      <c r="AM946" s="189"/>
      <c r="AN946" s="782"/>
      <c r="AO946" s="189"/>
      <c r="AP946" s="401"/>
      <c r="AQ946" s="401"/>
      <c r="AR946" s="401"/>
      <c r="AS946" s="188"/>
      <c r="AT946" s="1"/>
      <c r="AU946" s="403"/>
      <c r="AV946" s="1"/>
      <c r="AW946" s="166"/>
      <c r="AX946" s="166"/>
      <c r="AY946" s="189"/>
      <c r="AZ946" s="189"/>
      <c r="BA946" s="196"/>
      <c r="BB946" s="629"/>
      <c r="BC946" s="197"/>
      <c r="BD946" s="510"/>
      <c r="BE946" s="510"/>
      <c r="BF946" s="177"/>
      <c r="BG946" s="177"/>
      <c r="BH946" s="166"/>
      <c r="BI946" s="474"/>
      <c r="BJ946" s="166"/>
      <c r="BK946" s="474"/>
      <c r="BL946" s="474"/>
      <c r="BM946" s="474"/>
      <c r="BN946" s="166"/>
      <c r="BO946" s="166"/>
      <c r="BP946" s="204"/>
      <c r="BQ946" s="475"/>
      <c r="BR946" s="205"/>
      <c r="BS946" s="509"/>
      <c r="BT946" s="509"/>
      <c r="BU946" s="459"/>
      <c r="BV946" s="459"/>
      <c r="BW946" s="1"/>
      <c r="BX946" s="1"/>
      <c r="BY946" s="546"/>
      <c r="BZ946" s="546"/>
      <c r="CA946" s="546"/>
      <c r="CB946" s="546"/>
      <c r="CC946" s="728"/>
      <c r="CD946" s="728"/>
      <c r="CE946" s="170"/>
    </row>
    <row r="947" spans="1:83" customFormat="1">
      <c r="A947" s="701"/>
      <c r="B947" s="447"/>
      <c r="C947" s="161"/>
      <c r="D947" s="162"/>
      <c r="E947" s="1"/>
      <c r="F947" s="811"/>
      <c r="G947" s="440"/>
      <c r="H947" s="1"/>
      <c r="I947" s="55"/>
      <c r="J947" s="170"/>
      <c r="K947" s="1"/>
      <c r="L947" s="170"/>
      <c r="M947" s="1"/>
      <c r="N947" s="458"/>
      <c r="O947" s="170"/>
      <c r="P947" s="441"/>
      <c r="Q947" s="55"/>
      <c r="R947" s="177"/>
      <c r="S947" s="454"/>
      <c r="T947" s="178"/>
      <c r="U947" s="178"/>
      <c r="V947" s="179"/>
      <c r="W947" s="180"/>
      <c r="X947" s="179"/>
      <c r="Y947" s="180"/>
      <c r="Z947" s="178"/>
      <c r="AA947" s="178"/>
      <c r="AB947" s="178"/>
      <c r="AC947" s="178"/>
      <c r="AD947" s="182"/>
      <c r="AE947" s="182"/>
      <c r="AF947" s="182"/>
      <c r="AG947" s="182"/>
      <c r="AH947" s="401"/>
      <c r="AI947" s="401"/>
      <c r="AJ947" s="401"/>
      <c r="AK947" s="401"/>
      <c r="AL947" s="401"/>
      <c r="AM947" s="189"/>
      <c r="AN947" s="829"/>
      <c r="AO947" s="830"/>
      <c r="AP947" s="401"/>
      <c r="AQ947" s="401"/>
      <c r="AR947" s="401"/>
      <c r="AS947" s="401"/>
      <c r="AT947" s="403"/>
      <c r="AU947" s="403"/>
      <c r="AV947" s="170"/>
      <c r="AW947" s="166"/>
      <c r="AX947" s="166"/>
      <c r="AY947" s="189"/>
      <c r="AZ947" s="189"/>
      <c r="BA947" s="196"/>
      <c r="BB947" s="629"/>
      <c r="BC947" s="190"/>
      <c r="BD947" s="510"/>
      <c r="BE947" s="510"/>
      <c r="BF947" s="177"/>
      <c r="BG947" s="177"/>
      <c r="BH947" s="166"/>
      <c r="BI947" s="474"/>
      <c r="BJ947" s="166"/>
      <c r="BK947" s="474"/>
      <c r="BL947" s="474"/>
      <c r="BM947" s="474"/>
      <c r="BN947" s="166"/>
      <c r="BO947" s="166"/>
      <c r="BP947" s="204"/>
      <c r="BQ947" s="475"/>
      <c r="BR947" s="205"/>
      <c r="BS947" s="509"/>
      <c r="BT947" s="509"/>
      <c r="BU947" s="459"/>
      <c r="BV947" s="459"/>
      <c r="BW947" s="1"/>
      <c r="BX947" s="1"/>
      <c r="BY947" s="546"/>
      <c r="BZ947" s="546"/>
      <c r="CA947" s="546"/>
      <c r="CB947" s="546"/>
      <c r="CC947" s="728"/>
      <c r="CD947" s="728"/>
      <c r="CE947" s="170"/>
    </row>
    <row r="948" spans="1:83" customFormat="1">
      <c r="A948" s="701"/>
      <c r="B948" s="447"/>
      <c r="C948" s="161"/>
      <c r="D948" s="162"/>
      <c r="E948" s="1"/>
      <c r="F948" s="811"/>
      <c r="G948" s="440"/>
      <c r="H948" s="1"/>
      <c r="I948" s="55"/>
      <c r="J948" s="170"/>
      <c r="K948" s="1"/>
      <c r="L948" s="457"/>
      <c r="M948" s="1"/>
      <c r="N948" s="458"/>
      <c r="O948" s="170"/>
      <c r="P948" s="441"/>
      <c r="Q948" s="55"/>
      <c r="R948" s="177"/>
      <c r="S948" s="454"/>
      <c r="T948" s="178"/>
      <c r="U948" s="178"/>
      <c r="V948" s="179"/>
      <c r="W948" s="180"/>
      <c r="X948" s="179"/>
      <c r="Y948" s="180"/>
      <c r="Z948" s="178"/>
      <c r="AA948" s="178"/>
      <c r="AB948" s="178"/>
      <c r="AC948" s="178"/>
      <c r="AD948" s="182"/>
      <c r="AE948" s="182"/>
      <c r="AF948" s="182"/>
      <c r="AG948" s="182"/>
      <c r="AH948" s="401"/>
      <c r="AI948" s="401"/>
      <c r="AJ948" s="401"/>
      <c r="AK948" s="401"/>
      <c r="AL948" s="401"/>
      <c r="AM948" s="189"/>
      <c r="AN948" s="829"/>
      <c r="AO948" s="830"/>
      <c r="AP948" s="401"/>
      <c r="AQ948" s="401"/>
      <c r="AR948" s="401"/>
      <c r="AS948" s="401"/>
      <c r="AT948" s="403"/>
      <c r="AU948" s="403"/>
      <c r="AV948" s="170"/>
      <c r="AW948" s="166"/>
      <c r="AX948" s="166"/>
      <c r="AY948" s="189"/>
      <c r="AZ948" s="189"/>
      <c r="BA948" s="196"/>
      <c r="BB948" s="629"/>
      <c r="BC948" s="190"/>
      <c r="BD948" s="510"/>
      <c r="BE948" s="510"/>
      <c r="BF948" s="177"/>
      <c r="BG948" s="177"/>
      <c r="BH948" s="166"/>
      <c r="BI948" s="474"/>
      <c r="BJ948" s="166"/>
      <c r="BK948" s="474"/>
      <c r="BL948" s="474"/>
      <c r="BM948" s="474"/>
      <c r="BN948" s="166"/>
      <c r="BO948" s="166"/>
      <c r="BP948" s="204"/>
      <c r="BQ948" s="475"/>
      <c r="BR948" s="205"/>
      <c r="BS948" s="509"/>
      <c r="BT948" s="509"/>
      <c r="BU948" s="459"/>
      <c r="BV948" s="459"/>
      <c r="BW948" s="1"/>
      <c r="BX948" s="1"/>
      <c r="BY948" s="546"/>
      <c r="BZ948" s="546"/>
      <c r="CA948" s="546"/>
      <c r="CB948" s="546"/>
      <c r="CC948" s="728"/>
      <c r="CD948" s="728"/>
      <c r="CE948" s="170"/>
    </row>
    <row r="949" spans="1:83" customFormat="1">
      <c r="A949" s="701"/>
      <c r="B949" s="447"/>
      <c r="C949" s="161"/>
      <c r="D949" s="162"/>
      <c r="E949" s="1"/>
      <c r="F949" s="811"/>
      <c r="G949" s="440"/>
      <c r="H949" s="1"/>
      <c r="I949" s="55"/>
      <c r="J949" s="170"/>
      <c r="K949" s="1"/>
      <c r="L949" s="170"/>
      <c r="M949" s="1"/>
      <c r="N949" s="458"/>
      <c r="O949" s="170"/>
      <c r="P949" s="441"/>
      <c r="Q949" s="55"/>
      <c r="R949" s="177"/>
      <c r="S949" s="454"/>
      <c r="T949" s="178"/>
      <c r="U949" s="178"/>
      <c r="V949" s="179"/>
      <c r="W949" s="180"/>
      <c r="X949" s="179"/>
      <c r="Y949" s="180"/>
      <c r="Z949" s="178"/>
      <c r="AA949" s="178"/>
      <c r="AB949" s="178"/>
      <c r="AC949" s="178"/>
      <c r="AD949" s="182"/>
      <c r="AE949" s="182"/>
      <c r="AF949" s="182"/>
      <c r="AG949" s="182"/>
      <c r="AH949" s="401"/>
      <c r="AI949" s="401"/>
      <c r="AJ949" s="401"/>
      <c r="AK949" s="401"/>
      <c r="AL949" s="401"/>
      <c r="AM949" s="189"/>
      <c r="AN949" s="829"/>
      <c r="AO949" s="830"/>
      <c r="AP949" s="401"/>
      <c r="AQ949" s="401"/>
      <c r="AR949" s="401"/>
      <c r="AS949" s="401"/>
      <c r="AT949" s="403"/>
      <c r="AU949" s="403"/>
      <c r="AV949" s="170"/>
      <c r="AW949" s="166"/>
      <c r="AX949" s="166"/>
      <c r="AY949" s="189"/>
      <c r="AZ949" s="189"/>
      <c r="BA949" s="196"/>
      <c r="BB949" s="629"/>
      <c r="BC949" s="190"/>
      <c r="BD949" s="510"/>
      <c r="BE949" s="510"/>
      <c r="BF949" s="177"/>
      <c r="BG949" s="177"/>
      <c r="BH949" s="166"/>
      <c r="BI949" s="474"/>
      <c r="BJ949" s="166"/>
      <c r="BK949" s="474"/>
      <c r="BL949" s="474"/>
      <c r="BM949" s="474"/>
      <c r="BN949" s="166"/>
      <c r="BO949" s="166"/>
      <c r="BP949" s="204"/>
      <c r="BQ949" s="475"/>
      <c r="BR949" s="205"/>
      <c r="BS949" s="509"/>
      <c r="BT949" s="509"/>
      <c r="BU949" s="459"/>
      <c r="BV949" s="459"/>
      <c r="BW949" s="1"/>
      <c r="BX949" s="1"/>
      <c r="BY949" s="546"/>
      <c r="BZ949" s="546"/>
      <c r="CA949" s="546"/>
      <c r="CB949" s="546"/>
      <c r="CC949" s="728"/>
      <c r="CD949" s="728"/>
      <c r="CE949" s="170"/>
    </row>
    <row r="950" spans="1:83" customFormat="1">
      <c r="A950" s="701"/>
      <c r="B950" s="447"/>
      <c r="C950" s="161"/>
      <c r="D950" s="162"/>
      <c r="E950" s="1"/>
      <c r="F950" s="811"/>
      <c r="G950" s="440"/>
      <c r="H950" s="1"/>
      <c r="I950" s="55"/>
      <c r="J950" s="170"/>
      <c r="K950" s="1"/>
      <c r="L950" s="170"/>
      <c r="M950" s="1"/>
      <c r="N950" s="458"/>
      <c r="O950" s="170"/>
      <c r="P950" s="441"/>
      <c r="Q950" s="55"/>
      <c r="R950" s="177"/>
      <c r="S950" s="454"/>
      <c r="T950" s="178"/>
      <c r="U950" s="178"/>
      <c r="V950" s="179"/>
      <c r="W950" s="180"/>
      <c r="X950" s="179"/>
      <c r="Y950" s="180"/>
      <c r="Z950" s="178"/>
      <c r="AA950" s="178"/>
      <c r="AB950" s="178"/>
      <c r="AC950" s="178"/>
      <c r="AD950" s="182"/>
      <c r="AE950" s="182"/>
      <c r="AF950" s="182"/>
      <c r="AG950" s="182"/>
      <c r="AH950" s="401"/>
      <c r="AI950" s="401"/>
      <c r="AJ950" s="401"/>
      <c r="AK950" s="401"/>
      <c r="AL950" s="401"/>
      <c r="AM950" s="189"/>
      <c r="AN950" s="829"/>
      <c r="AO950" s="830"/>
      <c r="AP950" s="401"/>
      <c r="AQ950" s="401"/>
      <c r="AR950" s="401"/>
      <c r="AS950" s="401"/>
      <c r="AT950" s="403"/>
      <c r="AU950" s="403"/>
      <c r="AV950" s="170"/>
      <c r="AW950" s="166"/>
      <c r="AX950" s="166"/>
      <c r="AY950" s="189"/>
      <c r="AZ950" s="189"/>
      <c r="BA950" s="196"/>
      <c r="BB950" s="629"/>
      <c r="BC950" s="190"/>
      <c r="BD950" s="510"/>
      <c r="BE950" s="510"/>
      <c r="BF950" s="177"/>
      <c r="BG950" s="177"/>
      <c r="BH950" s="166"/>
      <c r="BI950" s="474"/>
      <c r="BJ950" s="166"/>
      <c r="BK950" s="474"/>
      <c r="BL950" s="474"/>
      <c r="BM950" s="474"/>
      <c r="BN950" s="166"/>
      <c r="BO950" s="166"/>
      <c r="BP950" s="204"/>
      <c r="BQ950" s="475"/>
      <c r="BR950" s="205"/>
      <c r="BS950" s="509"/>
      <c r="BT950" s="509"/>
      <c r="BU950" s="459"/>
      <c r="BV950" s="459"/>
      <c r="BW950" s="1"/>
      <c r="BX950" s="1"/>
      <c r="BY950" s="1"/>
      <c r="BZ950" s="1"/>
      <c r="CA950" s="1"/>
      <c r="CB950" s="1"/>
      <c r="CC950" s="728"/>
      <c r="CD950" s="728"/>
      <c r="CE950" s="1"/>
    </row>
    <row r="951" spans="1:83" customFormat="1">
      <c r="A951" s="701"/>
      <c r="B951" s="447"/>
      <c r="C951" s="161"/>
      <c r="D951" s="162"/>
      <c r="E951" s="1"/>
      <c r="F951" s="811"/>
      <c r="G951" s="440"/>
      <c r="H951" s="1"/>
      <c r="I951" s="55"/>
      <c r="J951" s="170"/>
      <c r="K951" s="1"/>
      <c r="L951" s="170"/>
      <c r="M951" s="1"/>
      <c r="N951" s="166"/>
      <c r="O951" s="170"/>
      <c r="P951" s="441"/>
      <c r="Q951" s="55"/>
      <c r="R951" s="177"/>
      <c r="S951" s="454"/>
      <c r="T951" s="178"/>
      <c r="U951" s="178"/>
      <c r="V951" s="179"/>
      <c r="W951" s="180"/>
      <c r="X951" s="179"/>
      <c r="Y951" s="180"/>
      <c r="Z951" s="178"/>
      <c r="AA951" s="178"/>
      <c r="AB951" s="178"/>
      <c r="AC951" s="178"/>
      <c r="AD951" s="182"/>
      <c r="AE951" s="182"/>
      <c r="AF951" s="182"/>
      <c r="AG951" s="182"/>
      <c r="AH951" s="401"/>
      <c r="AI951" s="182"/>
      <c r="AJ951" s="182"/>
      <c r="AK951" s="401"/>
      <c r="AL951" s="401"/>
      <c r="AM951" s="189"/>
      <c r="AN951" s="829"/>
      <c r="AO951" s="830"/>
      <c r="AP951" s="401"/>
      <c r="AQ951" s="401"/>
      <c r="AR951" s="401"/>
      <c r="AS951" s="401"/>
      <c r="AT951" s="403"/>
      <c r="AU951" s="403"/>
      <c r="AV951" s="170"/>
      <c r="AW951" s="166"/>
      <c r="AX951" s="166"/>
      <c r="AY951" s="189"/>
      <c r="AZ951" s="189"/>
      <c r="BA951" s="196"/>
      <c r="BB951" s="629"/>
      <c r="BC951" s="190"/>
      <c r="BD951" s="510"/>
      <c r="BE951" s="510"/>
      <c r="BF951" s="177"/>
      <c r="BG951" s="177"/>
      <c r="BH951" s="166"/>
      <c r="BI951" s="474"/>
      <c r="BJ951" s="166"/>
      <c r="BK951" s="474"/>
      <c r="BL951" s="474"/>
      <c r="BM951" s="474"/>
      <c r="BN951" s="166"/>
      <c r="BO951" s="166"/>
      <c r="BP951" s="204"/>
      <c r="BQ951" s="475"/>
      <c r="BR951" s="205"/>
      <c r="BS951" s="509"/>
      <c r="BT951" s="509"/>
      <c r="BU951" s="459"/>
      <c r="BV951" s="459"/>
      <c r="BW951" s="1"/>
      <c r="BX951" s="1"/>
      <c r="BY951" s="1"/>
      <c r="BZ951" s="1"/>
      <c r="CA951" s="1"/>
      <c r="CB951" s="1"/>
      <c r="CC951" s="728"/>
      <c r="CD951" s="728"/>
      <c r="CE951" s="1"/>
    </row>
    <row r="952" spans="1:83" customFormat="1">
      <c r="A952" s="701"/>
      <c r="B952" s="447"/>
      <c r="C952" s="1"/>
      <c r="D952" s="538"/>
      <c r="E952" s="1"/>
      <c r="F952" s="811"/>
      <c r="G952" s="440"/>
      <c r="H952" s="1"/>
      <c r="J952" s="171"/>
      <c r="K952" s="55"/>
      <c r="L952" s="171"/>
      <c r="M952" s="55"/>
      <c r="N952" s="172"/>
      <c r="O952" s="170"/>
      <c r="P952" s="139"/>
      <c r="Q952" s="171"/>
      <c r="R952" s="181"/>
      <c r="S952" s="455"/>
      <c r="T952" s="170"/>
      <c r="U952" s="170"/>
      <c r="V952" s="1"/>
      <c r="W952" s="173"/>
      <c r="X952" s="1"/>
      <c r="Y952" s="166"/>
      <c r="Z952" s="170"/>
      <c r="AA952" s="170"/>
      <c r="AB952" s="170"/>
      <c r="AC952" s="170"/>
      <c r="AD952" s="182"/>
      <c r="AE952" s="182"/>
      <c r="AF952" s="182"/>
      <c r="AG952" s="182"/>
      <c r="AH952" s="189"/>
      <c r="AI952" s="401"/>
      <c r="AJ952" s="189"/>
      <c r="AK952" s="401"/>
      <c r="AL952" s="401"/>
      <c r="AM952" s="189"/>
      <c r="AN952" s="782"/>
      <c r="AO952" s="189"/>
      <c r="AP952" s="401"/>
      <c r="AQ952" s="401"/>
      <c r="AR952" s="401"/>
      <c r="AS952" s="188"/>
      <c r="AT952" s="1"/>
      <c r="AU952" s="403"/>
      <c r="AV952" s="1"/>
      <c r="AW952" s="166"/>
      <c r="AX952" s="166"/>
      <c r="AY952" s="189"/>
      <c r="AZ952" s="189"/>
      <c r="BA952" s="196"/>
      <c r="BB952" s="629"/>
      <c r="BC952" s="197"/>
      <c r="BD952" s="510"/>
      <c r="BE952" s="510"/>
      <c r="BF952" s="177"/>
      <c r="BG952" s="177"/>
      <c r="BH952" s="166"/>
      <c r="BI952" s="474"/>
      <c r="BJ952" s="166"/>
      <c r="BK952" s="474"/>
      <c r="BL952" s="474"/>
      <c r="BM952" s="474"/>
      <c r="BN952" s="166"/>
      <c r="BO952" s="166"/>
      <c r="BP952" s="204"/>
      <c r="BQ952" s="475"/>
      <c r="BR952" s="205"/>
      <c r="BS952" s="509"/>
      <c r="BT952" s="509"/>
      <c r="BU952" s="459"/>
      <c r="BV952" s="459"/>
      <c r="BW952" s="1"/>
      <c r="BX952" s="1"/>
      <c r="BY952" s="546"/>
      <c r="BZ952" s="546"/>
      <c r="CA952" s="546"/>
      <c r="CB952" s="546"/>
      <c r="CC952" s="728"/>
      <c r="CD952" s="728"/>
      <c r="CE952" s="170"/>
    </row>
    <row r="953" spans="1:83" customFormat="1">
      <c r="A953" s="701"/>
      <c r="B953" s="447"/>
      <c r="C953" s="161"/>
      <c r="D953" s="162"/>
      <c r="E953" s="1"/>
      <c r="F953" s="811"/>
      <c r="G953" s="440"/>
      <c r="H953" s="1"/>
      <c r="I953" s="55"/>
      <c r="J953" s="170"/>
      <c r="K953" s="1"/>
      <c r="L953" s="170"/>
      <c r="M953" s="1"/>
      <c r="N953" s="458"/>
      <c r="O953" s="170"/>
      <c r="P953" s="441"/>
      <c r="Q953" s="55"/>
      <c r="R953" s="177"/>
      <c r="S953" s="454"/>
      <c r="T953" s="178"/>
      <c r="U953" s="178"/>
      <c r="V953" s="179"/>
      <c r="W953" s="180"/>
      <c r="X953" s="179"/>
      <c r="Y953" s="180"/>
      <c r="Z953" s="178"/>
      <c r="AA953" s="178"/>
      <c r="AB953" s="178"/>
      <c r="AC953" s="178"/>
      <c r="AD953" s="182"/>
      <c r="AE953" s="182"/>
      <c r="AF953" s="182"/>
      <c r="AG953" s="182"/>
      <c r="AH953" s="401"/>
      <c r="AI953" s="401"/>
      <c r="AJ953" s="401"/>
      <c r="AK953" s="401"/>
      <c r="AL953" s="401"/>
      <c r="AM953" s="189"/>
      <c r="AN953" s="829"/>
      <c r="AO953" s="830"/>
      <c r="AP953" s="401"/>
      <c r="AQ953" s="401"/>
      <c r="AR953" s="401"/>
      <c r="AS953" s="401"/>
      <c r="AT953" s="403"/>
      <c r="AU953" s="403"/>
      <c r="AV953" s="170"/>
      <c r="AW953" s="166"/>
      <c r="AX953" s="166"/>
      <c r="AY953" s="189"/>
      <c r="AZ953" s="189"/>
      <c r="BA953" s="190"/>
      <c r="BB953" s="629"/>
      <c r="BC953" s="190"/>
      <c r="BD953" s="510"/>
      <c r="BE953" s="510"/>
      <c r="BF953" s="177"/>
      <c r="BG953" s="177"/>
      <c r="BH953" s="166"/>
      <c r="BI953" s="474"/>
      <c r="BJ953" s="166"/>
      <c r="BK953" s="474"/>
      <c r="BL953" s="474"/>
      <c r="BM953" s="474"/>
      <c r="BN953" s="166"/>
      <c r="BO953" s="166"/>
      <c r="BP953" s="204"/>
      <c r="BQ953" s="475"/>
      <c r="BR953" s="205"/>
      <c r="BS953" s="509"/>
      <c r="BT953" s="509"/>
      <c r="BU953" s="459"/>
      <c r="BV953" s="459"/>
      <c r="BW953" s="1"/>
      <c r="BX953" s="1"/>
      <c r="BY953" s="1"/>
      <c r="BZ953" s="1"/>
      <c r="CA953" s="1"/>
      <c r="CB953" s="1"/>
      <c r="CC953" s="728"/>
      <c r="CD953" s="728"/>
      <c r="CE953" s="1"/>
    </row>
    <row r="954" spans="1:83" customFormat="1">
      <c r="A954" s="701"/>
      <c r="B954" s="447"/>
      <c r="C954" s="1"/>
      <c r="D954" s="538"/>
      <c r="E954" s="1"/>
      <c r="F954" s="811"/>
      <c r="G954" s="440"/>
      <c r="H954" s="1"/>
      <c r="J954" s="171"/>
      <c r="K954" s="55"/>
      <c r="L954" s="171"/>
      <c r="M954" s="55"/>
      <c r="N954" s="172"/>
      <c r="O954" s="170"/>
      <c r="P954" s="139"/>
      <c r="Q954" s="171"/>
      <c r="R954" s="181"/>
      <c r="S954" s="455"/>
      <c r="T954" s="170"/>
      <c r="U954" s="170"/>
      <c r="V954" s="1"/>
      <c r="W954" s="173"/>
      <c r="X954" s="1"/>
      <c r="Y954" s="166"/>
      <c r="Z954" s="170"/>
      <c r="AA954" s="170"/>
      <c r="AB954" s="170"/>
      <c r="AC954" s="170"/>
      <c r="AD954" s="182"/>
      <c r="AE954" s="182"/>
      <c r="AF954" s="182"/>
      <c r="AG954" s="182"/>
      <c r="AH954" s="189"/>
      <c r="AI954" s="401"/>
      <c r="AJ954" s="189"/>
      <c r="AK954" s="401"/>
      <c r="AL954" s="401"/>
      <c r="AM954" s="189"/>
      <c r="AN954" s="782"/>
      <c r="AO954" s="189"/>
      <c r="AP954" s="401"/>
      <c r="AQ954" s="401"/>
      <c r="AR954" s="401"/>
      <c r="AS954" s="188"/>
      <c r="AT954" s="1"/>
      <c r="AU954" s="403"/>
      <c r="AV954" s="1"/>
      <c r="AW954" s="166"/>
      <c r="AX954" s="166"/>
      <c r="AY954" s="189"/>
      <c r="AZ954" s="189"/>
      <c r="BA954" s="196"/>
      <c r="BB954" s="629"/>
      <c r="BC954" s="197"/>
      <c r="BD954" s="510"/>
      <c r="BE954" s="510"/>
      <c r="BF954" s="177"/>
      <c r="BG954" s="177"/>
      <c r="BH954" s="166"/>
      <c r="BI954" s="474"/>
      <c r="BJ954" s="166"/>
      <c r="BK954" s="474"/>
      <c r="BL954" s="474"/>
      <c r="BM954" s="474"/>
      <c r="BN954" s="166"/>
      <c r="BO954" s="166"/>
      <c r="BP954" s="204"/>
      <c r="BQ954" s="475"/>
      <c r="BR954" s="205"/>
      <c r="BS954" s="509"/>
      <c r="BT954" s="509"/>
      <c r="BU954" s="459"/>
      <c r="BV954" s="459"/>
      <c r="BW954" s="1"/>
      <c r="BX954" s="1"/>
      <c r="BY954" s="546"/>
      <c r="BZ954" s="546"/>
      <c r="CA954" s="546"/>
      <c r="CB954" s="546"/>
      <c r="CC954" s="728"/>
      <c r="CD954" s="728"/>
      <c r="CE954" s="170"/>
    </row>
    <row r="955" spans="1:83" customFormat="1">
      <c r="A955" s="701"/>
      <c r="B955" s="447"/>
      <c r="C955" s="1"/>
      <c r="D955" s="538"/>
      <c r="E955" s="1"/>
      <c r="F955" s="811"/>
      <c r="G955" s="440"/>
      <c r="H955" s="1"/>
      <c r="J955" s="171"/>
      <c r="K955" s="55"/>
      <c r="L955" s="171"/>
      <c r="M955" s="55"/>
      <c r="N955" s="172"/>
      <c r="O955" s="170"/>
      <c r="P955" s="139"/>
      <c r="Q955" s="171"/>
      <c r="R955" s="181"/>
      <c r="S955" s="455"/>
      <c r="T955" s="170"/>
      <c r="U955" s="170"/>
      <c r="V955" s="1"/>
      <c r="W955" s="173"/>
      <c r="X955" s="1"/>
      <c r="Y955" s="166"/>
      <c r="Z955" s="170"/>
      <c r="AA955" s="170"/>
      <c r="AB955" s="170"/>
      <c r="AC955" s="170"/>
      <c r="AD955" s="182"/>
      <c r="AE955" s="182"/>
      <c r="AF955" s="182"/>
      <c r="AG955" s="182"/>
      <c r="AH955" s="189"/>
      <c r="AI955" s="401"/>
      <c r="AJ955" s="189"/>
      <c r="AK955" s="401"/>
      <c r="AL955" s="401"/>
      <c r="AM955" s="189"/>
      <c r="AN955" s="782"/>
      <c r="AO955" s="189"/>
      <c r="AP955" s="401"/>
      <c r="AQ955" s="401"/>
      <c r="AR955" s="401"/>
      <c r="AS955" s="188"/>
      <c r="AT955" s="1"/>
      <c r="AU955" s="403"/>
      <c r="AV955" s="1"/>
      <c r="AW955" s="166"/>
      <c r="AX955" s="166"/>
      <c r="AY955" s="189"/>
      <c r="AZ955" s="189"/>
      <c r="BA955" s="196"/>
      <c r="BB955" s="629"/>
      <c r="BC955" s="197"/>
      <c r="BD955" s="510"/>
      <c r="BE955" s="510"/>
      <c r="BF955" s="177"/>
      <c r="BG955" s="177"/>
      <c r="BH955" s="166"/>
      <c r="BI955" s="474"/>
      <c r="BJ955" s="166"/>
      <c r="BK955" s="474"/>
      <c r="BL955" s="474"/>
      <c r="BM955" s="474"/>
      <c r="BN955" s="166"/>
      <c r="BO955" s="166"/>
      <c r="BP955" s="204"/>
      <c r="BQ955" s="475"/>
      <c r="BR955" s="205"/>
      <c r="BS955" s="509"/>
      <c r="BT955" s="509"/>
      <c r="BU955" s="459"/>
      <c r="BV955" s="459"/>
      <c r="BW955" s="1"/>
      <c r="BX955" s="1"/>
      <c r="BY955" s="546"/>
      <c r="BZ955" s="546"/>
      <c r="CA955" s="546"/>
      <c r="CB955" s="546"/>
      <c r="CC955" s="728"/>
      <c r="CD955" s="728"/>
      <c r="CE955" s="170"/>
    </row>
    <row r="956" spans="1:83" customFormat="1">
      <c r="A956" s="701"/>
      <c r="B956" s="447"/>
      <c r="C956" s="161"/>
      <c r="D956" s="162"/>
      <c r="E956" s="1"/>
      <c r="F956" s="811"/>
      <c r="G956" s="440"/>
      <c r="H956" s="1"/>
      <c r="I956" s="55"/>
      <c r="J956" s="170"/>
      <c r="K956" s="1"/>
      <c r="L956" s="170"/>
      <c r="M956" s="1"/>
      <c r="N956" s="458"/>
      <c r="O956" s="170"/>
      <c r="P956" s="441"/>
      <c r="Q956" s="55"/>
      <c r="R956" s="177"/>
      <c r="S956" s="454"/>
      <c r="T956" s="178"/>
      <c r="U956" s="178"/>
      <c r="V956" s="179"/>
      <c r="W956" s="180"/>
      <c r="X956" s="179"/>
      <c r="Y956" s="180"/>
      <c r="Z956" s="178"/>
      <c r="AA956" s="178"/>
      <c r="AB956" s="178"/>
      <c r="AC956" s="178"/>
      <c r="AD956" s="182"/>
      <c r="AE956" s="182"/>
      <c r="AF956" s="182"/>
      <c r="AG956" s="182"/>
      <c r="AH956" s="401"/>
      <c r="AI956" s="401"/>
      <c r="AJ956" s="401"/>
      <c r="AK956" s="401"/>
      <c r="AL956" s="401"/>
      <c r="AM956" s="189"/>
      <c r="AN956" s="829"/>
      <c r="AO956" s="830"/>
      <c r="AP956" s="401"/>
      <c r="AQ956" s="401"/>
      <c r="AR956" s="401"/>
      <c r="AS956" s="401"/>
      <c r="AT956" s="403"/>
      <c r="AU956" s="403"/>
      <c r="AV956" s="170"/>
      <c r="AW956" s="166"/>
      <c r="AX956" s="166"/>
      <c r="AY956" s="189"/>
      <c r="AZ956" s="189"/>
      <c r="BA956" s="196"/>
      <c r="BB956" s="629"/>
      <c r="BC956" s="190"/>
      <c r="BD956" s="510"/>
      <c r="BE956" s="510"/>
      <c r="BF956" s="177"/>
      <c r="BG956" s="177"/>
      <c r="BH956" s="166"/>
      <c r="BI956" s="474"/>
      <c r="BJ956" s="166"/>
      <c r="BK956" s="474"/>
      <c r="BL956" s="474"/>
      <c r="BM956" s="474"/>
      <c r="BN956" s="166"/>
      <c r="BO956" s="166"/>
      <c r="BP956" s="204"/>
      <c r="BQ956" s="475"/>
      <c r="BR956" s="205"/>
      <c r="BS956" s="509"/>
      <c r="BT956" s="509"/>
      <c r="BU956" s="459"/>
      <c r="BV956" s="459"/>
      <c r="BW956" s="1"/>
      <c r="BX956" s="1"/>
      <c r="BY956" s="1"/>
      <c r="BZ956" s="1"/>
      <c r="CA956" s="1"/>
      <c r="CB956" s="1"/>
      <c r="CC956" s="728"/>
      <c r="CD956" s="728"/>
      <c r="CE956" s="1"/>
    </row>
    <row r="957" spans="1:83" customFormat="1">
      <c r="A957" s="701"/>
      <c r="B957" s="447"/>
      <c r="C957" s="1"/>
      <c r="D957" s="538"/>
      <c r="E957" s="1"/>
      <c r="F957" s="811"/>
      <c r="G957" s="440"/>
      <c r="H957" s="1"/>
      <c r="J957" s="171"/>
      <c r="K957" s="55"/>
      <c r="L957" s="171"/>
      <c r="M957" s="55"/>
      <c r="N957" s="172"/>
      <c r="O957" s="170"/>
      <c r="P957" s="139"/>
      <c r="Q957" s="171"/>
      <c r="R957" s="181"/>
      <c r="S957" s="455"/>
      <c r="T957" s="170"/>
      <c r="U957" s="170"/>
      <c r="V957" s="1"/>
      <c r="W957" s="173"/>
      <c r="X957" s="1"/>
      <c r="Y957" s="166"/>
      <c r="Z957" s="170"/>
      <c r="AA957" s="170"/>
      <c r="AB957" s="170"/>
      <c r="AC957" s="170"/>
      <c r="AD957" s="182"/>
      <c r="AE957" s="182"/>
      <c r="AF957" s="182"/>
      <c r="AG957" s="182"/>
      <c r="AH957" s="189"/>
      <c r="AI957" s="401"/>
      <c r="AJ957" s="189"/>
      <c r="AK957" s="401"/>
      <c r="AL957" s="401"/>
      <c r="AM957" s="189"/>
      <c r="AN957" s="782"/>
      <c r="AO957" s="189"/>
      <c r="AP957" s="401"/>
      <c r="AQ957" s="401"/>
      <c r="AR957" s="401"/>
      <c r="AS957" s="188"/>
      <c r="AT957" s="1"/>
      <c r="AU957" s="403"/>
      <c r="AV957" s="1"/>
      <c r="AW957" s="166"/>
      <c r="AX957" s="166"/>
      <c r="AY957" s="189"/>
      <c r="AZ957" s="189"/>
      <c r="BA957" s="196"/>
      <c r="BB957" s="629"/>
      <c r="BC957" s="197"/>
      <c r="BD957" s="510"/>
      <c r="BE957" s="510"/>
      <c r="BF957" s="177"/>
      <c r="BG957" s="177"/>
      <c r="BH957" s="166"/>
      <c r="BI957" s="474"/>
      <c r="BJ957" s="166"/>
      <c r="BK957" s="474"/>
      <c r="BL957" s="474"/>
      <c r="BM957" s="474"/>
      <c r="BN957" s="166"/>
      <c r="BO957" s="166"/>
      <c r="BP957" s="204"/>
      <c r="BQ957" s="475"/>
      <c r="BR957" s="205"/>
      <c r="BS957" s="509"/>
      <c r="BT957" s="509"/>
      <c r="BU957" s="459"/>
      <c r="BV957" s="459"/>
      <c r="BW957" s="1"/>
      <c r="BX957" s="1"/>
      <c r="BY957" s="546"/>
      <c r="BZ957" s="546"/>
      <c r="CA957" s="546"/>
      <c r="CB957" s="546"/>
      <c r="CC957" s="728"/>
      <c r="CD957" s="728"/>
      <c r="CE957" s="170"/>
    </row>
    <row r="958" spans="1:83" customFormat="1">
      <c r="A958" s="701"/>
      <c r="B958" s="447"/>
      <c r="C958" s="161"/>
      <c r="D958" s="162"/>
      <c r="E958" s="1"/>
      <c r="F958" s="811"/>
      <c r="G958" s="440"/>
      <c r="H958" s="1"/>
      <c r="I958" s="55"/>
      <c r="J958" s="457"/>
      <c r="K958" s="1"/>
      <c r="L958" s="170"/>
      <c r="M958" s="1"/>
      <c r="N958" s="458"/>
      <c r="O958" s="170"/>
      <c r="P958" s="441"/>
      <c r="Q958" s="55"/>
      <c r="R958" s="177"/>
      <c r="S958" s="454"/>
      <c r="T958" s="178"/>
      <c r="U958" s="178"/>
      <c r="V958" s="179"/>
      <c r="W958" s="180"/>
      <c r="X958" s="179"/>
      <c r="Y958" s="180"/>
      <c r="Z958" s="178"/>
      <c r="AA958" s="178"/>
      <c r="AB958" s="178"/>
      <c r="AC958" s="178"/>
      <c r="AD958" s="182"/>
      <c r="AE958" s="182"/>
      <c r="AF958" s="182"/>
      <c r="AG958" s="182"/>
      <c r="AH958" s="401"/>
      <c r="AI958" s="401"/>
      <c r="AJ958" s="401"/>
      <c r="AK958" s="401"/>
      <c r="AL958" s="401"/>
      <c r="AM958" s="189"/>
      <c r="AN958" s="829"/>
      <c r="AO958" s="830"/>
      <c r="AP958" s="401"/>
      <c r="AQ958" s="401"/>
      <c r="AR958" s="401"/>
      <c r="AS958" s="401"/>
      <c r="AT958" s="403"/>
      <c r="AU958" s="403"/>
      <c r="AV958" s="170"/>
      <c r="AW958" s="166"/>
      <c r="AX958" s="166"/>
      <c r="AY958" s="189"/>
      <c r="AZ958" s="189"/>
      <c r="BA958" s="196"/>
      <c r="BB958" s="629"/>
      <c r="BC958" s="190"/>
      <c r="BD958" s="510"/>
      <c r="BE958" s="510"/>
      <c r="BF958" s="177"/>
      <c r="BG958" s="177"/>
      <c r="BH958" s="166"/>
      <c r="BI958" s="474"/>
      <c r="BJ958" s="166"/>
      <c r="BK958" s="474"/>
      <c r="BL958" s="474"/>
      <c r="BM958" s="474"/>
      <c r="BN958" s="166"/>
      <c r="BO958" s="166"/>
      <c r="BP958" s="204"/>
      <c r="BQ958" s="475"/>
      <c r="BR958" s="205"/>
      <c r="BS958" s="509"/>
      <c r="BT958" s="509"/>
      <c r="BU958" s="459"/>
      <c r="BV958" s="459"/>
      <c r="BW958" s="1"/>
      <c r="BX958" s="1"/>
      <c r="BY958" s="1"/>
      <c r="BZ958" s="1"/>
      <c r="CA958" s="1"/>
      <c r="CB958" s="1"/>
      <c r="CC958" s="728"/>
      <c r="CD958" s="728"/>
      <c r="CE958" s="1"/>
    </row>
    <row r="959" spans="1:83" customFormat="1">
      <c r="A959" s="701"/>
      <c r="B959" s="447"/>
      <c r="C959" s="161"/>
      <c r="D959" s="162"/>
      <c r="E959" s="1"/>
      <c r="F959" s="811"/>
      <c r="G959" s="440"/>
      <c r="H959" s="1"/>
      <c r="I959" s="55"/>
      <c r="J959" s="170"/>
      <c r="K959" s="1"/>
      <c r="L959" s="170"/>
      <c r="M959" s="1"/>
      <c r="N959" s="458"/>
      <c r="O959" s="170"/>
      <c r="P959" s="441"/>
      <c r="Q959" s="55"/>
      <c r="R959" s="177"/>
      <c r="S959" s="454"/>
      <c r="T959" s="178"/>
      <c r="U959" s="178"/>
      <c r="V959" s="179"/>
      <c r="W959" s="180"/>
      <c r="X959" s="179"/>
      <c r="Y959" s="180"/>
      <c r="Z959" s="178"/>
      <c r="AA959" s="178"/>
      <c r="AB959" s="178"/>
      <c r="AC959" s="178"/>
      <c r="AD959" s="182"/>
      <c r="AE959" s="182"/>
      <c r="AF959" s="182"/>
      <c r="AG959" s="182"/>
      <c r="AH959" s="401"/>
      <c r="AI959" s="401"/>
      <c r="AJ959" s="401"/>
      <c r="AK959" s="401"/>
      <c r="AL959" s="401"/>
      <c r="AM959" s="189"/>
      <c r="AN959" s="829"/>
      <c r="AO959" s="830"/>
      <c r="AP959" s="401"/>
      <c r="AQ959" s="401"/>
      <c r="AR959" s="401"/>
      <c r="AS959" s="401"/>
      <c r="AT959" s="403"/>
      <c r="AU959" s="403"/>
      <c r="AV959" s="170"/>
      <c r="AW959" s="166"/>
      <c r="AX959" s="166"/>
      <c r="AY959" s="189"/>
      <c r="AZ959" s="189"/>
      <c r="BA959" s="196"/>
      <c r="BB959" s="629"/>
      <c r="BC959" s="190"/>
      <c r="BD959" s="510"/>
      <c r="BE959" s="510"/>
      <c r="BF959" s="177"/>
      <c r="BG959" s="177"/>
      <c r="BH959" s="166"/>
      <c r="BI959" s="474"/>
      <c r="BJ959" s="166"/>
      <c r="BK959" s="474"/>
      <c r="BL959" s="474"/>
      <c r="BM959" s="474"/>
      <c r="BN959" s="166"/>
      <c r="BO959" s="166"/>
      <c r="BP959" s="204"/>
      <c r="BQ959" s="475"/>
      <c r="BR959" s="205"/>
      <c r="BS959" s="509"/>
      <c r="BT959" s="509"/>
      <c r="BU959" s="459"/>
      <c r="BV959" s="459"/>
      <c r="BW959" s="1"/>
      <c r="BX959" s="1"/>
      <c r="BY959" s="546"/>
      <c r="BZ959" s="546"/>
      <c r="CA959" s="546"/>
      <c r="CB959" s="546"/>
      <c r="CC959" s="728"/>
      <c r="CD959" s="728"/>
      <c r="CE959" s="170"/>
    </row>
    <row r="960" spans="1:83" customFormat="1">
      <c r="A960" s="701"/>
      <c r="B960" s="447"/>
      <c r="C960" s="161"/>
      <c r="D960" s="162"/>
      <c r="E960" s="1"/>
      <c r="F960" s="811"/>
      <c r="G960" s="440"/>
      <c r="H960" s="1"/>
      <c r="I960" s="55"/>
      <c r="J960" s="170"/>
      <c r="K960" s="1"/>
      <c r="L960" s="170"/>
      <c r="M960" s="1"/>
      <c r="N960" s="458"/>
      <c r="O960" s="170"/>
      <c r="P960" s="441"/>
      <c r="Q960" s="55"/>
      <c r="R960" s="177"/>
      <c r="S960" s="454"/>
      <c r="T960" s="178"/>
      <c r="U960" s="178"/>
      <c r="V960" s="179"/>
      <c r="W960" s="180"/>
      <c r="X960" s="179"/>
      <c r="Y960" s="180"/>
      <c r="Z960" s="178"/>
      <c r="AA960" s="178"/>
      <c r="AB960" s="178"/>
      <c r="AC960" s="178"/>
      <c r="AD960" s="182"/>
      <c r="AE960" s="182"/>
      <c r="AF960" s="182"/>
      <c r="AG960" s="182"/>
      <c r="AH960" s="401"/>
      <c r="AI960" s="401"/>
      <c r="AJ960" s="401"/>
      <c r="AK960" s="401"/>
      <c r="AL960" s="401"/>
      <c r="AM960" s="189"/>
      <c r="AN960" s="829"/>
      <c r="AO960" s="830"/>
      <c r="AP960" s="401"/>
      <c r="AQ960" s="401"/>
      <c r="AR960" s="401"/>
      <c r="AS960" s="401"/>
      <c r="AT960" s="403"/>
      <c r="AU960" s="403"/>
      <c r="AV960" s="170"/>
      <c r="AW960" s="166"/>
      <c r="AX960" s="166"/>
      <c r="AY960" s="189"/>
      <c r="AZ960" s="189"/>
      <c r="BA960" s="196"/>
      <c r="BB960" s="629"/>
      <c r="BC960" s="190"/>
      <c r="BD960" s="510"/>
      <c r="BE960" s="510"/>
      <c r="BF960" s="177"/>
      <c r="BG960" s="177"/>
      <c r="BH960" s="166"/>
      <c r="BI960" s="474"/>
      <c r="BJ960" s="166"/>
      <c r="BK960" s="474"/>
      <c r="BL960" s="474"/>
      <c r="BM960" s="474"/>
      <c r="BN960" s="166"/>
      <c r="BO960" s="166"/>
      <c r="BP960" s="204"/>
      <c r="BQ960" s="475"/>
      <c r="BR960" s="205"/>
      <c r="BS960" s="509"/>
      <c r="BT960" s="509"/>
      <c r="BU960" s="459"/>
      <c r="BV960" s="459"/>
      <c r="BW960" s="1"/>
      <c r="BX960" s="1"/>
      <c r="BY960" s="546"/>
      <c r="BZ960" s="546"/>
      <c r="CA960" s="546"/>
      <c r="CB960" s="546"/>
      <c r="CC960" s="728"/>
      <c r="CD960" s="728"/>
      <c r="CE960" s="170"/>
    </row>
    <row r="961" spans="1:84" customFormat="1">
      <c r="A961" s="701"/>
      <c r="B961" s="447"/>
      <c r="C961" s="161"/>
      <c r="D961" s="162"/>
      <c r="E961" s="1"/>
      <c r="F961" s="811"/>
      <c r="G961" s="440"/>
      <c r="H961" s="1"/>
      <c r="I961" s="55"/>
      <c r="J961" s="170"/>
      <c r="K961" s="1"/>
      <c r="L961" s="170"/>
      <c r="M961" s="1"/>
      <c r="N961" s="458"/>
      <c r="O961" s="170"/>
      <c r="P961" s="441"/>
      <c r="Q961" s="55"/>
      <c r="R961" s="177"/>
      <c r="S961" s="454"/>
      <c r="T961" s="178"/>
      <c r="U961" s="178"/>
      <c r="V961" s="179"/>
      <c r="W961" s="180"/>
      <c r="X961" s="179"/>
      <c r="Y961" s="180"/>
      <c r="Z961" s="178"/>
      <c r="AA961" s="178"/>
      <c r="AB961" s="178"/>
      <c r="AC961" s="178"/>
      <c r="AD961" s="182"/>
      <c r="AE961" s="182"/>
      <c r="AF961" s="182"/>
      <c r="AG961" s="182"/>
      <c r="AH961" s="401"/>
      <c r="AI961" s="401"/>
      <c r="AJ961" s="401"/>
      <c r="AK961" s="401"/>
      <c r="AL961" s="401"/>
      <c r="AM961" s="189"/>
      <c r="AN961" s="829"/>
      <c r="AO961" s="830"/>
      <c r="AP961" s="401"/>
      <c r="AQ961" s="401"/>
      <c r="AR961" s="401"/>
      <c r="AS961" s="401"/>
      <c r="AT961" s="403"/>
      <c r="AU961" s="403"/>
      <c r="AV961" s="170"/>
      <c r="AW961" s="166"/>
      <c r="AX961" s="166"/>
      <c r="AY961" s="189"/>
      <c r="AZ961" s="189"/>
      <c r="BA961" s="196"/>
      <c r="BB961" s="629"/>
      <c r="BC961" s="190"/>
      <c r="BD961" s="510"/>
      <c r="BE961" s="510"/>
      <c r="BF961" s="177"/>
      <c r="BG961" s="177"/>
      <c r="BH961" s="166"/>
      <c r="BI961" s="474"/>
      <c r="BJ961" s="166"/>
      <c r="BK961" s="474"/>
      <c r="BL961" s="474"/>
      <c r="BM961" s="474"/>
      <c r="BN961" s="166"/>
      <c r="BO961" s="166"/>
      <c r="BP961" s="204"/>
      <c r="BQ961" s="475"/>
      <c r="BR961" s="205"/>
      <c r="BS961" s="509"/>
      <c r="BT961" s="509"/>
      <c r="BU961" s="459"/>
      <c r="BV961" s="459"/>
      <c r="BW961" s="1"/>
      <c r="BX961" s="1"/>
      <c r="BY961" s="546"/>
      <c r="BZ961" s="546"/>
      <c r="CA961" s="546"/>
      <c r="CB961" s="546"/>
      <c r="CC961" s="728"/>
      <c r="CD961" s="728"/>
      <c r="CE961" s="170"/>
    </row>
    <row r="962" spans="1:84" customFormat="1">
      <c r="A962" s="701"/>
      <c r="B962" s="447"/>
      <c r="C962" s="161"/>
      <c r="D962" s="162"/>
      <c r="E962" s="1"/>
      <c r="F962" s="811"/>
      <c r="G962" s="440"/>
      <c r="H962" s="1"/>
      <c r="I962" s="55"/>
      <c r="J962" s="170"/>
      <c r="K962" s="1"/>
      <c r="L962" s="170"/>
      <c r="M962" s="1"/>
      <c r="N962" s="458"/>
      <c r="O962" s="170"/>
      <c r="P962" s="441"/>
      <c r="Q962" s="55"/>
      <c r="R962" s="177"/>
      <c r="S962" s="454"/>
      <c r="T962" s="178"/>
      <c r="U962" s="178"/>
      <c r="V962" s="179"/>
      <c r="W962" s="180"/>
      <c r="X962" s="179"/>
      <c r="Y962" s="180"/>
      <c r="Z962" s="178"/>
      <c r="AA962" s="178"/>
      <c r="AB962" s="178"/>
      <c r="AC962" s="178"/>
      <c r="AD962" s="182"/>
      <c r="AE962" s="182"/>
      <c r="AF962" s="182"/>
      <c r="AG962" s="182"/>
      <c r="AH962" s="401"/>
      <c r="AI962" s="401"/>
      <c r="AJ962" s="401"/>
      <c r="AK962" s="401"/>
      <c r="AL962" s="401"/>
      <c r="AM962" s="189"/>
      <c r="AN962" s="829"/>
      <c r="AO962" s="830"/>
      <c r="AP962" s="401"/>
      <c r="AQ962" s="401"/>
      <c r="AR962" s="401"/>
      <c r="AS962" s="401"/>
      <c r="AT962" s="403"/>
      <c r="AU962" s="403"/>
      <c r="AV962" s="170"/>
      <c r="AW962" s="166"/>
      <c r="AX962" s="166"/>
      <c r="AY962" s="189"/>
      <c r="AZ962" s="189"/>
      <c r="BA962" s="196"/>
      <c r="BB962" s="629"/>
      <c r="BC962" s="190"/>
      <c r="BD962" s="510"/>
      <c r="BE962" s="510"/>
      <c r="BF962" s="177"/>
      <c r="BG962" s="177"/>
      <c r="BH962" s="166"/>
      <c r="BI962" s="474"/>
      <c r="BJ962" s="166"/>
      <c r="BK962" s="474"/>
      <c r="BL962" s="474"/>
      <c r="BM962" s="474"/>
      <c r="BN962" s="166"/>
      <c r="BO962" s="166"/>
      <c r="BP962" s="204"/>
      <c r="BQ962" s="475"/>
      <c r="BR962" s="205"/>
      <c r="BS962" s="509"/>
      <c r="BT962" s="509"/>
      <c r="BU962" s="459"/>
      <c r="BV962" s="459"/>
      <c r="BW962" s="1"/>
      <c r="BX962" s="1"/>
      <c r="BY962" s="1"/>
      <c r="BZ962" s="1"/>
      <c r="CA962" s="1"/>
      <c r="CB962" s="1"/>
      <c r="CC962" s="728"/>
      <c r="CD962" s="728"/>
      <c r="CE962" s="1"/>
    </row>
    <row r="963" spans="1:84" customFormat="1">
      <c r="A963" s="701"/>
      <c r="B963" s="447"/>
      <c r="C963" s="161"/>
      <c r="D963" s="162"/>
      <c r="E963" s="1"/>
      <c r="F963" s="811"/>
      <c r="G963" s="440"/>
      <c r="H963" s="1"/>
      <c r="I963" s="55"/>
      <c r="J963" s="170"/>
      <c r="K963" s="1"/>
      <c r="L963" s="170"/>
      <c r="M963" s="1"/>
      <c r="N963" s="166"/>
      <c r="O963" s="170"/>
      <c r="P963" s="441"/>
      <c r="Q963" s="55"/>
      <c r="R963" s="177"/>
      <c r="S963" s="454"/>
      <c r="T963" s="178"/>
      <c r="U963" s="178"/>
      <c r="V963" s="179"/>
      <c r="W963" s="180"/>
      <c r="X963" s="179"/>
      <c r="Y963" s="180"/>
      <c r="Z963" s="178"/>
      <c r="AA963" s="178"/>
      <c r="AB963" s="178"/>
      <c r="AC963" s="178"/>
      <c r="AD963" s="182"/>
      <c r="AE963" s="182"/>
      <c r="AF963" s="182"/>
      <c r="AG963" s="182"/>
      <c r="AH963" s="401"/>
      <c r="AI963" s="182"/>
      <c r="AJ963" s="182"/>
      <c r="AK963" s="401"/>
      <c r="AL963" s="401"/>
      <c r="AM963" s="189"/>
      <c r="AN963" s="829"/>
      <c r="AO963" s="830"/>
      <c r="AP963" s="401"/>
      <c r="AQ963" s="401"/>
      <c r="AR963" s="401"/>
      <c r="AS963" s="401"/>
      <c r="AT963" s="403"/>
      <c r="AU963" s="403"/>
      <c r="AV963" s="170"/>
      <c r="AW963" s="166"/>
      <c r="AX963" s="166"/>
      <c r="AY963" s="189"/>
      <c r="AZ963" s="189"/>
      <c r="BA963" s="196"/>
      <c r="BB963" s="629"/>
      <c r="BC963" s="190"/>
      <c r="BD963" s="510"/>
      <c r="BE963" s="510"/>
      <c r="BF963" s="177"/>
      <c r="BG963" s="177"/>
      <c r="BH963" s="166"/>
      <c r="BI963" s="474"/>
      <c r="BJ963" s="166"/>
      <c r="BK963" s="474"/>
      <c r="BL963" s="474"/>
      <c r="BM963" s="474"/>
      <c r="BN963" s="166"/>
      <c r="BO963" s="166"/>
      <c r="BP963" s="204"/>
      <c r="BQ963" s="475"/>
      <c r="BR963" s="205"/>
      <c r="BS963" s="509"/>
      <c r="BT963" s="509"/>
      <c r="BU963" s="459"/>
      <c r="BV963" s="459"/>
      <c r="BW963" s="1"/>
      <c r="BX963" s="1"/>
      <c r="BY963" s="1"/>
      <c r="BZ963" s="1"/>
      <c r="CA963" s="1"/>
      <c r="CB963" s="1"/>
      <c r="CC963" s="728"/>
      <c r="CD963" s="728"/>
      <c r="CE963" s="1"/>
    </row>
    <row r="964" spans="1:84" customFormat="1">
      <c r="A964" s="701"/>
      <c r="B964" s="447"/>
      <c r="C964" s="1"/>
      <c r="D964" s="538"/>
      <c r="E964" s="1"/>
      <c r="F964" s="811"/>
      <c r="G964" s="440"/>
      <c r="H964" s="1"/>
      <c r="J964" s="171"/>
      <c r="K964" s="55"/>
      <c r="L964" s="171"/>
      <c r="M964" s="55"/>
      <c r="N964" s="172"/>
      <c r="O964" s="170"/>
      <c r="P964" s="139"/>
      <c r="Q964" s="171"/>
      <c r="R964" s="181"/>
      <c r="S964" s="455"/>
      <c r="T964" s="170"/>
      <c r="U964" s="170"/>
      <c r="V964" s="1"/>
      <c r="W964" s="173"/>
      <c r="X964" s="1"/>
      <c r="Y964" s="166"/>
      <c r="Z964" s="170"/>
      <c r="AA964" s="170"/>
      <c r="AB964" s="170"/>
      <c r="AC964" s="170"/>
      <c r="AD964" s="182"/>
      <c r="AE964" s="182"/>
      <c r="AF964" s="182"/>
      <c r="AG964" s="182"/>
      <c r="AH964" s="189"/>
      <c r="AI964" s="401"/>
      <c r="AJ964" s="189"/>
      <c r="AK964" s="401"/>
      <c r="AL964" s="401"/>
      <c r="AM964" s="189"/>
      <c r="AN964" s="782"/>
      <c r="AO964" s="189"/>
      <c r="AP964" s="401"/>
      <c r="AQ964" s="401"/>
      <c r="AR964" s="401"/>
      <c r="AS964" s="188"/>
      <c r="AT964" s="1"/>
      <c r="AU964" s="403"/>
      <c r="AV964" s="1"/>
      <c r="AW964" s="166"/>
      <c r="AX964" s="166"/>
      <c r="AY964" s="189"/>
      <c r="AZ964" s="189"/>
      <c r="BA964" s="196"/>
      <c r="BB964" s="629"/>
      <c r="BC964" s="197"/>
      <c r="BD964" s="510"/>
      <c r="BE964" s="510"/>
      <c r="BF964" s="177"/>
      <c r="BG964" s="177"/>
      <c r="BH964" s="166"/>
      <c r="BI964" s="474"/>
      <c r="BJ964" s="166"/>
      <c r="BK964" s="474"/>
      <c r="BL964" s="474"/>
      <c r="BM964" s="474"/>
      <c r="BN964" s="166"/>
      <c r="BO964" s="166"/>
      <c r="BP964" s="204"/>
      <c r="BQ964" s="475"/>
      <c r="BR964" s="205"/>
      <c r="BS964" s="509"/>
      <c r="BT964" s="509"/>
      <c r="BU964" s="459"/>
      <c r="BV964" s="459"/>
      <c r="BW964" s="1"/>
      <c r="BX964" s="1"/>
      <c r="BY964" s="546"/>
      <c r="BZ964" s="546"/>
      <c r="CA964" s="546"/>
      <c r="CB964" s="546"/>
      <c r="CC964" s="728"/>
      <c r="CD964" s="728"/>
      <c r="CE964" s="170"/>
    </row>
    <row r="965" spans="1:84">
      <c r="A965" s="701"/>
      <c r="C965" s="161"/>
      <c r="D965" s="162"/>
      <c r="E965" s="1"/>
      <c r="F965" s="811"/>
      <c r="G965" s="440"/>
      <c r="H965" s="1"/>
      <c r="I965" s="55"/>
      <c r="J965" s="170"/>
      <c r="K965" s="1"/>
      <c r="L965" s="170"/>
      <c r="M965" s="1"/>
      <c r="N965" s="458"/>
      <c r="O965" s="170"/>
      <c r="P965" s="441"/>
      <c r="Q965" s="55"/>
      <c r="R965" s="177"/>
      <c r="S965" s="454"/>
      <c r="T965" s="178"/>
      <c r="U965" s="178"/>
      <c r="V965" s="179"/>
      <c r="W965" s="180"/>
      <c r="X965" s="179"/>
      <c r="Y965" s="180"/>
      <c r="Z965" s="178"/>
      <c r="AA965" s="178"/>
      <c r="AB965" s="178"/>
      <c r="AC965" s="178"/>
      <c r="AD965" s="182"/>
      <c r="AE965" s="182"/>
      <c r="AF965" s="182"/>
      <c r="AG965" s="182"/>
      <c r="AH965" s="401"/>
      <c r="AI965" s="401"/>
      <c r="AJ965" s="401"/>
      <c r="AK965" s="401"/>
      <c r="AL965" s="401"/>
      <c r="AM965" s="189"/>
      <c r="AN965" s="829"/>
      <c r="AO965" s="830"/>
      <c r="AP965" s="401"/>
      <c r="AQ965" s="401"/>
      <c r="AR965" s="401"/>
      <c r="AS965" s="401"/>
      <c r="AT965" s="403"/>
      <c r="AU965" s="403"/>
      <c r="AV965" s="170"/>
      <c r="AW965" s="166"/>
      <c r="AX965" s="166"/>
      <c r="AY965" s="189"/>
      <c r="AZ965" s="189"/>
      <c r="BA965" s="196"/>
      <c r="BB965" s="629"/>
      <c r="BC965" s="190"/>
      <c r="BD965" s="510"/>
      <c r="BE965" s="510"/>
      <c r="BF965" s="177"/>
      <c r="BG965" s="177"/>
      <c r="BH965" s="166"/>
      <c r="BI965" s="474"/>
      <c r="BJ965" s="166"/>
      <c r="BK965" s="474"/>
      <c r="BL965" s="474"/>
      <c r="BM965" s="474"/>
      <c r="BN965" s="166"/>
      <c r="BO965" s="166"/>
      <c r="BP965" s="204"/>
      <c r="BQ965" s="475"/>
      <c r="BR965" s="205"/>
      <c r="BS965" s="509"/>
      <c r="BT965" s="509"/>
      <c r="BU965" s="459"/>
      <c r="BV965" s="459"/>
      <c r="BW965" s="1"/>
      <c r="BX965" s="1"/>
      <c r="BY965" s="546"/>
      <c r="BZ965" s="546"/>
      <c r="CA965" s="546"/>
      <c r="CB965" s="546"/>
      <c r="CC965" s="728"/>
      <c r="CD965" s="728"/>
      <c r="CE965" s="170"/>
      <c r="CF965"/>
    </row>
    <row r="966" spans="1:84">
      <c r="A966" s="701"/>
      <c r="C966" s="161"/>
      <c r="D966" s="162"/>
      <c r="E966" s="1"/>
      <c r="F966" s="811"/>
      <c r="G966" s="440"/>
      <c r="H966" s="1"/>
      <c r="I966" s="55"/>
      <c r="J966" s="170"/>
      <c r="K966" s="1"/>
      <c r="L966" s="170"/>
      <c r="M966" s="1"/>
      <c r="N966" s="458"/>
      <c r="O966" s="170"/>
      <c r="P966" s="441"/>
      <c r="Q966" s="55"/>
      <c r="R966" s="177"/>
      <c r="S966" s="454"/>
      <c r="T966" s="178"/>
      <c r="U966" s="178"/>
      <c r="V966" s="179"/>
      <c r="W966" s="180"/>
      <c r="X966" s="179"/>
      <c r="Y966" s="180"/>
      <c r="Z966" s="178"/>
      <c r="AA966" s="178"/>
      <c r="AB966" s="178"/>
      <c r="AC966" s="178"/>
      <c r="AD966" s="182"/>
      <c r="AE966" s="182"/>
      <c r="AF966" s="182"/>
      <c r="AG966" s="182"/>
      <c r="AH966" s="401"/>
      <c r="AI966" s="401"/>
      <c r="AJ966" s="401"/>
      <c r="AK966" s="401"/>
      <c r="AL966" s="401"/>
      <c r="AM966" s="189"/>
      <c r="AN966" s="829"/>
      <c r="AO966" s="830"/>
      <c r="AP966" s="401"/>
      <c r="AQ966" s="401"/>
      <c r="AR966" s="401"/>
      <c r="AS966" s="401"/>
      <c r="AT966" s="403"/>
      <c r="AU966" s="403"/>
      <c r="AV966" s="170"/>
      <c r="AW966" s="166"/>
      <c r="AX966" s="166"/>
      <c r="AY966" s="189"/>
      <c r="AZ966" s="189"/>
      <c r="BA966" s="196"/>
      <c r="BB966" s="629"/>
      <c r="BC966" s="190"/>
      <c r="BD966" s="510"/>
      <c r="BE966" s="510"/>
      <c r="BF966" s="177"/>
      <c r="BG966" s="177"/>
      <c r="BH966" s="166"/>
      <c r="BI966" s="474"/>
      <c r="BJ966" s="166"/>
      <c r="BK966" s="474"/>
      <c r="BL966" s="474"/>
      <c r="BM966" s="474"/>
      <c r="BN966" s="166"/>
      <c r="BO966" s="166"/>
      <c r="BP966" s="204"/>
      <c r="BQ966" s="475"/>
      <c r="BR966" s="205"/>
      <c r="BS966" s="509"/>
      <c r="BT966" s="509"/>
      <c r="BU966" s="459"/>
      <c r="BV966" s="459"/>
      <c r="BW966" s="1"/>
      <c r="BX966" s="1"/>
      <c r="BY966" s="546"/>
      <c r="BZ966" s="546"/>
      <c r="CA966" s="546"/>
      <c r="CB966" s="546"/>
      <c r="CC966" s="728"/>
      <c r="CD966" s="728"/>
      <c r="CE966" s="170"/>
      <c r="CF966"/>
    </row>
    <row r="967" spans="1:84">
      <c r="A967" s="701"/>
      <c r="C967" s="161"/>
      <c r="D967" s="162"/>
      <c r="E967" s="1"/>
      <c r="F967" s="811"/>
      <c r="G967" s="440"/>
      <c r="H967" s="1"/>
      <c r="I967" s="55"/>
      <c r="J967" s="457"/>
      <c r="K967" s="1"/>
      <c r="L967" s="170"/>
      <c r="M967" s="1"/>
      <c r="N967" s="458"/>
      <c r="O967" s="170"/>
      <c r="P967" s="441"/>
      <c r="Q967" s="55"/>
      <c r="R967" s="177"/>
      <c r="S967" s="454"/>
      <c r="T967" s="178"/>
      <c r="U967" s="178"/>
      <c r="V967" s="179"/>
      <c r="W967" s="180"/>
      <c r="X967" s="179"/>
      <c r="Y967" s="180"/>
      <c r="Z967" s="178"/>
      <c r="AA967" s="178"/>
      <c r="AB967" s="178"/>
      <c r="AC967" s="178"/>
      <c r="AD967" s="182"/>
      <c r="AE967" s="182"/>
      <c r="AF967" s="182"/>
      <c r="AG967" s="182"/>
      <c r="AH967" s="401"/>
      <c r="AI967" s="401"/>
      <c r="AJ967" s="401"/>
      <c r="AK967" s="401"/>
      <c r="AL967" s="401"/>
      <c r="AM967" s="189"/>
      <c r="AN967" s="829"/>
      <c r="AO967" s="830"/>
      <c r="AP967" s="401"/>
      <c r="AQ967" s="401"/>
      <c r="AR967" s="401"/>
      <c r="AS967" s="401"/>
      <c r="AT967" s="403"/>
      <c r="AU967" s="403"/>
      <c r="AV967" s="170"/>
      <c r="AW967" s="166"/>
      <c r="AX967" s="166"/>
      <c r="AY967" s="189"/>
      <c r="AZ967" s="189"/>
      <c r="BA967" s="196"/>
      <c r="BB967" s="629"/>
      <c r="BC967" s="190"/>
      <c r="BD967" s="510"/>
      <c r="BE967" s="510"/>
      <c r="BF967" s="177"/>
      <c r="BG967" s="177"/>
      <c r="BH967" s="166"/>
      <c r="BI967" s="474"/>
      <c r="BJ967" s="166"/>
      <c r="BK967" s="474"/>
      <c r="BL967" s="474"/>
      <c r="BM967" s="474"/>
      <c r="BN967" s="166"/>
      <c r="BO967" s="166"/>
      <c r="BP967" s="204"/>
      <c r="BQ967" s="475"/>
      <c r="BR967" s="205"/>
      <c r="BS967" s="509"/>
      <c r="BT967" s="509"/>
      <c r="BU967" s="459"/>
      <c r="BV967" s="459"/>
      <c r="BW967" s="1"/>
      <c r="BX967" s="1"/>
      <c r="BY967" s="546"/>
      <c r="BZ967" s="546"/>
      <c r="CA967" s="546"/>
      <c r="CB967" s="546"/>
      <c r="CC967" s="728"/>
      <c r="CD967" s="728"/>
      <c r="CE967" s="170"/>
      <c r="CF967"/>
    </row>
    <row r="968" spans="1:84">
      <c r="A968" s="701"/>
      <c r="C968" s="161"/>
      <c r="D968" s="162"/>
      <c r="E968" s="1"/>
      <c r="F968" s="811"/>
      <c r="G968" s="440"/>
      <c r="H968" s="1"/>
      <c r="I968" s="55"/>
      <c r="J968" s="170"/>
      <c r="K968" s="1"/>
      <c r="L968" s="170"/>
      <c r="M968" s="1"/>
      <c r="N968" s="458"/>
      <c r="O968" s="170"/>
      <c r="P968" s="441"/>
      <c r="Q968" s="55"/>
      <c r="R968" s="177"/>
      <c r="S968" s="454"/>
      <c r="T968" s="178"/>
      <c r="U968" s="178"/>
      <c r="V968" s="179"/>
      <c r="W968" s="180"/>
      <c r="X968" s="179"/>
      <c r="Y968" s="180"/>
      <c r="Z968" s="178"/>
      <c r="AA968" s="178"/>
      <c r="AB968" s="178"/>
      <c r="AC968" s="178"/>
      <c r="AD968" s="182"/>
      <c r="AE968" s="182"/>
      <c r="AF968" s="182"/>
      <c r="AG968" s="182"/>
      <c r="AH968" s="401"/>
      <c r="AI968" s="401"/>
      <c r="AJ968" s="401"/>
      <c r="AK968" s="401"/>
      <c r="AL968" s="401"/>
      <c r="AM968" s="189"/>
      <c r="AN968" s="829"/>
      <c r="AO968" s="830"/>
      <c r="AP968" s="401"/>
      <c r="AQ968" s="401"/>
      <c r="AR968" s="401"/>
      <c r="AS968" s="401"/>
      <c r="AT968" s="403"/>
      <c r="AU968" s="403"/>
      <c r="AV968" s="170"/>
      <c r="AW968" s="166"/>
      <c r="AX968" s="166"/>
      <c r="AY968" s="189"/>
      <c r="AZ968" s="189"/>
      <c r="BA968" s="196"/>
      <c r="BB968" s="629"/>
      <c r="BC968" s="190"/>
      <c r="BD968" s="510"/>
      <c r="BE968" s="510"/>
      <c r="BF968" s="177"/>
      <c r="BG968" s="177"/>
      <c r="BH968" s="166"/>
      <c r="BI968" s="474"/>
      <c r="BJ968" s="166"/>
      <c r="BK968" s="474"/>
      <c r="BL968" s="474"/>
      <c r="BM968" s="474"/>
      <c r="BN968" s="166"/>
      <c r="BO968" s="166"/>
      <c r="BP968" s="204"/>
      <c r="BQ968" s="475"/>
      <c r="BR968" s="205"/>
      <c r="BS968" s="509"/>
      <c r="BT968" s="509"/>
      <c r="BU968" s="459"/>
      <c r="BV968" s="459"/>
      <c r="BW968" s="1"/>
      <c r="BX968" s="1"/>
      <c r="BY968" s="546"/>
      <c r="BZ968" s="546"/>
      <c r="CA968" s="546"/>
      <c r="CB968" s="546"/>
      <c r="CC968" s="728"/>
      <c r="CD968" s="728"/>
      <c r="CE968" s="170"/>
      <c r="CF968"/>
    </row>
    <row r="969" spans="1:84">
      <c r="A969" s="701"/>
      <c r="C969" s="161"/>
      <c r="D969" s="162"/>
      <c r="E969" s="1"/>
      <c r="F969" s="811"/>
      <c r="G969" s="440"/>
      <c r="H969" s="1"/>
      <c r="I969" s="55"/>
      <c r="J969" s="170"/>
      <c r="K969" s="1"/>
      <c r="L969" s="170"/>
      <c r="M969" s="1"/>
      <c r="N969" s="458"/>
      <c r="O969" s="170"/>
      <c r="P969" s="441"/>
      <c r="Q969" s="55"/>
      <c r="R969" s="177"/>
      <c r="S969" s="454"/>
      <c r="T969" s="178"/>
      <c r="U969" s="178"/>
      <c r="V969" s="179"/>
      <c r="W969" s="180"/>
      <c r="X969" s="179"/>
      <c r="Y969" s="180"/>
      <c r="Z969" s="178"/>
      <c r="AA969" s="178"/>
      <c r="AB969" s="178"/>
      <c r="AC969" s="178"/>
      <c r="AD969" s="182"/>
      <c r="AE969" s="182"/>
      <c r="AF969" s="182"/>
      <c r="AG969" s="182"/>
      <c r="AH969" s="401"/>
      <c r="AI969" s="401"/>
      <c r="AJ969" s="401"/>
      <c r="AK969" s="401"/>
      <c r="AL969" s="401"/>
      <c r="AM969" s="189"/>
      <c r="AN969" s="829"/>
      <c r="AO969" s="830"/>
      <c r="AP969" s="401"/>
      <c r="AQ969" s="401"/>
      <c r="AR969" s="401"/>
      <c r="AS969" s="401"/>
      <c r="AT969" s="403"/>
      <c r="AU969" s="403"/>
      <c r="AV969" s="170"/>
      <c r="AW969" s="166"/>
      <c r="AX969" s="166"/>
      <c r="AY969" s="189"/>
      <c r="AZ969" s="189"/>
      <c r="BA969" s="196"/>
      <c r="BB969" s="629"/>
      <c r="BC969" s="190"/>
      <c r="BD969" s="510"/>
      <c r="BE969" s="510"/>
      <c r="BF969" s="177"/>
      <c r="BG969" s="177"/>
      <c r="BH969" s="166"/>
      <c r="BI969" s="474"/>
      <c r="BJ969" s="166"/>
      <c r="BK969" s="474"/>
      <c r="BL969" s="474"/>
      <c r="BM969" s="474"/>
      <c r="BN969" s="166"/>
      <c r="BO969" s="166"/>
      <c r="BP969" s="204"/>
      <c r="BQ969" s="475"/>
      <c r="BR969" s="205"/>
      <c r="BS969" s="509"/>
      <c r="BT969" s="509"/>
      <c r="BU969" s="459"/>
      <c r="BV969" s="459"/>
      <c r="BW969" s="1"/>
      <c r="BX969" s="1"/>
      <c r="BY969" s="546"/>
      <c r="BZ969" s="546"/>
      <c r="CA969" s="546"/>
      <c r="CB969" s="546"/>
      <c r="CC969" s="728"/>
      <c r="CD969" s="728"/>
      <c r="CE969" s="170"/>
      <c r="CF969"/>
    </row>
    <row r="970" spans="1:84">
      <c r="A970" s="701"/>
      <c r="C970" s="161"/>
      <c r="D970" s="162"/>
      <c r="E970" s="1"/>
      <c r="F970" s="811"/>
      <c r="G970" s="440"/>
      <c r="H970" s="1"/>
      <c r="I970" s="55"/>
      <c r="J970" s="170"/>
      <c r="K970" s="1"/>
      <c r="L970" s="170"/>
      <c r="M970" s="1"/>
      <c r="N970" s="458"/>
      <c r="O970" s="170"/>
      <c r="P970" s="441"/>
      <c r="Q970" s="55"/>
      <c r="R970" s="177"/>
      <c r="S970" s="456"/>
      <c r="T970" s="178"/>
      <c r="U970" s="178"/>
      <c r="V970" s="179"/>
      <c r="W970" s="180"/>
      <c r="X970" s="179"/>
      <c r="Y970" s="180"/>
      <c r="Z970" s="178"/>
      <c r="AA970" s="178"/>
      <c r="AB970" s="178"/>
      <c r="AC970" s="178"/>
      <c r="AD970" s="182"/>
      <c r="AE970" s="182"/>
      <c r="AF970" s="182"/>
      <c r="AG970" s="182"/>
      <c r="AH970" s="401"/>
      <c r="AI970" s="401"/>
      <c r="AJ970" s="401"/>
      <c r="AK970" s="401"/>
      <c r="AL970" s="401"/>
      <c r="AM970" s="189"/>
      <c r="AN970" s="829"/>
      <c r="AO970" s="830"/>
      <c r="AP970" s="401"/>
      <c r="AQ970" s="401"/>
      <c r="AR970" s="401"/>
      <c r="AS970" s="401"/>
      <c r="AT970" s="403"/>
      <c r="AU970" s="403"/>
      <c r="AV970" s="170"/>
      <c r="AW970" s="166"/>
      <c r="AX970" s="166"/>
      <c r="AY970" s="189"/>
      <c r="AZ970" s="189"/>
      <c r="BA970" s="196"/>
      <c r="BB970" s="629"/>
      <c r="BC970" s="190"/>
      <c r="BD970" s="510"/>
      <c r="BE970" s="510"/>
      <c r="BF970" s="177"/>
      <c r="BG970" s="177"/>
      <c r="BH970" s="166"/>
      <c r="BI970" s="474"/>
      <c r="BJ970" s="166"/>
      <c r="BK970" s="474"/>
      <c r="BL970" s="474"/>
      <c r="BM970" s="474"/>
      <c r="BN970" s="166"/>
      <c r="BO970" s="166"/>
      <c r="BP970" s="204"/>
      <c r="BQ970" s="475"/>
      <c r="BR970" s="205"/>
      <c r="BS970" s="509"/>
      <c r="BT970" s="509"/>
      <c r="BU970" s="459"/>
      <c r="BV970" s="459"/>
      <c r="BW970" s="1"/>
      <c r="BX970" s="1"/>
      <c r="BY970" s="546"/>
      <c r="BZ970" s="546"/>
      <c r="CA970" s="546"/>
      <c r="CB970" s="546"/>
      <c r="CC970" s="728"/>
      <c r="CD970" s="728"/>
      <c r="CE970" s="170"/>
      <c r="CF970"/>
    </row>
    <row r="971" spans="1:84">
      <c r="A971" s="701"/>
      <c r="B971" s="447"/>
      <c r="C971" s="161"/>
      <c r="D971" s="162"/>
      <c r="E971" s="1"/>
      <c r="F971" s="811"/>
      <c r="G971" s="440"/>
      <c r="H971" s="1"/>
      <c r="I971" s="55"/>
      <c r="J971" s="170"/>
      <c r="K971" s="1"/>
      <c r="L971" s="170"/>
      <c r="M971" s="1"/>
      <c r="N971" s="458"/>
      <c r="O971" s="170"/>
      <c r="P971" s="441"/>
      <c r="Q971" s="55"/>
      <c r="R971" s="177"/>
      <c r="S971" s="454"/>
      <c r="T971" s="178"/>
      <c r="U971" s="178"/>
      <c r="V971" s="179"/>
      <c r="W971" s="180"/>
      <c r="X971" s="179"/>
      <c r="Y971" s="180"/>
      <c r="Z971" s="178"/>
      <c r="AA971" s="178"/>
      <c r="AB971" s="178"/>
      <c r="AC971" s="178"/>
      <c r="AD971" s="182"/>
      <c r="AE971" s="182"/>
      <c r="AF971" s="182"/>
      <c r="AG971" s="182"/>
      <c r="AH971" s="401"/>
      <c r="AI971" s="401"/>
      <c r="AJ971" s="401"/>
      <c r="AK971" s="401"/>
      <c r="AL971" s="401"/>
      <c r="AM971" s="189"/>
      <c r="AN971" s="829"/>
      <c r="AO971" s="830"/>
      <c r="AP971" s="401"/>
      <c r="AQ971" s="401"/>
      <c r="AR971" s="401"/>
      <c r="AS971" s="401"/>
      <c r="AT971" s="403"/>
      <c r="AU971" s="403"/>
      <c r="AV971" s="170"/>
      <c r="AW971" s="166"/>
      <c r="AX971" s="166"/>
      <c r="AY971" s="189"/>
      <c r="AZ971" s="189"/>
      <c r="BA971" s="196"/>
      <c r="BB971" s="629"/>
      <c r="BC971" s="190"/>
      <c r="BD971" s="510"/>
      <c r="BE971" s="510"/>
      <c r="BF971" s="177"/>
      <c r="BG971" s="177"/>
      <c r="BH971" s="166"/>
      <c r="BI971" s="474"/>
      <c r="BJ971" s="166"/>
      <c r="BK971" s="474"/>
      <c r="BL971" s="474"/>
      <c r="BM971" s="474"/>
      <c r="BN971" s="166"/>
      <c r="BO971" s="166"/>
      <c r="BP971" s="204"/>
      <c r="BQ971" s="475"/>
      <c r="BR971" s="205"/>
      <c r="BS971" s="509"/>
      <c r="BT971" s="509"/>
      <c r="BU971" s="459"/>
      <c r="BV971" s="459"/>
      <c r="BW971" s="1"/>
      <c r="BX971" s="1"/>
      <c r="BY971" s="546"/>
      <c r="BZ971" s="546"/>
      <c r="CA971" s="546"/>
      <c r="CB971" s="546"/>
      <c r="CC971" s="728"/>
      <c r="CD971" s="728"/>
      <c r="CE971" s="170"/>
      <c r="CF971"/>
    </row>
    <row r="972" spans="1:84">
      <c r="A972" s="701"/>
      <c r="B972" s="447"/>
      <c r="C972" s="1"/>
      <c r="D972" s="538"/>
      <c r="E972" s="1"/>
      <c r="F972" s="811"/>
      <c r="G972" s="440"/>
      <c r="H972" s="371"/>
      <c r="I972" s="55"/>
      <c r="J972" s="370"/>
      <c r="K972" s="55"/>
      <c r="L972" s="370"/>
      <c r="M972" s="55"/>
      <c r="N972" s="452"/>
      <c r="O972" s="170"/>
      <c r="P972" s="139"/>
      <c r="Q972" s="369"/>
      <c r="R972" s="181"/>
      <c r="S972" s="455"/>
      <c r="T972" s="170"/>
      <c r="U972" s="170"/>
      <c r="V972" s="1"/>
      <c r="W972" s="173"/>
      <c r="X972" s="1"/>
      <c r="Y972" s="166"/>
      <c r="Z972" s="170"/>
      <c r="AA972" s="170"/>
      <c r="AB972" s="170"/>
      <c r="AC972" s="170"/>
      <c r="AD972" s="182"/>
      <c r="AE972" s="182"/>
      <c r="AF972" s="182"/>
      <c r="AG972" s="182"/>
      <c r="AH972" s="189"/>
      <c r="AI972" s="401"/>
      <c r="AJ972" s="189"/>
      <c r="AK972" s="401"/>
      <c r="AL972" s="401"/>
      <c r="AM972" s="189"/>
      <c r="AN972" s="782"/>
      <c r="AO972" s="189"/>
      <c r="AP972" s="401"/>
      <c r="AQ972" s="401"/>
      <c r="AR972" s="401"/>
      <c r="AS972" s="188"/>
      <c r="AT972" s="1"/>
      <c r="AU972" s="403"/>
      <c r="AV972" s="1"/>
      <c r="AW972" s="166"/>
      <c r="AX972" s="166"/>
      <c r="AY972" s="189"/>
      <c r="AZ972" s="189"/>
      <c r="BA972" s="196"/>
      <c r="BB972" s="629"/>
      <c r="BC972" s="197"/>
      <c r="BD972" s="510"/>
      <c r="BE972" s="510"/>
      <c r="BF972" s="177"/>
      <c r="BG972" s="177"/>
      <c r="BH972" s="166"/>
      <c r="BI972" s="474"/>
      <c r="BJ972" s="166"/>
      <c r="BK972" s="474"/>
      <c r="BL972" s="474"/>
      <c r="BM972" s="474"/>
      <c r="BN972" s="166"/>
      <c r="BO972" s="166"/>
      <c r="BP972" s="204"/>
      <c r="BQ972" s="475"/>
      <c r="BR972" s="205"/>
      <c r="BS972" s="509"/>
      <c r="BT972" s="509"/>
      <c r="BU972" s="459"/>
      <c r="BV972" s="459"/>
      <c r="BW972" s="1"/>
      <c r="BX972" s="1"/>
      <c r="BY972" s="546"/>
      <c r="BZ972" s="546"/>
      <c r="CA972" s="546"/>
      <c r="CB972" s="546"/>
      <c r="CC972" s="728"/>
      <c r="CD972" s="728"/>
      <c r="CE972" s="170"/>
      <c r="CF972"/>
    </row>
    <row r="973" spans="1:84">
      <c r="A973" s="701"/>
      <c r="B973" s="447"/>
      <c r="C973" s="161"/>
      <c r="D973" s="162"/>
      <c r="E973" s="1"/>
      <c r="F973" s="811"/>
      <c r="G973" s="440"/>
      <c r="H973" s="1"/>
      <c r="I973" s="55"/>
      <c r="J973" s="170"/>
      <c r="K973" s="1"/>
      <c r="L973" s="170"/>
      <c r="M973" s="1"/>
      <c r="N973" s="458"/>
      <c r="O973" s="170"/>
      <c r="P973" s="441"/>
      <c r="Q973" s="55"/>
      <c r="R973" s="177"/>
      <c r="S973" s="454"/>
      <c r="T973" s="178"/>
      <c r="U973" s="178"/>
      <c r="V973" s="179"/>
      <c r="W973" s="180"/>
      <c r="X973" s="179"/>
      <c r="Y973" s="180"/>
      <c r="Z973" s="178"/>
      <c r="AA973" s="178"/>
      <c r="AB973" s="178"/>
      <c r="AC973" s="178"/>
      <c r="AD973" s="182"/>
      <c r="AE973" s="182"/>
      <c r="AF973" s="182"/>
      <c r="AG973" s="182"/>
      <c r="AH973" s="401"/>
      <c r="AI973" s="401"/>
      <c r="AJ973" s="401"/>
      <c r="AK973" s="401"/>
      <c r="AL973" s="401"/>
      <c r="AM973" s="189"/>
      <c r="AN973" s="829"/>
      <c r="AO973" s="830"/>
      <c r="AP973" s="401"/>
      <c r="AQ973" s="401"/>
      <c r="AR973" s="401"/>
      <c r="AS973" s="401"/>
      <c r="AT973" s="403"/>
      <c r="AU973" s="403"/>
      <c r="AV973" s="170"/>
      <c r="AW973" s="166"/>
      <c r="AX973" s="166"/>
      <c r="AY973" s="189"/>
      <c r="AZ973" s="189"/>
      <c r="BA973" s="196"/>
      <c r="BB973" s="629"/>
      <c r="BC973" s="190"/>
      <c r="BD973" s="510"/>
      <c r="BE973" s="510"/>
      <c r="BF973" s="177"/>
      <c r="BG973" s="177"/>
      <c r="BH973" s="166"/>
      <c r="BI973" s="474"/>
      <c r="BJ973" s="166"/>
      <c r="BK973" s="474"/>
      <c r="BL973" s="474"/>
      <c r="BM973" s="474"/>
      <c r="BN973" s="166"/>
      <c r="BO973" s="166"/>
      <c r="BP973" s="204"/>
      <c r="BQ973" s="475"/>
      <c r="BR973" s="205"/>
      <c r="BS973" s="509"/>
      <c r="BT973" s="509"/>
      <c r="BU973" s="459"/>
      <c r="BV973" s="459"/>
      <c r="BW973" s="1"/>
      <c r="BX973" s="1"/>
      <c r="BY973" s="546"/>
      <c r="BZ973" s="546"/>
      <c r="CA973" s="546"/>
      <c r="CB973" s="546"/>
      <c r="CC973" s="728"/>
      <c r="CD973" s="728"/>
      <c r="CE973" s="170"/>
      <c r="CF973"/>
    </row>
    <row r="974" spans="1:84">
      <c r="A974" s="701"/>
      <c r="B974" s="447"/>
      <c r="C974" s="161"/>
      <c r="D974" s="162"/>
      <c r="E974" s="1"/>
      <c r="F974" s="811"/>
      <c r="G974" s="440"/>
      <c r="H974" s="1"/>
      <c r="I974" s="55"/>
      <c r="J974" s="170"/>
      <c r="K974" s="1"/>
      <c r="L974" s="170"/>
      <c r="M974" s="1"/>
      <c r="N974" s="458"/>
      <c r="O974" s="170"/>
      <c r="P974" s="441"/>
      <c r="Q974" s="55"/>
      <c r="R974" s="177"/>
      <c r="S974" s="454"/>
      <c r="T974" s="178"/>
      <c r="U974" s="178"/>
      <c r="V974" s="179"/>
      <c r="W974" s="180"/>
      <c r="X974" s="179"/>
      <c r="Y974" s="180"/>
      <c r="Z974" s="178"/>
      <c r="AA974" s="178"/>
      <c r="AB974" s="178"/>
      <c r="AC974" s="178"/>
      <c r="AD974" s="182"/>
      <c r="AE974" s="182"/>
      <c r="AF974" s="182"/>
      <c r="AG974" s="182"/>
      <c r="AH974" s="401"/>
      <c r="AI974" s="401"/>
      <c r="AJ974" s="401"/>
      <c r="AK974" s="401"/>
      <c r="AL974" s="401"/>
      <c r="AM974" s="189"/>
      <c r="AN974" s="829"/>
      <c r="AO974" s="830"/>
      <c r="AP974" s="401"/>
      <c r="AQ974" s="401"/>
      <c r="AR974" s="401"/>
      <c r="AS974" s="401"/>
      <c r="AT974" s="403"/>
      <c r="AU974" s="403"/>
      <c r="AV974" s="170"/>
      <c r="AW974" s="166"/>
      <c r="AX974" s="166"/>
      <c r="AY974" s="189"/>
      <c r="AZ974" s="189"/>
      <c r="BA974" s="196"/>
      <c r="BB974" s="629"/>
      <c r="BC974" s="190"/>
      <c r="BD974" s="510"/>
      <c r="BE974" s="510"/>
      <c r="BF974" s="177"/>
      <c r="BG974" s="177"/>
      <c r="BH974" s="166"/>
      <c r="BI974" s="474"/>
      <c r="BJ974" s="166"/>
      <c r="BK974" s="474"/>
      <c r="BL974" s="474"/>
      <c r="BM974" s="474"/>
      <c r="BN974" s="166"/>
      <c r="BO974" s="166"/>
      <c r="BP974" s="204"/>
      <c r="BQ974" s="475"/>
      <c r="BR974" s="205"/>
      <c r="BS974" s="509"/>
      <c r="BT974" s="509"/>
      <c r="BU974" s="459"/>
      <c r="BV974" s="459"/>
      <c r="BW974" s="1"/>
      <c r="BX974" s="1"/>
      <c r="BY974" s="546"/>
      <c r="BZ974" s="546"/>
      <c r="CA974" s="546"/>
      <c r="CB974" s="546"/>
      <c r="CC974" s="728"/>
      <c r="CD974" s="728"/>
      <c r="CE974" s="170"/>
      <c r="CF974"/>
    </row>
    <row r="975" spans="1:84" customFormat="1">
      <c r="A975" s="701"/>
      <c r="B975" s="447"/>
      <c r="C975" s="161"/>
      <c r="D975" s="162"/>
      <c r="E975" s="1"/>
      <c r="F975" s="811"/>
      <c r="G975" s="440"/>
      <c r="H975" s="1"/>
      <c r="I975" s="55"/>
      <c r="J975" s="170"/>
      <c r="K975" s="1"/>
      <c r="L975" s="170"/>
      <c r="M975" s="1"/>
      <c r="N975" s="458"/>
      <c r="O975" s="170"/>
      <c r="P975" s="441"/>
      <c r="Q975" s="55"/>
      <c r="R975" s="177"/>
      <c r="S975" s="454"/>
      <c r="T975" s="178"/>
      <c r="U975" s="178"/>
      <c r="V975" s="179"/>
      <c r="W975" s="180"/>
      <c r="X975" s="179"/>
      <c r="Y975" s="180"/>
      <c r="Z975" s="178"/>
      <c r="AA975" s="178"/>
      <c r="AB975" s="178"/>
      <c r="AC975" s="178"/>
      <c r="AD975" s="182"/>
      <c r="AE975" s="182"/>
      <c r="AF975" s="182"/>
      <c r="AG975" s="182"/>
      <c r="AH975" s="401"/>
      <c r="AI975" s="401"/>
      <c r="AJ975" s="401"/>
      <c r="AK975" s="401"/>
      <c r="AL975" s="401"/>
      <c r="AM975" s="189"/>
      <c r="AN975" s="829"/>
      <c r="AO975" s="830"/>
      <c r="AP975" s="401"/>
      <c r="AQ975" s="401"/>
      <c r="AR975" s="401"/>
      <c r="AS975" s="401"/>
      <c r="AT975" s="403"/>
      <c r="AU975" s="403"/>
      <c r="AV975" s="170"/>
      <c r="AW975" s="166"/>
      <c r="AX975" s="166"/>
      <c r="AY975" s="189"/>
      <c r="AZ975" s="189"/>
      <c r="BA975" s="190"/>
      <c r="BB975" s="629"/>
      <c r="BC975" s="190"/>
      <c r="BD975" s="510"/>
      <c r="BE975" s="510"/>
      <c r="BF975" s="177"/>
      <c r="BG975" s="177"/>
      <c r="BH975" s="166"/>
      <c r="BI975" s="474"/>
      <c r="BJ975" s="166"/>
      <c r="BK975" s="474"/>
      <c r="BL975" s="474"/>
      <c r="BM975" s="474"/>
      <c r="BN975" s="166"/>
      <c r="BO975" s="166"/>
      <c r="BP975" s="204"/>
      <c r="BQ975" s="475"/>
      <c r="BR975" s="205"/>
      <c r="BS975" s="509"/>
      <c r="BT975" s="509"/>
      <c r="BU975" s="459"/>
      <c r="BV975" s="459"/>
      <c r="BW975" s="1"/>
      <c r="BX975" s="1"/>
      <c r="BY975" s="1"/>
      <c r="BZ975" s="1"/>
      <c r="CA975" s="1"/>
      <c r="CB975" s="1"/>
      <c r="CC975" s="728"/>
      <c r="CD975" s="728"/>
      <c r="CE975" s="1"/>
    </row>
    <row r="976" spans="1:84" customFormat="1">
      <c r="A976" s="701"/>
      <c r="B976" s="447"/>
      <c r="C976" s="161"/>
      <c r="D976" s="162"/>
      <c r="E976" s="1"/>
      <c r="F976" s="811"/>
      <c r="G976" s="440"/>
      <c r="H976" s="1"/>
      <c r="I976" s="55"/>
      <c r="J976" s="170"/>
      <c r="K976" s="1"/>
      <c r="L976" s="170"/>
      <c r="M976" s="1"/>
      <c r="N976" s="458"/>
      <c r="O976" s="170"/>
      <c r="P976" s="441"/>
      <c r="Q976" s="55"/>
      <c r="R976" s="177"/>
      <c r="S976" s="454"/>
      <c r="T976" s="178"/>
      <c r="U976" s="178"/>
      <c r="V976" s="179"/>
      <c r="W976" s="180"/>
      <c r="X976" s="179"/>
      <c r="Y976" s="180"/>
      <c r="Z976" s="178"/>
      <c r="AA976" s="178"/>
      <c r="AB976" s="178"/>
      <c r="AC976" s="178"/>
      <c r="AD976" s="182"/>
      <c r="AE976" s="182"/>
      <c r="AF976" s="182"/>
      <c r="AG976" s="182"/>
      <c r="AH976" s="401"/>
      <c r="AI976" s="401"/>
      <c r="AJ976" s="401"/>
      <c r="AK976" s="401"/>
      <c r="AL976" s="401"/>
      <c r="AM976" s="189"/>
      <c r="AN976" s="829"/>
      <c r="AO976" s="830"/>
      <c r="AP976" s="401"/>
      <c r="AQ976" s="401"/>
      <c r="AR976" s="401"/>
      <c r="AS976" s="401"/>
      <c r="AT976" s="403"/>
      <c r="AU976" s="403"/>
      <c r="AV976" s="170"/>
      <c r="AW976" s="166"/>
      <c r="AX976" s="166"/>
      <c r="AY976" s="189"/>
      <c r="AZ976" s="189"/>
      <c r="BA976" s="190"/>
      <c r="BB976" s="629"/>
      <c r="BC976" s="190"/>
      <c r="BD976" s="510"/>
      <c r="BE976" s="510"/>
      <c r="BF976" s="177"/>
      <c r="BG976" s="177"/>
      <c r="BH976" s="166"/>
      <c r="BI976" s="474"/>
      <c r="BJ976" s="166"/>
      <c r="BK976" s="474"/>
      <c r="BL976" s="474"/>
      <c r="BM976" s="474"/>
      <c r="BN976" s="166"/>
      <c r="BO976" s="166"/>
      <c r="BP976" s="204"/>
      <c r="BQ976" s="475"/>
      <c r="BR976" s="205"/>
      <c r="BS976" s="509"/>
      <c r="BT976" s="509"/>
      <c r="BU976" s="459"/>
      <c r="BV976" s="459"/>
      <c r="BW976" s="1"/>
      <c r="BX976" s="1"/>
      <c r="BY976" s="1"/>
      <c r="BZ976" s="1"/>
      <c r="CA976" s="1"/>
      <c r="CB976" s="1"/>
      <c r="CC976" s="728"/>
      <c r="CD976" s="728"/>
      <c r="CE976" s="1"/>
    </row>
    <row r="977" spans="1:83" customFormat="1">
      <c r="A977" s="701"/>
      <c r="B977" s="447"/>
      <c r="C977" s="1"/>
      <c r="D977" s="538"/>
      <c r="E977" s="1"/>
      <c r="F977" s="811"/>
      <c r="G977" s="440"/>
      <c r="H977" s="1"/>
      <c r="J977" s="171"/>
      <c r="K977" s="55"/>
      <c r="L977" s="171"/>
      <c r="M977" s="55"/>
      <c r="N977" s="172"/>
      <c r="O977" s="170"/>
      <c r="P977" s="139"/>
      <c r="Q977" s="171"/>
      <c r="R977" s="181"/>
      <c r="S977" s="455"/>
      <c r="T977" s="170"/>
      <c r="U977" s="170"/>
      <c r="V977" s="1"/>
      <c r="W977" s="173"/>
      <c r="X977" s="1"/>
      <c r="Y977" s="166"/>
      <c r="Z977" s="170"/>
      <c r="AA977" s="170"/>
      <c r="AB977" s="170"/>
      <c r="AC977" s="170"/>
      <c r="AD977" s="182"/>
      <c r="AE977" s="182"/>
      <c r="AF977" s="182"/>
      <c r="AG977" s="182"/>
      <c r="AH977" s="189"/>
      <c r="AI977" s="401"/>
      <c r="AJ977" s="189"/>
      <c r="AK977" s="401"/>
      <c r="AL977" s="401"/>
      <c r="AM977" s="189"/>
      <c r="AN977" s="782"/>
      <c r="AO977" s="189"/>
      <c r="AP977" s="401"/>
      <c r="AQ977" s="401"/>
      <c r="AR977" s="401"/>
      <c r="AS977" s="188"/>
      <c r="AT977" s="1"/>
      <c r="AU977" s="403"/>
      <c r="AV977" s="1"/>
      <c r="AW977" s="166"/>
      <c r="AX977" s="166"/>
      <c r="AY977" s="189"/>
      <c r="AZ977" s="189"/>
      <c r="BA977" s="196"/>
      <c r="BB977" s="629"/>
      <c r="BC977" s="197"/>
      <c r="BD977" s="510"/>
      <c r="BE977" s="510"/>
      <c r="BF977" s="177"/>
      <c r="BG977" s="177"/>
      <c r="BH977" s="166"/>
      <c r="BI977" s="474"/>
      <c r="BJ977" s="166"/>
      <c r="BK977" s="474"/>
      <c r="BL977" s="474"/>
      <c r="BM977" s="474"/>
      <c r="BN977" s="166"/>
      <c r="BO977" s="166"/>
      <c r="BP977" s="204"/>
      <c r="BQ977" s="475"/>
      <c r="BR977" s="205"/>
      <c r="BS977" s="509"/>
      <c r="BT977" s="509"/>
      <c r="BU977" s="459"/>
      <c r="BV977" s="459"/>
      <c r="BW977" s="1"/>
      <c r="BX977" s="1"/>
      <c r="BY977" s="546"/>
      <c r="BZ977" s="546"/>
      <c r="CA977" s="546"/>
      <c r="CB977" s="546"/>
      <c r="CC977" s="728"/>
      <c r="CD977" s="728"/>
      <c r="CE977" s="170"/>
    </row>
    <row r="978" spans="1:83" customFormat="1">
      <c r="A978" s="701"/>
      <c r="B978" s="447"/>
      <c r="C978" s="161"/>
      <c r="D978" s="162"/>
      <c r="E978" s="1"/>
      <c r="F978" s="811"/>
      <c r="G978" s="440"/>
      <c r="H978" s="1"/>
      <c r="I978" s="55"/>
      <c r="J978" s="170"/>
      <c r="K978" s="1"/>
      <c r="L978" s="170"/>
      <c r="M978" s="1"/>
      <c r="N978" s="458"/>
      <c r="O978" s="170"/>
      <c r="P978" s="441"/>
      <c r="Q978" s="55"/>
      <c r="R978" s="177"/>
      <c r="S978" s="454"/>
      <c r="T978" s="178"/>
      <c r="U978" s="178"/>
      <c r="V978" s="179"/>
      <c r="W978" s="180"/>
      <c r="X978" s="179"/>
      <c r="Y978" s="180"/>
      <c r="Z978" s="178"/>
      <c r="AA978" s="178"/>
      <c r="AB978" s="178"/>
      <c r="AC978" s="178"/>
      <c r="AD978" s="182"/>
      <c r="AE978" s="182"/>
      <c r="AF978" s="182"/>
      <c r="AG978" s="182"/>
      <c r="AH978" s="401"/>
      <c r="AI978" s="401"/>
      <c r="AJ978" s="401"/>
      <c r="AK978" s="401"/>
      <c r="AL978" s="401"/>
      <c r="AM978" s="189"/>
      <c r="AN978" s="829"/>
      <c r="AO978" s="830"/>
      <c r="AP978" s="401"/>
      <c r="AQ978" s="401"/>
      <c r="AR978" s="401"/>
      <c r="AS978" s="401"/>
      <c r="AT978" s="403"/>
      <c r="AU978" s="403"/>
      <c r="AV978" s="170"/>
      <c r="AW978" s="166"/>
      <c r="AX978" s="166"/>
      <c r="AY978" s="189"/>
      <c r="AZ978" s="189"/>
      <c r="BA978" s="196"/>
      <c r="BB978" s="629"/>
      <c r="BC978" s="190"/>
      <c r="BD978" s="510"/>
      <c r="BE978" s="510"/>
      <c r="BF978" s="177"/>
      <c r="BG978" s="177"/>
      <c r="BH978" s="166"/>
      <c r="BI978" s="474"/>
      <c r="BJ978" s="166"/>
      <c r="BK978" s="474"/>
      <c r="BL978" s="474"/>
      <c r="BM978" s="474"/>
      <c r="BN978" s="166"/>
      <c r="BO978" s="166"/>
      <c r="BP978" s="204"/>
      <c r="BQ978" s="475"/>
      <c r="BR978" s="205"/>
      <c r="BS978" s="509"/>
      <c r="BT978" s="509"/>
      <c r="BU978" s="459"/>
      <c r="BV978" s="459"/>
      <c r="BW978" s="1"/>
      <c r="BX978" s="1"/>
      <c r="BY978" s="546"/>
      <c r="BZ978" s="546"/>
      <c r="CA978" s="546"/>
      <c r="CB978" s="546"/>
      <c r="CC978" s="728"/>
      <c r="CD978" s="728"/>
      <c r="CE978" s="170"/>
    </row>
    <row r="979" spans="1:83" customFormat="1">
      <c r="A979" s="701"/>
      <c r="B979" s="447"/>
      <c r="C979" s="161"/>
      <c r="D979" s="162"/>
      <c r="E979" s="1"/>
      <c r="F979" s="811"/>
      <c r="G979" s="440"/>
      <c r="H979" s="1"/>
      <c r="I979" s="55"/>
      <c r="J979" s="170"/>
      <c r="K979" s="1"/>
      <c r="L979" s="170"/>
      <c r="M979" s="1"/>
      <c r="N979" s="458"/>
      <c r="O979" s="170"/>
      <c r="P979" s="441"/>
      <c r="Q979" s="55"/>
      <c r="R979" s="177"/>
      <c r="S979" s="454"/>
      <c r="T979" s="178"/>
      <c r="U979" s="178"/>
      <c r="V979" s="179"/>
      <c r="W979" s="180"/>
      <c r="X979" s="179"/>
      <c r="Y979" s="180"/>
      <c r="Z979" s="178"/>
      <c r="AA979" s="178"/>
      <c r="AB979" s="178"/>
      <c r="AC979" s="178"/>
      <c r="AD979" s="182"/>
      <c r="AE979" s="182"/>
      <c r="AF979" s="182"/>
      <c r="AG979" s="182"/>
      <c r="AH979" s="401"/>
      <c r="AI979" s="401"/>
      <c r="AJ979" s="401"/>
      <c r="AK979" s="401"/>
      <c r="AL979" s="401"/>
      <c r="AM979" s="189"/>
      <c r="AN979" s="829"/>
      <c r="AO979" s="830"/>
      <c r="AP979" s="401"/>
      <c r="AQ979" s="401"/>
      <c r="AR979" s="401"/>
      <c r="AS979" s="401"/>
      <c r="AT979" s="403"/>
      <c r="AU979" s="403"/>
      <c r="AV979" s="170"/>
      <c r="AW979" s="166"/>
      <c r="AX979" s="166"/>
      <c r="AY979" s="189"/>
      <c r="AZ979" s="189"/>
      <c r="BA979" s="196"/>
      <c r="BB979" s="629"/>
      <c r="BC979" s="190"/>
      <c r="BD979" s="510"/>
      <c r="BE979" s="510"/>
      <c r="BF979" s="177"/>
      <c r="BG979" s="177"/>
      <c r="BH979" s="166"/>
      <c r="BI979" s="474"/>
      <c r="BJ979" s="166"/>
      <c r="BK979" s="474"/>
      <c r="BL979" s="474"/>
      <c r="BM979" s="474"/>
      <c r="BN979" s="166"/>
      <c r="BO979" s="166"/>
      <c r="BP979" s="204"/>
      <c r="BQ979" s="475"/>
      <c r="BR979" s="205"/>
      <c r="BS979" s="509"/>
      <c r="BT979" s="509"/>
      <c r="BU979" s="459"/>
      <c r="BV979" s="459"/>
      <c r="BW979" s="1"/>
      <c r="BX979" s="1"/>
      <c r="BY979" s="546"/>
      <c r="BZ979" s="546"/>
      <c r="CA979" s="546"/>
      <c r="CB979" s="546"/>
      <c r="CC979" s="728"/>
      <c r="CD979" s="728"/>
      <c r="CE979" s="170"/>
    </row>
    <row r="980" spans="1:83" customFormat="1">
      <c r="A980" s="701"/>
      <c r="B980" s="447"/>
      <c r="C980" s="161"/>
      <c r="D980" s="162"/>
      <c r="E980" s="1"/>
      <c r="F980" s="811"/>
      <c r="G980" s="440"/>
      <c r="H980" s="1"/>
      <c r="I980" s="55"/>
      <c r="J980" s="457"/>
      <c r="K980" s="1"/>
      <c r="L980" s="170"/>
      <c r="M980" s="1"/>
      <c r="N980" s="458"/>
      <c r="O980" s="170"/>
      <c r="P980" s="441"/>
      <c r="Q980" s="55"/>
      <c r="R980" s="177"/>
      <c r="S980" s="454"/>
      <c r="T980" s="178"/>
      <c r="U980" s="178"/>
      <c r="V980" s="179"/>
      <c r="W980" s="180"/>
      <c r="X980" s="179"/>
      <c r="Y980" s="180"/>
      <c r="Z980" s="178"/>
      <c r="AA980" s="178"/>
      <c r="AB980" s="178"/>
      <c r="AC980" s="178"/>
      <c r="AD980" s="182"/>
      <c r="AE980" s="182"/>
      <c r="AF980" s="182"/>
      <c r="AG980" s="182"/>
      <c r="AH980" s="401"/>
      <c r="AI980" s="401"/>
      <c r="AJ980" s="401"/>
      <c r="AK980" s="401"/>
      <c r="AL980" s="401"/>
      <c r="AM980" s="189"/>
      <c r="AN980" s="829"/>
      <c r="AO980" s="830"/>
      <c r="AP980" s="401"/>
      <c r="AQ980" s="401"/>
      <c r="AR980" s="401"/>
      <c r="AS980" s="401"/>
      <c r="AT980" s="403"/>
      <c r="AU980" s="403"/>
      <c r="AV980" s="170"/>
      <c r="AW980" s="166"/>
      <c r="AX980" s="166"/>
      <c r="AY980" s="189"/>
      <c r="AZ980" s="189"/>
      <c r="BA980" s="196"/>
      <c r="BB980" s="629"/>
      <c r="BC980" s="190"/>
      <c r="BD980" s="510"/>
      <c r="BE980" s="510"/>
      <c r="BF980" s="177"/>
      <c r="BG980" s="177"/>
      <c r="BH980" s="166"/>
      <c r="BI980" s="474"/>
      <c r="BJ980" s="166"/>
      <c r="BK980" s="474"/>
      <c r="BL980" s="474"/>
      <c r="BM980" s="474"/>
      <c r="BN980" s="166"/>
      <c r="BO980" s="166"/>
      <c r="BP980" s="204"/>
      <c r="BQ980" s="475"/>
      <c r="BR980" s="205"/>
      <c r="BS980" s="509"/>
      <c r="BT980" s="509"/>
      <c r="BU980" s="459"/>
      <c r="BV980" s="459"/>
      <c r="BW980" s="1"/>
      <c r="BX980" s="1"/>
      <c r="BY980" s="546"/>
      <c r="BZ980" s="546"/>
      <c r="CA980" s="546"/>
      <c r="CB980" s="546"/>
      <c r="CC980" s="728"/>
      <c r="CD980" s="728"/>
      <c r="CE980" s="170"/>
    </row>
    <row r="981" spans="1:83" customFormat="1">
      <c r="A981" s="701"/>
      <c r="B981" s="447"/>
      <c r="C981" s="161"/>
      <c r="D981" s="162"/>
      <c r="E981" s="1"/>
      <c r="F981" s="811"/>
      <c r="G981" s="440"/>
      <c r="H981" s="1"/>
      <c r="I981" s="55"/>
      <c r="J981" s="170"/>
      <c r="K981" s="1"/>
      <c r="L981" s="170"/>
      <c r="M981" s="1"/>
      <c r="N981" s="458"/>
      <c r="O981" s="170"/>
      <c r="P981" s="441"/>
      <c r="Q981" s="55"/>
      <c r="R981" s="177"/>
      <c r="S981" s="454"/>
      <c r="T981" s="178"/>
      <c r="U981" s="178"/>
      <c r="V981" s="179"/>
      <c r="W981" s="180"/>
      <c r="X981" s="179"/>
      <c r="Y981" s="180"/>
      <c r="Z981" s="178"/>
      <c r="AA981" s="178"/>
      <c r="AB981" s="178"/>
      <c r="AC981" s="178"/>
      <c r="AD981" s="182"/>
      <c r="AE981" s="182"/>
      <c r="AF981" s="182"/>
      <c r="AG981" s="182"/>
      <c r="AH981" s="401"/>
      <c r="AI981" s="401"/>
      <c r="AJ981" s="401"/>
      <c r="AK981" s="401"/>
      <c r="AL981" s="401"/>
      <c r="AM981" s="189"/>
      <c r="AN981" s="829"/>
      <c r="AO981" s="830"/>
      <c r="AP981" s="401"/>
      <c r="AQ981" s="401"/>
      <c r="AR981" s="401"/>
      <c r="AS981" s="401"/>
      <c r="AT981" s="403"/>
      <c r="AU981" s="403"/>
      <c r="AV981" s="170"/>
      <c r="AW981" s="166"/>
      <c r="AX981" s="166"/>
      <c r="AY981" s="189"/>
      <c r="AZ981" s="189"/>
      <c r="BA981" s="196"/>
      <c r="BB981" s="629"/>
      <c r="BC981" s="190"/>
      <c r="BD981" s="510"/>
      <c r="BE981" s="510"/>
      <c r="BF981" s="177"/>
      <c r="BG981" s="177"/>
      <c r="BH981" s="166"/>
      <c r="BI981" s="474"/>
      <c r="BJ981" s="166"/>
      <c r="BK981" s="474"/>
      <c r="BL981" s="474"/>
      <c r="BM981" s="474"/>
      <c r="BN981" s="166"/>
      <c r="BO981" s="166"/>
      <c r="BP981" s="204"/>
      <c r="BQ981" s="475"/>
      <c r="BR981" s="205"/>
      <c r="BS981" s="509"/>
      <c r="BT981" s="509"/>
      <c r="BU981" s="459"/>
      <c r="BV981" s="459"/>
      <c r="BW981" s="1"/>
      <c r="BX981" s="1"/>
      <c r="BY981" s="546"/>
      <c r="BZ981" s="546"/>
      <c r="CA981" s="546"/>
      <c r="CB981" s="546"/>
      <c r="CC981" s="728"/>
      <c r="CD981" s="728"/>
      <c r="CE981" s="170"/>
    </row>
    <row r="982" spans="1:83" customFormat="1">
      <c r="A982" s="701"/>
      <c r="B982" s="447"/>
      <c r="C982" s="161"/>
      <c r="D982" s="162"/>
      <c r="E982" s="1"/>
      <c r="F982" s="811"/>
      <c r="G982" s="440"/>
      <c r="H982" s="1"/>
      <c r="I982" s="55"/>
      <c r="J982" s="170"/>
      <c r="K982" s="1"/>
      <c r="L982" s="170"/>
      <c r="M982" s="1"/>
      <c r="N982" s="458"/>
      <c r="O982" s="170"/>
      <c r="P982" s="441"/>
      <c r="Q982" s="55"/>
      <c r="R982" s="177"/>
      <c r="S982" s="454"/>
      <c r="T982" s="178"/>
      <c r="U982" s="178"/>
      <c r="V982" s="179"/>
      <c r="W982" s="180"/>
      <c r="X982" s="179"/>
      <c r="Y982" s="180"/>
      <c r="Z982" s="178"/>
      <c r="AA982" s="178"/>
      <c r="AB982" s="178"/>
      <c r="AC982" s="178"/>
      <c r="AD982" s="182"/>
      <c r="AE982" s="182"/>
      <c r="AF982" s="182"/>
      <c r="AG982" s="182"/>
      <c r="AH982" s="401"/>
      <c r="AI982" s="401"/>
      <c r="AJ982" s="401"/>
      <c r="AK982" s="401"/>
      <c r="AL982" s="401"/>
      <c r="AM982" s="189"/>
      <c r="AN982" s="829"/>
      <c r="AO982" s="830"/>
      <c r="AP982" s="401"/>
      <c r="AQ982" s="401"/>
      <c r="AR982" s="401"/>
      <c r="AS982" s="401"/>
      <c r="AT982" s="403"/>
      <c r="AU982" s="403"/>
      <c r="AV982" s="170"/>
      <c r="AW982" s="166"/>
      <c r="AX982" s="166"/>
      <c r="AY982" s="189"/>
      <c r="AZ982" s="189"/>
      <c r="BA982" s="196"/>
      <c r="BB982" s="629"/>
      <c r="BC982" s="190"/>
      <c r="BD982" s="510"/>
      <c r="BE982" s="510"/>
      <c r="BF982" s="177"/>
      <c r="BG982" s="177"/>
      <c r="BH982" s="166"/>
      <c r="BI982" s="474"/>
      <c r="BJ982" s="166"/>
      <c r="BK982" s="474"/>
      <c r="BL982" s="474"/>
      <c r="BM982" s="474"/>
      <c r="BN982" s="166"/>
      <c r="BO982" s="166"/>
      <c r="BP982" s="204"/>
      <c r="BQ982" s="475"/>
      <c r="BR982" s="205"/>
      <c r="BS982" s="509"/>
      <c r="BT982" s="509"/>
      <c r="BU982" s="459"/>
      <c r="BV982" s="459"/>
      <c r="BW982" s="1"/>
      <c r="BX982" s="1"/>
      <c r="BY982" s="546"/>
      <c r="BZ982" s="546"/>
      <c r="CA982" s="546"/>
      <c r="CB982" s="546"/>
      <c r="CC982" s="728"/>
      <c r="CD982" s="728"/>
      <c r="CE982" s="170"/>
    </row>
    <row r="983" spans="1:83" customFormat="1">
      <c r="A983" s="701"/>
      <c r="B983" s="447"/>
      <c r="C983" s="161"/>
      <c r="D983" s="162"/>
      <c r="E983" s="1"/>
      <c r="F983" s="811"/>
      <c r="G983" s="440"/>
      <c r="H983" s="1"/>
      <c r="I983" s="55"/>
      <c r="J983" s="457"/>
      <c r="K983" s="1"/>
      <c r="L983" s="170"/>
      <c r="M983" s="1"/>
      <c r="N983" s="458"/>
      <c r="O983" s="170"/>
      <c r="P983" s="441"/>
      <c r="Q983" s="55"/>
      <c r="R983" s="177"/>
      <c r="S983" s="454"/>
      <c r="T983" s="178"/>
      <c r="U983" s="178"/>
      <c r="V983" s="179"/>
      <c r="W983" s="180"/>
      <c r="X983" s="179"/>
      <c r="Y983" s="180"/>
      <c r="Z983" s="178"/>
      <c r="AA983" s="178"/>
      <c r="AB983" s="178"/>
      <c r="AC983" s="178"/>
      <c r="AD983" s="182"/>
      <c r="AE983" s="182"/>
      <c r="AF983" s="182"/>
      <c r="AG983" s="182"/>
      <c r="AH983" s="401"/>
      <c r="AI983" s="401"/>
      <c r="AJ983" s="401"/>
      <c r="AK983" s="401"/>
      <c r="AL983" s="401"/>
      <c r="AM983" s="189"/>
      <c r="AN983" s="829"/>
      <c r="AO983" s="830"/>
      <c r="AP983" s="401"/>
      <c r="AQ983" s="401"/>
      <c r="AR983" s="401"/>
      <c r="AS983" s="401"/>
      <c r="AT983" s="403"/>
      <c r="AU983" s="403"/>
      <c r="AV983" s="170"/>
      <c r="AW983" s="166"/>
      <c r="AX983" s="166"/>
      <c r="AY983" s="189"/>
      <c r="AZ983" s="189"/>
      <c r="BA983" s="196"/>
      <c r="BB983" s="629"/>
      <c r="BC983" s="190"/>
      <c r="BD983" s="510"/>
      <c r="BE983" s="510"/>
      <c r="BF983" s="177"/>
      <c r="BG983" s="177"/>
      <c r="BH983" s="166"/>
      <c r="BI983" s="474"/>
      <c r="BJ983" s="166"/>
      <c r="BK983" s="474"/>
      <c r="BL983" s="474"/>
      <c r="BM983" s="474"/>
      <c r="BN983" s="166"/>
      <c r="BO983" s="166"/>
      <c r="BP983" s="204"/>
      <c r="BQ983" s="475"/>
      <c r="BR983" s="205"/>
      <c r="BS983" s="509"/>
      <c r="BT983" s="509"/>
      <c r="BU983" s="459"/>
      <c r="BV983" s="459"/>
      <c r="BW983" s="1"/>
      <c r="BX983" s="1"/>
      <c r="BY983" s="546"/>
      <c r="BZ983" s="546"/>
      <c r="CA983" s="546"/>
      <c r="CB983" s="546"/>
      <c r="CC983" s="728"/>
      <c r="CD983" s="728"/>
      <c r="CE983" s="170"/>
    </row>
    <row r="984" spans="1:83" customFormat="1">
      <c r="A984" s="701"/>
      <c r="B984" s="447"/>
      <c r="C984" s="161"/>
      <c r="D984" s="162"/>
      <c r="E984" s="1"/>
      <c r="F984" s="811"/>
      <c r="G984" s="440"/>
      <c r="H984" s="1"/>
      <c r="I984" s="55"/>
      <c r="J984" s="170"/>
      <c r="K984" s="1"/>
      <c r="L984" s="170"/>
      <c r="M984" s="1"/>
      <c r="N984" s="458"/>
      <c r="O984" s="170"/>
      <c r="P984" s="441"/>
      <c r="Q984" s="55"/>
      <c r="R984" s="177"/>
      <c r="S984" s="454"/>
      <c r="T984" s="178"/>
      <c r="U984" s="178"/>
      <c r="V984" s="179"/>
      <c r="W984" s="180"/>
      <c r="X984" s="179"/>
      <c r="Y984" s="180"/>
      <c r="Z984" s="178"/>
      <c r="AA984" s="178"/>
      <c r="AB984" s="178"/>
      <c r="AC984" s="178"/>
      <c r="AD984" s="182"/>
      <c r="AE984" s="182"/>
      <c r="AF984" s="182"/>
      <c r="AG984" s="182"/>
      <c r="AH984" s="401"/>
      <c r="AI984" s="401"/>
      <c r="AJ984" s="401"/>
      <c r="AK984" s="401"/>
      <c r="AL984" s="401"/>
      <c r="AM984" s="189"/>
      <c r="AN984" s="829"/>
      <c r="AO984" s="830"/>
      <c r="AP984" s="401"/>
      <c r="AQ984" s="401"/>
      <c r="AR984" s="401"/>
      <c r="AS984" s="401"/>
      <c r="AT984" s="403"/>
      <c r="AU984" s="403"/>
      <c r="AV984" s="170"/>
      <c r="AW984" s="166"/>
      <c r="AX984" s="166"/>
      <c r="AY984" s="189"/>
      <c r="AZ984" s="189"/>
      <c r="BA984" s="196"/>
      <c r="BB984" s="629"/>
      <c r="BC984" s="190"/>
      <c r="BD984" s="510"/>
      <c r="BE984" s="510"/>
      <c r="BF984" s="177"/>
      <c r="BG984" s="177"/>
      <c r="BH984" s="166"/>
      <c r="BI984" s="474"/>
      <c r="BJ984" s="166"/>
      <c r="BK984" s="474"/>
      <c r="BL984" s="474"/>
      <c r="BM984" s="474"/>
      <c r="BN984" s="166"/>
      <c r="BO984" s="166"/>
      <c r="BP984" s="204"/>
      <c r="BQ984" s="475"/>
      <c r="BR984" s="205"/>
      <c r="BS984" s="509"/>
      <c r="BT984" s="509"/>
      <c r="BU984" s="459"/>
      <c r="BV984" s="459"/>
      <c r="BW984" s="1"/>
      <c r="BX984" s="1"/>
      <c r="BY984" s="546"/>
      <c r="BZ984" s="546"/>
      <c r="CA984" s="546"/>
      <c r="CB984" s="546"/>
      <c r="CC984" s="728"/>
      <c r="CD984" s="728"/>
      <c r="CE984" s="170"/>
    </row>
    <row r="985" spans="1:83" customFormat="1">
      <c r="A985" s="701"/>
      <c r="B985" s="447"/>
      <c r="C985" s="161"/>
      <c r="D985" s="162"/>
      <c r="E985" s="1"/>
      <c r="F985" s="811"/>
      <c r="G985" s="440"/>
      <c r="H985" s="1"/>
      <c r="I985" s="55"/>
      <c r="J985" s="170"/>
      <c r="K985" s="1"/>
      <c r="L985" s="170"/>
      <c r="M985" s="1"/>
      <c r="N985" s="166"/>
      <c r="O985" s="170"/>
      <c r="P985" s="441"/>
      <c r="Q985" s="55"/>
      <c r="R985" s="177"/>
      <c r="S985" s="454"/>
      <c r="T985" s="178"/>
      <c r="U985" s="178"/>
      <c r="V985" s="179"/>
      <c r="W985" s="180"/>
      <c r="X985" s="179"/>
      <c r="Y985" s="180"/>
      <c r="Z985" s="178"/>
      <c r="AA985" s="178"/>
      <c r="AB985" s="178"/>
      <c r="AC985" s="178"/>
      <c r="AD985" s="182"/>
      <c r="AE985" s="182"/>
      <c r="AF985" s="182"/>
      <c r="AG985" s="182"/>
      <c r="AH985" s="401"/>
      <c r="AI985" s="401"/>
      <c r="AJ985" s="182"/>
      <c r="AK985" s="401"/>
      <c r="AL985" s="401"/>
      <c r="AM985" s="189"/>
      <c r="AN985" s="829"/>
      <c r="AO985" s="830"/>
      <c r="AP985" s="401"/>
      <c r="AQ985" s="401"/>
      <c r="AR985" s="401"/>
      <c r="AS985" s="401"/>
      <c r="AT985" s="403"/>
      <c r="AU985" s="403"/>
      <c r="AV985" s="170"/>
      <c r="AW985" s="166"/>
      <c r="AX985" s="166"/>
      <c r="AY985" s="189"/>
      <c r="AZ985" s="189"/>
      <c r="BA985" s="196"/>
      <c r="BB985" s="629"/>
      <c r="BC985" s="190"/>
      <c r="BD985" s="510"/>
      <c r="BE985" s="510"/>
      <c r="BF985" s="177"/>
      <c r="BG985" s="177"/>
      <c r="BH985" s="166"/>
      <c r="BI985" s="474"/>
      <c r="BJ985" s="166"/>
      <c r="BK985" s="474"/>
      <c r="BL985" s="474"/>
      <c r="BM985" s="474"/>
      <c r="BN985" s="166"/>
      <c r="BO985" s="166"/>
      <c r="BP985" s="204"/>
      <c r="BQ985" s="475"/>
      <c r="BR985" s="205"/>
      <c r="BS985" s="509"/>
      <c r="BT985" s="509"/>
      <c r="BU985" s="459"/>
      <c r="BV985" s="459"/>
      <c r="BW985" s="1"/>
      <c r="BX985" s="1"/>
      <c r="BY985" s="546"/>
      <c r="BZ985" s="546"/>
      <c r="CA985" s="546"/>
      <c r="CB985" s="546"/>
      <c r="CC985" s="728"/>
      <c r="CD985" s="728"/>
      <c r="CE985" s="170"/>
    </row>
    <row r="986" spans="1:83" customFormat="1">
      <c r="A986" s="701"/>
      <c r="B986" s="447"/>
      <c r="C986" s="1"/>
      <c r="D986" s="538"/>
      <c r="E986" s="1"/>
      <c r="F986" s="811"/>
      <c r="G986" s="440"/>
      <c r="H986" s="1"/>
      <c r="I986" s="55"/>
      <c r="J986" s="171"/>
      <c r="K986" s="55"/>
      <c r="L986" s="171"/>
      <c r="M986" s="55"/>
      <c r="N986" s="172"/>
      <c r="O986" s="170"/>
      <c r="P986" s="139"/>
      <c r="Q986" s="172"/>
      <c r="R986" s="181"/>
      <c r="S986" s="455"/>
      <c r="T986" s="170"/>
      <c r="U986" s="170"/>
      <c r="V986" s="1"/>
      <c r="W986" s="173"/>
      <c r="X986" s="1"/>
      <c r="Y986" s="166"/>
      <c r="Z986" s="170"/>
      <c r="AA986" s="170"/>
      <c r="AB986" s="170"/>
      <c r="AC986" s="170"/>
      <c r="AD986" s="182"/>
      <c r="AE986" s="182"/>
      <c r="AF986" s="182"/>
      <c r="AG986" s="182"/>
      <c r="AH986" s="189"/>
      <c r="AI986" s="401"/>
      <c r="AJ986" s="189"/>
      <c r="AK986" s="401"/>
      <c r="AL986" s="401"/>
      <c r="AM986" s="189"/>
      <c r="AN986" s="782"/>
      <c r="AO986" s="189"/>
      <c r="AP986" s="401"/>
      <c r="AQ986" s="401"/>
      <c r="AR986" s="401"/>
      <c r="AS986" s="188"/>
      <c r="AT986" s="1"/>
      <c r="AU986" s="403"/>
      <c r="AV986" s="1"/>
      <c r="AW986" s="166"/>
      <c r="AX986" s="166"/>
      <c r="AY986" s="189"/>
      <c r="AZ986" s="189"/>
      <c r="BA986" s="196"/>
      <c r="BB986" s="629"/>
      <c r="BC986" s="197"/>
      <c r="BD986" s="510"/>
      <c r="BE986" s="510"/>
      <c r="BF986" s="177"/>
      <c r="BG986" s="177"/>
      <c r="BH986" s="166"/>
      <c r="BI986" s="474"/>
      <c r="BJ986" s="166"/>
      <c r="BK986" s="474"/>
      <c r="BL986" s="474"/>
      <c r="BM986" s="474"/>
      <c r="BN986" s="166"/>
      <c r="BO986" s="166"/>
      <c r="BP986" s="204"/>
      <c r="BQ986" s="475"/>
      <c r="BR986" s="205"/>
      <c r="BS986" s="509"/>
      <c r="BT986" s="509"/>
      <c r="BU986" s="459"/>
      <c r="BV986" s="459"/>
      <c r="BW986" s="1"/>
      <c r="BX986" s="1"/>
      <c r="BY986" s="546"/>
      <c r="BZ986" s="546"/>
      <c r="CA986" s="546"/>
      <c r="CB986" s="546"/>
      <c r="CC986" s="728"/>
      <c r="CD986" s="728"/>
      <c r="CE986" s="170"/>
    </row>
    <row r="987" spans="1:83" customFormat="1">
      <c r="A987" s="701"/>
      <c r="B987" s="447"/>
      <c r="C987" s="161"/>
      <c r="D987" s="162"/>
      <c r="E987" s="1"/>
      <c r="F987" s="811"/>
      <c r="G987" s="440"/>
      <c r="H987" s="1"/>
      <c r="I987" s="55"/>
      <c r="J987" s="170"/>
      <c r="K987" s="1"/>
      <c r="L987" s="170"/>
      <c r="M987" s="1"/>
      <c r="N987" s="458"/>
      <c r="O987" s="170"/>
      <c r="P987" s="441"/>
      <c r="Q987" s="55"/>
      <c r="R987" s="177"/>
      <c r="S987" s="454"/>
      <c r="T987" s="178"/>
      <c r="U987" s="178"/>
      <c r="V987" s="179"/>
      <c r="W987" s="180"/>
      <c r="X987" s="179"/>
      <c r="Y987" s="180"/>
      <c r="Z987" s="178"/>
      <c r="AA987" s="178"/>
      <c r="AB987" s="178"/>
      <c r="AC987" s="178"/>
      <c r="AD987" s="182"/>
      <c r="AE987" s="182"/>
      <c r="AF987" s="182"/>
      <c r="AG987" s="182"/>
      <c r="AH987" s="401"/>
      <c r="AI987" s="401"/>
      <c r="AJ987" s="401"/>
      <c r="AK987" s="401"/>
      <c r="AL987" s="401"/>
      <c r="AM987" s="189"/>
      <c r="AN987" s="829"/>
      <c r="AO987" s="830"/>
      <c r="AP987" s="401"/>
      <c r="AQ987" s="401"/>
      <c r="AR987" s="401"/>
      <c r="AS987" s="401"/>
      <c r="AT987" s="403"/>
      <c r="AU987" s="403"/>
      <c r="AV987" s="170"/>
      <c r="AW987" s="166"/>
      <c r="AX987" s="166"/>
      <c r="AY987" s="189"/>
      <c r="AZ987" s="189"/>
      <c r="BA987" s="196"/>
      <c r="BB987" s="629"/>
      <c r="BC987" s="190"/>
      <c r="BD987" s="510"/>
      <c r="BE987" s="510"/>
      <c r="BF987" s="177"/>
      <c r="BG987" s="177"/>
      <c r="BH987" s="166"/>
      <c r="BI987" s="474"/>
      <c r="BJ987" s="166"/>
      <c r="BK987" s="474"/>
      <c r="BL987" s="474"/>
      <c r="BM987" s="474"/>
      <c r="BN987" s="166"/>
      <c r="BO987" s="166"/>
      <c r="BP987" s="204"/>
      <c r="BQ987" s="475"/>
      <c r="BR987" s="205"/>
      <c r="BS987" s="509"/>
      <c r="BT987" s="509"/>
      <c r="BU987" s="459"/>
      <c r="BV987" s="459"/>
      <c r="BW987" s="1"/>
      <c r="BX987" s="1"/>
      <c r="BY987" s="546"/>
      <c r="BZ987" s="546"/>
      <c r="CA987" s="546"/>
      <c r="CB987" s="546"/>
      <c r="CC987" s="728"/>
      <c r="CD987" s="728"/>
      <c r="CE987" s="170"/>
    </row>
    <row r="988" spans="1:83" customFormat="1">
      <c r="A988" s="701"/>
      <c r="B988" s="447"/>
      <c r="C988" s="161"/>
      <c r="D988" s="162"/>
      <c r="E988" s="1"/>
      <c r="F988" s="811"/>
      <c r="G988" s="440"/>
      <c r="H988" s="1"/>
      <c r="I988" s="55"/>
      <c r="J988" s="170"/>
      <c r="K988" s="1"/>
      <c r="L988" s="170"/>
      <c r="M988" s="1"/>
      <c r="N988" s="458"/>
      <c r="O988" s="170"/>
      <c r="P988" s="441"/>
      <c r="Q988" s="55"/>
      <c r="R988" s="177"/>
      <c r="S988" s="454"/>
      <c r="T988" s="178"/>
      <c r="U988" s="178"/>
      <c r="V988" s="179"/>
      <c r="W988" s="180"/>
      <c r="X988" s="179"/>
      <c r="Y988" s="180"/>
      <c r="Z988" s="178"/>
      <c r="AA988" s="178"/>
      <c r="AB988" s="178"/>
      <c r="AC988" s="178"/>
      <c r="AD988" s="182"/>
      <c r="AE988" s="182"/>
      <c r="AF988" s="182"/>
      <c r="AG988" s="182"/>
      <c r="AH988" s="401"/>
      <c r="AI988" s="401"/>
      <c r="AJ988" s="401"/>
      <c r="AK988" s="401"/>
      <c r="AL988" s="401"/>
      <c r="AM988" s="189"/>
      <c r="AN988" s="829"/>
      <c r="AO988" s="830"/>
      <c r="AP988" s="401"/>
      <c r="AQ988" s="401"/>
      <c r="AR988" s="401"/>
      <c r="AS988" s="401"/>
      <c r="AT988" s="403"/>
      <c r="AU988" s="403"/>
      <c r="AV988" s="170"/>
      <c r="AW988" s="166"/>
      <c r="AX988" s="166"/>
      <c r="AY988" s="189"/>
      <c r="AZ988" s="189"/>
      <c r="BA988" s="196"/>
      <c r="BB988" s="629"/>
      <c r="BC988" s="190"/>
      <c r="BD988" s="510"/>
      <c r="BE988" s="510"/>
      <c r="BF988" s="177"/>
      <c r="BG988" s="177"/>
      <c r="BH988" s="166"/>
      <c r="BI988" s="474"/>
      <c r="BJ988" s="166"/>
      <c r="BK988" s="474"/>
      <c r="BL988" s="474"/>
      <c r="BM988" s="474"/>
      <c r="BN988" s="166"/>
      <c r="BO988" s="166"/>
      <c r="BP988" s="204"/>
      <c r="BQ988" s="475"/>
      <c r="BR988" s="205"/>
      <c r="BS988" s="509"/>
      <c r="BT988" s="509"/>
      <c r="BU988" s="459"/>
      <c r="BV988" s="459"/>
      <c r="BW988" s="1"/>
      <c r="BX988" s="1"/>
      <c r="BY988" s="546"/>
      <c r="BZ988" s="546"/>
      <c r="CA988" s="546"/>
      <c r="CB988" s="546"/>
      <c r="CC988" s="728"/>
      <c r="CD988" s="728"/>
      <c r="CE988" s="170"/>
    </row>
    <row r="989" spans="1:83" customFormat="1">
      <c r="A989" s="701"/>
      <c r="B989" s="447"/>
      <c r="C989" s="161"/>
      <c r="D989" s="162"/>
      <c r="E989" s="1"/>
      <c r="F989" s="811"/>
      <c r="G989" s="440"/>
      <c r="H989" s="1"/>
      <c r="I989" s="55"/>
      <c r="J989" s="170"/>
      <c r="K989" s="1"/>
      <c r="L989" s="170"/>
      <c r="M989" s="1"/>
      <c r="N989" s="458"/>
      <c r="O989" s="170"/>
      <c r="P989" s="441"/>
      <c r="Q989" s="55"/>
      <c r="R989" s="177"/>
      <c r="S989" s="454"/>
      <c r="T989" s="178"/>
      <c r="U989" s="178"/>
      <c r="V989" s="179"/>
      <c r="W989" s="180"/>
      <c r="X989" s="179"/>
      <c r="Y989" s="180"/>
      <c r="Z989" s="178"/>
      <c r="AA989" s="178"/>
      <c r="AB989" s="178"/>
      <c r="AC989" s="178"/>
      <c r="AD989" s="182"/>
      <c r="AE989" s="182"/>
      <c r="AF989" s="182"/>
      <c r="AG989" s="182"/>
      <c r="AH989" s="401"/>
      <c r="AI989" s="401"/>
      <c r="AJ989" s="401"/>
      <c r="AK989" s="401"/>
      <c r="AL989" s="401"/>
      <c r="AM989" s="189"/>
      <c r="AN989" s="829"/>
      <c r="AO989" s="830"/>
      <c r="AP989" s="401"/>
      <c r="AQ989" s="401"/>
      <c r="AR989" s="401"/>
      <c r="AS989" s="401"/>
      <c r="AT989" s="403"/>
      <c r="AU989" s="403"/>
      <c r="AV989" s="170"/>
      <c r="AW989" s="166"/>
      <c r="AX989" s="166"/>
      <c r="AY989" s="189"/>
      <c r="AZ989" s="189"/>
      <c r="BA989" s="190"/>
      <c r="BB989" s="629"/>
      <c r="BC989" s="190"/>
      <c r="BD989" s="510"/>
      <c r="BE989" s="510"/>
      <c r="BF989" s="177"/>
      <c r="BG989" s="177"/>
      <c r="BH989" s="166"/>
      <c r="BI989" s="474"/>
      <c r="BJ989" s="166"/>
      <c r="BK989" s="474"/>
      <c r="BL989" s="474"/>
      <c r="BM989" s="474"/>
      <c r="BN989" s="166"/>
      <c r="BO989" s="166"/>
      <c r="BP989" s="204"/>
      <c r="BQ989" s="475"/>
      <c r="BR989" s="205"/>
      <c r="BS989" s="509"/>
      <c r="BT989" s="509"/>
      <c r="BU989" s="459"/>
      <c r="BV989" s="459"/>
      <c r="BW989" s="1"/>
      <c r="BX989" s="1"/>
      <c r="BY989" s="1"/>
      <c r="BZ989" s="1"/>
      <c r="CA989" s="1"/>
      <c r="CB989" s="1"/>
      <c r="CC989" s="728"/>
      <c r="CD989" s="728"/>
      <c r="CE989" s="1"/>
    </row>
    <row r="990" spans="1:83" customFormat="1">
      <c r="A990" s="701"/>
      <c r="B990" s="447"/>
      <c r="C990" s="161"/>
      <c r="D990" s="162"/>
      <c r="E990" s="1"/>
      <c r="F990" s="811"/>
      <c r="G990" s="440"/>
      <c r="H990" s="1"/>
      <c r="I990" s="55"/>
      <c r="J990" s="170"/>
      <c r="K990" s="1"/>
      <c r="L990" s="170"/>
      <c r="M990" s="1"/>
      <c r="N990" s="458"/>
      <c r="O990" s="170"/>
      <c r="P990" s="441"/>
      <c r="Q990" s="55"/>
      <c r="R990" s="177"/>
      <c r="S990" s="454"/>
      <c r="T990" s="178"/>
      <c r="U990" s="178"/>
      <c r="V990" s="179"/>
      <c r="W990" s="180"/>
      <c r="X990" s="179"/>
      <c r="Y990" s="180"/>
      <c r="Z990" s="178"/>
      <c r="AA990" s="178"/>
      <c r="AB990" s="178"/>
      <c r="AC990" s="178"/>
      <c r="AD990" s="182"/>
      <c r="AE990" s="182"/>
      <c r="AF990" s="182"/>
      <c r="AG990" s="182"/>
      <c r="AH990" s="401"/>
      <c r="AI990" s="401"/>
      <c r="AJ990" s="401"/>
      <c r="AK990" s="401"/>
      <c r="AL990" s="401"/>
      <c r="AM990" s="189"/>
      <c r="AN990" s="829"/>
      <c r="AO990" s="830"/>
      <c r="AP990" s="401"/>
      <c r="AQ990" s="401"/>
      <c r="AR990" s="401"/>
      <c r="AS990" s="401"/>
      <c r="AT990" s="403"/>
      <c r="AU990" s="403"/>
      <c r="AV990" s="170"/>
      <c r="AW990" s="166"/>
      <c r="AX990" s="166"/>
      <c r="AY990" s="189"/>
      <c r="AZ990" s="189"/>
      <c r="BA990" s="190"/>
      <c r="BB990" s="629"/>
      <c r="BC990" s="190"/>
      <c r="BD990" s="510"/>
      <c r="BE990" s="510"/>
      <c r="BF990" s="177"/>
      <c r="BG990" s="177"/>
      <c r="BH990" s="166"/>
      <c r="BI990" s="474"/>
      <c r="BJ990" s="166"/>
      <c r="BK990" s="474"/>
      <c r="BL990" s="474"/>
      <c r="BM990" s="474"/>
      <c r="BN990" s="166"/>
      <c r="BO990" s="166"/>
      <c r="BP990" s="204"/>
      <c r="BQ990" s="475"/>
      <c r="BR990" s="205"/>
      <c r="BS990" s="509"/>
      <c r="BT990" s="509"/>
      <c r="BU990" s="459"/>
      <c r="BV990" s="459"/>
      <c r="BW990" s="1"/>
      <c r="BX990" s="1"/>
      <c r="BY990" s="1"/>
      <c r="BZ990" s="1"/>
      <c r="CA990" s="1"/>
      <c r="CB990" s="1"/>
      <c r="CC990" s="728"/>
      <c r="CD990" s="728"/>
      <c r="CE990" s="1"/>
    </row>
    <row r="991" spans="1:83" customFormat="1">
      <c r="A991" s="701"/>
      <c r="B991" s="447"/>
      <c r="C991" s="1"/>
      <c r="D991" s="538"/>
      <c r="E991" s="1"/>
      <c r="F991" s="811"/>
      <c r="G991" s="440"/>
      <c r="H991" s="1"/>
      <c r="J991" s="171"/>
      <c r="K991" s="55"/>
      <c r="L991" s="171"/>
      <c r="M991" s="55"/>
      <c r="N991" s="172"/>
      <c r="O991" s="170"/>
      <c r="P991" s="139"/>
      <c r="Q991" s="171"/>
      <c r="R991" s="181"/>
      <c r="S991" s="455"/>
      <c r="T991" s="170"/>
      <c r="U991" s="170"/>
      <c r="V991" s="1"/>
      <c r="W991" s="173"/>
      <c r="X991" s="1"/>
      <c r="Y991" s="166"/>
      <c r="Z991" s="170"/>
      <c r="AA991" s="170"/>
      <c r="AB991" s="170"/>
      <c r="AC991" s="170"/>
      <c r="AD991" s="182"/>
      <c r="AE991" s="182"/>
      <c r="AF991" s="182"/>
      <c r="AG991" s="182"/>
      <c r="AH991" s="189"/>
      <c r="AI991" s="401"/>
      <c r="AJ991" s="189"/>
      <c r="AK991" s="401"/>
      <c r="AL991" s="401"/>
      <c r="AM991" s="189"/>
      <c r="AN991" s="782"/>
      <c r="AO991" s="189"/>
      <c r="AP991" s="401"/>
      <c r="AQ991" s="401"/>
      <c r="AR991" s="401"/>
      <c r="AS991" s="188"/>
      <c r="AT991" s="1"/>
      <c r="AU991" s="403"/>
      <c r="AV991" s="1"/>
      <c r="AW991" s="166"/>
      <c r="AX991" s="166"/>
      <c r="AY991" s="189"/>
      <c r="AZ991" s="189"/>
      <c r="BA991" s="196"/>
      <c r="BB991" s="629"/>
      <c r="BC991" s="197"/>
      <c r="BD991" s="510"/>
      <c r="BE991" s="510"/>
      <c r="BF991" s="177"/>
      <c r="BG991" s="177"/>
      <c r="BH991" s="166"/>
      <c r="BI991" s="474"/>
      <c r="BJ991" s="166"/>
      <c r="BK991" s="474"/>
      <c r="BL991" s="474"/>
      <c r="BM991" s="474"/>
      <c r="BN991" s="166"/>
      <c r="BO991" s="166"/>
      <c r="BP991" s="204"/>
      <c r="BQ991" s="475"/>
      <c r="BR991" s="205"/>
      <c r="BS991" s="509"/>
      <c r="BT991" s="509"/>
      <c r="BU991" s="459"/>
      <c r="BV991" s="459"/>
      <c r="BW991" s="1"/>
      <c r="BX991" s="1"/>
      <c r="BY991" s="546"/>
      <c r="BZ991" s="546"/>
      <c r="CA991" s="546"/>
      <c r="CB991" s="546"/>
      <c r="CC991" s="728"/>
      <c r="CD991" s="728"/>
      <c r="CE991" s="170"/>
    </row>
    <row r="992" spans="1:83" customFormat="1">
      <c r="A992" s="701"/>
      <c r="B992" s="447"/>
      <c r="C992" s="161"/>
      <c r="D992" s="162"/>
      <c r="E992" s="1"/>
      <c r="F992" s="811"/>
      <c r="G992" s="440"/>
      <c r="H992" s="1"/>
      <c r="I992" s="55"/>
      <c r="J992" s="170"/>
      <c r="K992" s="1"/>
      <c r="L992" s="170"/>
      <c r="M992" s="1"/>
      <c r="N992" s="458"/>
      <c r="O992" s="170"/>
      <c r="P992" s="441"/>
      <c r="Q992" s="55"/>
      <c r="R992" s="177"/>
      <c r="S992" s="454"/>
      <c r="T992" s="178"/>
      <c r="U992" s="178"/>
      <c r="V992" s="179"/>
      <c r="W992" s="180"/>
      <c r="X992" s="179"/>
      <c r="Y992" s="180"/>
      <c r="Z992" s="178"/>
      <c r="AA992" s="178"/>
      <c r="AB992" s="178"/>
      <c r="AC992" s="178"/>
      <c r="AD992" s="182"/>
      <c r="AE992" s="182"/>
      <c r="AF992" s="182"/>
      <c r="AG992" s="182"/>
      <c r="AH992" s="401"/>
      <c r="AI992" s="401"/>
      <c r="AJ992" s="401"/>
      <c r="AK992" s="401"/>
      <c r="AL992" s="401"/>
      <c r="AM992" s="189"/>
      <c r="AN992" s="829"/>
      <c r="AO992" s="830"/>
      <c r="AP992" s="401"/>
      <c r="AQ992" s="401"/>
      <c r="AR992" s="401"/>
      <c r="AS992" s="401"/>
      <c r="AT992" s="403"/>
      <c r="AU992" s="403"/>
      <c r="AV992" s="170"/>
      <c r="AW992" s="166"/>
      <c r="AX992" s="166"/>
      <c r="AY992" s="189"/>
      <c r="AZ992" s="189"/>
      <c r="BA992" s="196"/>
      <c r="BB992" s="629"/>
      <c r="BC992" s="190"/>
      <c r="BD992" s="510"/>
      <c r="BE992" s="510"/>
      <c r="BF992" s="177"/>
      <c r="BG992" s="177"/>
      <c r="BH992" s="166"/>
      <c r="BI992" s="474"/>
      <c r="BJ992" s="166"/>
      <c r="BK992" s="474"/>
      <c r="BL992" s="474"/>
      <c r="BM992" s="474"/>
      <c r="BN992" s="166"/>
      <c r="BO992" s="166"/>
      <c r="BP992" s="204"/>
      <c r="BQ992" s="475"/>
      <c r="BR992" s="205"/>
      <c r="BS992" s="509"/>
      <c r="BT992" s="509"/>
      <c r="BU992" s="459"/>
      <c r="BV992" s="459"/>
      <c r="BW992" s="1"/>
      <c r="BX992" s="1"/>
      <c r="BY992" s="546"/>
      <c r="BZ992" s="546"/>
      <c r="CA992" s="546"/>
      <c r="CB992" s="546"/>
      <c r="CC992" s="728"/>
      <c r="CD992" s="728"/>
      <c r="CE992" s="170"/>
    </row>
    <row r="993" spans="1:83" customFormat="1">
      <c r="A993" s="701"/>
      <c r="B993" s="447"/>
      <c r="C993" s="161"/>
      <c r="D993" s="162"/>
      <c r="E993" s="1"/>
      <c r="F993" s="811"/>
      <c r="G993" s="440"/>
      <c r="H993" s="1"/>
      <c r="I993" s="55"/>
      <c r="J993" s="170"/>
      <c r="K993" s="1"/>
      <c r="L993" s="170"/>
      <c r="M993" s="1"/>
      <c r="N993" s="458"/>
      <c r="O993" s="170"/>
      <c r="P993" s="441"/>
      <c r="Q993" s="55"/>
      <c r="R993" s="177"/>
      <c r="S993" s="454"/>
      <c r="T993" s="178"/>
      <c r="U993" s="178"/>
      <c r="V993" s="179"/>
      <c r="W993" s="180"/>
      <c r="X993" s="179"/>
      <c r="Y993" s="180"/>
      <c r="Z993" s="178"/>
      <c r="AA993" s="178"/>
      <c r="AB993" s="178"/>
      <c r="AC993" s="178"/>
      <c r="AD993" s="182"/>
      <c r="AE993" s="182"/>
      <c r="AF993" s="182"/>
      <c r="AG993" s="182"/>
      <c r="AH993" s="401"/>
      <c r="AI993" s="401"/>
      <c r="AJ993" s="401"/>
      <c r="AK993" s="401"/>
      <c r="AL993" s="401"/>
      <c r="AM993" s="189"/>
      <c r="AN993" s="829"/>
      <c r="AO993" s="830"/>
      <c r="AP993" s="401"/>
      <c r="AQ993" s="401"/>
      <c r="AR993" s="401"/>
      <c r="AS993" s="401"/>
      <c r="AT993" s="403"/>
      <c r="AU993" s="403"/>
      <c r="AV993" s="170"/>
      <c r="AW993" s="166"/>
      <c r="AX993" s="166"/>
      <c r="AY993" s="189"/>
      <c r="AZ993" s="189"/>
      <c r="BA993" s="196"/>
      <c r="BB993" s="629"/>
      <c r="BC993" s="190"/>
      <c r="BD993" s="510"/>
      <c r="BE993" s="510"/>
      <c r="BF993" s="177"/>
      <c r="BG993" s="177"/>
      <c r="BH993" s="166"/>
      <c r="BI993" s="474"/>
      <c r="BJ993" s="166"/>
      <c r="BK993" s="474"/>
      <c r="BL993" s="474"/>
      <c r="BM993" s="474"/>
      <c r="BN993" s="166"/>
      <c r="BO993" s="166"/>
      <c r="BP993" s="204"/>
      <c r="BQ993" s="475"/>
      <c r="BR993" s="205"/>
      <c r="BS993" s="509"/>
      <c r="BT993" s="509"/>
      <c r="BU993" s="459"/>
      <c r="BV993" s="459"/>
      <c r="BW993" s="1"/>
      <c r="BX993" s="1"/>
      <c r="BY993" s="546"/>
      <c r="BZ993" s="546"/>
      <c r="CA993" s="546"/>
      <c r="CB993" s="546"/>
      <c r="CC993" s="728"/>
      <c r="CD993" s="728"/>
      <c r="CE993" s="170"/>
    </row>
    <row r="994" spans="1:83" customFormat="1">
      <c r="A994" s="701"/>
      <c r="B994" s="447"/>
      <c r="C994" s="161"/>
      <c r="D994" s="162"/>
      <c r="E994" s="1"/>
      <c r="F994" s="811"/>
      <c r="G994" s="440"/>
      <c r="H994" s="1"/>
      <c r="I994" s="55"/>
      <c r="J994" s="457"/>
      <c r="K994" s="1"/>
      <c r="L994" s="170"/>
      <c r="M994" s="1"/>
      <c r="N994" s="458"/>
      <c r="O994" s="170"/>
      <c r="P994" s="441"/>
      <c r="Q994" s="55"/>
      <c r="R994" s="177"/>
      <c r="S994" s="454"/>
      <c r="T994" s="178"/>
      <c r="U994" s="178"/>
      <c r="V994" s="179"/>
      <c r="W994" s="180"/>
      <c r="X994" s="179"/>
      <c r="Y994" s="180"/>
      <c r="Z994" s="178"/>
      <c r="AA994" s="178"/>
      <c r="AB994" s="178"/>
      <c r="AC994" s="178"/>
      <c r="AD994" s="182"/>
      <c r="AE994" s="182"/>
      <c r="AF994" s="182"/>
      <c r="AG994" s="182"/>
      <c r="AH994" s="401"/>
      <c r="AI994" s="401"/>
      <c r="AJ994" s="401"/>
      <c r="AK994" s="401"/>
      <c r="AL994" s="401"/>
      <c r="AM994" s="189"/>
      <c r="AN994" s="829"/>
      <c r="AO994" s="830"/>
      <c r="AP994" s="401"/>
      <c r="AQ994" s="401"/>
      <c r="AR994" s="401"/>
      <c r="AS994" s="401"/>
      <c r="AT994" s="403"/>
      <c r="AU994" s="403"/>
      <c r="AV994" s="170"/>
      <c r="AW994" s="166"/>
      <c r="AX994" s="166"/>
      <c r="AY994" s="189"/>
      <c r="AZ994" s="189"/>
      <c r="BA994" s="196"/>
      <c r="BB994" s="629"/>
      <c r="BC994" s="190"/>
      <c r="BD994" s="510"/>
      <c r="BE994" s="510"/>
      <c r="BF994" s="177"/>
      <c r="BG994" s="177"/>
      <c r="BH994" s="166"/>
      <c r="BI994" s="474"/>
      <c r="BJ994" s="166"/>
      <c r="BK994" s="474"/>
      <c r="BL994" s="474"/>
      <c r="BM994" s="474"/>
      <c r="BN994" s="166"/>
      <c r="BO994" s="166"/>
      <c r="BP994" s="204"/>
      <c r="BQ994" s="475"/>
      <c r="BR994" s="205"/>
      <c r="BS994" s="509"/>
      <c r="BT994" s="509"/>
      <c r="BU994" s="459"/>
      <c r="BV994" s="459"/>
      <c r="BW994" s="1"/>
      <c r="BX994" s="1"/>
      <c r="BY994" s="546"/>
      <c r="BZ994" s="546"/>
      <c r="CA994" s="546"/>
      <c r="CB994" s="546"/>
      <c r="CC994" s="728"/>
      <c r="CD994" s="728"/>
      <c r="CE994" s="170"/>
    </row>
    <row r="995" spans="1:83" customFormat="1">
      <c r="A995" s="701"/>
      <c r="B995" s="447"/>
      <c r="C995" s="161"/>
      <c r="D995" s="162"/>
      <c r="E995" s="1"/>
      <c r="F995" s="811"/>
      <c r="G995" s="440"/>
      <c r="H995" s="1"/>
      <c r="I995" s="55"/>
      <c r="J995" s="170"/>
      <c r="K995" s="1"/>
      <c r="L995" s="170"/>
      <c r="M995" s="1"/>
      <c r="N995" s="458"/>
      <c r="O995" s="170"/>
      <c r="P995" s="441"/>
      <c r="Q995" s="55"/>
      <c r="R995" s="177"/>
      <c r="S995" s="454"/>
      <c r="T995" s="178"/>
      <c r="U995" s="178"/>
      <c r="V995" s="179"/>
      <c r="W995" s="180"/>
      <c r="X995" s="179"/>
      <c r="Y995" s="180"/>
      <c r="Z995" s="178"/>
      <c r="AA995" s="178"/>
      <c r="AB995" s="178"/>
      <c r="AC995" s="178"/>
      <c r="AD995" s="182"/>
      <c r="AE995" s="182"/>
      <c r="AF995" s="182"/>
      <c r="AG995" s="182"/>
      <c r="AH995" s="401"/>
      <c r="AI995" s="401"/>
      <c r="AJ995" s="401"/>
      <c r="AK995" s="401"/>
      <c r="AL995" s="401"/>
      <c r="AM995" s="189"/>
      <c r="AN995" s="829"/>
      <c r="AO995" s="830"/>
      <c r="AP995" s="401"/>
      <c r="AQ995" s="401"/>
      <c r="AR995" s="401"/>
      <c r="AS995" s="401"/>
      <c r="AT995" s="403"/>
      <c r="AU995" s="403"/>
      <c r="AV995" s="170"/>
      <c r="AW995" s="166"/>
      <c r="AX995" s="166"/>
      <c r="AY995" s="189"/>
      <c r="AZ995" s="189"/>
      <c r="BA995" s="196"/>
      <c r="BB995" s="629"/>
      <c r="BC995" s="190"/>
      <c r="BD995" s="510"/>
      <c r="BE995" s="510"/>
      <c r="BF995" s="177"/>
      <c r="BG995" s="177"/>
      <c r="BH995" s="166"/>
      <c r="BI995" s="474"/>
      <c r="BJ995" s="166"/>
      <c r="BK995" s="474"/>
      <c r="BL995" s="474"/>
      <c r="BM995" s="474"/>
      <c r="BN995" s="166"/>
      <c r="BO995" s="166"/>
      <c r="BP995" s="204"/>
      <c r="BQ995" s="475"/>
      <c r="BR995" s="205"/>
      <c r="BS995" s="509"/>
      <c r="BT995" s="509"/>
      <c r="BU995" s="459"/>
      <c r="BV995" s="459"/>
      <c r="BW995" s="1"/>
      <c r="BX995" s="1"/>
      <c r="BY995" s="546"/>
      <c r="BZ995" s="546"/>
      <c r="CA995" s="546"/>
      <c r="CB995" s="546"/>
      <c r="CC995" s="728"/>
      <c r="CD995" s="728"/>
      <c r="CE995" s="170"/>
    </row>
    <row r="996" spans="1:83" customFormat="1">
      <c r="A996" s="701"/>
      <c r="B996" s="447"/>
      <c r="C996" s="161"/>
      <c r="D996" s="162"/>
      <c r="E996" s="1"/>
      <c r="F996" s="811"/>
      <c r="G996" s="440"/>
      <c r="H996" s="1"/>
      <c r="I996" s="55"/>
      <c r="J996" s="170"/>
      <c r="K996" s="1"/>
      <c r="L996" s="170"/>
      <c r="M996" s="1"/>
      <c r="N996" s="458"/>
      <c r="O996" s="170"/>
      <c r="P996" s="441"/>
      <c r="Q996" s="55"/>
      <c r="R996" s="177"/>
      <c r="S996" s="454"/>
      <c r="T996" s="178"/>
      <c r="U996" s="178"/>
      <c r="V996" s="179"/>
      <c r="W996" s="180"/>
      <c r="X996" s="179"/>
      <c r="Y996" s="180"/>
      <c r="Z996" s="178"/>
      <c r="AA996" s="178"/>
      <c r="AB996" s="178"/>
      <c r="AC996" s="178"/>
      <c r="AD996" s="182"/>
      <c r="AE996" s="182"/>
      <c r="AF996" s="182"/>
      <c r="AG996" s="182"/>
      <c r="AH996" s="401"/>
      <c r="AI996" s="401"/>
      <c r="AJ996" s="401"/>
      <c r="AK996" s="401"/>
      <c r="AL996" s="401"/>
      <c r="AM996" s="189"/>
      <c r="AN996" s="829"/>
      <c r="AO996" s="830"/>
      <c r="AP996" s="401"/>
      <c r="AQ996" s="401"/>
      <c r="AR996" s="401"/>
      <c r="AS996" s="401"/>
      <c r="AT996" s="403"/>
      <c r="AU996" s="403"/>
      <c r="AV996" s="170"/>
      <c r="AW996" s="166"/>
      <c r="AX996" s="166"/>
      <c r="AY996" s="189"/>
      <c r="AZ996" s="189"/>
      <c r="BA996" s="196"/>
      <c r="BB996" s="629"/>
      <c r="BC996" s="190"/>
      <c r="BD996" s="510"/>
      <c r="BE996" s="510"/>
      <c r="BF996" s="177"/>
      <c r="BG996" s="177"/>
      <c r="BH996" s="166"/>
      <c r="BI996" s="474"/>
      <c r="BJ996" s="166"/>
      <c r="BK996" s="474"/>
      <c r="BL996" s="474"/>
      <c r="BM996" s="474"/>
      <c r="BN996" s="166"/>
      <c r="BO996" s="166"/>
      <c r="BP996" s="204"/>
      <c r="BQ996" s="475"/>
      <c r="BR996" s="205"/>
      <c r="BS996" s="509"/>
      <c r="BT996" s="509"/>
      <c r="BU996" s="459"/>
      <c r="BV996" s="459"/>
      <c r="BW996" s="1"/>
      <c r="BX996" s="1"/>
      <c r="BY996" s="546"/>
      <c r="BZ996" s="546"/>
      <c r="CA996" s="546"/>
      <c r="CB996" s="546"/>
      <c r="CC996" s="728"/>
      <c r="CD996" s="728"/>
      <c r="CE996" s="170"/>
    </row>
    <row r="997" spans="1:83" customFormat="1">
      <c r="A997" s="701"/>
      <c r="B997" s="447"/>
      <c r="C997" s="161"/>
      <c r="D997" s="162"/>
      <c r="E997" s="1"/>
      <c r="F997" s="811"/>
      <c r="G997" s="440"/>
      <c r="H997" s="1"/>
      <c r="I997" s="55"/>
      <c r="J997" s="457"/>
      <c r="K997" s="1"/>
      <c r="L997" s="170"/>
      <c r="M997" s="1"/>
      <c r="N997" s="458"/>
      <c r="O997" s="170"/>
      <c r="P997" s="441"/>
      <c r="Q997" s="55"/>
      <c r="R997" s="177"/>
      <c r="S997" s="454"/>
      <c r="T997" s="178"/>
      <c r="U997" s="178"/>
      <c r="V997" s="179"/>
      <c r="W997" s="180"/>
      <c r="X997" s="179"/>
      <c r="Y997" s="180"/>
      <c r="Z997" s="178"/>
      <c r="AA997" s="178"/>
      <c r="AB997" s="178"/>
      <c r="AC997" s="178"/>
      <c r="AD997" s="182"/>
      <c r="AE997" s="182"/>
      <c r="AF997" s="182"/>
      <c r="AG997" s="182"/>
      <c r="AH997" s="401"/>
      <c r="AI997" s="401"/>
      <c r="AJ997" s="401"/>
      <c r="AK997" s="401"/>
      <c r="AL997" s="401"/>
      <c r="AM997" s="189"/>
      <c r="AN997" s="829"/>
      <c r="AO997" s="830"/>
      <c r="AP997" s="401"/>
      <c r="AQ997" s="401"/>
      <c r="AR997" s="401"/>
      <c r="AS997" s="401"/>
      <c r="AT997" s="403"/>
      <c r="AU997" s="403"/>
      <c r="AV997" s="170"/>
      <c r="AW997" s="166"/>
      <c r="AX997" s="166"/>
      <c r="AY997" s="189"/>
      <c r="AZ997" s="189"/>
      <c r="BA997" s="196"/>
      <c r="BB997" s="629"/>
      <c r="BC997" s="190"/>
      <c r="BD997" s="510"/>
      <c r="BE997" s="510"/>
      <c r="BF997" s="177"/>
      <c r="BG997" s="177"/>
      <c r="BH997" s="166"/>
      <c r="BI997" s="474"/>
      <c r="BJ997" s="166"/>
      <c r="BK997" s="474"/>
      <c r="BL997" s="474"/>
      <c r="BM997" s="474"/>
      <c r="BN997" s="166"/>
      <c r="BO997" s="166"/>
      <c r="BP997" s="204"/>
      <c r="BQ997" s="475"/>
      <c r="BR997" s="205"/>
      <c r="BS997" s="509"/>
      <c r="BT997" s="509"/>
      <c r="BU997" s="459"/>
      <c r="BV997" s="459"/>
      <c r="BW997" s="1"/>
      <c r="BX997" s="1"/>
      <c r="BY997" s="546"/>
      <c r="BZ997" s="546"/>
      <c r="CA997" s="546"/>
      <c r="CB997" s="546"/>
      <c r="CC997" s="728"/>
      <c r="CD997" s="728"/>
      <c r="CE997" s="170"/>
    </row>
    <row r="998" spans="1:83" customFormat="1">
      <c r="A998" s="701"/>
      <c r="B998" s="447"/>
      <c r="C998" s="161"/>
      <c r="D998" s="162"/>
      <c r="E998" s="1"/>
      <c r="F998" s="811"/>
      <c r="G998" s="440"/>
      <c r="H998" s="1"/>
      <c r="I998" s="55"/>
      <c r="J998" s="457"/>
      <c r="K998" s="1"/>
      <c r="L998" s="170"/>
      <c r="M998" s="1"/>
      <c r="N998" s="458"/>
      <c r="O998" s="170"/>
      <c r="P998" s="441"/>
      <c r="Q998" s="55"/>
      <c r="R998" s="177"/>
      <c r="S998" s="454"/>
      <c r="T998" s="178"/>
      <c r="U998" s="178"/>
      <c r="V998" s="179"/>
      <c r="W998" s="180"/>
      <c r="X998" s="179"/>
      <c r="Y998" s="180"/>
      <c r="Z998" s="178"/>
      <c r="AA998" s="178"/>
      <c r="AB998" s="178"/>
      <c r="AC998" s="178"/>
      <c r="AD998" s="182"/>
      <c r="AE998" s="182"/>
      <c r="AF998" s="182"/>
      <c r="AG998" s="182"/>
      <c r="AH998" s="401"/>
      <c r="AI998" s="401"/>
      <c r="AJ998" s="401"/>
      <c r="AK998" s="401"/>
      <c r="AL998" s="401"/>
      <c r="AM998" s="189"/>
      <c r="AN998" s="829"/>
      <c r="AO998" s="830"/>
      <c r="AP998" s="401"/>
      <c r="AQ998" s="401"/>
      <c r="AR998" s="401"/>
      <c r="AS998" s="401"/>
      <c r="AT998" s="403"/>
      <c r="AU998" s="403"/>
      <c r="AV998" s="170"/>
      <c r="AW998" s="166"/>
      <c r="AX998" s="166"/>
      <c r="AY998" s="189"/>
      <c r="AZ998" s="189"/>
      <c r="BA998" s="196"/>
      <c r="BB998" s="629"/>
      <c r="BC998" s="190"/>
      <c r="BD998" s="510"/>
      <c r="BE998" s="510"/>
      <c r="BF998" s="177"/>
      <c r="BG998" s="177"/>
      <c r="BH998" s="166"/>
      <c r="BI998" s="474"/>
      <c r="BJ998" s="166"/>
      <c r="BK998" s="474"/>
      <c r="BL998" s="474"/>
      <c r="BM998" s="474"/>
      <c r="BN998" s="166"/>
      <c r="BO998" s="166"/>
      <c r="BP998" s="204"/>
      <c r="BQ998" s="475"/>
      <c r="BR998" s="205"/>
      <c r="BS998" s="509"/>
      <c r="BT998" s="509"/>
      <c r="BU998" s="459"/>
      <c r="BV998" s="459"/>
      <c r="BW998" s="1"/>
      <c r="BX998" s="1"/>
      <c r="BY998" s="546"/>
      <c r="BZ998" s="546"/>
      <c r="CA998" s="546"/>
      <c r="CB998" s="546"/>
      <c r="CC998" s="728"/>
      <c r="CD998" s="728"/>
      <c r="CE998" s="170"/>
    </row>
    <row r="999" spans="1:83" customFormat="1">
      <c r="A999" s="701"/>
      <c r="B999" s="447"/>
      <c r="C999" s="1"/>
      <c r="D999" s="538"/>
      <c r="E999" s="1"/>
      <c r="F999" s="811"/>
      <c r="G999" s="440"/>
      <c r="H999" s="1"/>
      <c r="I999" s="55"/>
      <c r="J999" s="171"/>
      <c r="K999" s="55"/>
      <c r="L999" s="171"/>
      <c r="M999" s="55"/>
      <c r="N999" s="172"/>
      <c r="O999" s="170"/>
      <c r="P999" s="139"/>
      <c r="Q999" s="172"/>
      <c r="R999" s="181"/>
      <c r="S999" s="455"/>
      <c r="T999" s="170"/>
      <c r="U999" s="170"/>
      <c r="V999" s="1"/>
      <c r="W999" s="173"/>
      <c r="X999" s="1"/>
      <c r="Y999" s="166"/>
      <c r="Z999" s="170"/>
      <c r="AA999" s="170"/>
      <c r="AB999" s="170"/>
      <c r="AC999" s="170"/>
      <c r="AD999" s="182"/>
      <c r="AE999" s="182"/>
      <c r="AF999" s="182"/>
      <c r="AG999" s="182"/>
      <c r="AH999" s="189"/>
      <c r="AI999" s="401"/>
      <c r="AJ999" s="189"/>
      <c r="AK999" s="401"/>
      <c r="AL999" s="401"/>
      <c r="AM999" s="189"/>
      <c r="AN999" s="782"/>
      <c r="AO999" s="189"/>
      <c r="AP999" s="401"/>
      <c r="AQ999" s="401"/>
      <c r="AR999" s="401"/>
      <c r="AS999" s="188"/>
      <c r="AT999" s="1"/>
      <c r="AU999" s="403"/>
      <c r="AV999" s="1"/>
      <c r="AW999" s="166"/>
      <c r="AX999" s="166"/>
      <c r="AY999" s="189"/>
      <c r="AZ999" s="189"/>
      <c r="BA999" s="196"/>
      <c r="BB999" s="629"/>
      <c r="BC999" s="197"/>
      <c r="BD999" s="510"/>
      <c r="BE999" s="510"/>
      <c r="BF999" s="177"/>
      <c r="BG999" s="177"/>
      <c r="BH999" s="166"/>
      <c r="BI999" s="474"/>
      <c r="BJ999" s="166"/>
      <c r="BK999" s="474"/>
      <c r="BL999" s="474"/>
      <c r="BM999" s="474"/>
      <c r="BN999" s="166"/>
      <c r="BO999" s="166"/>
      <c r="BP999" s="204"/>
      <c r="BQ999" s="475"/>
      <c r="BR999" s="205"/>
      <c r="BS999" s="509"/>
      <c r="BT999" s="509"/>
      <c r="BU999" s="459"/>
      <c r="BV999" s="459"/>
      <c r="BW999" s="1"/>
      <c r="BX999" s="1"/>
      <c r="BY999" s="546"/>
      <c r="BZ999" s="546"/>
      <c r="CA999" s="546"/>
      <c r="CB999" s="546"/>
      <c r="CC999" s="728"/>
      <c r="CD999" s="728"/>
      <c r="CE999" s="170"/>
    </row>
    <row r="1000" spans="1:83" customFormat="1">
      <c r="A1000" s="701"/>
      <c r="B1000" s="447"/>
      <c r="C1000" s="161"/>
      <c r="D1000" s="162"/>
      <c r="E1000" s="1"/>
      <c r="F1000" s="811"/>
      <c r="G1000" s="440"/>
      <c r="H1000" s="1"/>
      <c r="I1000" s="55"/>
      <c r="J1000" s="170"/>
      <c r="K1000" s="1"/>
      <c r="L1000" s="170"/>
      <c r="M1000" s="1"/>
      <c r="N1000" s="458"/>
      <c r="O1000" s="170"/>
      <c r="P1000" s="441"/>
      <c r="Q1000" s="55"/>
      <c r="R1000" s="177"/>
      <c r="S1000" s="454"/>
      <c r="T1000" s="178"/>
      <c r="U1000" s="178"/>
      <c r="V1000" s="179"/>
      <c r="W1000" s="180"/>
      <c r="X1000" s="179"/>
      <c r="Y1000" s="180"/>
      <c r="Z1000" s="178"/>
      <c r="AA1000" s="178"/>
      <c r="AB1000" s="178"/>
      <c r="AC1000" s="178"/>
      <c r="AD1000" s="182"/>
      <c r="AE1000" s="182"/>
      <c r="AF1000" s="182"/>
      <c r="AG1000" s="182"/>
      <c r="AH1000" s="401"/>
      <c r="AI1000" s="401"/>
      <c r="AJ1000" s="401"/>
      <c r="AK1000" s="401"/>
      <c r="AL1000" s="401"/>
      <c r="AM1000" s="189"/>
      <c r="AN1000" s="829"/>
      <c r="AO1000" s="830"/>
      <c r="AP1000" s="401"/>
      <c r="AQ1000" s="401"/>
      <c r="AR1000" s="401"/>
      <c r="AS1000" s="401"/>
      <c r="AT1000" s="403"/>
      <c r="AU1000" s="403"/>
      <c r="AV1000" s="170"/>
      <c r="AW1000" s="166"/>
      <c r="AX1000" s="166"/>
      <c r="AY1000" s="189"/>
      <c r="AZ1000" s="189"/>
      <c r="BA1000" s="196"/>
      <c r="BB1000" s="629"/>
      <c r="BC1000" s="190"/>
      <c r="BD1000" s="510"/>
      <c r="BE1000" s="510"/>
      <c r="BF1000" s="177"/>
      <c r="BG1000" s="177"/>
      <c r="BH1000" s="166"/>
      <c r="BI1000" s="474"/>
      <c r="BJ1000" s="166"/>
      <c r="BK1000" s="474"/>
      <c r="BL1000" s="474"/>
      <c r="BM1000" s="474"/>
      <c r="BN1000" s="166"/>
      <c r="BO1000" s="166"/>
      <c r="BP1000" s="204"/>
      <c r="BQ1000" s="475"/>
      <c r="BR1000" s="205"/>
      <c r="BS1000" s="509"/>
      <c r="BT1000" s="509"/>
      <c r="BU1000" s="459"/>
      <c r="BV1000" s="459"/>
      <c r="BW1000" s="1"/>
      <c r="BX1000" s="1"/>
      <c r="BY1000" s="546"/>
      <c r="BZ1000" s="546"/>
      <c r="CA1000" s="546"/>
      <c r="CB1000" s="546"/>
      <c r="CC1000" s="728"/>
      <c r="CD1000" s="728"/>
      <c r="CE1000" s="170"/>
    </row>
    <row r="1001" spans="1:83" customFormat="1">
      <c r="A1001" s="701"/>
      <c r="B1001" s="447"/>
      <c r="C1001" s="161"/>
      <c r="D1001" s="162"/>
      <c r="E1001" s="1"/>
      <c r="F1001" s="811"/>
      <c r="G1001" s="440"/>
      <c r="H1001" s="1"/>
      <c r="I1001" s="55"/>
      <c r="J1001" s="170"/>
      <c r="K1001" s="1"/>
      <c r="L1001" s="170"/>
      <c r="M1001" s="1"/>
      <c r="N1001" s="458"/>
      <c r="O1001" s="170"/>
      <c r="P1001" s="441"/>
      <c r="Q1001" s="55"/>
      <c r="R1001" s="177"/>
      <c r="S1001" s="454"/>
      <c r="T1001" s="178"/>
      <c r="U1001" s="178"/>
      <c r="V1001" s="179"/>
      <c r="W1001" s="180"/>
      <c r="X1001" s="179"/>
      <c r="Y1001" s="180"/>
      <c r="Z1001" s="178"/>
      <c r="AA1001" s="178"/>
      <c r="AB1001" s="178"/>
      <c r="AC1001" s="178"/>
      <c r="AD1001" s="182"/>
      <c r="AE1001" s="182"/>
      <c r="AF1001" s="182"/>
      <c r="AG1001" s="182"/>
      <c r="AH1001" s="401"/>
      <c r="AI1001" s="401"/>
      <c r="AJ1001" s="401"/>
      <c r="AK1001" s="401"/>
      <c r="AL1001" s="401"/>
      <c r="AM1001" s="189"/>
      <c r="AN1001" s="829"/>
      <c r="AO1001" s="830"/>
      <c r="AP1001" s="401"/>
      <c r="AQ1001" s="401"/>
      <c r="AR1001" s="401"/>
      <c r="AS1001" s="401"/>
      <c r="AT1001" s="403"/>
      <c r="AU1001" s="403"/>
      <c r="AV1001" s="170"/>
      <c r="AW1001" s="166"/>
      <c r="AX1001" s="166"/>
      <c r="AY1001" s="189"/>
      <c r="AZ1001" s="189"/>
      <c r="BA1001" s="196"/>
      <c r="BB1001" s="629"/>
      <c r="BC1001" s="190"/>
      <c r="BD1001" s="510"/>
      <c r="BE1001" s="510"/>
      <c r="BF1001" s="177"/>
      <c r="BG1001" s="177"/>
      <c r="BH1001" s="166"/>
      <c r="BI1001" s="474"/>
      <c r="BJ1001" s="166"/>
      <c r="BK1001" s="474"/>
      <c r="BL1001" s="474"/>
      <c r="BM1001" s="474"/>
      <c r="BN1001" s="166"/>
      <c r="BO1001" s="166"/>
      <c r="BP1001" s="204"/>
      <c r="BQ1001" s="475"/>
      <c r="BR1001" s="205"/>
      <c r="BS1001" s="509"/>
      <c r="BT1001" s="509"/>
      <c r="BU1001" s="459"/>
      <c r="BV1001" s="459"/>
      <c r="BW1001" s="1"/>
      <c r="BX1001" s="1"/>
      <c r="BY1001" s="546"/>
      <c r="BZ1001" s="546"/>
      <c r="CA1001" s="546"/>
      <c r="CB1001" s="546"/>
      <c r="CC1001" s="728"/>
      <c r="CD1001" s="728"/>
      <c r="CE1001" s="170"/>
    </row>
    <row r="1002" spans="1:83" customFormat="1">
      <c r="A1002" s="701"/>
      <c r="B1002" s="447"/>
      <c r="C1002" s="161"/>
      <c r="D1002" s="162"/>
      <c r="E1002" s="1"/>
      <c r="F1002" s="811"/>
      <c r="G1002" s="440"/>
      <c r="H1002" s="1"/>
      <c r="I1002" s="55"/>
      <c r="J1002" s="170"/>
      <c r="K1002" s="1"/>
      <c r="L1002" s="170"/>
      <c r="M1002" s="1"/>
      <c r="N1002" s="166"/>
      <c r="O1002" s="170"/>
      <c r="P1002" s="441"/>
      <c r="Q1002" s="55"/>
      <c r="R1002" s="177"/>
      <c r="S1002" s="454"/>
      <c r="T1002" s="178"/>
      <c r="U1002" s="178"/>
      <c r="V1002" s="179"/>
      <c r="W1002" s="180"/>
      <c r="X1002" s="179"/>
      <c r="Y1002" s="180"/>
      <c r="Z1002" s="178"/>
      <c r="AA1002" s="178"/>
      <c r="AB1002" s="178"/>
      <c r="AC1002" s="178"/>
      <c r="AD1002" s="182"/>
      <c r="AE1002" s="182"/>
      <c r="AF1002" s="182"/>
      <c r="AG1002" s="182"/>
      <c r="AH1002" s="401"/>
      <c r="AI1002" s="401"/>
      <c r="AJ1002" s="182"/>
      <c r="AK1002" s="401"/>
      <c r="AL1002" s="401"/>
      <c r="AM1002" s="189"/>
      <c r="AN1002" s="829"/>
      <c r="AO1002" s="830"/>
      <c r="AP1002" s="401"/>
      <c r="AQ1002" s="401"/>
      <c r="AR1002" s="401"/>
      <c r="AS1002" s="401"/>
      <c r="AT1002" s="403"/>
      <c r="AU1002" s="403"/>
      <c r="AV1002" s="170"/>
      <c r="AW1002" s="166"/>
      <c r="AX1002" s="166"/>
      <c r="AY1002" s="189"/>
      <c r="AZ1002" s="189"/>
      <c r="BA1002" s="196"/>
      <c r="BB1002" s="629"/>
      <c r="BC1002" s="190"/>
      <c r="BD1002" s="510"/>
      <c r="BE1002" s="510"/>
      <c r="BF1002" s="177"/>
      <c r="BG1002" s="177"/>
      <c r="BH1002" s="166"/>
      <c r="BI1002" s="474"/>
      <c r="BJ1002" s="166"/>
      <c r="BK1002" s="474"/>
      <c r="BL1002" s="474"/>
      <c r="BM1002" s="474"/>
      <c r="BN1002" s="166"/>
      <c r="BO1002" s="166"/>
      <c r="BP1002" s="204"/>
      <c r="BQ1002" s="475"/>
      <c r="BR1002" s="205"/>
      <c r="BS1002" s="509"/>
      <c r="BT1002" s="509"/>
      <c r="BU1002" s="459"/>
      <c r="BV1002" s="459"/>
      <c r="BW1002" s="1"/>
      <c r="BX1002" s="1"/>
      <c r="BY1002" s="546"/>
      <c r="BZ1002" s="546"/>
      <c r="CA1002" s="546"/>
      <c r="CB1002" s="546"/>
      <c r="CC1002" s="728"/>
      <c r="CD1002" s="728"/>
      <c r="CE1002" s="170"/>
    </row>
    <row r="1003" spans="1:83" customFormat="1">
      <c r="A1003" s="701"/>
      <c r="B1003" s="447"/>
      <c r="C1003" s="1"/>
      <c r="D1003" s="538"/>
      <c r="E1003" s="1"/>
      <c r="F1003" s="811"/>
      <c r="G1003" s="440"/>
      <c r="H1003" s="371"/>
      <c r="I1003" s="55"/>
      <c r="J1003" s="370"/>
      <c r="K1003" s="55"/>
      <c r="L1003" s="370"/>
      <c r="M1003" s="55"/>
      <c r="N1003" s="452"/>
      <c r="O1003" s="170"/>
      <c r="P1003" s="139"/>
      <c r="Q1003" s="369"/>
      <c r="R1003" s="181"/>
      <c r="S1003" s="455"/>
      <c r="T1003" s="170"/>
      <c r="U1003" s="170"/>
      <c r="V1003" s="1"/>
      <c r="W1003" s="173"/>
      <c r="X1003" s="1"/>
      <c r="Y1003" s="166"/>
      <c r="Z1003" s="170"/>
      <c r="AA1003" s="170"/>
      <c r="AB1003" s="170"/>
      <c r="AC1003" s="170"/>
      <c r="AD1003" s="182"/>
      <c r="AE1003" s="182"/>
      <c r="AF1003" s="182"/>
      <c r="AG1003" s="182"/>
      <c r="AH1003" s="189"/>
      <c r="AI1003" s="401"/>
      <c r="AJ1003" s="189"/>
      <c r="AK1003" s="401"/>
      <c r="AL1003" s="401"/>
      <c r="AM1003" s="189"/>
      <c r="AN1003" s="782"/>
      <c r="AO1003" s="189"/>
      <c r="AP1003" s="401"/>
      <c r="AQ1003" s="401"/>
      <c r="AR1003" s="401"/>
      <c r="AS1003" s="188"/>
      <c r="AT1003" s="1"/>
      <c r="AU1003" s="403"/>
      <c r="AV1003" s="1"/>
      <c r="AW1003" s="166"/>
      <c r="AX1003" s="166"/>
      <c r="AY1003" s="189"/>
      <c r="AZ1003" s="189"/>
      <c r="BA1003" s="196"/>
      <c r="BB1003" s="629"/>
      <c r="BC1003" s="197"/>
      <c r="BD1003" s="510"/>
      <c r="BE1003" s="510"/>
      <c r="BF1003" s="177"/>
      <c r="BG1003" s="177"/>
      <c r="BH1003" s="166"/>
      <c r="BI1003" s="474"/>
      <c r="BJ1003" s="166"/>
      <c r="BK1003" s="474"/>
      <c r="BL1003" s="474"/>
      <c r="BM1003" s="474"/>
      <c r="BN1003" s="166"/>
      <c r="BO1003" s="166"/>
      <c r="BP1003" s="204"/>
      <c r="BQ1003" s="475"/>
      <c r="BR1003" s="205"/>
      <c r="BS1003" s="509"/>
      <c r="BT1003" s="509"/>
      <c r="BU1003" s="459"/>
      <c r="BV1003" s="459"/>
      <c r="BW1003" s="1"/>
      <c r="BX1003" s="1"/>
      <c r="BY1003" s="546"/>
      <c r="BZ1003" s="546"/>
      <c r="CA1003" s="546"/>
      <c r="CB1003" s="546"/>
      <c r="CC1003" s="728"/>
      <c r="CD1003" s="728"/>
      <c r="CE1003" s="170"/>
    </row>
    <row r="1004" spans="1:83" customFormat="1">
      <c r="A1004" s="701"/>
      <c r="B1004" s="447"/>
      <c r="C1004" s="161"/>
      <c r="D1004" s="162"/>
      <c r="E1004" s="1"/>
      <c r="F1004" s="811"/>
      <c r="G1004" s="440"/>
      <c r="H1004" s="1"/>
      <c r="I1004" s="55"/>
      <c r="J1004" s="170"/>
      <c r="K1004" s="1"/>
      <c r="L1004" s="170"/>
      <c r="M1004" s="1"/>
      <c r="N1004" s="458"/>
      <c r="O1004" s="170"/>
      <c r="P1004" s="441"/>
      <c r="Q1004" s="55"/>
      <c r="R1004" s="177"/>
      <c r="S1004" s="454"/>
      <c r="T1004" s="178"/>
      <c r="U1004" s="178"/>
      <c r="V1004" s="179"/>
      <c r="W1004" s="180"/>
      <c r="X1004" s="179"/>
      <c r="Y1004" s="180"/>
      <c r="Z1004" s="178"/>
      <c r="AA1004" s="178"/>
      <c r="AB1004" s="178"/>
      <c r="AC1004" s="178"/>
      <c r="AD1004" s="182"/>
      <c r="AE1004" s="182"/>
      <c r="AF1004" s="182"/>
      <c r="AG1004" s="182"/>
      <c r="AH1004" s="401"/>
      <c r="AI1004" s="401"/>
      <c r="AJ1004" s="401"/>
      <c r="AK1004" s="401"/>
      <c r="AL1004" s="401"/>
      <c r="AM1004" s="189"/>
      <c r="AN1004" s="829"/>
      <c r="AO1004" s="830"/>
      <c r="AP1004" s="401"/>
      <c r="AQ1004" s="401"/>
      <c r="AR1004" s="401"/>
      <c r="AS1004" s="401"/>
      <c r="AT1004" s="403"/>
      <c r="AU1004" s="403"/>
      <c r="AV1004" s="170"/>
      <c r="AW1004" s="166"/>
      <c r="AX1004" s="166"/>
      <c r="AY1004" s="189"/>
      <c r="AZ1004" s="189"/>
      <c r="BA1004" s="196"/>
      <c r="BB1004" s="629"/>
      <c r="BC1004" s="190"/>
      <c r="BD1004" s="510"/>
      <c r="BE1004" s="510"/>
      <c r="BF1004" s="177"/>
      <c r="BG1004" s="177"/>
      <c r="BH1004" s="166"/>
      <c r="BI1004" s="474"/>
      <c r="BJ1004" s="166"/>
      <c r="BK1004" s="474"/>
      <c r="BL1004" s="474"/>
      <c r="BM1004" s="474"/>
      <c r="BN1004" s="166"/>
      <c r="BO1004" s="166"/>
      <c r="BP1004" s="204"/>
      <c r="BQ1004" s="475"/>
      <c r="BR1004" s="205"/>
      <c r="BS1004" s="509"/>
      <c r="BT1004" s="509"/>
      <c r="BU1004" s="459"/>
      <c r="BV1004" s="459"/>
      <c r="BW1004" s="1"/>
      <c r="BX1004" s="1"/>
      <c r="BY1004" s="546"/>
      <c r="BZ1004" s="546"/>
      <c r="CA1004" s="546"/>
      <c r="CB1004" s="546"/>
      <c r="CC1004" s="728"/>
      <c r="CD1004" s="728"/>
      <c r="CE1004" s="170"/>
    </row>
    <row r="1005" spans="1:83" customFormat="1">
      <c r="A1005" s="701"/>
      <c r="B1005" s="447"/>
      <c r="C1005" s="161"/>
      <c r="D1005" s="162"/>
      <c r="E1005" s="1"/>
      <c r="F1005" s="811"/>
      <c r="G1005" s="440"/>
      <c r="H1005" s="1"/>
      <c r="I1005" s="55"/>
      <c r="J1005" s="170"/>
      <c r="K1005" s="1"/>
      <c r="L1005" s="457"/>
      <c r="M1005" s="1"/>
      <c r="N1005" s="458"/>
      <c r="O1005" s="170"/>
      <c r="P1005" s="441"/>
      <c r="Q1005" s="55"/>
      <c r="R1005" s="177"/>
      <c r="S1005" s="454"/>
      <c r="T1005" s="178"/>
      <c r="U1005" s="178"/>
      <c r="V1005" s="179"/>
      <c r="W1005" s="180"/>
      <c r="X1005" s="179"/>
      <c r="Y1005" s="180"/>
      <c r="Z1005" s="178"/>
      <c r="AA1005" s="178"/>
      <c r="AB1005" s="178"/>
      <c r="AC1005" s="178"/>
      <c r="AD1005" s="182"/>
      <c r="AE1005" s="182"/>
      <c r="AF1005" s="182"/>
      <c r="AG1005" s="182"/>
      <c r="AH1005" s="401"/>
      <c r="AI1005" s="401"/>
      <c r="AJ1005" s="401"/>
      <c r="AK1005" s="401"/>
      <c r="AL1005" s="401"/>
      <c r="AM1005" s="189"/>
      <c r="AN1005" s="829"/>
      <c r="AO1005" s="830"/>
      <c r="AP1005" s="401"/>
      <c r="AQ1005" s="401"/>
      <c r="AR1005" s="401"/>
      <c r="AS1005" s="401"/>
      <c r="AT1005" s="403"/>
      <c r="AU1005" s="403"/>
      <c r="AV1005" s="170"/>
      <c r="AW1005" s="166"/>
      <c r="AX1005" s="166"/>
      <c r="AY1005" s="189"/>
      <c r="AZ1005" s="189"/>
      <c r="BA1005" s="196"/>
      <c r="BB1005" s="629"/>
      <c r="BC1005" s="190"/>
      <c r="BD1005" s="510"/>
      <c r="BE1005" s="510"/>
      <c r="BF1005" s="177"/>
      <c r="BG1005" s="177"/>
      <c r="BH1005" s="166"/>
      <c r="BI1005" s="474"/>
      <c r="BJ1005" s="166"/>
      <c r="BK1005" s="474"/>
      <c r="BL1005" s="474"/>
      <c r="BM1005" s="474"/>
      <c r="BN1005" s="166"/>
      <c r="BO1005" s="166"/>
      <c r="BP1005" s="204"/>
      <c r="BQ1005" s="475"/>
      <c r="BR1005" s="205"/>
      <c r="BS1005" s="509"/>
      <c r="BT1005" s="509"/>
      <c r="BU1005" s="459"/>
      <c r="BV1005" s="459"/>
      <c r="BW1005" s="1"/>
      <c r="BX1005" s="1"/>
      <c r="BY1005" s="546"/>
      <c r="BZ1005" s="546"/>
      <c r="CA1005" s="546"/>
      <c r="CB1005" s="546"/>
      <c r="CC1005" s="728"/>
      <c r="CD1005" s="728"/>
      <c r="CE1005" s="170"/>
    </row>
    <row r="1006" spans="1:83" customFormat="1">
      <c r="A1006" s="701"/>
      <c r="B1006" s="447"/>
      <c r="C1006" s="161"/>
      <c r="D1006" s="162"/>
      <c r="E1006" s="1"/>
      <c r="F1006" s="811"/>
      <c r="G1006" s="440"/>
      <c r="H1006" s="1"/>
      <c r="I1006" s="55"/>
      <c r="J1006" s="170"/>
      <c r="K1006" s="1"/>
      <c r="L1006" s="170"/>
      <c r="M1006" s="1"/>
      <c r="N1006" s="458"/>
      <c r="O1006" s="170"/>
      <c r="P1006" s="441"/>
      <c r="Q1006" s="55"/>
      <c r="R1006" s="177"/>
      <c r="S1006" s="454"/>
      <c r="T1006" s="178"/>
      <c r="U1006" s="178"/>
      <c r="V1006" s="179"/>
      <c r="W1006" s="180"/>
      <c r="X1006" s="179"/>
      <c r="Y1006" s="180"/>
      <c r="Z1006" s="178"/>
      <c r="AA1006" s="178"/>
      <c r="AB1006" s="178"/>
      <c r="AC1006" s="178"/>
      <c r="AD1006" s="182"/>
      <c r="AE1006" s="182"/>
      <c r="AF1006" s="182"/>
      <c r="AG1006" s="182"/>
      <c r="AH1006" s="401"/>
      <c r="AI1006" s="401"/>
      <c r="AJ1006" s="401"/>
      <c r="AK1006" s="401"/>
      <c r="AL1006" s="401"/>
      <c r="AM1006" s="189"/>
      <c r="AN1006" s="829"/>
      <c r="AO1006" s="830"/>
      <c r="AP1006" s="401"/>
      <c r="AQ1006" s="401"/>
      <c r="AR1006" s="401"/>
      <c r="AS1006" s="401"/>
      <c r="AT1006" s="403"/>
      <c r="AU1006" s="403"/>
      <c r="AV1006" s="170"/>
      <c r="AW1006" s="166"/>
      <c r="AX1006" s="166"/>
      <c r="AY1006" s="189"/>
      <c r="AZ1006" s="189"/>
      <c r="BA1006" s="196"/>
      <c r="BB1006" s="629"/>
      <c r="BC1006" s="190"/>
      <c r="BD1006" s="510"/>
      <c r="BE1006" s="510"/>
      <c r="BF1006" s="177"/>
      <c r="BG1006" s="177"/>
      <c r="BH1006" s="166"/>
      <c r="BI1006" s="474"/>
      <c r="BJ1006" s="166"/>
      <c r="BK1006" s="474"/>
      <c r="BL1006" s="474"/>
      <c r="BM1006" s="474"/>
      <c r="BN1006" s="166"/>
      <c r="BO1006" s="166"/>
      <c r="BP1006" s="204"/>
      <c r="BQ1006" s="475"/>
      <c r="BR1006" s="205"/>
      <c r="BS1006" s="509"/>
      <c r="BT1006" s="509"/>
      <c r="BU1006" s="459"/>
      <c r="BV1006" s="459"/>
      <c r="BW1006" s="1"/>
      <c r="BX1006" s="1"/>
      <c r="BY1006" s="546"/>
      <c r="BZ1006" s="546"/>
      <c r="CA1006" s="546"/>
      <c r="CB1006" s="546"/>
      <c r="CC1006" s="728"/>
      <c r="CD1006" s="728"/>
      <c r="CE1006" s="170"/>
    </row>
    <row r="1007" spans="1:83" customFormat="1">
      <c r="A1007" s="701"/>
      <c r="B1007" s="447"/>
      <c r="C1007" s="161"/>
      <c r="D1007" s="162"/>
      <c r="E1007" s="1"/>
      <c r="F1007" s="811"/>
      <c r="G1007" s="440"/>
      <c r="H1007" s="1"/>
      <c r="I1007" s="55"/>
      <c r="J1007" s="170"/>
      <c r="K1007" s="1"/>
      <c r="L1007" s="170"/>
      <c r="M1007" s="1"/>
      <c r="N1007" s="458"/>
      <c r="O1007" s="170"/>
      <c r="P1007" s="441"/>
      <c r="Q1007" s="55"/>
      <c r="R1007" s="177"/>
      <c r="S1007" s="454"/>
      <c r="T1007" s="178"/>
      <c r="U1007" s="178"/>
      <c r="V1007" s="179"/>
      <c r="W1007" s="180"/>
      <c r="X1007" s="179"/>
      <c r="Y1007" s="180"/>
      <c r="Z1007" s="178"/>
      <c r="AA1007" s="178"/>
      <c r="AB1007" s="178"/>
      <c r="AC1007" s="178"/>
      <c r="AD1007" s="182"/>
      <c r="AE1007" s="182"/>
      <c r="AF1007" s="182"/>
      <c r="AG1007" s="182"/>
      <c r="AH1007" s="401"/>
      <c r="AI1007" s="401"/>
      <c r="AJ1007" s="401"/>
      <c r="AK1007" s="401"/>
      <c r="AL1007" s="401"/>
      <c r="AM1007" s="189"/>
      <c r="AN1007" s="829"/>
      <c r="AO1007" s="830"/>
      <c r="AP1007" s="401"/>
      <c r="AQ1007" s="401"/>
      <c r="AR1007" s="401"/>
      <c r="AS1007" s="401"/>
      <c r="AT1007" s="403"/>
      <c r="AU1007" s="403"/>
      <c r="AV1007" s="170"/>
      <c r="AW1007" s="166"/>
      <c r="AX1007" s="166"/>
      <c r="AY1007" s="189"/>
      <c r="AZ1007" s="189"/>
      <c r="BA1007" s="196"/>
      <c r="BB1007" s="629"/>
      <c r="BC1007" s="190"/>
      <c r="BD1007" s="510"/>
      <c r="BE1007" s="510"/>
      <c r="BF1007" s="177"/>
      <c r="BG1007" s="177"/>
      <c r="BH1007" s="166"/>
      <c r="BI1007" s="474"/>
      <c r="BJ1007" s="166"/>
      <c r="BK1007" s="474"/>
      <c r="BL1007" s="474"/>
      <c r="BM1007" s="474"/>
      <c r="BN1007" s="166"/>
      <c r="BO1007" s="166"/>
      <c r="BP1007" s="204"/>
      <c r="BQ1007" s="475"/>
      <c r="BR1007" s="205"/>
      <c r="BS1007" s="509"/>
      <c r="BT1007" s="509"/>
      <c r="BU1007" s="459"/>
      <c r="BV1007" s="459"/>
      <c r="BW1007" s="1"/>
      <c r="BX1007" s="1"/>
      <c r="BY1007" s="546"/>
      <c r="BZ1007" s="546"/>
      <c r="CA1007" s="546"/>
      <c r="CB1007" s="546"/>
      <c r="CC1007" s="728"/>
      <c r="CD1007" s="728"/>
      <c r="CE1007" s="170"/>
    </row>
    <row r="1008" spans="1:83" customFormat="1">
      <c r="A1008" s="701"/>
      <c r="B1008" s="447"/>
      <c r="C1008" s="1"/>
      <c r="D1008" s="538"/>
      <c r="E1008" s="1"/>
      <c r="F1008" s="811"/>
      <c r="G1008" s="440"/>
      <c r="H1008" s="1"/>
      <c r="I1008" s="55"/>
      <c r="J1008" s="171"/>
      <c r="K1008" s="55"/>
      <c r="L1008" s="171"/>
      <c r="M1008" s="55"/>
      <c r="N1008" s="172"/>
      <c r="O1008" s="170"/>
      <c r="P1008" s="139"/>
      <c r="Q1008" s="172"/>
      <c r="R1008" s="181"/>
      <c r="S1008" s="455"/>
      <c r="T1008" s="170"/>
      <c r="U1008" s="170"/>
      <c r="V1008" s="1"/>
      <c r="W1008" s="173"/>
      <c r="X1008" s="1"/>
      <c r="Y1008" s="166"/>
      <c r="Z1008" s="170"/>
      <c r="AA1008" s="170"/>
      <c r="AB1008" s="170"/>
      <c r="AC1008" s="170"/>
      <c r="AD1008" s="182"/>
      <c r="AE1008" s="182"/>
      <c r="AF1008" s="182"/>
      <c r="AG1008" s="182"/>
      <c r="AH1008" s="189"/>
      <c r="AI1008" s="401"/>
      <c r="AJ1008" s="189"/>
      <c r="AK1008" s="401"/>
      <c r="AL1008" s="401"/>
      <c r="AM1008" s="189"/>
      <c r="AN1008" s="782"/>
      <c r="AO1008" s="189"/>
      <c r="AP1008" s="401"/>
      <c r="AQ1008" s="401"/>
      <c r="AR1008" s="401"/>
      <c r="AS1008" s="188"/>
      <c r="AT1008" s="1"/>
      <c r="AU1008" s="403"/>
      <c r="AV1008" s="1"/>
      <c r="AW1008" s="166"/>
      <c r="AX1008" s="166"/>
      <c r="AY1008" s="189"/>
      <c r="AZ1008" s="189"/>
      <c r="BA1008" s="196"/>
      <c r="BB1008" s="629"/>
      <c r="BC1008" s="197"/>
      <c r="BD1008" s="510"/>
      <c r="BE1008" s="510"/>
      <c r="BF1008" s="177"/>
      <c r="BG1008" s="177"/>
      <c r="BH1008" s="166"/>
      <c r="BI1008" s="474"/>
      <c r="BJ1008" s="166"/>
      <c r="BK1008" s="474"/>
      <c r="BL1008" s="474"/>
      <c r="BM1008" s="474"/>
      <c r="BN1008" s="166"/>
      <c r="BO1008" s="166"/>
      <c r="BP1008" s="204"/>
      <c r="BQ1008" s="475"/>
      <c r="BR1008" s="205"/>
      <c r="BS1008" s="509"/>
      <c r="BT1008" s="509"/>
      <c r="BU1008" s="459"/>
      <c r="BV1008" s="459"/>
      <c r="BW1008" s="1"/>
      <c r="BX1008" s="1"/>
      <c r="BY1008" s="546"/>
      <c r="BZ1008" s="546"/>
      <c r="CA1008" s="546"/>
      <c r="CB1008" s="546"/>
      <c r="CC1008" s="728"/>
      <c r="CD1008" s="728"/>
      <c r="CE1008" s="170"/>
    </row>
    <row r="1009" spans="1:84" customFormat="1">
      <c r="A1009" s="701"/>
      <c r="B1009" s="447"/>
      <c r="C1009" s="161"/>
      <c r="D1009" s="162"/>
      <c r="E1009" s="1"/>
      <c r="F1009" s="811"/>
      <c r="G1009" s="440"/>
      <c r="H1009" s="1"/>
      <c r="I1009" s="55"/>
      <c r="J1009" s="170"/>
      <c r="K1009" s="1"/>
      <c r="L1009" s="170"/>
      <c r="M1009" s="1"/>
      <c r="N1009" s="458"/>
      <c r="O1009" s="170"/>
      <c r="P1009" s="441"/>
      <c r="Q1009" s="55"/>
      <c r="R1009" s="177"/>
      <c r="S1009" s="454"/>
      <c r="T1009" s="178"/>
      <c r="U1009" s="178"/>
      <c r="V1009" s="179"/>
      <c r="W1009" s="180"/>
      <c r="X1009" s="179"/>
      <c r="Y1009" s="180"/>
      <c r="Z1009" s="178"/>
      <c r="AA1009" s="178"/>
      <c r="AB1009" s="178"/>
      <c r="AC1009" s="178"/>
      <c r="AD1009" s="182"/>
      <c r="AE1009" s="182"/>
      <c r="AF1009" s="182"/>
      <c r="AG1009" s="182"/>
      <c r="AH1009" s="401"/>
      <c r="AI1009" s="401"/>
      <c r="AJ1009" s="401"/>
      <c r="AK1009" s="401"/>
      <c r="AL1009" s="401"/>
      <c r="AM1009" s="189"/>
      <c r="AN1009" s="829"/>
      <c r="AO1009" s="830"/>
      <c r="AP1009" s="401"/>
      <c r="AQ1009" s="401"/>
      <c r="AR1009" s="401"/>
      <c r="AS1009" s="401"/>
      <c r="AT1009" s="403"/>
      <c r="AU1009" s="403"/>
      <c r="AV1009" s="170"/>
      <c r="AW1009" s="166"/>
      <c r="AX1009" s="166"/>
      <c r="AY1009" s="189"/>
      <c r="AZ1009" s="189"/>
      <c r="BA1009" s="196"/>
      <c r="BB1009" s="629"/>
      <c r="BC1009" s="190"/>
      <c r="BD1009" s="510"/>
      <c r="BE1009" s="510"/>
      <c r="BF1009" s="177"/>
      <c r="BG1009" s="177"/>
      <c r="BH1009" s="166"/>
      <c r="BI1009" s="474"/>
      <c r="BJ1009" s="166"/>
      <c r="BK1009" s="474"/>
      <c r="BL1009" s="474"/>
      <c r="BM1009" s="474"/>
      <c r="BN1009" s="166"/>
      <c r="BO1009" s="166"/>
      <c r="BP1009" s="204"/>
      <c r="BQ1009" s="475"/>
      <c r="BR1009" s="205"/>
      <c r="BS1009" s="509"/>
      <c r="BT1009" s="509"/>
      <c r="BU1009" s="459"/>
      <c r="BV1009" s="459"/>
      <c r="BW1009" s="1"/>
      <c r="BX1009" s="1"/>
      <c r="BY1009" s="546"/>
      <c r="BZ1009" s="546"/>
      <c r="CA1009" s="546"/>
      <c r="CB1009" s="546"/>
      <c r="CC1009" s="728"/>
      <c r="CD1009" s="728"/>
      <c r="CE1009" s="170"/>
    </row>
    <row r="1010" spans="1:84" customFormat="1">
      <c r="A1010" s="701"/>
      <c r="B1010" s="447"/>
      <c r="C1010" s="161"/>
      <c r="D1010" s="162"/>
      <c r="E1010" s="1"/>
      <c r="F1010" s="811"/>
      <c r="G1010" s="440"/>
      <c r="H1010" s="1"/>
      <c r="I1010" s="55"/>
      <c r="J1010" s="170"/>
      <c r="K1010" s="1"/>
      <c r="L1010" s="170"/>
      <c r="M1010" s="1"/>
      <c r="N1010" s="458"/>
      <c r="O1010" s="170"/>
      <c r="P1010" s="441"/>
      <c r="Q1010" s="55"/>
      <c r="R1010" s="177"/>
      <c r="S1010" s="454"/>
      <c r="T1010" s="178"/>
      <c r="U1010" s="178"/>
      <c r="V1010" s="179"/>
      <c r="W1010" s="180"/>
      <c r="X1010" s="179"/>
      <c r="Y1010" s="180"/>
      <c r="Z1010" s="178"/>
      <c r="AA1010" s="178"/>
      <c r="AB1010" s="178"/>
      <c r="AC1010" s="178"/>
      <c r="AD1010" s="182"/>
      <c r="AE1010" s="182"/>
      <c r="AF1010" s="182"/>
      <c r="AG1010" s="182"/>
      <c r="AH1010" s="401"/>
      <c r="AI1010" s="401"/>
      <c r="AJ1010" s="401"/>
      <c r="AK1010" s="401"/>
      <c r="AL1010" s="401"/>
      <c r="AM1010" s="189"/>
      <c r="AN1010" s="829"/>
      <c r="AO1010" s="830"/>
      <c r="AP1010" s="401"/>
      <c r="AQ1010" s="401"/>
      <c r="AR1010" s="401"/>
      <c r="AS1010" s="401"/>
      <c r="AT1010" s="403"/>
      <c r="AU1010" s="403"/>
      <c r="AV1010" s="170"/>
      <c r="AW1010" s="166"/>
      <c r="AX1010" s="166"/>
      <c r="AY1010" s="189"/>
      <c r="AZ1010" s="189"/>
      <c r="BA1010" s="196"/>
      <c r="BB1010" s="629"/>
      <c r="BC1010" s="190"/>
      <c r="BD1010" s="510"/>
      <c r="BE1010" s="510"/>
      <c r="BF1010" s="177"/>
      <c r="BG1010" s="177"/>
      <c r="BH1010" s="166"/>
      <c r="BI1010" s="474"/>
      <c r="BJ1010" s="166"/>
      <c r="BK1010" s="474"/>
      <c r="BL1010" s="474"/>
      <c r="BM1010" s="474"/>
      <c r="BN1010" s="166"/>
      <c r="BO1010" s="166"/>
      <c r="BP1010" s="204"/>
      <c r="BQ1010" s="475"/>
      <c r="BR1010" s="205"/>
      <c r="BS1010" s="509"/>
      <c r="BT1010" s="509"/>
      <c r="BU1010" s="459"/>
      <c r="BV1010" s="459"/>
      <c r="BW1010" s="1"/>
      <c r="BX1010" s="1"/>
      <c r="BY1010" s="546"/>
      <c r="BZ1010" s="546"/>
      <c r="CA1010" s="546"/>
      <c r="CB1010" s="546"/>
      <c r="CC1010" s="728"/>
      <c r="CD1010" s="728"/>
      <c r="CE1010" s="170"/>
    </row>
    <row r="1011" spans="1:84" customFormat="1">
      <c r="A1011" s="701"/>
      <c r="B1011" s="447"/>
      <c r="C1011" s="161"/>
      <c r="D1011" s="162"/>
      <c r="E1011" s="1"/>
      <c r="F1011" s="811"/>
      <c r="G1011" s="440"/>
      <c r="H1011" s="1"/>
      <c r="I1011" s="55"/>
      <c r="J1011" s="170"/>
      <c r="K1011" s="1"/>
      <c r="L1011" s="170"/>
      <c r="M1011" s="1"/>
      <c r="N1011" s="166"/>
      <c r="O1011" s="170"/>
      <c r="P1011" s="441"/>
      <c r="Q1011" s="55"/>
      <c r="R1011" s="177"/>
      <c r="S1011" s="454"/>
      <c r="T1011" s="178"/>
      <c r="U1011" s="178"/>
      <c r="V1011" s="179"/>
      <c r="W1011" s="180"/>
      <c r="X1011" s="179"/>
      <c r="Y1011" s="180"/>
      <c r="Z1011" s="178"/>
      <c r="AA1011" s="178"/>
      <c r="AB1011" s="178"/>
      <c r="AC1011" s="178"/>
      <c r="AD1011" s="182"/>
      <c r="AE1011" s="182"/>
      <c r="AF1011" s="182"/>
      <c r="AG1011" s="182"/>
      <c r="AH1011" s="401"/>
      <c r="AI1011" s="401"/>
      <c r="AJ1011" s="182"/>
      <c r="AK1011" s="401"/>
      <c r="AL1011" s="401"/>
      <c r="AM1011" s="189"/>
      <c r="AN1011" s="829"/>
      <c r="AO1011" s="830"/>
      <c r="AP1011" s="401"/>
      <c r="AQ1011" s="401"/>
      <c r="AR1011" s="401"/>
      <c r="AS1011" s="401"/>
      <c r="AT1011" s="403"/>
      <c r="AU1011" s="403"/>
      <c r="AV1011" s="170"/>
      <c r="AW1011" s="166"/>
      <c r="AX1011" s="166"/>
      <c r="AY1011" s="189"/>
      <c r="AZ1011" s="189"/>
      <c r="BA1011" s="196"/>
      <c r="BB1011" s="629"/>
      <c r="BC1011" s="190"/>
      <c r="BD1011" s="510"/>
      <c r="BE1011" s="510"/>
      <c r="BF1011" s="177"/>
      <c r="BG1011" s="177"/>
      <c r="BH1011" s="166"/>
      <c r="BI1011" s="474"/>
      <c r="BJ1011" s="166"/>
      <c r="BK1011" s="474"/>
      <c r="BL1011" s="474"/>
      <c r="BM1011" s="474"/>
      <c r="BN1011" s="166"/>
      <c r="BO1011" s="166"/>
      <c r="BP1011" s="204"/>
      <c r="BQ1011" s="475"/>
      <c r="BR1011" s="205"/>
      <c r="BS1011" s="509"/>
      <c r="BT1011" s="509"/>
      <c r="BU1011" s="459"/>
      <c r="BV1011" s="459"/>
      <c r="BW1011" s="1"/>
      <c r="BX1011" s="1"/>
      <c r="BY1011" s="546"/>
      <c r="BZ1011" s="546"/>
      <c r="CA1011" s="546"/>
      <c r="CB1011" s="546"/>
      <c r="CC1011" s="728"/>
      <c r="CD1011" s="728"/>
      <c r="CE1011" s="170"/>
    </row>
    <row r="1012" spans="1:84" customFormat="1">
      <c r="A1012" s="701"/>
      <c r="B1012" s="447"/>
      <c r="C1012" s="1"/>
      <c r="D1012" s="538"/>
      <c r="E1012" s="1"/>
      <c r="F1012" s="811"/>
      <c r="G1012" s="440"/>
      <c r="H1012" s="371"/>
      <c r="I1012" s="55"/>
      <c r="J1012" s="370"/>
      <c r="K1012" s="55"/>
      <c r="L1012" s="370"/>
      <c r="M1012" s="55"/>
      <c r="N1012" s="452"/>
      <c r="O1012" s="170"/>
      <c r="P1012" s="139"/>
      <c r="Q1012" s="369"/>
      <c r="R1012" s="181"/>
      <c r="S1012" s="455"/>
      <c r="T1012" s="170"/>
      <c r="U1012" s="170"/>
      <c r="V1012" s="1"/>
      <c r="W1012" s="173"/>
      <c r="X1012" s="1"/>
      <c r="Y1012" s="166"/>
      <c r="Z1012" s="170"/>
      <c r="AA1012" s="170"/>
      <c r="AB1012" s="170"/>
      <c r="AC1012" s="170"/>
      <c r="AD1012" s="182"/>
      <c r="AE1012" s="182"/>
      <c r="AF1012" s="182"/>
      <c r="AG1012" s="182"/>
      <c r="AH1012" s="189"/>
      <c r="AI1012" s="401"/>
      <c r="AJ1012" s="189"/>
      <c r="AK1012" s="401"/>
      <c r="AL1012" s="401"/>
      <c r="AM1012" s="189"/>
      <c r="AN1012" s="782"/>
      <c r="AO1012" s="189"/>
      <c r="AP1012" s="401"/>
      <c r="AQ1012" s="401"/>
      <c r="AR1012" s="401"/>
      <c r="AS1012" s="188"/>
      <c r="AT1012" s="1"/>
      <c r="AU1012" s="403"/>
      <c r="AV1012" s="1"/>
      <c r="AW1012" s="166"/>
      <c r="AX1012" s="166"/>
      <c r="AY1012" s="189"/>
      <c r="AZ1012" s="189"/>
      <c r="BA1012" s="196"/>
      <c r="BB1012" s="629"/>
      <c r="BC1012" s="197"/>
      <c r="BD1012" s="510"/>
      <c r="BE1012" s="510"/>
      <c r="BF1012" s="177"/>
      <c r="BG1012" s="177"/>
      <c r="BH1012" s="166"/>
      <c r="BI1012" s="474"/>
      <c r="BJ1012" s="166"/>
      <c r="BK1012" s="474"/>
      <c r="BL1012" s="474"/>
      <c r="BM1012" s="474"/>
      <c r="BN1012" s="166"/>
      <c r="BO1012" s="166"/>
      <c r="BP1012" s="204"/>
      <c r="BQ1012" s="475"/>
      <c r="BR1012" s="205"/>
      <c r="BS1012" s="509"/>
      <c r="BT1012" s="509"/>
      <c r="BU1012" s="459"/>
      <c r="BV1012" s="459"/>
      <c r="BW1012" s="1"/>
      <c r="BX1012" s="1"/>
      <c r="BY1012" s="546"/>
      <c r="BZ1012" s="546"/>
      <c r="CA1012" s="546"/>
      <c r="CB1012" s="546"/>
      <c r="CC1012" s="728"/>
      <c r="CD1012" s="728"/>
      <c r="CE1012" s="170"/>
    </row>
    <row r="1013" spans="1:84" customFormat="1">
      <c r="A1013" s="701"/>
      <c r="B1013" s="447"/>
      <c r="C1013" s="161"/>
      <c r="D1013" s="162"/>
      <c r="E1013" s="1"/>
      <c r="F1013" s="811"/>
      <c r="G1013" s="440"/>
      <c r="H1013" s="1"/>
      <c r="I1013" s="55"/>
      <c r="J1013" s="170"/>
      <c r="K1013" s="1"/>
      <c r="L1013" s="170"/>
      <c r="M1013" s="1"/>
      <c r="N1013" s="458"/>
      <c r="O1013" s="170"/>
      <c r="P1013" s="441"/>
      <c r="Q1013" s="55"/>
      <c r="R1013" s="177"/>
      <c r="S1013" s="454"/>
      <c r="T1013" s="178"/>
      <c r="U1013" s="178"/>
      <c r="V1013" s="179"/>
      <c r="W1013" s="180"/>
      <c r="X1013" s="179"/>
      <c r="Y1013" s="180"/>
      <c r="Z1013" s="178"/>
      <c r="AA1013" s="178"/>
      <c r="AB1013" s="178"/>
      <c r="AC1013" s="178"/>
      <c r="AD1013" s="182"/>
      <c r="AE1013" s="182"/>
      <c r="AF1013" s="182"/>
      <c r="AG1013" s="182"/>
      <c r="AH1013" s="401"/>
      <c r="AI1013" s="401"/>
      <c r="AJ1013" s="401"/>
      <c r="AK1013" s="401"/>
      <c r="AL1013" s="401"/>
      <c r="AM1013" s="189"/>
      <c r="AN1013" s="829"/>
      <c r="AO1013" s="830"/>
      <c r="AP1013" s="401"/>
      <c r="AQ1013" s="401"/>
      <c r="AR1013" s="401"/>
      <c r="AS1013" s="401"/>
      <c r="AT1013" s="403"/>
      <c r="AU1013" s="403"/>
      <c r="AV1013" s="170"/>
      <c r="AW1013" s="166"/>
      <c r="AX1013" s="166"/>
      <c r="AY1013" s="189"/>
      <c r="AZ1013" s="189"/>
      <c r="BA1013" s="196"/>
      <c r="BB1013" s="629"/>
      <c r="BC1013" s="190"/>
      <c r="BD1013" s="510"/>
      <c r="BE1013" s="510"/>
      <c r="BF1013" s="177"/>
      <c r="BG1013" s="177"/>
      <c r="BH1013" s="166"/>
      <c r="BI1013" s="474"/>
      <c r="BJ1013" s="166"/>
      <c r="BK1013" s="474"/>
      <c r="BL1013" s="474"/>
      <c r="BM1013" s="474"/>
      <c r="BN1013" s="166"/>
      <c r="BO1013" s="166"/>
      <c r="BP1013" s="204"/>
      <c r="BQ1013" s="475"/>
      <c r="BR1013" s="205"/>
      <c r="BS1013" s="509"/>
      <c r="BT1013" s="509"/>
      <c r="BU1013" s="459"/>
      <c r="BV1013" s="459"/>
      <c r="BW1013" s="1"/>
      <c r="BX1013" s="1"/>
      <c r="BY1013" s="546"/>
      <c r="BZ1013" s="546"/>
      <c r="CA1013" s="546"/>
      <c r="CB1013" s="546"/>
      <c r="CC1013" s="728"/>
      <c r="CD1013" s="728"/>
      <c r="CE1013" s="170"/>
    </row>
    <row r="1014" spans="1:84" customFormat="1">
      <c r="A1014" s="701"/>
      <c r="B1014" s="447"/>
      <c r="C1014" s="161"/>
      <c r="D1014" s="162"/>
      <c r="E1014" s="1"/>
      <c r="F1014" s="811"/>
      <c r="G1014" s="440"/>
      <c r="H1014" s="1"/>
      <c r="I1014" s="55"/>
      <c r="J1014" s="170"/>
      <c r="K1014" s="1"/>
      <c r="L1014" s="457"/>
      <c r="M1014" s="1"/>
      <c r="N1014" s="458"/>
      <c r="O1014" s="170"/>
      <c r="P1014" s="441"/>
      <c r="Q1014" s="55"/>
      <c r="R1014" s="177"/>
      <c r="S1014" s="454"/>
      <c r="T1014" s="178"/>
      <c r="U1014" s="178"/>
      <c r="V1014" s="179"/>
      <c r="W1014" s="180"/>
      <c r="X1014" s="179"/>
      <c r="Y1014" s="180"/>
      <c r="Z1014" s="178"/>
      <c r="AA1014" s="178"/>
      <c r="AB1014" s="178"/>
      <c r="AC1014" s="178"/>
      <c r="AD1014" s="182"/>
      <c r="AE1014" s="182"/>
      <c r="AF1014" s="182"/>
      <c r="AG1014" s="182"/>
      <c r="AH1014" s="401"/>
      <c r="AI1014" s="401"/>
      <c r="AJ1014" s="401"/>
      <c r="AK1014" s="401"/>
      <c r="AL1014" s="401"/>
      <c r="AM1014" s="189"/>
      <c r="AN1014" s="829"/>
      <c r="AO1014" s="830"/>
      <c r="AP1014" s="401"/>
      <c r="AQ1014" s="401"/>
      <c r="AR1014" s="401"/>
      <c r="AS1014" s="401"/>
      <c r="AT1014" s="403"/>
      <c r="AU1014" s="403"/>
      <c r="AV1014" s="170"/>
      <c r="AW1014" s="166"/>
      <c r="AX1014" s="166"/>
      <c r="AY1014" s="189"/>
      <c r="AZ1014" s="189"/>
      <c r="BA1014" s="196"/>
      <c r="BB1014" s="629"/>
      <c r="BC1014" s="190"/>
      <c r="BD1014" s="510"/>
      <c r="BE1014" s="510"/>
      <c r="BF1014" s="177"/>
      <c r="BG1014" s="177"/>
      <c r="BH1014" s="166"/>
      <c r="BI1014" s="474"/>
      <c r="BJ1014" s="166"/>
      <c r="BK1014" s="474"/>
      <c r="BL1014" s="474"/>
      <c r="BM1014" s="474"/>
      <c r="BN1014" s="166"/>
      <c r="BO1014" s="166"/>
      <c r="BP1014" s="204"/>
      <c r="BQ1014" s="475"/>
      <c r="BR1014" s="205"/>
      <c r="BS1014" s="509"/>
      <c r="BT1014" s="509"/>
      <c r="BU1014" s="459"/>
      <c r="BV1014" s="459"/>
      <c r="BW1014" s="1"/>
      <c r="BX1014" s="1"/>
      <c r="BY1014" s="546"/>
      <c r="BZ1014" s="546"/>
      <c r="CA1014" s="546"/>
      <c r="CB1014" s="546"/>
      <c r="CC1014" s="728"/>
      <c r="CD1014" s="728"/>
      <c r="CE1014" s="170"/>
    </row>
    <row r="1015" spans="1:84" customFormat="1">
      <c r="A1015" s="701"/>
      <c r="B1015" s="447"/>
      <c r="C1015" s="161"/>
      <c r="D1015" s="162"/>
      <c r="E1015" s="1"/>
      <c r="F1015" s="811"/>
      <c r="G1015" s="440"/>
      <c r="H1015" s="1"/>
      <c r="I1015" s="55"/>
      <c r="J1015" s="170"/>
      <c r="K1015" s="1"/>
      <c r="L1015" s="170"/>
      <c r="M1015" s="1"/>
      <c r="N1015" s="458"/>
      <c r="O1015" s="170"/>
      <c r="P1015" s="441"/>
      <c r="Q1015" s="55"/>
      <c r="R1015" s="177"/>
      <c r="S1015" s="454"/>
      <c r="T1015" s="178"/>
      <c r="U1015" s="178"/>
      <c r="V1015" s="179"/>
      <c r="W1015" s="180"/>
      <c r="X1015" s="179"/>
      <c r="Y1015" s="180"/>
      <c r="Z1015" s="178"/>
      <c r="AA1015" s="178"/>
      <c r="AB1015" s="178"/>
      <c r="AC1015" s="178"/>
      <c r="AD1015" s="182"/>
      <c r="AE1015" s="182"/>
      <c r="AF1015" s="182"/>
      <c r="AG1015" s="182"/>
      <c r="AH1015" s="401"/>
      <c r="AI1015" s="401"/>
      <c r="AJ1015" s="401"/>
      <c r="AK1015" s="401"/>
      <c r="AL1015" s="401"/>
      <c r="AM1015" s="189"/>
      <c r="AN1015" s="829"/>
      <c r="AO1015" s="830"/>
      <c r="AP1015" s="401"/>
      <c r="AQ1015" s="401"/>
      <c r="AR1015" s="401"/>
      <c r="AS1015" s="401"/>
      <c r="AT1015" s="403"/>
      <c r="AU1015" s="403"/>
      <c r="AV1015" s="170"/>
      <c r="AW1015" s="166"/>
      <c r="AX1015" s="166"/>
      <c r="AY1015" s="189"/>
      <c r="AZ1015" s="189"/>
      <c r="BA1015" s="196"/>
      <c r="BB1015" s="629"/>
      <c r="BC1015" s="190"/>
      <c r="BD1015" s="510"/>
      <c r="BE1015" s="510"/>
      <c r="BF1015" s="177"/>
      <c r="BG1015" s="177"/>
      <c r="BH1015" s="166"/>
      <c r="BI1015" s="474"/>
      <c r="BJ1015" s="166"/>
      <c r="BK1015" s="474"/>
      <c r="BL1015" s="474"/>
      <c r="BM1015" s="474"/>
      <c r="BN1015" s="166"/>
      <c r="BO1015" s="166"/>
      <c r="BP1015" s="204"/>
      <c r="BQ1015" s="475"/>
      <c r="BR1015" s="205"/>
      <c r="BS1015" s="509"/>
      <c r="BT1015" s="509"/>
      <c r="BU1015" s="459"/>
      <c r="BV1015" s="459"/>
      <c r="BW1015" s="1"/>
      <c r="BX1015" s="1"/>
      <c r="BY1015" s="546"/>
      <c r="BZ1015" s="546"/>
      <c r="CA1015" s="546"/>
      <c r="CB1015" s="546"/>
      <c r="CC1015" s="728"/>
      <c r="CD1015" s="728"/>
      <c r="CE1015" s="170"/>
    </row>
    <row r="1016" spans="1:84" customFormat="1">
      <c r="A1016" s="701"/>
      <c r="B1016" s="447"/>
      <c r="C1016" s="161"/>
      <c r="D1016" s="162"/>
      <c r="E1016" s="1"/>
      <c r="F1016" s="811"/>
      <c r="G1016" s="440"/>
      <c r="H1016" s="1"/>
      <c r="I1016" s="55"/>
      <c r="J1016" s="170"/>
      <c r="K1016" s="1"/>
      <c r="L1016" s="170"/>
      <c r="M1016" s="1"/>
      <c r="N1016" s="166"/>
      <c r="O1016" s="170"/>
      <c r="P1016" s="441"/>
      <c r="Q1016" s="55"/>
      <c r="R1016" s="177"/>
      <c r="S1016" s="454"/>
      <c r="T1016" s="178"/>
      <c r="U1016" s="178"/>
      <c r="V1016" s="179"/>
      <c r="W1016" s="180"/>
      <c r="X1016" s="179"/>
      <c r="Y1016" s="180"/>
      <c r="Z1016" s="178"/>
      <c r="AA1016" s="178"/>
      <c r="AB1016" s="178"/>
      <c r="AC1016" s="178"/>
      <c r="AD1016" s="182"/>
      <c r="AE1016" s="182"/>
      <c r="AF1016" s="182"/>
      <c r="AG1016" s="182"/>
      <c r="AH1016" s="401"/>
      <c r="AI1016" s="401"/>
      <c r="AJ1016" s="182"/>
      <c r="AK1016" s="401"/>
      <c r="AL1016" s="401"/>
      <c r="AM1016" s="189"/>
      <c r="AN1016" s="829"/>
      <c r="AO1016" s="830"/>
      <c r="AP1016" s="401"/>
      <c r="AQ1016" s="401"/>
      <c r="AR1016" s="401"/>
      <c r="AS1016" s="401"/>
      <c r="AT1016" s="403"/>
      <c r="AU1016" s="403"/>
      <c r="AV1016" s="170"/>
      <c r="AW1016" s="166"/>
      <c r="AX1016" s="166"/>
      <c r="AY1016" s="189"/>
      <c r="AZ1016" s="189"/>
      <c r="BA1016" s="196"/>
      <c r="BB1016" s="629"/>
      <c r="BC1016" s="190"/>
      <c r="BD1016" s="510"/>
      <c r="BE1016" s="510"/>
      <c r="BF1016" s="177"/>
      <c r="BG1016" s="177"/>
      <c r="BH1016" s="166"/>
      <c r="BI1016" s="474"/>
      <c r="BJ1016" s="166"/>
      <c r="BK1016" s="474"/>
      <c r="BL1016" s="474"/>
      <c r="BM1016" s="474"/>
      <c r="BN1016" s="166"/>
      <c r="BO1016" s="166"/>
      <c r="BP1016" s="204"/>
      <c r="BQ1016" s="475"/>
      <c r="BR1016" s="205"/>
      <c r="BS1016" s="509"/>
      <c r="BT1016" s="509"/>
      <c r="BU1016" s="459"/>
      <c r="BV1016" s="459"/>
      <c r="BW1016" s="1"/>
      <c r="BX1016" s="1"/>
      <c r="BY1016" s="546"/>
      <c r="BZ1016" s="546"/>
      <c r="CA1016" s="546"/>
      <c r="CB1016" s="546"/>
      <c r="CC1016" s="728"/>
      <c r="CD1016" s="728"/>
      <c r="CE1016" s="170"/>
    </row>
    <row r="1017" spans="1:84" customFormat="1">
      <c r="A1017" s="701"/>
      <c r="B1017" s="447"/>
      <c r="C1017" s="1"/>
      <c r="D1017" s="538"/>
      <c r="E1017" s="1"/>
      <c r="F1017" s="811"/>
      <c r="G1017" s="440"/>
      <c r="H1017" s="1"/>
      <c r="I1017" s="55"/>
      <c r="J1017" s="171"/>
      <c r="K1017" s="55"/>
      <c r="L1017" s="171"/>
      <c r="M1017" s="55"/>
      <c r="N1017" s="172"/>
      <c r="O1017" s="170"/>
      <c r="P1017" s="139"/>
      <c r="Q1017" s="172"/>
      <c r="R1017" s="181"/>
      <c r="S1017" s="455"/>
      <c r="T1017" s="170"/>
      <c r="U1017" s="170"/>
      <c r="V1017" s="1"/>
      <c r="W1017" s="173"/>
      <c r="X1017" s="1"/>
      <c r="Y1017" s="166"/>
      <c r="Z1017" s="170"/>
      <c r="AA1017" s="170"/>
      <c r="AB1017" s="170"/>
      <c r="AC1017" s="170"/>
      <c r="AD1017" s="182"/>
      <c r="AE1017" s="182"/>
      <c r="AF1017" s="182"/>
      <c r="AG1017" s="182"/>
      <c r="AH1017" s="189"/>
      <c r="AI1017" s="401"/>
      <c r="AJ1017" s="189"/>
      <c r="AK1017" s="401"/>
      <c r="AL1017" s="401"/>
      <c r="AM1017" s="189"/>
      <c r="AN1017" s="782"/>
      <c r="AO1017" s="189"/>
      <c r="AP1017" s="401"/>
      <c r="AQ1017" s="401"/>
      <c r="AR1017" s="401"/>
      <c r="AS1017" s="188"/>
      <c r="AT1017" s="1"/>
      <c r="AU1017" s="403"/>
      <c r="AV1017" s="1"/>
      <c r="AW1017" s="166"/>
      <c r="AX1017" s="166"/>
      <c r="AY1017" s="189"/>
      <c r="AZ1017" s="189"/>
      <c r="BA1017" s="196"/>
      <c r="BB1017" s="629"/>
      <c r="BC1017" s="197"/>
      <c r="BD1017" s="510"/>
      <c r="BE1017" s="510"/>
      <c r="BF1017" s="177"/>
      <c r="BG1017" s="177"/>
      <c r="BH1017" s="166"/>
      <c r="BI1017" s="474"/>
      <c r="BJ1017" s="166"/>
      <c r="BK1017" s="474"/>
      <c r="BL1017" s="474"/>
      <c r="BM1017" s="474"/>
      <c r="BN1017" s="166"/>
      <c r="BO1017" s="166"/>
      <c r="BP1017" s="204"/>
      <c r="BQ1017" s="475"/>
      <c r="BR1017" s="205"/>
      <c r="BS1017" s="509"/>
      <c r="BT1017" s="509"/>
      <c r="BU1017" s="459"/>
      <c r="BV1017" s="459"/>
      <c r="BW1017" s="1"/>
      <c r="BX1017" s="1"/>
      <c r="BY1017" s="546"/>
      <c r="BZ1017" s="546"/>
      <c r="CA1017" s="546"/>
      <c r="CB1017" s="546"/>
      <c r="CC1017" s="728"/>
      <c r="CD1017" s="728"/>
      <c r="CE1017" s="170"/>
    </row>
    <row r="1018" spans="1:84" customFormat="1">
      <c r="A1018" s="701"/>
      <c r="B1018" s="447"/>
      <c r="C1018" s="161"/>
      <c r="D1018" s="162"/>
      <c r="E1018" s="1"/>
      <c r="F1018" s="811"/>
      <c r="G1018" s="440"/>
      <c r="H1018" s="1"/>
      <c r="I1018" s="55"/>
      <c r="J1018" s="170"/>
      <c r="K1018" s="1"/>
      <c r="L1018" s="170"/>
      <c r="M1018" s="1"/>
      <c r="N1018" s="458"/>
      <c r="O1018" s="170"/>
      <c r="P1018" s="441"/>
      <c r="Q1018" s="55"/>
      <c r="R1018" s="177"/>
      <c r="S1018" s="454"/>
      <c r="T1018" s="178"/>
      <c r="U1018" s="178"/>
      <c r="V1018" s="179"/>
      <c r="W1018" s="180"/>
      <c r="X1018" s="179"/>
      <c r="Y1018" s="180"/>
      <c r="Z1018" s="178"/>
      <c r="AA1018" s="178"/>
      <c r="AB1018" s="178"/>
      <c r="AC1018" s="178"/>
      <c r="AD1018" s="182"/>
      <c r="AE1018" s="182"/>
      <c r="AF1018" s="182"/>
      <c r="AG1018" s="182"/>
      <c r="AH1018" s="401"/>
      <c r="AI1018" s="401"/>
      <c r="AJ1018" s="401"/>
      <c r="AK1018" s="401"/>
      <c r="AL1018" s="401"/>
      <c r="AM1018" s="189"/>
      <c r="AN1018" s="829"/>
      <c r="AO1018" s="830"/>
      <c r="AP1018" s="401"/>
      <c r="AQ1018" s="401"/>
      <c r="AR1018" s="401"/>
      <c r="AS1018" s="401"/>
      <c r="AT1018" s="403"/>
      <c r="AU1018" s="403"/>
      <c r="AV1018" s="170"/>
      <c r="AW1018" s="166"/>
      <c r="AX1018" s="166"/>
      <c r="AY1018" s="189"/>
      <c r="AZ1018" s="189"/>
      <c r="BA1018" s="196"/>
      <c r="BB1018" s="629"/>
      <c r="BC1018" s="190"/>
      <c r="BD1018" s="510"/>
      <c r="BE1018" s="510"/>
      <c r="BF1018" s="177"/>
      <c r="BG1018" s="177"/>
      <c r="BH1018" s="166"/>
      <c r="BI1018" s="474"/>
      <c r="BJ1018" s="166"/>
      <c r="BK1018" s="474"/>
      <c r="BL1018" s="474"/>
      <c r="BM1018" s="474"/>
      <c r="BN1018" s="166"/>
      <c r="BO1018" s="166"/>
      <c r="BP1018" s="204"/>
      <c r="BQ1018" s="475"/>
      <c r="BR1018" s="205"/>
      <c r="BS1018" s="509"/>
      <c r="BT1018" s="509"/>
      <c r="BU1018" s="459"/>
      <c r="BV1018" s="459"/>
      <c r="BW1018" s="1"/>
      <c r="BX1018" s="1"/>
      <c r="BY1018" s="546"/>
      <c r="BZ1018" s="546"/>
      <c r="CA1018" s="546"/>
      <c r="CB1018" s="546"/>
      <c r="CC1018" s="728"/>
      <c r="CD1018" s="728"/>
      <c r="CE1018" s="170"/>
    </row>
    <row r="1019" spans="1:84" customFormat="1">
      <c r="A1019" s="701"/>
      <c r="B1019" s="447"/>
      <c r="C1019" s="161"/>
      <c r="D1019" s="162"/>
      <c r="E1019" s="1"/>
      <c r="F1019" s="811"/>
      <c r="G1019" s="440"/>
      <c r="H1019" s="1"/>
      <c r="I1019" s="55"/>
      <c r="J1019" s="170"/>
      <c r="K1019" s="1"/>
      <c r="L1019" s="170"/>
      <c r="M1019" s="1"/>
      <c r="N1019" s="458"/>
      <c r="O1019" s="170"/>
      <c r="P1019" s="441"/>
      <c r="Q1019" s="55"/>
      <c r="R1019" s="177"/>
      <c r="S1019" s="454"/>
      <c r="T1019" s="178"/>
      <c r="U1019" s="178"/>
      <c r="V1019" s="179"/>
      <c r="W1019" s="180"/>
      <c r="X1019" s="179"/>
      <c r="Y1019" s="180"/>
      <c r="Z1019" s="178"/>
      <c r="AA1019" s="178"/>
      <c r="AB1019" s="178"/>
      <c r="AC1019" s="178"/>
      <c r="AD1019" s="182"/>
      <c r="AE1019" s="182"/>
      <c r="AF1019" s="182"/>
      <c r="AG1019" s="182"/>
      <c r="AH1019" s="401"/>
      <c r="AI1019" s="401"/>
      <c r="AJ1019" s="401"/>
      <c r="AK1019" s="401"/>
      <c r="AL1019" s="401"/>
      <c r="AM1019" s="189"/>
      <c r="AN1019" s="829"/>
      <c r="AO1019" s="830"/>
      <c r="AP1019" s="401"/>
      <c r="AQ1019" s="401"/>
      <c r="AR1019" s="401"/>
      <c r="AS1019" s="401"/>
      <c r="AT1019" s="403"/>
      <c r="AU1019" s="403"/>
      <c r="AV1019" s="170"/>
      <c r="AW1019" s="166"/>
      <c r="AX1019" s="166"/>
      <c r="AY1019" s="189"/>
      <c r="AZ1019" s="189"/>
      <c r="BA1019" s="196"/>
      <c r="BB1019" s="629"/>
      <c r="BC1019" s="190"/>
      <c r="BD1019" s="510"/>
      <c r="BE1019" s="510"/>
      <c r="BF1019" s="177"/>
      <c r="BG1019" s="177"/>
      <c r="BH1019" s="166"/>
      <c r="BI1019" s="474"/>
      <c r="BJ1019" s="166"/>
      <c r="BK1019" s="474"/>
      <c r="BL1019" s="474"/>
      <c r="BM1019" s="474"/>
      <c r="BN1019" s="166"/>
      <c r="BO1019" s="166"/>
      <c r="BP1019" s="204"/>
      <c r="BQ1019" s="475"/>
      <c r="BR1019" s="205"/>
      <c r="BS1019" s="509"/>
      <c r="BT1019" s="509"/>
      <c r="BU1019" s="459"/>
      <c r="BV1019" s="459"/>
      <c r="BW1019" s="1"/>
      <c r="BX1019" s="1"/>
      <c r="BY1019" s="546"/>
      <c r="BZ1019" s="546"/>
      <c r="CA1019" s="546"/>
      <c r="CB1019" s="546"/>
      <c r="CC1019" s="728"/>
      <c r="CD1019" s="728"/>
      <c r="CE1019" s="170"/>
    </row>
    <row r="1020" spans="1:84" customFormat="1">
      <c r="A1020" s="701"/>
      <c r="B1020" s="447"/>
      <c r="C1020" s="161"/>
      <c r="D1020" s="162"/>
      <c r="E1020" s="1"/>
      <c r="F1020" s="811"/>
      <c r="G1020" s="440"/>
      <c r="H1020" s="1"/>
      <c r="I1020" s="55"/>
      <c r="J1020" s="170"/>
      <c r="K1020" s="1"/>
      <c r="L1020" s="170"/>
      <c r="M1020" s="1"/>
      <c r="N1020" s="458"/>
      <c r="O1020" s="170"/>
      <c r="P1020" s="441"/>
      <c r="Q1020" s="55"/>
      <c r="R1020" s="177"/>
      <c r="S1020" s="454"/>
      <c r="T1020" s="178"/>
      <c r="U1020" s="178"/>
      <c r="V1020" s="179"/>
      <c r="W1020" s="180"/>
      <c r="X1020" s="179"/>
      <c r="Y1020" s="180"/>
      <c r="Z1020" s="178"/>
      <c r="AA1020" s="178"/>
      <c r="AB1020" s="178"/>
      <c r="AC1020" s="178"/>
      <c r="AD1020" s="182"/>
      <c r="AE1020" s="182"/>
      <c r="AF1020" s="182"/>
      <c r="AG1020" s="182"/>
      <c r="AH1020" s="401"/>
      <c r="AI1020" s="401"/>
      <c r="AJ1020" s="401"/>
      <c r="AK1020" s="401"/>
      <c r="AL1020" s="401"/>
      <c r="AM1020" s="189"/>
      <c r="AN1020" s="829"/>
      <c r="AO1020" s="830"/>
      <c r="AP1020" s="401"/>
      <c r="AQ1020" s="401"/>
      <c r="AR1020" s="401"/>
      <c r="AS1020" s="401"/>
      <c r="AT1020" s="403"/>
      <c r="AU1020" s="403"/>
      <c r="AV1020" s="170"/>
      <c r="AW1020" s="166"/>
      <c r="AX1020" s="166"/>
      <c r="AY1020" s="189"/>
      <c r="AZ1020" s="189"/>
      <c r="BA1020" s="196"/>
      <c r="BB1020" s="629"/>
      <c r="BC1020" s="190"/>
      <c r="BD1020" s="510"/>
      <c r="BE1020" s="510"/>
      <c r="BF1020" s="177"/>
      <c r="BG1020" s="177"/>
      <c r="BH1020" s="166"/>
      <c r="BI1020" s="474"/>
      <c r="BJ1020" s="166"/>
      <c r="BK1020" s="474"/>
      <c r="BL1020" s="474"/>
      <c r="BM1020" s="474"/>
      <c r="BN1020" s="166"/>
      <c r="BO1020" s="166"/>
      <c r="BP1020" s="204"/>
      <c r="BQ1020" s="475"/>
      <c r="BR1020" s="205"/>
      <c r="BS1020" s="509"/>
      <c r="BT1020" s="509"/>
      <c r="BU1020" s="459"/>
      <c r="BV1020" s="459"/>
      <c r="BW1020" s="1"/>
      <c r="BX1020" s="1"/>
      <c r="BY1020" s="546"/>
      <c r="BZ1020" s="546"/>
      <c r="CA1020" s="546"/>
      <c r="CB1020" s="546"/>
      <c r="CC1020" s="728"/>
      <c r="CD1020" s="728"/>
      <c r="CE1020" s="170"/>
    </row>
    <row r="1021" spans="1:84">
      <c r="A1021" s="701"/>
      <c r="C1021" s="1"/>
      <c r="D1021" s="538"/>
      <c r="E1021" s="1"/>
      <c r="F1021" s="811"/>
      <c r="G1021" s="440"/>
      <c r="H1021" s="371"/>
      <c r="I1021" s="55"/>
      <c r="J1021" s="370"/>
      <c r="K1021" s="55"/>
      <c r="L1021" s="370"/>
      <c r="M1021" s="55"/>
      <c r="N1021" s="452"/>
      <c r="O1021" s="170"/>
      <c r="P1021" s="139"/>
      <c r="Q1021" s="369"/>
      <c r="R1021" s="181"/>
      <c r="S1021" s="455"/>
      <c r="T1021" s="170"/>
      <c r="U1021" s="170"/>
      <c r="V1021" s="1"/>
      <c r="W1021" s="173"/>
      <c r="X1021" s="1"/>
      <c r="Y1021" s="166"/>
      <c r="Z1021" s="170"/>
      <c r="AA1021" s="170"/>
      <c r="AB1021" s="170"/>
      <c r="AC1021" s="170"/>
      <c r="AD1021" s="182"/>
      <c r="AE1021" s="182"/>
      <c r="AF1021" s="182"/>
      <c r="AG1021" s="182"/>
      <c r="AH1021" s="189"/>
      <c r="AI1021" s="401"/>
      <c r="AJ1021" s="189"/>
      <c r="AK1021" s="401"/>
      <c r="AL1021" s="401"/>
      <c r="AM1021" s="189"/>
      <c r="AN1021" s="782"/>
      <c r="AO1021" s="189"/>
      <c r="AP1021" s="401"/>
      <c r="AQ1021" s="401"/>
      <c r="AR1021" s="401"/>
      <c r="AS1021" s="188"/>
      <c r="AT1021" s="1"/>
      <c r="AU1021" s="403"/>
      <c r="AV1021" s="1"/>
      <c r="AW1021" s="166"/>
      <c r="AX1021" s="166"/>
      <c r="AY1021" s="189"/>
      <c r="AZ1021" s="189"/>
      <c r="BA1021" s="196"/>
      <c r="BB1021" s="629"/>
      <c r="BC1021" s="197"/>
      <c r="BD1021" s="510"/>
      <c r="BE1021" s="510"/>
      <c r="BF1021" s="177"/>
      <c r="BG1021" s="177"/>
      <c r="BH1021" s="166"/>
      <c r="BI1021" s="474"/>
      <c r="BJ1021" s="166"/>
      <c r="BK1021" s="474"/>
      <c r="BL1021" s="474"/>
      <c r="BM1021" s="474"/>
      <c r="BN1021" s="166"/>
      <c r="BO1021" s="166"/>
      <c r="BP1021" s="204"/>
      <c r="BQ1021" s="475"/>
      <c r="BR1021" s="205"/>
      <c r="BS1021" s="509"/>
      <c r="BT1021" s="509"/>
      <c r="BU1021" s="459"/>
      <c r="BV1021" s="459"/>
      <c r="BW1021" s="1"/>
      <c r="BX1021" s="1"/>
      <c r="BY1021" s="1"/>
      <c r="BZ1021" s="1"/>
      <c r="CE1021" s="170"/>
      <c r="CF1021"/>
    </row>
    <row r="1022" spans="1:84">
      <c r="A1022" s="701"/>
      <c r="C1022" s="161"/>
      <c r="D1022" s="162"/>
      <c r="E1022" s="1"/>
      <c r="F1022" s="811"/>
      <c r="G1022" s="440"/>
      <c r="H1022" s="1"/>
      <c r="I1022" s="55"/>
      <c r="J1022" s="170"/>
      <c r="K1022" s="1"/>
      <c r="L1022" s="171"/>
      <c r="M1022" s="1"/>
      <c r="N1022" s="458"/>
      <c r="O1022" s="170"/>
      <c r="P1022" s="441"/>
      <c r="Q1022" s="55"/>
      <c r="R1022" s="177"/>
      <c r="S1022" s="454"/>
      <c r="T1022" s="178"/>
      <c r="U1022" s="178"/>
      <c r="V1022" s="179"/>
      <c r="W1022" s="180"/>
      <c r="X1022" s="179"/>
      <c r="Y1022" s="180"/>
      <c r="Z1022" s="178"/>
      <c r="AA1022" s="178"/>
      <c r="AB1022" s="178"/>
      <c r="AC1022" s="178"/>
      <c r="AD1022" s="182"/>
      <c r="AE1022" s="182"/>
      <c r="AF1022" s="182"/>
      <c r="AG1022" s="182"/>
      <c r="AH1022" s="401"/>
      <c r="AI1022" s="401"/>
      <c r="AJ1022" s="401"/>
      <c r="AK1022" s="401"/>
      <c r="AL1022" s="401"/>
      <c r="AM1022" s="189"/>
      <c r="AN1022" s="829"/>
      <c r="AO1022" s="830"/>
      <c r="AP1022" s="401"/>
      <c r="AQ1022" s="401"/>
      <c r="AR1022" s="401"/>
      <c r="AS1022" s="401"/>
      <c r="AT1022" s="403"/>
      <c r="AU1022" s="403"/>
      <c r="AV1022" s="170"/>
      <c r="AW1022" s="166"/>
      <c r="AX1022" s="166"/>
      <c r="AY1022" s="189"/>
      <c r="AZ1022" s="189"/>
      <c r="BA1022" s="196"/>
      <c r="BB1022" s="629"/>
      <c r="BC1022" s="190"/>
      <c r="BD1022" s="510"/>
      <c r="BE1022" s="510"/>
      <c r="BF1022" s="177"/>
      <c r="BG1022" s="177"/>
      <c r="BH1022" s="166"/>
      <c r="BI1022" s="474"/>
      <c r="BJ1022" s="166"/>
      <c r="BK1022" s="474"/>
      <c r="BL1022" s="474"/>
      <c r="BM1022" s="474"/>
      <c r="BN1022" s="166"/>
      <c r="BO1022" s="166"/>
      <c r="BP1022" s="204"/>
      <c r="BQ1022" s="475"/>
      <c r="BR1022" s="205"/>
      <c r="BS1022" s="509"/>
      <c r="BT1022" s="509"/>
      <c r="BU1022" s="459"/>
      <c r="BV1022" s="459"/>
      <c r="BW1022" s="1"/>
      <c r="BX1022" s="1"/>
      <c r="BY1022" s="1"/>
      <c r="BZ1022" s="1"/>
      <c r="CE1022" s="170"/>
      <c r="CF1022"/>
    </row>
    <row r="1023" spans="1:84">
      <c r="A1023" s="701"/>
      <c r="C1023" s="161"/>
      <c r="D1023" s="162"/>
      <c r="E1023" s="1"/>
      <c r="F1023" s="811"/>
      <c r="G1023" s="440"/>
      <c r="H1023" s="1"/>
      <c r="I1023" s="55"/>
      <c r="J1023" s="170"/>
      <c r="K1023" s="1"/>
      <c r="L1023" s="457"/>
      <c r="M1023" s="1"/>
      <c r="N1023" s="458"/>
      <c r="O1023" s="170"/>
      <c r="P1023" s="441"/>
      <c r="Q1023" s="55"/>
      <c r="R1023" s="177"/>
      <c r="S1023" s="454"/>
      <c r="T1023" s="178"/>
      <c r="U1023" s="178"/>
      <c r="V1023" s="179"/>
      <c r="W1023" s="180"/>
      <c r="X1023" s="179"/>
      <c r="Y1023" s="180"/>
      <c r="Z1023" s="178"/>
      <c r="AA1023" s="178"/>
      <c r="AB1023" s="178"/>
      <c r="AC1023" s="178"/>
      <c r="AD1023" s="182"/>
      <c r="AE1023" s="182"/>
      <c r="AF1023" s="182"/>
      <c r="AG1023" s="182"/>
      <c r="AH1023" s="401"/>
      <c r="AI1023" s="401"/>
      <c r="AJ1023" s="401"/>
      <c r="AK1023" s="401"/>
      <c r="AL1023" s="401"/>
      <c r="AM1023" s="189"/>
      <c r="AN1023" s="829"/>
      <c r="AO1023" s="830"/>
      <c r="AP1023" s="401"/>
      <c r="AQ1023" s="401"/>
      <c r="AR1023" s="401"/>
      <c r="AS1023" s="401"/>
      <c r="AT1023" s="403"/>
      <c r="AU1023" s="403"/>
      <c r="AV1023" s="170"/>
      <c r="AW1023" s="166"/>
      <c r="AX1023" s="166"/>
      <c r="AY1023" s="189"/>
      <c r="AZ1023" s="189"/>
      <c r="BA1023" s="196"/>
      <c r="BB1023" s="629"/>
      <c r="BC1023" s="190"/>
      <c r="BD1023" s="510"/>
      <c r="BE1023" s="510"/>
      <c r="BF1023" s="177"/>
      <c r="BG1023" s="177"/>
      <c r="BH1023" s="166"/>
      <c r="BI1023" s="474"/>
      <c r="BJ1023" s="166"/>
      <c r="BK1023" s="474"/>
      <c r="BL1023" s="474"/>
      <c r="BM1023" s="474"/>
      <c r="BN1023" s="166"/>
      <c r="BO1023" s="166"/>
      <c r="BP1023" s="204"/>
      <c r="BQ1023" s="475"/>
      <c r="BR1023" s="205"/>
      <c r="BS1023" s="509"/>
      <c r="BT1023" s="509"/>
      <c r="BU1023" s="459"/>
      <c r="BV1023" s="459"/>
      <c r="BW1023" s="1"/>
      <c r="BX1023" s="1"/>
      <c r="BY1023" s="1"/>
      <c r="BZ1023" s="1"/>
      <c r="CE1023" s="170"/>
      <c r="CF1023"/>
    </row>
    <row r="1024" spans="1:84">
      <c r="A1024" s="701"/>
      <c r="C1024" s="161"/>
      <c r="D1024" s="162"/>
      <c r="E1024" s="1"/>
      <c r="F1024" s="811"/>
      <c r="G1024" s="440"/>
      <c r="H1024" s="1"/>
      <c r="I1024" s="55"/>
      <c r="J1024" s="170"/>
      <c r="K1024" s="1"/>
      <c r="L1024" s="170"/>
      <c r="M1024" s="1"/>
      <c r="N1024" s="458"/>
      <c r="O1024" s="170"/>
      <c r="P1024" s="441"/>
      <c r="Q1024" s="55"/>
      <c r="R1024" s="177"/>
      <c r="S1024" s="454"/>
      <c r="T1024" s="178"/>
      <c r="U1024" s="178"/>
      <c r="V1024" s="179"/>
      <c r="W1024" s="180"/>
      <c r="X1024" s="179"/>
      <c r="Y1024" s="180"/>
      <c r="Z1024" s="178"/>
      <c r="AA1024" s="178"/>
      <c r="AB1024" s="178"/>
      <c r="AC1024" s="178"/>
      <c r="AD1024" s="182"/>
      <c r="AE1024" s="182"/>
      <c r="AF1024" s="182"/>
      <c r="AG1024" s="182"/>
      <c r="AH1024" s="401"/>
      <c r="AI1024" s="401"/>
      <c r="AJ1024" s="401"/>
      <c r="AK1024" s="401"/>
      <c r="AL1024" s="401"/>
      <c r="AM1024" s="189"/>
      <c r="AN1024" s="829"/>
      <c r="AO1024" s="830"/>
      <c r="AP1024" s="401"/>
      <c r="AQ1024" s="401"/>
      <c r="AR1024" s="401"/>
      <c r="AS1024" s="401"/>
      <c r="AT1024" s="403"/>
      <c r="AU1024" s="403"/>
      <c r="AV1024" s="170"/>
      <c r="AW1024" s="166"/>
      <c r="AX1024" s="166"/>
      <c r="AY1024" s="189"/>
      <c r="AZ1024" s="189"/>
      <c r="BA1024" s="196"/>
      <c r="BB1024" s="629"/>
      <c r="BC1024" s="190"/>
      <c r="BD1024" s="510"/>
      <c r="BE1024" s="510"/>
      <c r="BF1024" s="177"/>
      <c r="BG1024" s="177"/>
      <c r="BH1024" s="166"/>
      <c r="BI1024" s="474"/>
      <c r="BJ1024" s="166"/>
      <c r="BK1024" s="474"/>
      <c r="BL1024" s="474"/>
      <c r="BM1024" s="474"/>
      <c r="BN1024" s="166"/>
      <c r="BO1024" s="166"/>
      <c r="BP1024" s="204"/>
      <c r="BQ1024" s="475"/>
      <c r="BR1024" s="205"/>
      <c r="BS1024" s="509"/>
      <c r="BT1024" s="509"/>
      <c r="BU1024" s="459"/>
      <c r="BV1024" s="459"/>
      <c r="BW1024" s="1"/>
      <c r="BX1024" s="1"/>
      <c r="BY1024" s="1"/>
      <c r="BZ1024" s="1"/>
      <c r="CE1024" s="170"/>
      <c r="CF1024"/>
    </row>
    <row r="1025" spans="1:84">
      <c r="A1025" s="701"/>
      <c r="C1025" s="161"/>
      <c r="D1025" s="162"/>
      <c r="E1025" s="1"/>
      <c r="F1025" s="811"/>
      <c r="G1025" s="440"/>
      <c r="H1025" s="1"/>
      <c r="I1025" s="55"/>
      <c r="J1025" s="170"/>
      <c r="K1025" s="1"/>
      <c r="L1025" s="170"/>
      <c r="M1025" s="1"/>
      <c r="N1025" s="458"/>
      <c r="O1025" s="170"/>
      <c r="P1025" s="441"/>
      <c r="Q1025" s="55"/>
      <c r="R1025" s="177"/>
      <c r="S1025" s="454"/>
      <c r="T1025" s="178"/>
      <c r="U1025" s="178"/>
      <c r="V1025" s="179"/>
      <c r="W1025" s="180"/>
      <c r="X1025" s="179"/>
      <c r="Y1025" s="180"/>
      <c r="Z1025" s="178"/>
      <c r="AA1025" s="178"/>
      <c r="AB1025" s="178"/>
      <c r="AC1025" s="178"/>
      <c r="AD1025" s="182"/>
      <c r="AE1025" s="182"/>
      <c r="AF1025" s="182"/>
      <c r="AG1025" s="182"/>
      <c r="AH1025" s="401"/>
      <c r="AI1025" s="401"/>
      <c r="AJ1025" s="401"/>
      <c r="AK1025" s="401"/>
      <c r="AL1025" s="401"/>
      <c r="AM1025" s="189"/>
      <c r="AN1025" s="829"/>
      <c r="AO1025" s="830"/>
      <c r="AP1025" s="401"/>
      <c r="AQ1025" s="401"/>
      <c r="AR1025" s="401"/>
      <c r="AS1025" s="401"/>
      <c r="AT1025" s="403"/>
      <c r="AU1025" s="403"/>
      <c r="AV1025" s="170"/>
      <c r="AW1025" s="166"/>
      <c r="AX1025" s="166"/>
      <c r="AY1025" s="189"/>
      <c r="AZ1025" s="189"/>
      <c r="BA1025" s="196"/>
      <c r="BB1025" s="629"/>
      <c r="BC1025" s="190"/>
      <c r="BD1025" s="510"/>
      <c r="BE1025" s="510"/>
      <c r="BF1025" s="177"/>
      <c r="BG1025" s="177"/>
      <c r="BH1025" s="166"/>
      <c r="BI1025" s="474"/>
      <c r="BJ1025" s="166"/>
      <c r="BK1025" s="474"/>
      <c r="BL1025" s="474"/>
      <c r="BM1025" s="474"/>
      <c r="BN1025" s="166"/>
      <c r="BO1025" s="166"/>
      <c r="BP1025" s="204"/>
      <c r="BQ1025" s="475"/>
      <c r="BR1025" s="205"/>
      <c r="BS1025" s="509"/>
      <c r="BT1025" s="509"/>
      <c r="BU1025" s="459"/>
      <c r="BV1025" s="459"/>
      <c r="BW1025" s="1"/>
      <c r="BX1025" s="1"/>
      <c r="BY1025" s="1"/>
      <c r="BZ1025" s="1"/>
      <c r="CE1025" s="170"/>
      <c r="CF1025"/>
    </row>
    <row r="1026" spans="1:84">
      <c r="A1026" s="701"/>
      <c r="C1026" s="161"/>
      <c r="D1026" s="162"/>
      <c r="E1026" s="1"/>
      <c r="F1026" s="811"/>
      <c r="G1026" s="440"/>
      <c r="H1026" s="1"/>
      <c r="I1026" s="55"/>
      <c r="J1026" s="170"/>
      <c r="K1026" s="1"/>
      <c r="L1026" s="170"/>
      <c r="M1026" s="1"/>
      <c r="N1026" s="458"/>
      <c r="O1026" s="170"/>
      <c r="P1026" s="441"/>
      <c r="Q1026" s="55"/>
      <c r="R1026" s="177"/>
      <c r="S1026" s="454"/>
      <c r="T1026" s="178"/>
      <c r="U1026" s="178"/>
      <c r="V1026" s="179"/>
      <c r="W1026" s="180"/>
      <c r="X1026" s="179"/>
      <c r="Y1026" s="180"/>
      <c r="Z1026" s="178"/>
      <c r="AA1026" s="178"/>
      <c r="AB1026" s="178"/>
      <c r="AC1026" s="178"/>
      <c r="AD1026" s="182"/>
      <c r="AE1026" s="182"/>
      <c r="AF1026" s="182"/>
      <c r="AG1026" s="182"/>
      <c r="AH1026" s="401"/>
      <c r="AI1026" s="401"/>
      <c r="AJ1026" s="401"/>
      <c r="AK1026" s="401"/>
      <c r="AL1026" s="401"/>
      <c r="AM1026" s="189"/>
      <c r="AN1026" s="829"/>
      <c r="AO1026" s="830"/>
      <c r="AP1026" s="401"/>
      <c r="AQ1026" s="401"/>
      <c r="AR1026" s="401"/>
      <c r="AS1026" s="401"/>
      <c r="AT1026" s="403"/>
      <c r="AU1026" s="403"/>
      <c r="AV1026" s="170"/>
      <c r="AW1026" s="166"/>
      <c r="AX1026" s="166"/>
      <c r="AY1026" s="189"/>
      <c r="AZ1026" s="189"/>
      <c r="BA1026" s="196"/>
      <c r="BB1026" s="629"/>
      <c r="BC1026" s="190"/>
      <c r="BD1026" s="510"/>
      <c r="BE1026" s="510"/>
      <c r="BF1026" s="177"/>
      <c r="BG1026" s="177"/>
      <c r="BH1026" s="166"/>
      <c r="BI1026" s="474"/>
      <c r="BJ1026" s="166"/>
      <c r="BK1026" s="474"/>
      <c r="BL1026" s="474"/>
      <c r="BM1026" s="474"/>
      <c r="BN1026" s="166"/>
      <c r="BO1026" s="166"/>
      <c r="BP1026" s="204"/>
      <c r="BQ1026" s="475"/>
      <c r="BR1026" s="205"/>
      <c r="BS1026" s="509"/>
      <c r="BT1026" s="509"/>
      <c r="BU1026" s="459"/>
      <c r="BV1026" s="459"/>
      <c r="BW1026" s="1"/>
      <c r="BX1026" s="1"/>
      <c r="BY1026" s="1"/>
      <c r="BZ1026" s="1"/>
      <c r="CE1026" s="170"/>
      <c r="CF1026"/>
    </row>
    <row r="1027" spans="1:84" customFormat="1">
      <c r="A1027" s="701"/>
      <c r="B1027" s="447"/>
      <c r="C1027" s="161"/>
      <c r="D1027" s="162"/>
      <c r="E1027" s="1"/>
      <c r="F1027" s="811"/>
      <c r="G1027" s="440"/>
      <c r="H1027" s="1"/>
      <c r="I1027" s="55"/>
      <c r="J1027" s="170"/>
      <c r="K1027" s="1"/>
      <c r="L1027" s="170"/>
      <c r="M1027" s="1"/>
      <c r="N1027" s="458"/>
      <c r="O1027" s="170"/>
      <c r="P1027" s="441"/>
      <c r="Q1027" s="55"/>
      <c r="R1027" s="177"/>
      <c r="S1027" s="454"/>
      <c r="T1027" s="178"/>
      <c r="U1027" s="178"/>
      <c r="V1027" s="179"/>
      <c r="W1027" s="180"/>
      <c r="X1027" s="179"/>
      <c r="Y1027" s="180"/>
      <c r="Z1027" s="178"/>
      <c r="AA1027" s="178"/>
      <c r="AB1027" s="178"/>
      <c r="AC1027" s="178"/>
      <c r="AD1027" s="182"/>
      <c r="AE1027" s="182"/>
      <c r="AF1027" s="182"/>
      <c r="AG1027" s="182"/>
      <c r="AH1027" s="401"/>
      <c r="AI1027" s="401"/>
      <c r="AJ1027" s="401"/>
      <c r="AK1027" s="401"/>
      <c r="AL1027" s="401"/>
      <c r="AM1027" s="189"/>
      <c r="AN1027" s="829"/>
      <c r="AO1027" s="830"/>
      <c r="AP1027" s="401"/>
      <c r="AQ1027" s="401"/>
      <c r="AR1027" s="401"/>
      <c r="AS1027" s="401"/>
      <c r="AT1027" s="403"/>
      <c r="AU1027" s="403"/>
      <c r="AV1027" s="170"/>
      <c r="AW1027" s="166"/>
      <c r="AX1027" s="166"/>
      <c r="AY1027" s="189"/>
      <c r="AZ1027" s="189"/>
      <c r="BA1027" s="190"/>
      <c r="BB1027" s="629"/>
      <c r="BC1027" s="190"/>
      <c r="BD1027" s="510"/>
      <c r="BE1027" s="510"/>
      <c r="BF1027" s="177"/>
      <c r="BG1027" s="177"/>
      <c r="BH1027" s="166"/>
      <c r="BI1027" s="474"/>
      <c r="BJ1027" s="166"/>
      <c r="BK1027" s="474"/>
      <c r="BL1027" s="474"/>
      <c r="BM1027" s="474"/>
      <c r="BN1027" s="166"/>
      <c r="BO1027" s="166"/>
      <c r="BP1027" s="204"/>
      <c r="BQ1027" s="475"/>
      <c r="BR1027" s="205"/>
      <c r="BS1027" s="509"/>
      <c r="BT1027" s="509"/>
      <c r="BU1027" s="459"/>
      <c r="BV1027" s="459"/>
      <c r="BW1027" s="1"/>
      <c r="BX1027" s="1"/>
      <c r="BY1027" s="1"/>
      <c r="BZ1027" s="1"/>
      <c r="CA1027" s="1"/>
      <c r="CB1027" s="1"/>
      <c r="CC1027" s="728"/>
      <c r="CD1027" s="728"/>
      <c r="CE1027" s="1"/>
    </row>
    <row r="1028" spans="1:84" customFormat="1">
      <c r="A1028" s="701"/>
      <c r="B1028" s="447"/>
      <c r="C1028" s="161"/>
      <c r="D1028" s="162"/>
      <c r="E1028" s="1"/>
      <c r="F1028" s="811"/>
      <c r="G1028" s="440"/>
      <c r="H1028" s="1"/>
      <c r="I1028" s="55"/>
      <c r="J1028" s="170"/>
      <c r="K1028" s="1"/>
      <c r="L1028" s="170"/>
      <c r="M1028" s="1"/>
      <c r="N1028" s="458"/>
      <c r="O1028" s="170"/>
      <c r="P1028" s="441"/>
      <c r="Q1028" s="55"/>
      <c r="R1028" s="177"/>
      <c r="S1028" s="454"/>
      <c r="T1028" s="178"/>
      <c r="U1028" s="178"/>
      <c r="V1028" s="179"/>
      <c r="W1028" s="180"/>
      <c r="X1028" s="179"/>
      <c r="Y1028" s="180"/>
      <c r="Z1028" s="178"/>
      <c r="AA1028" s="178"/>
      <c r="AB1028" s="178"/>
      <c r="AC1028" s="178"/>
      <c r="AD1028" s="182"/>
      <c r="AE1028" s="182"/>
      <c r="AF1028" s="182"/>
      <c r="AG1028" s="182"/>
      <c r="AH1028" s="401"/>
      <c r="AI1028" s="401"/>
      <c r="AJ1028" s="401"/>
      <c r="AK1028" s="401"/>
      <c r="AL1028" s="401"/>
      <c r="AM1028" s="189"/>
      <c r="AN1028" s="829"/>
      <c r="AO1028" s="830"/>
      <c r="AP1028" s="401"/>
      <c r="AQ1028" s="401"/>
      <c r="AR1028" s="401"/>
      <c r="AS1028" s="401"/>
      <c r="AT1028" s="403"/>
      <c r="AU1028" s="403"/>
      <c r="AV1028" s="170"/>
      <c r="AW1028" s="166"/>
      <c r="AX1028" s="166"/>
      <c r="AY1028" s="189"/>
      <c r="AZ1028" s="189"/>
      <c r="BA1028" s="190"/>
      <c r="BB1028" s="629"/>
      <c r="BC1028" s="190"/>
      <c r="BD1028" s="510"/>
      <c r="BE1028" s="510"/>
      <c r="BF1028" s="177"/>
      <c r="BG1028" s="177"/>
      <c r="BH1028" s="166"/>
      <c r="BI1028" s="474"/>
      <c r="BJ1028" s="166"/>
      <c r="BK1028" s="474"/>
      <c r="BL1028" s="474"/>
      <c r="BM1028" s="474"/>
      <c r="BN1028" s="166"/>
      <c r="BO1028" s="166"/>
      <c r="BP1028" s="204"/>
      <c r="BQ1028" s="475"/>
      <c r="BR1028" s="205"/>
      <c r="BS1028" s="509"/>
      <c r="BT1028" s="509"/>
      <c r="BU1028" s="459"/>
      <c r="BV1028" s="459"/>
      <c r="BW1028" s="1"/>
      <c r="BX1028" s="1"/>
      <c r="BY1028" s="1"/>
      <c r="BZ1028" s="1"/>
      <c r="CA1028" s="1"/>
      <c r="CB1028" s="1"/>
      <c r="CC1028" s="728"/>
      <c r="CD1028" s="728"/>
      <c r="CE1028" s="1"/>
    </row>
    <row r="1029" spans="1:84" customFormat="1">
      <c r="A1029" s="701"/>
      <c r="B1029" s="447"/>
      <c r="C1029" s="1"/>
      <c r="D1029" s="538"/>
      <c r="E1029" s="1"/>
      <c r="F1029" s="811"/>
      <c r="G1029" s="440"/>
      <c r="H1029" s="1"/>
      <c r="J1029" s="171"/>
      <c r="K1029" s="55"/>
      <c r="L1029" s="171"/>
      <c r="M1029" s="55"/>
      <c r="N1029" s="172"/>
      <c r="O1029" s="170"/>
      <c r="P1029" s="139"/>
      <c r="Q1029" s="171"/>
      <c r="R1029" s="181"/>
      <c r="S1029" s="455"/>
      <c r="T1029" s="170"/>
      <c r="U1029" s="170"/>
      <c r="V1029" s="1"/>
      <c r="W1029" s="173"/>
      <c r="X1029" s="1"/>
      <c r="Y1029" s="166"/>
      <c r="Z1029" s="170"/>
      <c r="AA1029" s="170"/>
      <c r="AB1029" s="170"/>
      <c r="AC1029" s="170"/>
      <c r="AD1029" s="182"/>
      <c r="AE1029" s="182"/>
      <c r="AF1029" s="182"/>
      <c r="AG1029" s="182"/>
      <c r="AH1029" s="189"/>
      <c r="AI1029" s="401"/>
      <c r="AJ1029" s="189"/>
      <c r="AK1029" s="401"/>
      <c r="AL1029" s="401"/>
      <c r="AM1029" s="189"/>
      <c r="AN1029" s="782"/>
      <c r="AO1029" s="189"/>
      <c r="AP1029" s="401"/>
      <c r="AQ1029" s="401"/>
      <c r="AR1029" s="401"/>
      <c r="AS1029" s="188"/>
      <c r="AT1029" s="1"/>
      <c r="AU1029" s="403"/>
      <c r="AV1029" s="1"/>
      <c r="AW1029" s="166"/>
      <c r="AX1029" s="166"/>
      <c r="AY1029" s="189"/>
      <c r="AZ1029" s="189"/>
      <c r="BA1029" s="196"/>
      <c r="BB1029" s="629"/>
      <c r="BC1029" s="197"/>
      <c r="BD1029" s="510"/>
      <c r="BE1029" s="510"/>
      <c r="BF1029" s="177"/>
      <c r="BG1029" s="177"/>
      <c r="BH1029" s="166"/>
      <c r="BI1029" s="474"/>
      <c r="BJ1029" s="166"/>
      <c r="BK1029" s="474"/>
      <c r="BL1029" s="474"/>
      <c r="BM1029" s="474"/>
      <c r="BN1029" s="166"/>
      <c r="BO1029" s="166"/>
      <c r="BP1029" s="204"/>
      <c r="BQ1029" s="475"/>
      <c r="BR1029" s="205"/>
      <c r="BS1029" s="509"/>
      <c r="BT1029" s="509"/>
      <c r="BU1029" s="459"/>
      <c r="BV1029" s="459"/>
      <c r="BW1029" s="1"/>
      <c r="BX1029" s="1"/>
      <c r="BY1029" s="546"/>
      <c r="BZ1029" s="546"/>
      <c r="CA1029" s="546"/>
      <c r="CB1029" s="546"/>
      <c r="CC1029" s="728"/>
      <c r="CD1029" s="728"/>
      <c r="CE1029" s="170"/>
    </row>
    <row r="1030" spans="1:84" customFormat="1">
      <c r="A1030" s="701"/>
      <c r="B1030" s="447"/>
      <c r="C1030" s="161"/>
      <c r="D1030" s="162"/>
      <c r="E1030" s="1"/>
      <c r="F1030" s="811"/>
      <c r="G1030" s="440"/>
      <c r="H1030" s="1"/>
      <c r="I1030" s="55"/>
      <c r="J1030" s="170"/>
      <c r="K1030" s="1"/>
      <c r="L1030" s="170"/>
      <c r="M1030" s="1"/>
      <c r="N1030" s="458"/>
      <c r="O1030" s="170"/>
      <c r="P1030" s="441"/>
      <c r="Q1030" s="55"/>
      <c r="R1030" s="177"/>
      <c r="S1030" s="454"/>
      <c r="T1030" s="178"/>
      <c r="U1030" s="178"/>
      <c r="V1030" s="179"/>
      <c r="W1030" s="180"/>
      <c r="X1030" s="179"/>
      <c r="Y1030" s="180"/>
      <c r="Z1030" s="178"/>
      <c r="AA1030" s="178"/>
      <c r="AB1030" s="178"/>
      <c r="AC1030" s="178"/>
      <c r="AD1030" s="182"/>
      <c r="AE1030" s="182"/>
      <c r="AF1030" s="182"/>
      <c r="AG1030" s="182"/>
      <c r="AH1030" s="401"/>
      <c r="AI1030" s="401"/>
      <c r="AJ1030" s="401"/>
      <c r="AK1030" s="401"/>
      <c r="AL1030" s="401"/>
      <c r="AM1030" s="189"/>
      <c r="AN1030" s="829"/>
      <c r="AO1030" s="830"/>
      <c r="AP1030" s="401"/>
      <c r="AQ1030" s="401"/>
      <c r="AR1030" s="401"/>
      <c r="AS1030" s="401"/>
      <c r="AT1030" s="403"/>
      <c r="AU1030" s="403"/>
      <c r="AV1030" s="170"/>
      <c r="AW1030" s="166"/>
      <c r="AX1030" s="166"/>
      <c r="AY1030" s="189"/>
      <c r="AZ1030" s="189"/>
      <c r="BA1030" s="196"/>
      <c r="BB1030" s="629"/>
      <c r="BC1030" s="190"/>
      <c r="BD1030" s="510"/>
      <c r="BE1030" s="510"/>
      <c r="BF1030" s="177"/>
      <c r="BG1030" s="177"/>
      <c r="BH1030" s="166"/>
      <c r="BI1030" s="474"/>
      <c r="BJ1030" s="166"/>
      <c r="BK1030" s="474"/>
      <c r="BL1030" s="474"/>
      <c r="BM1030" s="474"/>
      <c r="BN1030" s="166"/>
      <c r="BO1030" s="166"/>
      <c r="BP1030" s="204"/>
      <c r="BQ1030" s="475"/>
      <c r="BR1030" s="205"/>
      <c r="BS1030" s="509"/>
      <c r="BT1030" s="509"/>
      <c r="BU1030" s="459"/>
      <c r="BV1030" s="459"/>
      <c r="BW1030" s="1"/>
      <c r="BX1030" s="1"/>
      <c r="BY1030" s="546"/>
      <c r="BZ1030" s="546"/>
      <c r="CA1030" s="546"/>
      <c r="CB1030" s="546"/>
      <c r="CC1030" s="728"/>
      <c r="CD1030" s="728"/>
      <c r="CE1030" s="170"/>
    </row>
    <row r="1031" spans="1:84" customFormat="1">
      <c r="A1031" s="701"/>
      <c r="B1031" s="447"/>
      <c r="C1031" s="161"/>
      <c r="D1031" s="162"/>
      <c r="E1031" s="1"/>
      <c r="F1031" s="811"/>
      <c r="G1031" s="440"/>
      <c r="H1031" s="1"/>
      <c r="I1031" s="55"/>
      <c r="J1031" s="170"/>
      <c r="K1031" s="1"/>
      <c r="L1031" s="170"/>
      <c r="M1031" s="1"/>
      <c r="N1031" s="458"/>
      <c r="O1031" s="170"/>
      <c r="P1031" s="441"/>
      <c r="Q1031" s="55"/>
      <c r="R1031" s="177"/>
      <c r="S1031" s="454"/>
      <c r="T1031" s="178"/>
      <c r="U1031" s="178"/>
      <c r="V1031" s="179"/>
      <c r="W1031" s="180"/>
      <c r="X1031" s="179"/>
      <c r="Y1031" s="180"/>
      <c r="Z1031" s="178"/>
      <c r="AA1031" s="178"/>
      <c r="AB1031" s="178"/>
      <c r="AC1031" s="178"/>
      <c r="AD1031" s="182"/>
      <c r="AE1031" s="182"/>
      <c r="AF1031" s="182"/>
      <c r="AG1031" s="182"/>
      <c r="AH1031" s="401"/>
      <c r="AI1031" s="401"/>
      <c r="AJ1031" s="401"/>
      <c r="AK1031" s="401"/>
      <c r="AL1031" s="401"/>
      <c r="AM1031" s="189"/>
      <c r="AN1031" s="829"/>
      <c r="AO1031" s="830"/>
      <c r="AP1031" s="401"/>
      <c r="AQ1031" s="401"/>
      <c r="AR1031" s="401"/>
      <c r="AS1031" s="401"/>
      <c r="AT1031" s="403"/>
      <c r="AU1031" s="403"/>
      <c r="AV1031" s="170"/>
      <c r="AW1031" s="166"/>
      <c r="AX1031" s="166"/>
      <c r="AY1031" s="189"/>
      <c r="AZ1031" s="189"/>
      <c r="BA1031" s="196"/>
      <c r="BB1031" s="629"/>
      <c r="BC1031" s="190"/>
      <c r="BD1031" s="510"/>
      <c r="BE1031" s="510"/>
      <c r="BF1031" s="177"/>
      <c r="BG1031" s="177"/>
      <c r="BH1031" s="166"/>
      <c r="BI1031" s="474"/>
      <c r="BJ1031" s="166"/>
      <c r="BK1031" s="474"/>
      <c r="BL1031" s="474"/>
      <c r="BM1031" s="474"/>
      <c r="BN1031" s="166"/>
      <c r="BO1031" s="166"/>
      <c r="BP1031" s="204"/>
      <c r="BQ1031" s="475"/>
      <c r="BR1031" s="205"/>
      <c r="BS1031" s="509"/>
      <c r="BT1031" s="509"/>
      <c r="BU1031" s="459"/>
      <c r="BV1031" s="459"/>
      <c r="BW1031" s="1"/>
      <c r="BX1031" s="1"/>
      <c r="BY1031" s="546"/>
      <c r="BZ1031" s="546"/>
      <c r="CA1031" s="546"/>
      <c r="CB1031" s="546"/>
      <c r="CC1031" s="728"/>
      <c r="CD1031" s="728"/>
      <c r="CE1031" s="170"/>
    </row>
    <row r="1032" spans="1:84" customFormat="1">
      <c r="A1032" s="701"/>
      <c r="B1032" s="447"/>
      <c r="C1032" s="161"/>
      <c r="D1032" s="162"/>
      <c r="E1032" s="1"/>
      <c r="F1032" s="811"/>
      <c r="G1032" s="440"/>
      <c r="H1032" s="1"/>
      <c r="I1032" s="55"/>
      <c r="J1032" s="457"/>
      <c r="K1032" s="1"/>
      <c r="L1032" s="170"/>
      <c r="M1032" s="1"/>
      <c r="N1032" s="458"/>
      <c r="O1032" s="170"/>
      <c r="P1032" s="441"/>
      <c r="Q1032" s="55"/>
      <c r="R1032" s="177"/>
      <c r="S1032" s="454"/>
      <c r="T1032" s="178"/>
      <c r="U1032" s="178"/>
      <c r="V1032" s="179"/>
      <c r="W1032" s="180"/>
      <c r="X1032" s="179"/>
      <c r="Y1032" s="180"/>
      <c r="Z1032" s="178"/>
      <c r="AA1032" s="178"/>
      <c r="AB1032" s="178"/>
      <c r="AC1032" s="178"/>
      <c r="AD1032" s="182"/>
      <c r="AE1032" s="182"/>
      <c r="AF1032" s="182"/>
      <c r="AG1032" s="182"/>
      <c r="AH1032" s="401"/>
      <c r="AI1032" s="401"/>
      <c r="AJ1032" s="401"/>
      <c r="AK1032" s="401"/>
      <c r="AL1032" s="401"/>
      <c r="AM1032" s="189"/>
      <c r="AN1032" s="829"/>
      <c r="AO1032" s="830"/>
      <c r="AP1032" s="401"/>
      <c r="AQ1032" s="401"/>
      <c r="AR1032" s="401"/>
      <c r="AS1032" s="401"/>
      <c r="AT1032" s="403"/>
      <c r="AU1032" s="403"/>
      <c r="AV1032" s="170"/>
      <c r="AW1032" s="166"/>
      <c r="AX1032" s="166"/>
      <c r="AY1032" s="189"/>
      <c r="AZ1032" s="189"/>
      <c r="BA1032" s="196"/>
      <c r="BB1032" s="629"/>
      <c r="BC1032" s="190"/>
      <c r="BD1032" s="510"/>
      <c r="BE1032" s="510"/>
      <c r="BF1032" s="177"/>
      <c r="BG1032" s="177"/>
      <c r="BH1032" s="166"/>
      <c r="BI1032" s="474"/>
      <c r="BJ1032" s="166"/>
      <c r="BK1032" s="474"/>
      <c r="BL1032" s="474"/>
      <c r="BM1032" s="474"/>
      <c r="BN1032" s="166"/>
      <c r="BO1032" s="166"/>
      <c r="BP1032" s="204"/>
      <c r="BQ1032" s="475"/>
      <c r="BR1032" s="205"/>
      <c r="BS1032" s="509"/>
      <c r="BT1032" s="509"/>
      <c r="BU1032" s="459"/>
      <c r="BV1032" s="459"/>
      <c r="BW1032" s="1"/>
      <c r="BX1032" s="1"/>
      <c r="BY1032" s="546"/>
      <c r="BZ1032" s="546"/>
      <c r="CA1032" s="546"/>
      <c r="CB1032" s="546"/>
      <c r="CC1032" s="728"/>
      <c r="CD1032" s="728"/>
      <c r="CE1032" s="170"/>
    </row>
    <row r="1033" spans="1:84" customFormat="1">
      <c r="A1033" s="701"/>
      <c r="B1033" s="447"/>
      <c r="C1033" s="161"/>
      <c r="D1033" s="162"/>
      <c r="E1033" s="1"/>
      <c r="F1033" s="811"/>
      <c r="G1033" s="440"/>
      <c r="H1033" s="1"/>
      <c r="I1033" s="55"/>
      <c r="J1033" s="170"/>
      <c r="K1033" s="1"/>
      <c r="L1033" s="170"/>
      <c r="M1033" s="1"/>
      <c r="N1033" s="458"/>
      <c r="O1033" s="170"/>
      <c r="P1033" s="441"/>
      <c r="Q1033" s="55"/>
      <c r="R1033" s="177"/>
      <c r="S1033" s="454"/>
      <c r="T1033" s="178"/>
      <c r="U1033" s="178"/>
      <c r="V1033" s="179"/>
      <c r="W1033" s="180"/>
      <c r="X1033" s="179"/>
      <c r="Y1033" s="180"/>
      <c r="Z1033" s="178"/>
      <c r="AA1033" s="178"/>
      <c r="AB1033" s="178"/>
      <c r="AC1033" s="178"/>
      <c r="AD1033" s="182"/>
      <c r="AE1033" s="182"/>
      <c r="AF1033" s="182"/>
      <c r="AG1033" s="182"/>
      <c r="AH1033" s="401"/>
      <c r="AI1033" s="401"/>
      <c r="AJ1033" s="401"/>
      <c r="AK1033" s="401"/>
      <c r="AL1033" s="401"/>
      <c r="AM1033" s="189"/>
      <c r="AN1033" s="829"/>
      <c r="AO1033" s="830"/>
      <c r="AP1033" s="401"/>
      <c r="AQ1033" s="401"/>
      <c r="AR1033" s="401"/>
      <c r="AS1033" s="401"/>
      <c r="AT1033" s="403"/>
      <c r="AU1033" s="403"/>
      <c r="AV1033" s="170"/>
      <c r="AW1033" s="166"/>
      <c r="AX1033" s="166"/>
      <c r="AY1033" s="189"/>
      <c r="AZ1033" s="189"/>
      <c r="BA1033" s="196"/>
      <c r="BB1033" s="629"/>
      <c r="BC1033" s="190"/>
      <c r="BD1033" s="510"/>
      <c r="BE1033" s="510"/>
      <c r="BF1033" s="177"/>
      <c r="BG1033" s="177"/>
      <c r="BH1033" s="166"/>
      <c r="BI1033" s="474"/>
      <c r="BJ1033" s="166"/>
      <c r="BK1033" s="474"/>
      <c r="BL1033" s="474"/>
      <c r="BM1033" s="474"/>
      <c r="BN1033" s="166"/>
      <c r="BO1033" s="166"/>
      <c r="BP1033" s="204"/>
      <c r="BQ1033" s="475"/>
      <c r="BR1033" s="205"/>
      <c r="BS1033" s="509"/>
      <c r="BT1033" s="509"/>
      <c r="BU1033" s="459"/>
      <c r="BV1033" s="459"/>
      <c r="BW1033" s="1"/>
      <c r="BX1033" s="1"/>
      <c r="BY1033" s="546"/>
      <c r="BZ1033" s="546"/>
      <c r="CA1033" s="546"/>
      <c r="CB1033" s="546"/>
      <c r="CC1033" s="728"/>
      <c r="CD1033" s="728"/>
      <c r="CE1033" s="170"/>
    </row>
    <row r="1034" spans="1:84" customFormat="1">
      <c r="A1034" s="701"/>
      <c r="B1034" s="447"/>
      <c r="C1034" s="161"/>
      <c r="D1034" s="162"/>
      <c r="E1034" s="1"/>
      <c r="F1034" s="811"/>
      <c r="G1034" s="440"/>
      <c r="H1034" s="1"/>
      <c r="I1034" s="55"/>
      <c r="J1034" s="170"/>
      <c r="K1034" s="1"/>
      <c r="L1034" s="170"/>
      <c r="M1034" s="1"/>
      <c r="N1034" s="458"/>
      <c r="O1034" s="170"/>
      <c r="P1034" s="441"/>
      <c r="Q1034" s="55"/>
      <c r="R1034" s="177"/>
      <c r="S1034" s="454"/>
      <c r="T1034" s="178"/>
      <c r="U1034" s="178"/>
      <c r="V1034" s="179"/>
      <c r="W1034" s="180"/>
      <c r="X1034" s="179"/>
      <c r="Y1034" s="180"/>
      <c r="Z1034" s="178"/>
      <c r="AA1034" s="178"/>
      <c r="AB1034" s="178"/>
      <c r="AC1034" s="178"/>
      <c r="AD1034" s="182"/>
      <c r="AE1034" s="182"/>
      <c r="AF1034" s="182"/>
      <c r="AG1034" s="182"/>
      <c r="AH1034" s="401"/>
      <c r="AI1034" s="401"/>
      <c r="AJ1034" s="401"/>
      <c r="AK1034" s="401"/>
      <c r="AL1034" s="401"/>
      <c r="AM1034" s="189"/>
      <c r="AN1034" s="829"/>
      <c r="AO1034" s="830"/>
      <c r="AP1034" s="401"/>
      <c r="AQ1034" s="401"/>
      <c r="AR1034" s="401"/>
      <c r="AS1034" s="401"/>
      <c r="AT1034" s="403"/>
      <c r="AU1034" s="403"/>
      <c r="AV1034" s="170"/>
      <c r="AW1034" s="166"/>
      <c r="AX1034" s="166"/>
      <c r="AY1034" s="189"/>
      <c r="AZ1034" s="189"/>
      <c r="BA1034" s="190"/>
      <c r="BB1034" s="629"/>
      <c r="BC1034" s="190"/>
      <c r="BD1034" s="510"/>
      <c r="BE1034" s="510"/>
      <c r="BF1034" s="177"/>
      <c r="BG1034" s="177"/>
      <c r="BH1034" s="166"/>
      <c r="BI1034" s="474"/>
      <c r="BJ1034" s="166"/>
      <c r="BK1034" s="474"/>
      <c r="BL1034" s="474"/>
      <c r="BM1034" s="474"/>
      <c r="BN1034" s="166"/>
      <c r="BO1034" s="166"/>
      <c r="BP1034" s="204"/>
      <c r="BQ1034" s="475"/>
      <c r="BR1034" s="205"/>
      <c r="BS1034" s="509"/>
      <c r="BT1034" s="509"/>
      <c r="BU1034" s="459"/>
      <c r="BV1034" s="459"/>
      <c r="BW1034" s="1"/>
      <c r="BX1034" s="1"/>
      <c r="BY1034" s="1"/>
      <c r="BZ1034" s="1"/>
      <c r="CA1034" s="1"/>
      <c r="CB1034" s="1"/>
      <c r="CC1034" s="728"/>
      <c r="CD1034" s="728"/>
      <c r="CE1034" s="1"/>
    </row>
    <row r="1035" spans="1:84" customFormat="1">
      <c r="A1035" s="701"/>
      <c r="B1035" s="447"/>
      <c r="C1035" s="161"/>
      <c r="D1035" s="162"/>
      <c r="E1035" s="1"/>
      <c r="F1035" s="811"/>
      <c r="G1035" s="440"/>
      <c r="H1035" s="1"/>
      <c r="I1035" s="55"/>
      <c r="J1035" s="170"/>
      <c r="K1035" s="1"/>
      <c r="L1035" s="170"/>
      <c r="M1035" s="1"/>
      <c r="N1035" s="458"/>
      <c r="O1035" s="170"/>
      <c r="P1035" s="441"/>
      <c r="Q1035" s="55"/>
      <c r="R1035" s="177"/>
      <c r="S1035" s="454"/>
      <c r="T1035" s="178"/>
      <c r="U1035" s="178"/>
      <c r="V1035" s="179"/>
      <c r="W1035" s="180"/>
      <c r="X1035" s="179"/>
      <c r="Y1035" s="180"/>
      <c r="Z1035" s="178"/>
      <c r="AA1035" s="178"/>
      <c r="AB1035" s="178"/>
      <c r="AC1035" s="178"/>
      <c r="AD1035" s="182"/>
      <c r="AE1035" s="182"/>
      <c r="AF1035" s="182"/>
      <c r="AG1035" s="182"/>
      <c r="AH1035" s="401"/>
      <c r="AI1035" s="401"/>
      <c r="AJ1035" s="401"/>
      <c r="AK1035" s="401"/>
      <c r="AL1035" s="401"/>
      <c r="AM1035" s="189"/>
      <c r="AN1035" s="829"/>
      <c r="AO1035" s="830"/>
      <c r="AP1035" s="401"/>
      <c r="AQ1035" s="401"/>
      <c r="AR1035" s="401"/>
      <c r="AS1035" s="401"/>
      <c r="AT1035" s="403"/>
      <c r="AU1035" s="403"/>
      <c r="AV1035" s="170"/>
      <c r="AW1035" s="166"/>
      <c r="AX1035" s="166"/>
      <c r="AY1035" s="189"/>
      <c r="AZ1035" s="189"/>
      <c r="BA1035" s="190"/>
      <c r="BB1035" s="629"/>
      <c r="BC1035" s="190"/>
      <c r="BD1035" s="510"/>
      <c r="BE1035" s="510"/>
      <c r="BF1035" s="177"/>
      <c r="BG1035" s="177"/>
      <c r="BH1035" s="166"/>
      <c r="BI1035" s="474"/>
      <c r="BJ1035" s="166"/>
      <c r="BK1035" s="474"/>
      <c r="BL1035" s="474"/>
      <c r="BM1035" s="474"/>
      <c r="BN1035" s="166"/>
      <c r="BO1035" s="166"/>
      <c r="BP1035" s="204"/>
      <c r="BQ1035" s="475"/>
      <c r="BR1035" s="205"/>
      <c r="BS1035" s="509"/>
      <c r="BT1035" s="509"/>
      <c r="BU1035" s="459"/>
      <c r="BV1035" s="459"/>
      <c r="BW1035" s="1"/>
      <c r="BX1035" s="1"/>
      <c r="BY1035" s="1"/>
      <c r="BZ1035" s="1"/>
      <c r="CA1035" s="1"/>
      <c r="CB1035" s="1"/>
      <c r="CC1035" s="728"/>
      <c r="CD1035" s="728"/>
      <c r="CE1035" s="1"/>
    </row>
    <row r="1036" spans="1:84" customFormat="1">
      <c r="A1036" s="701"/>
      <c r="B1036" s="447"/>
      <c r="C1036" s="1"/>
      <c r="D1036" s="538"/>
      <c r="E1036" s="1"/>
      <c r="F1036" s="811"/>
      <c r="G1036" s="440"/>
      <c r="H1036" s="1"/>
      <c r="J1036" s="171"/>
      <c r="K1036" s="55"/>
      <c r="L1036" s="171"/>
      <c r="M1036" s="55"/>
      <c r="N1036" s="172"/>
      <c r="O1036" s="170"/>
      <c r="P1036" s="139"/>
      <c r="Q1036" s="171"/>
      <c r="R1036" s="181"/>
      <c r="S1036" s="455"/>
      <c r="T1036" s="170"/>
      <c r="U1036" s="170"/>
      <c r="V1036" s="1"/>
      <c r="W1036" s="173"/>
      <c r="X1036" s="1"/>
      <c r="Y1036" s="166"/>
      <c r="Z1036" s="170"/>
      <c r="AA1036" s="170"/>
      <c r="AB1036" s="170"/>
      <c r="AC1036" s="170"/>
      <c r="AD1036" s="182"/>
      <c r="AE1036" s="182"/>
      <c r="AF1036" s="182"/>
      <c r="AG1036" s="182"/>
      <c r="AH1036" s="189"/>
      <c r="AI1036" s="401"/>
      <c r="AJ1036" s="189"/>
      <c r="AK1036" s="401"/>
      <c r="AL1036" s="401"/>
      <c r="AM1036" s="189"/>
      <c r="AN1036" s="782"/>
      <c r="AO1036" s="189"/>
      <c r="AP1036" s="401"/>
      <c r="AQ1036" s="401"/>
      <c r="AR1036" s="401"/>
      <c r="AS1036" s="188"/>
      <c r="AT1036" s="1"/>
      <c r="AU1036" s="403"/>
      <c r="AV1036" s="1"/>
      <c r="AW1036" s="166"/>
      <c r="AX1036" s="166"/>
      <c r="AY1036" s="189"/>
      <c r="AZ1036" s="189"/>
      <c r="BA1036" s="196"/>
      <c r="BB1036" s="629"/>
      <c r="BC1036" s="197"/>
      <c r="BD1036" s="510"/>
      <c r="BE1036" s="510"/>
      <c r="BF1036" s="177"/>
      <c r="BG1036" s="177"/>
      <c r="BH1036" s="166"/>
      <c r="BI1036" s="474"/>
      <c r="BJ1036" s="166"/>
      <c r="BK1036" s="474"/>
      <c r="BL1036" s="474"/>
      <c r="BM1036" s="474"/>
      <c r="BN1036" s="166"/>
      <c r="BO1036" s="166"/>
      <c r="BP1036" s="204"/>
      <c r="BQ1036" s="475"/>
      <c r="BR1036" s="205"/>
      <c r="BS1036" s="509"/>
      <c r="BT1036" s="509"/>
      <c r="BU1036" s="459"/>
      <c r="BV1036" s="459"/>
      <c r="BW1036" s="1"/>
      <c r="BX1036" s="1"/>
      <c r="BY1036" s="546"/>
      <c r="BZ1036" s="546"/>
      <c r="CA1036" s="546"/>
      <c r="CB1036" s="546"/>
      <c r="CC1036" s="728"/>
      <c r="CD1036" s="728"/>
      <c r="CE1036" s="170"/>
    </row>
    <row r="1037" spans="1:84" customFormat="1">
      <c r="A1037" s="701"/>
      <c r="B1037" s="447"/>
      <c r="C1037" s="161"/>
      <c r="D1037" s="162"/>
      <c r="E1037" s="1"/>
      <c r="F1037" s="811"/>
      <c r="G1037" s="440"/>
      <c r="H1037" s="1"/>
      <c r="I1037" s="55"/>
      <c r="J1037" s="170"/>
      <c r="K1037" s="1"/>
      <c r="L1037" s="170"/>
      <c r="M1037" s="1"/>
      <c r="N1037" s="458"/>
      <c r="O1037" s="170"/>
      <c r="P1037" s="441"/>
      <c r="Q1037" s="55"/>
      <c r="R1037" s="177"/>
      <c r="S1037" s="454"/>
      <c r="T1037" s="178"/>
      <c r="U1037" s="178"/>
      <c r="V1037" s="179"/>
      <c r="W1037" s="180"/>
      <c r="X1037" s="179"/>
      <c r="Y1037" s="180"/>
      <c r="Z1037" s="178"/>
      <c r="AA1037" s="178"/>
      <c r="AB1037" s="178"/>
      <c r="AC1037" s="178"/>
      <c r="AD1037" s="182"/>
      <c r="AE1037" s="182"/>
      <c r="AF1037" s="182"/>
      <c r="AG1037" s="182"/>
      <c r="AH1037" s="401"/>
      <c r="AI1037" s="401"/>
      <c r="AJ1037" s="401"/>
      <c r="AK1037" s="401"/>
      <c r="AL1037" s="401"/>
      <c r="AM1037" s="189"/>
      <c r="AN1037" s="829"/>
      <c r="AO1037" s="830"/>
      <c r="AP1037" s="401"/>
      <c r="AQ1037" s="401"/>
      <c r="AR1037" s="401"/>
      <c r="AS1037" s="401"/>
      <c r="AT1037" s="403"/>
      <c r="AU1037" s="403"/>
      <c r="AV1037" s="170"/>
      <c r="AW1037" s="166"/>
      <c r="AX1037" s="166"/>
      <c r="AY1037" s="189"/>
      <c r="AZ1037" s="189"/>
      <c r="BA1037" s="196"/>
      <c r="BB1037" s="629"/>
      <c r="BC1037" s="190"/>
      <c r="BD1037" s="510"/>
      <c r="BE1037" s="510"/>
      <c r="BF1037" s="177"/>
      <c r="BG1037" s="177"/>
      <c r="BH1037" s="166"/>
      <c r="BI1037" s="474"/>
      <c r="BJ1037" s="166"/>
      <c r="BK1037" s="474"/>
      <c r="BL1037" s="474"/>
      <c r="BM1037" s="474"/>
      <c r="BN1037" s="166"/>
      <c r="BO1037" s="166"/>
      <c r="BP1037" s="204"/>
      <c r="BQ1037" s="475"/>
      <c r="BR1037" s="205"/>
      <c r="BS1037" s="509"/>
      <c r="BT1037" s="509"/>
      <c r="BU1037" s="459"/>
      <c r="BV1037" s="459"/>
      <c r="BW1037" s="1"/>
      <c r="BX1037" s="1"/>
      <c r="BY1037" s="546"/>
      <c r="BZ1037" s="546"/>
      <c r="CA1037" s="546"/>
      <c r="CB1037" s="546"/>
      <c r="CC1037" s="728"/>
      <c r="CD1037" s="728"/>
      <c r="CE1037" s="170"/>
    </row>
    <row r="1038" spans="1:84" customFormat="1">
      <c r="A1038" s="701"/>
      <c r="B1038" s="447"/>
      <c r="C1038" s="161"/>
      <c r="D1038" s="162"/>
      <c r="E1038" s="1"/>
      <c r="F1038" s="811"/>
      <c r="G1038" s="440"/>
      <c r="H1038" s="1"/>
      <c r="I1038" s="55"/>
      <c r="J1038" s="170"/>
      <c r="K1038" s="1"/>
      <c r="L1038" s="170"/>
      <c r="M1038" s="1"/>
      <c r="N1038" s="458"/>
      <c r="O1038" s="170"/>
      <c r="P1038" s="441"/>
      <c r="Q1038" s="55"/>
      <c r="R1038" s="177"/>
      <c r="S1038" s="454"/>
      <c r="T1038" s="178"/>
      <c r="U1038" s="178"/>
      <c r="V1038" s="179"/>
      <c r="W1038" s="180"/>
      <c r="X1038" s="179"/>
      <c r="Y1038" s="180"/>
      <c r="Z1038" s="178"/>
      <c r="AA1038" s="178"/>
      <c r="AB1038" s="178"/>
      <c r="AC1038" s="178"/>
      <c r="AD1038" s="182"/>
      <c r="AE1038" s="182"/>
      <c r="AF1038" s="182"/>
      <c r="AG1038" s="182"/>
      <c r="AH1038" s="401"/>
      <c r="AI1038" s="401"/>
      <c r="AJ1038" s="401"/>
      <c r="AK1038" s="401"/>
      <c r="AL1038" s="401"/>
      <c r="AM1038" s="189"/>
      <c r="AN1038" s="829"/>
      <c r="AO1038" s="830"/>
      <c r="AP1038" s="401"/>
      <c r="AQ1038" s="401"/>
      <c r="AR1038" s="401"/>
      <c r="AS1038" s="401"/>
      <c r="AT1038" s="403"/>
      <c r="AU1038" s="403"/>
      <c r="AV1038" s="170"/>
      <c r="AW1038" s="166"/>
      <c r="AX1038" s="166"/>
      <c r="AY1038" s="189"/>
      <c r="AZ1038" s="189"/>
      <c r="BA1038" s="196"/>
      <c r="BB1038" s="629"/>
      <c r="BC1038" s="190"/>
      <c r="BD1038" s="510"/>
      <c r="BE1038" s="510"/>
      <c r="BF1038" s="177"/>
      <c r="BG1038" s="177"/>
      <c r="BH1038" s="166"/>
      <c r="BI1038" s="474"/>
      <c r="BJ1038" s="166"/>
      <c r="BK1038" s="474"/>
      <c r="BL1038" s="474"/>
      <c r="BM1038" s="474"/>
      <c r="BN1038" s="166"/>
      <c r="BO1038" s="166"/>
      <c r="BP1038" s="204"/>
      <c r="BQ1038" s="475"/>
      <c r="BR1038" s="205"/>
      <c r="BS1038" s="509"/>
      <c r="BT1038" s="509"/>
      <c r="BU1038" s="459"/>
      <c r="BV1038" s="459"/>
      <c r="BW1038" s="1"/>
      <c r="BX1038" s="1"/>
      <c r="BY1038" s="546"/>
      <c r="BZ1038" s="546"/>
      <c r="CA1038" s="546"/>
      <c r="CB1038" s="546"/>
      <c r="CC1038" s="728"/>
      <c r="CD1038" s="728"/>
      <c r="CE1038" s="170"/>
    </row>
    <row r="1039" spans="1:84" customFormat="1">
      <c r="A1039" s="701"/>
      <c r="B1039" s="447"/>
      <c r="C1039" s="161"/>
      <c r="D1039" s="162"/>
      <c r="E1039" s="1"/>
      <c r="F1039" s="811"/>
      <c r="G1039" s="440"/>
      <c r="H1039" s="1"/>
      <c r="I1039" s="55"/>
      <c r="J1039" s="457"/>
      <c r="K1039" s="1"/>
      <c r="L1039" s="170"/>
      <c r="M1039" s="1"/>
      <c r="N1039" s="458"/>
      <c r="O1039" s="170"/>
      <c r="P1039" s="441"/>
      <c r="Q1039" s="55"/>
      <c r="R1039" s="177"/>
      <c r="S1039" s="454"/>
      <c r="T1039" s="178"/>
      <c r="U1039" s="178"/>
      <c r="V1039" s="179"/>
      <c r="W1039" s="180"/>
      <c r="X1039" s="179"/>
      <c r="Y1039" s="180"/>
      <c r="Z1039" s="178"/>
      <c r="AA1039" s="178"/>
      <c r="AB1039" s="178"/>
      <c r="AC1039" s="178"/>
      <c r="AD1039" s="182"/>
      <c r="AE1039" s="182"/>
      <c r="AF1039" s="182"/>
      <c r="AG1039" s="182"/>
      <c r="AH1039" s="401"/>
      <c r="AI1039" s="401"/>
      <c r="AJ1039" s="401"/>
      <c r="AK1039" s="401"/>
      <c r="AL1039" s="401"/>
      <c r="AM1039" s="189"/>
      <c r="AN1039" s="829"/>
      <c r="AO1039" s="830"/>
      <c r="AP1039" s="401"/>
      <c r="AQ1039" s="401"/>
      <c r="AR1039" s="401"/>
      <c r="AS1039" s="401"/>
      <c r="AT1039" s="403"/>
      <c r="AU1039" s="403"/>
      <c r="AV1039" s="170"/>
      <c r="AW1039" s="166"/>
      <c r="AX1039" s="166"/>
      <c r="AY1039" s="189"/>
      <c r="AZ1039" s="189"/>
      <c r="BA1039" s="196"/>
      <c r="BB1039" s="629"/>
      <c r="BC1039" s="190"/>
      <c r="BD1039" s="510"/>
      <c r="BE1039" s="510"/>
      <c r="BF1039" s="177"/>
      <c r="BG1039" s="177"/>
      <c r="BH1039" s="166"/>
      <c r="BI1039" s="474"/>
      <c r="BJ1039" s="166"/>
      <c r="BK1039" s="474"/>
      <c r="BL1039" s="474"/>
      <c r="BM1039" s="474"/>
      <c r="BN1039" s="166"/>
      <c r="BO1039" s="166"/>
      <c r="BP1039" s="204"/>
      <c r="BQ1039" s="475"/>
      <c r="BR1039" s="205"/>
      <c r="BS1039" s="509"/>
      <c r="BT1039" s="509"/>
      <c r="BU1039" s="459"/>
      <c r="BV1039" s="459"/>
      <c r="BW1039" s="1"/>
      <c r="BX1039" s="1"/>
      <c r="BY1039" s="546"/>
      <c r="BZ1039" s="546"/>
      <c r="CA1039" s="546"/>
      <c r="CB1039" s="546"/>
      <c r="CC1039" s="728"/>
      <c r="CD1039" s="728"/>
      <c r="CE1039" s="170"/>
    </row>
    <row r="1040" spans="1:84" customFormat="1">
      <c r="A1040" s="701"/>
      <c r="B1040" s="447"/>
      <c r="C1040" s="161"/>
      <c r="D1040" s="162"/>
      <c r="E1040" s="1"/>
      <c r="F1040" s="811"/>
      <c r="G1040" s="440"/>
      <c r="H1040" s="1"/>
      <c r="I1040" s="55"/>
      <c r="J1040" s="170"/>
      <c r="K1040" s="1"/>
      <c r="L1040" s="170"/>
      <c r="M1040" s="1"/>
      <c r="N1040" s="458"/>
      <c r="O1040" s="170"/>
      <c r="P1040" s="441"/>
      <c r="Q1040" s="55"/>
      <c r="R1040" s="177"/>
      <c r="S1040" s="454"/>
      <c r="T1040" s="178"/>
      <c r="U1040" s="178"/>
      <c r="V1040" s="179"/>
      <c r="W1040" s="180"/>
      <c r="X1040" s="179"/>
      <c r="Y1040" s="180"/>
      <c r="Z1040" s="178"/>
      <c r="AA1040" s="178"/>
      <c r="AB1040" s="178"/>
      <c r="AC1040" s="178"/>
      <c r="AD1040" s="182"/>
      <c r="AE1040" s="182"/>
      <c r="AF1040" s="182"/>
      <c r="AG1040" s="182"/>
      <c r="AH1040" s="401"/>
      <c r="AI1040" s="401"/>
      <c r="AJ1040" s="401"/>
      <c r="AK1040" s="401"/>
      <c r="AL1040" s="401"/>
      <c r="AM1040" s="189"/>
      <c r="AN1040" s="829"/>
      <c r="AO1040" s="830"/>
      <c r="AP1040" s="401"/>
      <c r="AQ1040" s="401"/>
      <c r="AR1040" s="401"/>
      <c r="AS1040" s="401"/>
      <c r="AT1040" s="403"/>
      <c r="AU1040" s="403"/>
      <c r="AV1040" s="170"/>
      <c r="AW1040" s="166"/>
      <c r="AX1040" s="166"/>
      <c r="AY1040" s="189"/>
      <c r="AZ1040" s="189"/>
      <c r="BA1040" s="196"/>
      <c r="BB1040" s="629"/>
      <c r="BC1040" s="190"/>
      <c r="BD1040" s="510"/>
      <c r="BE1040" s="510"/>
      <c r="BF1040" s="177"/>
      <c r="BG1040" s="177"/>
      <c r="BH1040" s="166"/>
      <c r="BI1040" s="474"/>
      <c r="BJ1040" s="166"/>
      <c r="BK1040" s="474"/>
      <c r="BL1040" s="474"/>
      <c r="BM1040" s="474"/>
      <c r="BN1040" s="166"/>
      <c r="BO1040" s="166"/>
      <c r="BP1040" s="204"/>
      <c r="BQ1040" s="475"/>
      <c r="BR1040" s="205"/>
      <c r="BS1040" s="509"/>
      <c r="BT1040" s="509"/>
      <c r="BU1040" s="459"/>
      <c r="BV1040" s="459"/>
      <c r="BW1040" s="1"/>
      <c r="BX1040" s="1"/>
      <c r="BY1040" s="546"/>
      <c r="BZ1040" s="546"/>
      <c r="CA1040" s="546"/>
      <c r="CB1040" s="546"/>
      <c r="CC1040" s="728"/>
      <c r="CD1040" s="728"/>
      <c r="CE1040" s="170"/>
    </row>
    <row r="1041" spans="1:83" customFormat="1">
      <c r="A1041" s="701"/>
      <c r="B1041" s="447"/>
      <c r="C1041" s="161"/>
      <c r="D1041" s="162"/>
      <c r="E1041" s="1"/>
      <c r="F1041" s="811"/>
      <c r="G1041" s="440"/>
      <c r="H1041" s="1"/>
      <c r="I1041" s="55"/>
      <c r="J1041" s="170"/>
      <c r="K1041" s="1"/>
      <c r="L1041" s="170"/>
      <c r="M1041" s="1"/>
      <c r="N1041" s="458"/>
      <c r="O1041" s="170"/>
      <c r="P1041" s="441"/>
      <c r="Q1041" s="55"/>
      <c r="R1041" s="177"/>
      <c r="S1041" s="454"/>
      <c r="T1041" s="178"/>
      <c r="U1041" s="178"/>
      <c r="V1041" s="179"/>
      <c r="W1041" s="180"/>
      <c r="X1041" s="179"/>
      <c r="Y1041" s="180"/>
      <c r="Z1041" s="178"/>
      <c r="AA1041" s="178"/>
      <c r="AB1041" s="178"/>
      <c r="AC1041" s="178"/>
      <c r="AD1041" s="182"/>
      <c r="AE1041" s="182"/>
      <c r="AF1041" s="182"/>
      <c r="AG1041" s="182"/>
      <c r="AH1041" s="401"/>
      <c r="AI1041" s="401"/>
      <c r="AJ1041" s="401"/>
      <c r="AK1041" s="401"/>
      <c r="AL1041" s="401"/>
      <c r="AM1041" s="189"/>
      <c r="AN1041" s="829"/>
      <c r="AO1041" s="830"/>
      <c r="AP1041" s="401"/>
      <c r="AQ1041" s="401"/>
      <c r="AR1041" s="401"/>
      <c r="AS1041" s="401"/>
      <c r="AT1041" s="403"/>
      <c r="AU1041" s="403"/>
      <c r="AV1041" s="170"/>
      <c r="AW1041" s="166"/>
      <c r="AX1041" s="166"/>
      <c r="AY1041" s="189"/>
      <c r="AZ1041" s="189"/>
      <c r="BA1041" s="190"/>
      <c r="BB1041" s="629"/>
      <c r="BC1041" s="190"/>
      <c r="BD1041" s="510"/>
      <c r="BE1041" s="510"/>
      <c r="BF1041" s="177"/>
      <c r="BG1041" s="177"/>
      <c r="BH1041" s="166"/>
      <c r="BI1041" s="474"/>
      <c r="BJ1041" s="166"/>
      <c r="BK1041" s="474"/>
      <c r="BL1041" s="474"/>
      <c r="BM1041" s="474"/>
      <c r="BN1041" s="166"/>
      <c r="BO1041" s="166"/>
      <c r="BP1041" s="204"/>
      <c r="BQ1041" s="475"/>
      <c r="BR1041" s="205"/>
      <c r="BS1041" s="509"/>
      <c r="BT1041" s="509"/>
      <c r="BU1041" s="459"/>
      <c r="BV1041" s="459"/>
      <c r="BW1041" s="1"/>
      <c r="BX1041" s="1"/>
      <c r="BY1041" s="1"/>
      <c r="BZ1041" s="1"/>
      <c r="CA1041" s="1"/>
      <c r="CB1041" s="1"/>
      <c r="CC1041" s="728"/>
      <c r="CD1041" s="728"/>
      <c r="CE1041" s="1"/>
    </row>
    <row r="1042" spans="1:83" customFormat="1">
      <c r="A1042" s="701"/>
      <c r="B1042" s="447"/>
      <c r="C1042" s="1"/>
      <c r="D1042" s="538"/>
      <c r="E1042" s="1"/>
      <c r="F1042" s="811"/>
      <c r="G1042" s="440"/>
      <c r="H1042" s="1"/>
      <c r="I1042" s="55"/>
      <c r="J1042" s="171"/>
      <c r="K1042" s="55"/>
      <c r="L1042" s="171"/>
      <c r="M1042" s="55"/>
      <c r="N1042" s="172"/>
      <c r="O1042" s="170"/>
      <c r="P1042" s="139"/>
      <c r="Q1042" s="172"/>
      <c r="R1042" s="181"/>
      <c r="S1042" s="455"/>
      <c r="T1042" s="170"/>
      <c r="U1042" s="170"/>
      <c r="V1042" s="1"/>
      <c r="W1042" s="173"/>
      <c r="X1042" s="1"/>
      <c r="Y1042" s="166"/>
      <c r="Z1042" s="170"/>
      <c r="AA1042" s="170"/>
      <c r="AB1042" s="170"/>
      <c r="AC1042" s="170"/>
      <c r="AD1042" s="182"/>
      <c r="AE1042" s="182"/>
      <c r="AF1042" s="182"/>
      <c r="AG1042" s="182"/>
      <c r="AH1042" s="189"/>
      <c r="AI1042" s="401"/>
      <c r="AJ1042" s="189"/>
      <c r="AK1042" s="401"/>
      <c r="AL1042" s="401"/>
      <c r="AM1042" s="189"/>
      <c r="AN1042" s="782"/>
      <c r="AO1042" s="189"/>
      <c r="AP1042" s="401"/>
      <c r="AQ1042" s="401"/>
      <c r="AR1042" s="401"/>
      <c r="AS1042" s="188"/>
      <c r="AT1042" s="1"/>
      <c r="AU1042" s="403"/>
      <c r="AV1042" s="1"/>
      <c r="AW1042" s="166"/>
      <c r="AX1042" s="166"/>
      <c r="AY1042" s="189"/>
      <c r="AZ1042" s="189"/>
      <c r="BA1042" s="196"/>
      <c r="BB1042" s="629"/>
      <c r="BC1042" s="197"/>
      <c r="BD1042" s="510"/>
      <c r="BE1042" s="510"/>
      <c r="BF1042" s="177"/>
      <c r="BG1042" s="177"/>
      <c r="BH1042" s="166"/>
      <c r="BI1042" s="474"/>
      <c r="BJ1042" s="166"/>
      <c r="BK1042" s="474"/>
      <c r="BL1042" s="474"/>
      <c r="BM1042" s="474"/>
      <c r="BN1042" s="166"/>
      <c r="BO1042" s="166"/>
      <c r="BP1042" s="204"/>
      <c r="BQ1042" s="475"/>
      <c r="BR1042" s="205"/>
      <c r="BS1042" s="509"/>
      <c r="BT1042" s="509"/>
      <c r="BU1042" s="459"/>
      <c r="BV1042" s="459"/>
      <c r="BW1042" s="1"/>
      <c r="BX1042" s="1"/>
      <c r="BY1042" s="546"/>
      <c r="BZ1042" s="546"/>
      <c r="CA1042" s="546"/>
      <c r="CB1042" s="546"/>
      <c r="CC1042" s="728"/>
      <c r="CD1042" s="728"/>
      <c r="CE1042" s="170"/>
    </row>
    <row r="1043" spans="1:83" customFormat="1">
      <c r="A1043" s="701"/>
      <c r="B1043" s="447"/>
      <c r="C1043" s="161"/>
      <c r="D1043" s="162"/>
      <c r="E1043" s="1"/>
      <c r="F1043" s="811"/>
      <c r="G1043" s="440"/>
      <c r="H1043" s="1"/>
      <c r="I1043" s="55"/>
      <c r="J1043" s="170"/>
      <c r="K1043" s="1"/>
      <c r="L1043" s="170"/>
      <c r="M1043" s="1"/>
      <c r="N1043" s="458"/>
      <c r="O1043" s="170"/>
      <c r="P1043" s="441"/>
      <c r="Q1043" s="55"/>
      <c r="R1043" s="177"/>
      <c r="S1043" s="454"/>
      <c r="T1043" s="178"/>
      <c r="U1043" s="178"/>
      <c r="V1043" s="179"/>
      <c r="W1043" s="180"/>
      <c r="X1043" s="179"/>
      <c r="Y1043" s="180"/>
      <c r="Z1043" s="178"/>
      <c r="AA1043" s="178"/>
      <c r="AB1043" s="178"/>
      <c r="AC1043" s="178"/>
      <c r="AD1043" s="182"/>
      <c r="AE1043" s="182"/>
      <c r="AF1043" s="182"/>
      <c r="AG1043" s="182"/>
      <c r="AH1043" s="401"/>
      <c r="AI1043" s="401"/>
      <c r="AJ1043" s="401"/>
      <c r="AK1043" s="401"/>
      <c r="AL1043" s="401"/>
      <c r="AM1043" s="189"/>
      <c r="AN1043" s="829"/>
      <c r="AO1043" s="830"/>
      <c r="AP1043" s="401"/>
      <c r="AQ1043" s="401"/>
      <c r="AR1043" s="401"/>
      <c r="AS1043" s="401"/>
      <c r="AT1043" s="403"/>
      <c r="AU1043" s="403"/>
      <c r="AV1043" s="170"/>
      <c r="AW1043" s="166"/>
      <c r="AX1043" s="166"/>
      <c r="AY1043" s="189"/>
      <c r="AZ1043" s="189"/>
      <c r="BA1043" s="196"/>
      <c r="BB1043" s="629"/>
      <c r="BC1043" s="190"/>
      <c r="BD1043" s="510"/>
      <c r="BE1043" s="510"/>
      <c r="BF1043" s="177"/>
      <c r="BG1043" s="177"/>
      <c r="BH1043" s="166"/>
      <c r="BI1043" s="474"/>
      <c r="BJ1043" s="166"/>
      <c r="BK1043" s="474"/>
      <c r="BL1043" s="474"/>
      <c r="BM1043" s="474"/>
      <c r="BN1043" s="166"/>
      <c r="BO1043" s="166"/>
      <c r="BP1043" s="204"/>
      <c r="BQ1043" s="475"/>
      <c r="BR1043" s="205"/>
      <c r="BS1043" s="509"/>
      <c r="BT1043" s="509"/>
      <c r="BU1043" s="459"/>
      <c r="BV1043" s="459"/>
      <c r="BW1043" s="1"/>
      <c r="BX1043" s="1"/>
      <c r="BY1043" s="546"/>
      <c r="BZ1043" s="546"/>
      <c r="CA1043" s="546"/>
      <c r="CB1043" s="546"/>
      <c r="CC1043" s="728"/>
      <c r="CD1043" s="728"/>
      <c r="CE1043" s="170"/>
    </row>
    <row r="1044" spans="1:83" customFormat="1">
      <c r="A1044" s="701"/>
      <c r="B1044" s="447"/>
      <c r="C1044" s="161"/>
      <c r="D1044" s="162"/>
      <c r="E1044" s="1"/>
      <c r="F1044" s="811"/>
      <c r="G1044" s="440"/>
      <c r="H1044" s="1"/>
      <c r="I1044" s="55"/>
      <c r="J1044" s="170"/>
      <c r="K1044" s="1"/>
      <c r="L1044" s="170"/>
      <c r="M1044" s="1"/>
      <c r="N1044" s="458"/>
      <c r="O1044" s="170"/>
      <c r="P1044" s="441"/>
      <c r="Q1044" s="55"/>
      <c r="R1044" s="177"/>
      <c r="S1044" s="454"/>
      <c r="T1044" s="178"/>
      <c r="U1044" s="178"/>
      <c r="V1044" s="179"/>
      <c r="W1044" s="180"/>
      <c r="X1044" s="179"/>
      <c r="Y1044" s="180"/>
      <c r="Z1044" s="178"/>
      <c r="AA1044" s="178"/>
      <c r="AB1044" s="178"/>
      <c r="AC1044" s="178"/>
      <c r="AD1044" s="182"/>
      <c r="AE1044" s="182"/>
      <c r="AF1044" s="182"/>
      <c r="AG1044" s="182"/>
      <c r="AH1044" s="401"/>
      <c r="AI1044" s="401"/>
      <c r="AJ1044" s="401"/>
      <c r="AK1044" s="401"/>
      <c r="AL1044" s="401"/>
      <c r="AM1044" s="189"/>
      <c r="AN1044" s="829"/>
      <c r="AO1044" s="830"/>
      <c r="AP1044" s="401"/>
      <c r="AQ1044" s="401"/>
      <c r="AR1044" s="401"/>
      <c r="AS1044" s="401"/>
      <c r="AT1044" s="403"/>
      <c r="AU1044" s="403"/>
      <c r="AV1044" s="170"/>
      <c r="AW1044" s="166"/>
      <c r="AX1044" s="166"/>
      <c r="AY1044" s="189"/>
      <c r="AZ1044" s="189"/>
      <c r="BA1044" s="196"/>
      <c r="BB1044" s="629"/>
      <c r="BC1044" s="190"/>
      <c r="BD1044" s="510"/>
      <c r="BE1044" s="510"/>
      <c r="BF1044" s="177"/>
      <c r="BG1044" s="177"/>
      <c r="BH1044" s="166"/>
      <c r="BI1044" s="474"/>
      <c r="BJ1044" s="166"/>
      <c r="BK1044" s="474"/>
      <c r="BL1044" s="474"/>
      <c r="BM1044" s="474"/>
      <c r="BN1044" s="166"/>
      <c r="BO1044" s="166"/>
      <c r="BP1044" s="204"/>
      <c r="BQ1044" s="475"/>
      <c r="BR1044" s="205"/>
      <c r="BS1044" s="509"/>
      <c r="BT1044" s="509"/>
      <c r="BU1044" s="459"/>
      <c r="BV1044" s="459"/>
      <c r="BW1044" s="1"/>
      <c r="BX1044" s="1"/>
      <c r="BY1044" s="546"/>
      <c r="BZ1044" s="546"/>
      <c r="CA1044" s="546"/>
      <c r="CB1044" s="546"/>
      <c r="CC1044" s="728"/>
      <c r="CD1044" s="728"/>
      <c r="CE1044" s="170"/>
    </row>
    <row r="1045" spans="1:83" customFormat="1">
      <c r="A1045" s="701"/>
      <c r="B1045" s="447"/>
      <c r="C1045" s="161"/>
      <c r="D1045" s="162"/>
      <c r="E1045" s="1"/>
      <c r="F1045" s="811"/>
      <c r="G1045" s="440"/>
      <c r="H1045" s="1"/>
      <c r="I1045" s="55"/>
      <c r="J1045" s="170"/>
      <c r="K1045" s="1"/>
      <c r="L1045" s="170"/>
      <c r="M1045" s="1"/>
      <c r="N1045" s="458"/>
      <c r="O1045" s="170"/>
      <c r="P1045" s="441"/>
      <c r="Q1045" s="55"/>
      <c r="R1045" s="177"/>
      <c r="S1045" s="454"/>
      <c r="T1045" s="178"/>
      <c r="U1045" s="178"/>
      <c r="V1045" s="179"/>
      <c r="W1045" s="180"/>
      <c r="X1045" s="179"/>
      <c r="Y1045" s="180"/>
      <c r="Z1045" s="178"/>
      <c r="AA1045" s="178"/>
      <c r="AB1045" s="178"/>
      <c r="AC1045" s="178"/>
      <c r="AD1045" s="182"/>
      <c r="AE1045" s="182"/>
      <c r="AF1045" s="182"/>
      <c r="AG1045" s="182"/>
      <c r="AH1045" s="401"/>
      <c r="AI1045" s="401"/>
      <c r="AJ1045" s="401"/>
      <c r="AK1045" s="401"/>
      <c r="AL1045" s="401"/>
      <c r="AM1045" s="189"/>
      <c r="AN1045" s="829"/>
      <c r="AO1045" s="830"/>
      <c r="AP1045" s="401"/>
      <c r="AQ1045" s="401"/>
      <c r="AR1045" s="401"/>
      <c r="AS1045" s="401"/>
      <c r="AT1045" s="403"/>
      <c r="AU1045" s="403"/>
      <c r="AV1045" s="170"/>
      <c r="AW1045" s="166"/>
      <c r="AX1045" s="166"/>
      <c r="AY1045" s="189"/>
      <c r="AZ1045" s="189"/>
      <c r="BA1045" s="190"/>
      <c r="BB1045" s="629"/>
      <c r="BC1045" s="190"/>
      <c r="BD1045" s="510"/>
      <c r="BE1045" s="510"/>
      <c r="BF1045" s="177"/>
      <c r="BG1045" s="177"/>
      <c r="BH1045" s="166"/>
      <c r="BI1045" s="474"/>
      <c r="BJ1045" s="166"/>
      <c r="BK1045" s="474"/>
      <c r="BL1045" s="474"/>
      <c r="BM1045" s="474"/>
      <c r="BN1045" s="166"/>
      <c r="BO1045" s="166"/>
      <c r="BP1045" s="204"/>
      <c r="BQ1045" s="475"/>
      <c r="BR1045" s="205"/>
      <c r="BS1045" s="509"/>
      <c r="BT1045" s="509"/>
      <c r="BU1045" s="459"/>
      <c r="BV1045" s="459"/>
      <c r="BW1045" s="1"/>
      <c r="BX1045" s="1"/>
      <c r="BY1045" s="1"/>
      <c r="BZ1045" s="1"/>
      <c r="CA1045" s="1"/>
      <c r="CB1045" s="1"/>
      <c r="CC1045" s="728"/>
      <c r="CD1045" s="728"/>
      <c r="CE1045" s="1"/>
    </row>
    <row r="1046" spans="1:83" customFormat="1">
      <c r="A1046" s="701"/>
      <c r="B1046" s="447"/>
      <c r="C1046" s="1"/>
      <c r="D1046" s="538"/>
      <c r="E1046" s="1"/>
      <c r="F1046" s="811"/>
      <c r="G1046" s="440"/>
      <c r="H1046" s="1"/>
      <c r="I1046" s="55"/>
      <c r="J1046" s="171"/>
      <c r="K1046" s="55"/>
      <c r="L1046" s="171"/>
      <c r="M1046" s="55"/>
      <c r="N1046" s="172"/>
      <c r="O1046" s="170"/>
      <c r="P1046" s="139"/>
      <c r="Q1046" s="172"/>
      <c r="R1046" s="181"/>
      <c r="S1046" s="455"/>
      <c r="T1046" s="170"/>
      <c r="U1046" s="170"/>
      <c r="V1046" s="1"/>
      <c r="W1046" s="173"/>
      <c r="X1046" s="1"/>
      <c r="Y1046" s="166"/>
      <c r="Z1046" s="170"/>
      <c r="AA1046" s="170"/>
      <c r="AB1046" s="170"/>
      <c r="AC1046" s="170"/>
      <c r="AD1046" s="182"/>
      <c r="AE1046" s="182"/>
      <c r="AF1046" s="182"/>
      <c r="AG1046" s="182"/>
      <c r="AH1046" s="189"/>
      <c r="AI1046" s="401"/>
      <c r="AJ1046" s="189"/>
      <c r="AK1046" s="401"/>
      <c r="AL1046" s="401"/>
      <c r="AM1046" s="189"/>
      <c r="AN1046" s="782"/>
      <c r="AO1046" s="189"/>
      <c r="AP1046" s="401"/>
      <c r="AQ1046" s="401"/>
      <c r="AR1046" s="401"/>
      <c r="AS1046" s="188"/>
      <c r="AT1046" s="1"/>
      <c r="AU1046" s="403"/>
      <c r="AV1046" s="1"/>
      <c r="AW1046" s="166"/>
      <c r="AX1046" s="166"/>
      <c r="AY1046" s="189"/>
      <c r="AZ1046" s="189"/>
      <c r="BA1046" s="196"/>
      <c r="BB1046" s="629"/>
      <c r="BC1046" s="197"/>
      <c r="BD1046" s="510"/>
      <c r="BE1046" s="510"/>
      <c r="BF1046" s="177"/>
      <c r="BG1046" s="177"/>
      <c r="BH1046" s="166"/>
      <c r="BI1046" s="474"/>
      <c r="BJ1046" s="166"/>
      <c r="BK1046" s="474"/>
      <c r="BL1046" s="474"/>
      <c r="BM1046" s="474"/>
      <c r="BN1046" s="166"/>
      <c r="BO1046" s="166"/>
      <c r="BP1046" s="204"/>
      <c r="BQ1046" s="475"/>
      <c r="BR1046" s="205"/>
      <c r="BS1046" s="509"/>
      <c r="BT1046" s="509"/>
      <c r="BU1046" s="459"/>
      <c r="BV1046" s="459"/>
      <c r="BW1046" s="1"/>
      <c r="BX1046" s="1"/>
      <c r="BY1046" s="546"/>
      <c r="BZ1046" s="546"/>
      <c r="CA1046" s="546"/>
      <c r="CB1046" s="546"/>
      <c r="CC1046" s="728"/>
      <c r="CD1046" s="728"/>
      <c r="CE1046" s="170"/>
    </row>
    <row r="1047" spans="1:83" customFormat="1">
      <c r="A1047" s="701"/>
      <c r="B1047" s="447"/>
      <c r="C1047" s="161"/>
      <c r="D1047" s="162"/>
      <c r="E1047" s="1"/>
      <c r="F1047" s="811"/>
      <c r="G1047" s="440"/>
      <c r="H1047" s="1"/>
      <c r="I1047" s="55"/>
      <c r="J1047" s="170"/>
      <c r="K1047" s="1"/>
      <c r="L1047" s="170"/>
      <c r="M1047" s="1"/>
      <c r="N1047" s="458"/>
      <c r="O1047" s="170"/>
      <c r="P1047" s="441"/>
      <c r="Q1047" s="55"/>
      <c r="R1047" s="177"/>
      <c r="S1047" s="454"/>
      <c r="T1047" s="178"/>
      <c r="U1047" s="178"/>
      <c r="V1047" s="179"/>
      <c r="W1047" s="180"/>
      <c r="X1047" s="179"/>
      <c r="Y1047" s="180"/>
      <c r="Z1047" s="178"/>
      <c r="AA1047" s="178"/>
      <c r="AB1047" s="178"/>
      <c r="AC1047" s="178"/>
      <c r="AD1047" s="182"/>
      <c r="AE1047" s="182"/>
      <c r="AF1047" s="182"/>
      <c r="AG1047" s="182"/>
      <c r="AH1047" s="401"/>
      <c r="AI1047" s="401"/>
      <c r="AJ1047" s="401"/>
      <c r="AK1047" s="401"/>
      <c r="AL1047" s="401"/>
      <c r="AM1047" s="189"/>
      <c r="AN1047" s="829"/>
      <c r="AO1047" s="830"/>
      <c r="AP1047" s="401"/>
      <c r="AQ1047" s="401"/>
      <c r="AR1047" s="401"/>
      <c r="AS1047" s="401"/>
      <c r="AT1047" s="403"/>
      <c r="AU1047" s="403"/>
      <c r="AV1047" s="170"/>
      <c r="AW1047" s="166"/>
      <c r="AX1047" s="166"/>
      <c r="AY1047" s="189"/>
      <c r="AZ1047" s="189"/>
      <c r="BA1047" s="196"/>
      <c r="BB1047" s="629"/>
      <c r="BC1047" s="190"/>
      <c r="BD1047" s="510"/>
      <c r="BE1047" s="510"/>
      <c r="BF1047" s="177"/>
      <c r="BG1047" s="177"/>
      <c r="BH1047" s="166"/>
      <c r="BI1047" s="474"/>
      <c r="BJ1047" s="166"/>
      <c r="BK1047" s="474"/>
      <c r="BL1047" s="474"/>
      <c r="BM1047" s="474"/>
      <c r="BN1047" s="166"/>
      <c r="BO1047" s="166"/>
      <c r="BP1047" s="204"/>
      <c r="BQ1047" s="475"/>
      <c r="BR1047" s="205"/>
      <c r="BS1047" s="509"/>
      <c r="BT1047" s="509"/>
      <c r="BU1047" s="459"/>
      <c r="BV1047" s="459"/>
      <c r="BW1047" s="1"/>
      <c r="BX1047" s="1"/>
      <c r="BY1047" s="546"/>
      <c r="BZ1047" s="546"/>
      <c r="CA1047" s="546"/>
      <c r="CB1047" s="546"/>
      <c r="CC1047" s="728"/>
      <c r="CD1047" s="728"/>
      <c r="CE1047" s="170"/>
    </row>
    <row r="1048" spans="1:83" customFormat="1">
      <c r="A1048" s="701"/>
      <c r="B1048" s="447"/>
      <c r="C1048" s="161"/>
      <c r="D1048" s="162"/>
      <c r="E1048" s="1"/>
      <c r="F1048" s="811"/>
      <c r="G1048" s="440"/>
      <c r="H1048" s="1"/>
      <c r="I1048" s="55"/>
      <c r="J1048" s="170"/>
      <c r="K1048" s="1"/>
      <c r="L1048" s="170"/>
      <c r="M1048" s="1"/>
      <c r="N1048" s="458"/>
      <c r="O1048" s="170"/>
      <c r="P1048" s="441"/>
      <c r="Q1048" s="55"/>
      <c r="R1048" s="177"/>
      <c r="S1048" s="454"/>
      <c r="T1048" s="178"/>
      <c r="U1048" s="178"/>
      <c r="V1048" s="179"/>
      <c r="W1048" s="180"/>
      <c r="X1048" s="179"/>
      <c r="Y1048" s="180"/>
      <c r="Z1048" s="178"/>
      <c r="AA1048" s="178"/>
      <c r="AB1048" s="178"/>
      <c r="AC1048" s="178"/>
      <c r="AD1048" s="182"/>
      <c r="AE1048" s="182"/>
      <c r="AF1048" s="182"/>
      <c r="AG1048" s="182"/>
      <c r="AH1048" s="401"/>
      <c r="AI1048" s="401"/>
      <c r="AJ1048" s="401"/>
      <c r="AK1048" s="401"/>
      <c r="AL1048" s="401"/>
      <c r="AM1048" s="189"/>
      <c r="AN1048" s="829"/>
      <c r="AO1048" s="830"/>
      <c r="AP1048" s="401"/>
      <c r="AQ1048" s="401"/>
      <c r="AR1048" s="401"/>
      <c r="AS1048" s="401"/>
      <c r="AT1048" s="403"/>
      <c r="AU1048" s="403"/>
      <c r="AV1048" s="170"/>
      <c r="AW1048" s="166"/>
      <c r="AX1048" s="166"/>
      <c r="AY1048" s="189"/>
      <c r="AZ1048" s="189"/>
      <c r="BA1048" s="196"/>
      <c r="BB1048" s="629"/>
      <c r="BC1048" s="190"/>
      <c r="BD1048" s="510"/>
      <c r="BE1048" s="510"/>
      <c r="BF1048" s="177"/>
      <c r="BG1048" s="177"/>
      <c r="BH1048" s="166"/>
      <c r="BI1048" s="474"/>
      <c r="BJ1048" s="166"/>
      <c r="BK1048" s="474"/>
      <c r="BL1048" s="474"/>
      <c r="BM1048" s="474"/>
      <c r="BN1048" s="166"/>
      <c r="BO1048" s="166"/>
      <c r="BP1048" s="204"/>
      <c r="BQ1048" s="475"/>
      <c r="BR1048" s="205"/>
      <c r="BS1048" s="509"/>
      <c r="BT1048" s="509"/>
      <c r="BU1048" s="459"/>
      <c r="BV1048" s="459"/>
      <c r="BW1048" s="1"/>
      <c r="BX1048" s="1"/>
      <c r="BY1048" s="546"/>
      <c r="BZ1048" s="546"/>
      <c r="CA1048" s="546"/>
      <c r="CB1048" s="546"/>
      <c r="CC1048" s="728"/>
      <c r="CD1048" s="728"/>
      <c r="CE1048" s="170"/>
    </row>
    <row r="1049" spans="1:83" customFormat="1">
      <c r="A1049" s="701"/>
      <c r="B1049" s="447"/>
      <c r="C1049" s="161"/>
      <c r="D1049" s="162"/>
      <c r="E1049" s="1"/>
      <c r="F1049" s="811"/>
      <c r="G1049" s="440"/>
      <c r="H1049" s="1"/>
      <c r="I1049" s="55"/>
      <c r="J1049" s="170"/>
      <c r="K1049" s="1"/>
      <c r="L1049" s="170"/>
      <c r="M1049" s="1"/>
      <c r="N1049" s="458"/>
      <c r="O1049" s="170"/>
      <c r="P1049" s="441"/>
      <c r="Q1049" s="55"/>
      <c r="R1049" s="177"/>
      <c r="S1049" s="454"/>
      <c r="T1049" s="178"/>
      <c r="U1049" s="178"/>
      <c r="V1049" s="179"/>
      <c r="W1049" s="180"/>
      <c r="X1049" s="179"/>
      <c r="Y1049" s="180"/>
      <c r="Z1049" s="178"/>
      <c r="AA1049" s="178"/>
      <c r="AB1049" s="178"/>
      <c r="AC1049" s="178"/>
      <c r="AD1049" s="182"/>
      <c r="AE1049" s="182"/>
      <c r="AF1049" s="182"/>
      <c r="AG1049" s="182"/>
      <c r="AH1049" s="401"/>
      <c r="AI1049" s="401"/>
      <c r="AJ1049" s="401"/>
      <c r="AK1049" s="401"/>
      <c r="AL1049" s="401"/>
      <c r="AM1049" s="189"/>
      <c r="AN1049" s="829"/>
      <c r="AO1049" s="830"/>
      <c r="AP1049" s="401"/>
      <c r="AQ1049" s="401"/>
      <c r="AR1049" s="401"/>
      <c r="AS1049" s="401"/>
      <c r="AT1049" s="403"/>
      <c r="AU1049" s="403"/>
      <c r="AV1049" s="170"/>
      <c r="AW1049" s="166"/>
      <c r="AX1049" s="166"/>
      <c r="AY1049" s="189"/>
      <c r="AZ1049" s="189"/>
      <c r="BA1049" s="190"/>
      <c r="BB1049" s="629"/>
      <c r="BC1049" s="190"/>
      <c r="BD1049" s="510"/>
      <c r="BE1049" s="510"/>
      <c r="BF1049" s="177"/>
      <c r="BG1049" s="177"/>
      <c r="BH1049" s="166"/>
      <c r="BI1049" s="474"/>
      <c r="BJ1049" s="166"/>
      <c r="BK1049" s="474"/>
      <c r="BL1049" s="474"/>
      <c r="BM1049" s="474"/>
      <c r="BN1049" s="166"/>
      <c r="BO1049" s="166"/>
      <c r="BP1049" s="204"/>
      <c r="BQ1049" s="475"/>
      <c r="BR1049" s="205"/>
      <c r="BS1049" s="509"/>
      <c r="BT1049" s="509"/>
      <c r="BU1049" s="459"/>
      <c r="BV1049" s="459"/>
      <c r="BW1049" s="1"/>
      <c r="BX1049" s="1"/>
      <c r="BY1049" s="1"/>
      <c r="BZ1049" s="1"/>
      <c r="CA1049" s="1"/>
      <c r="CB1049" s="1"/>
      <c r="CC1049" s="728"/>
      <c r="CD1049" s="728"/>
      <c r="CE1049" s="1"/>
    </row>
    <row r="1050" spans="1:83" customFormat="1">
      <c r="A1050" s="701"/>
      <c r="B1050" s="447"/>
      <c r="C1050" s="161"/>
      <c r="D1050" s="162"/>
      <c r="E1050" s="1"/>
      <c r="F1050" s="811"/>
      <c r="G1050" s="440"/>
      <c r="H1050" s="1"/>
      <c r="I1050" s="55"/>
      <c r="J1050" s="170"/>
      <c r="K1050" s="1"/>
      <c r="L1050" s="170"/>
      <c r="M1050" s="1"/>
      <c r="N1050" s="458"/>
      <c r="O1050" s="170"/>
      <c r="P1050" s="441"/>
      <c r="Q1050" s="55"/>
      <c r="R1050" s="177"/>
      <c r="S1050" s="454"/>
      <c r="T1050" s="178"/>
      <c r="U1050" s="178"/>
      <c r="V1050" s="179"/>
      <c r="W1050" s="180"/>
      <c r="X1050" s="179"/>
      <c r="Y1050" s="180"/>
      <c r="Z1050" s="178"/>
      <c r="AA1050" s="178"/>
      <c r="AB1050" s="178"/>
      <c r="AC1050" s="178"/>
      <c r="AD1050" s="182"/>
      <c r="AE1050" s="182"/>
      <c r="AF1050" s="182"/>
      <c r="AG1050" s="182"/>
      <c r="AH1050" s="401"/>
      <c r="AI1050" s="401"/>
      <c r="AJ1050" s="401"/>
      <c r="AK1050" s="401"/>
      <c r="AL1050" s="401"/>
      <c r="AM1050" s="189"/>
      <c r="AN1050" s="829"/>
      <c r="AO1050" s="830"/>
      <c r="AP1050" s="401"/>
      <c r="AQ1050" s="401"/>
      <c r="AR1050" s="401"/>
      <c r="AS1050" s="401"/>
      <c r="AT1050" s="403"/>
      <c r="AU1050" s="403"/>
      <c r="AV1050" s="170"/>
      <c r="AW1050" s="166"/>
      <c r="AX1050" s="166"/>
      <c r="AY1050" s="189"/>
      <c r="AZ1050" s="189"/>
      <c r="BA1050" s="190"/>
      <c r="BB1050" s="629"/>
      <c r="BC1050" s="190"/>
      <c r="BD1050" s="510"/>
      <c r="BE1050" s="510"/>
      <c r="BF1050" s="177"/>
      <c r="BG1050" s="177"/>
      <c r="BH1050" s="166"/>
      <c r="BI1050" s="474"/>
      <c r="BJ1050" s="166"/>
      <c r="BK1050" s="474"/>
      <c r="BL1050" s="474"/>
      <c r="BM1050" s="474"/>
      <c r="BN1050" s="166"/>
      <c r="BO1050" s="166"/>
      <c r="BP1050" s="204"/>
      <c r="BQ1050" s="475"/>
      <c r="BR1050" s="205"/>
      <c r="BS1050" s="509"/>
      <c r="BT1050" s="509"/>
      <c r="BU1050" s="459"/>
      <c r="BV1050" s="459"/>
      <c r="BW1050" s="1"/>
      <c r="BX1050" s="1"/>
      <c r="BY1050" s="1"/>
      <c r="BZ1050" s="1"/>
      <c r="CA1050" s="1"/>
      <c r="CB1050" s="1"/>
      <c r="CC1050" s="728"/>
      <c r="CD1050" s="728"/>
      <c r="CE1050" s="1"/>
    </row>
    <row r="1051" spans="1:83" customFormat="1">
      <c r="A1051" s="701"/>
      <c r="B1051" s="447"/>
      <c r="C1051" s="161"/>
      <c r="D1051" s="162"/>
      <c r="E1051" s="1"/>
      <c r="F1051" s="811"/>
      <c r="G1051" s="440"/>
      <c r="H1051" s="1"/>
      <c r="I1051" s="55"/>
      <c r="J1051" s="170"/>
      <c r="K1051" s="1"/>
      <c r="L1051" s="170"/>
      <c r="M1051" s="1"/>
      <c r="N1051" s="458"/>
      <c r="O1051" s="170"/>
      <c r="P1051" s="441"/>
      <c r="Q1051" s="55"/>
      <c r="R1051" s="177"/>
      <c r="S1051" s="454"/>
      <c r="T1051" s="178"/>
      <c r="U1051" s="178"/>
      <c r="V1051" s="179"/>
      <c r="W1051" s="180"/>
      <c r="X1051" s="179"/>
      <c r="Y1051" s="180"/>
      <c r="Z1051" s="178"/>
      <c r="AA1051" s="178"/>
      <c r="AB1051" s="178"/>
      <c r="AC1051" s="178"/>
      <c r="AD1051" s="182"/>
      <c r="AE1051" s="182"/>
      <c r="AF1051" s="182"/>
      <c r="AG1051" s="182"/>
      <c r="AH1051" s="401"/>
      <c r="AI1051" s="401"/>
      <c r="AJ1051" s="401"/>
      <c r="AK1051" s="401"/>
      <c r="AL1051" s="401"/>
      <c r="AM1051" s="189"/>
      <c r="AN1051" s="829"/>
      <c r="AO1051" s="830"/>
      <c r="AP1051" s="401"/>
      <c r="AQ1051" s="401"/>
      <c r="AR1051" s="401"/>
      <c r="AS1051" s="401"/>
      <c r="AT1051" s="403"/>
      <c r="AU1051" s="403"/>
      <c r="AV1051" s="170"/>
      <c r="AW1051" s="166"/>
      <c r="AX1051" s="166"/>
      <c r="AY1051" s="189"/>
      <c r="AZ1051" s="189"/>
      <c r="BA1051" s="190"/>
      <c r="BB1051" s="629"/>
      <c r="BC1051" s="190"/>
      <c r="BD1051" s="510"/>
      <c r="BE1051" s="510"/>
      <c r="BF1051" s="177"/>
      <c r="BG1051" s="177"/>
      <c r="BH1051" s="166"/>
      <c r="BI1051" s="474"/>
      <c r="BJ1051" s="166"/>
      <c r="BK1051" s="474"/>
      <c r="BL1051" s="474"/>
      <c r="BM1051" s="474"/>
      <c r="BN1051" s="166"/>
      <c r="BO1051" s="166"/>
      <c r="BP1051" s="204"/>
      <c r="BQ1051" s="475"/>
      <c r="BR1051" s="205"/>
      <c r="BS1051" s="509"/>
      <c r="BT1051" s="509"/>
      <c r="BU1051" s="459"/>
      <c r="BV1051" s="459"/>
      <c r="BW1051" s="1"/>
      <c r="BX1051" s="1"/>
      <c r="BY1051" s="1"/>
      <c r="BZ1051" s="1"/>
      <c r="CA1051" s="1"/>
      <c r="CB1051" s="1"/>
      <c r="CC1051" s="728"/>
      <c r="CD1051" s="728"/>
      <c r="CE1051" s="1"/>
    </row>
    <row r="1052" spans="1:83" customFormat="1">
      <c r="A1052" s="701"/>
      <c r="B1052" s="447"/>
      <c r="C1052" s="161"/>
      <c r="D1052" s="162"/>
      <c r="E1052" s="1"/>
      <c r="F1052" s="811"/>
      <c r="G1052" s="440"/>
      <c r="H1052" s="1"/>
      <c r="I1052" s="55"/>
      <c r="J1052" s="170"/>
      <c r="K1052" s="1"/>
      <c r="L1052" s="170"/>
      <c r="M1052" s="1"/>
      <c r="N1052" s="458"/>
      <c r="O1052" s="170"/>
      <c r="P1052" s="441"/>
      <c r="Q1052" s="55"/>
      <c r="R1052" s="177"/>
      <c r="S1052" s="454"/>
      <c r="T1052" s="178"/>
      <c r="U1052" s="178"/>
      <c r="V1052" s="179"/>
      <c r="W1052" s="180"/>
      <c r="X1052" s="179"/>
      <c r="Y1052" s="180"/>
      <c r="Z1052" s="178"/>
      <c r="AA1052" s="178"/>
      <c r="AB1052" s="178"/>
      <c r="AC1052" s="178"/>
      <c r="AD1052" s="182"/>
      <c r="AE1052" s="182"/>
      <c r="AF1052" s="182"/>
      <c r="AG1052" s="182"/>
      <c r="AH1052" s="401"/>
      <c r="AI1052" s="401"/>
      <c r="AJ1052" s="401"/>
      <c r="AK1052" s="401"/>
      <c r="AL1052" s="401"/>
      <c r="AM1052" s="189"/>
      <c r="AN1052" s="829"/>
      <c r="AO1052" s="830"/>
      <c r="AP1052" s="401"/>
      <c r="AQ1052" s="401"/>
      <c r="AR1052" s="401"/>
      <c r="AS1052" s="401"/>
      <c r="AT1052" s="403"/>
      <c r="AU1052" s="403"/>
      <c r="AV1052" s="170"/>
      <c r="AW1052" s="166"/>
      <c r="AX1052" s="166"/>
      <c r="AY1052" s="189"/>
      <c r="AZ1052" s="189"/>
      <c r="BA1052" s="190"/>
      <c r="BB1052" s="629"/>
      <c r="BC1052" s="190"/>
      <c r="BD1052" s="510"/>
      <c r="BE1052" s="510"/>
      <c r="BF1052" s="177"/>
      <c r="BG1052" s="177"/>
      <c r="BH1052" s="166"/>
      <c r="BI1052" s="474"/>
      <c r="BJ1052" s="166"/>
      <c r="BK1052" s="474"/>
      <c r="BL1052" s="474"/>
      <c r="BM1052" s="474"/>
      <c r="BN1052" s="166"/>
      <c r="BO1052" s="166"/>
      <c r="BP1052" s="204"/>
      <c r="BQ1052" s="475"/>
      <c r="BR1052" s="205"/>
      <c r="BS1052" s="509"/>
      <c r="BT1052" s="509"/>
      <c r="BU1052" s="459"/>
      <c r="BV1052" s="459"/>
      <c r="BW1052" s="1"/>
      <c r="BX1052" s="1"/>
      <c r="BY1052" s="1"/>
      <c r="BZ1052" s="1"/>
      <c r="CA1052" s="1"/>
      <c r="CB1052" s="1"/>
      <c r="CC1052" s="728"/>
      <c r="CD1052" s="728"/>
      <c r="CE1052" s="1"/>
    </row>
    <row r="1053" spans="1:83" customFormat="1">
      <c r="A1053" s="701"/>
      <c r="B1053" s="447"/>
      <c r="C1053" s="161"/>
      <c r="D1053" s="162"/>
      <c r="E1053" s="1"/>
      <c r="F1053" s="811"/>
      <c r="G1053" s="440"/>
      <c r="H1053" s="1"/>
      <c r="I1053" s="55"/>
      <c r="J1053" s="170"/>
      <c r="K1053" s="1"/>
      <c r="L1053" s="170"/>
      <c r="M1053" s="1"/>
      <c r="N1053" s="458"/>
      <c r="O1053" s="170"/>
      <c r="P1053" s="441"/>
      <c r="Q1053" s="55"/>
      <c r="R1053" s="177"/>
      <c r="S1053" s="454"/>
      <c r="T1053" s="178"/>
      <c r="U1053" s="178"/>
      <c r="V1053" s="179"/>
      <c r="W1053" s="180"/>
      <c r="X1053" s="179"/>
      <c r="Y1053" s="180"/>
      <c r="Z1053" s="178"/>
      <c r="AA1053" s="178"/>
      <c r="AB1053" s="178"/>
      <c r="AC1053" s="178"/>
      <c r="AD1053" s="182"/>
      <c r="AE1053" s="182"/>
      <c r="AF1053" s="182"/>
      <c r="AG1053" s="182"/>
      <c r="AH1053" s="401"/>
      <c r="AI1053" s="401"/>
      <c r="AJ1053" s="401"/>
      <c r="AK1053" s="401"/>
      <c r="AL1053" s="401"/>
      <c r="AM1053" s="189"/>
      <c r="AN1053" s="829"/>
      <c r="AO1053" s="830"/>
      <c r="AP1053" s="401"/>
      <c r="AQ1053" s="401"/>
      <c r="AR1053" s="401"/>
      <c r="AS1053" s="401"/>
      <c r="AT1053" s="403"/>
      <c r="AU1053" s="403"/>
      <c r="AV1053" s="170"/>
      <c r="AW1053" s="166"/>
      <c r="AX1053" s="166"/>
      <c r="AY1053" s="189"/>
      <c r="AZ1053" s="189"/>
      <c r="BA1053" s="190"/>
      <c r="BB1053" s="629"/>
      <c r="BC1053" s="190"/>
      <c r="BD1053" s="510"/>
      <c r="BE1053" s="510"/>
      <c r="BF1053" s="177"/>
      <c r="BG1053" s="177"/>
      <c r="BH1053" s="166"/>
      <c r="BI1053" s="474"/>
      <c r="BJ1053" s="166"/>
      <c r="BK1053" s="474"/>
      <c r="BL1053" s="474"/>
      <c r="BM1053" s="474"/>
      <c r="BN1053" s="166"/>
      <c r="BO1053" s="166"/>
      <c r="BP1053" s="204"/>
      <c r="BQ1053" s="475"/>
      <c r="BR1053" s="205"/>
      <c r="BS1053" s="509"/>
      <c r="BT1053" s="509"/>
      <c r="BU1053" s="459"/>
      <c r="BV1053" s="459"/>
      <c r="BW1053" s="1"/>
      <c r="BX1053" s="1"/>
      <c r="BY1053" s="1"/>
      <c r="BZ1053" s="1"/>
      <c r="CA1053" s="1"/>
      <c r="CB1053" s="1"/>
      <c r="CC1053" s="728"/>
      <c r="CD1053" s="728"/>
      <c r="CE1053" s="1"/>
    </row>
    <row r="1054" spans="1:83" customFormat="1">
      <c r="A1054" s="701"/>
      <c r="B1054" s="447"/>
      <c r="C1054" s="161"/>
      <c r="D1054" s="162"/>
      <c r="E1054" s="1"/>
      <c r="F1054" s="811"/>
      <c r="G1054" s="440"/>
      <c r="H1054" s="1"/>
      <c r="I1054" s="55"/>
      <c r="J1054" s="170"/>
      <c r="K1054" s="1"/>
      <c r="L1054" s="170"/>
      <c r="M1054" s="1"/>
      <c r="N1054" s="458"/>
      <c r="O1054" s="170"/>
      <c r="P1054" s="441"/>
      <c r="Q1054" s="55"/>
      <c r="R1054" s="177"/>
      <c r="S1054" s="454"/>
      <c r="T1054" s="178"/>
      <c r="U1054" s="178"/>
      <c r="V1054" s="179"/>
      <c r="W1054" s="180"/>
      <c r="X1054" s="179"/>
      <c r="Y1054" s="180"/>
      <c r="Z1054" s="178"/>
      <c r="AA1054" s="178"/>
      <c r="AB1054" s="178"/>
      <c r="AC1054" s="178"/>
      <c r="AD1054" s="182"/>
      <c r="AE1054" s="182"/>
      <c r="AF1054" s="182"/>
      <c r="AG1054" s="182"/>
      <c r="AH1054" s="401"/>
      <c r="AI1054" s="401"/>
      <c r="AJ1054" s="401"/>
      <c r="AK1054" s="401"/>
      <c r="AL1054" s="401"/>
      <c r="AM1054" s="189"/>
      <c r="AN1054" s="829"/>
      <c r="AO1054" s="830"/>
      <c r="AP1054" s="401"/>
      <c r="AQ1054" s="401"/>
      <c r="AR1054" s="401"/>
      <c r="AS1054" s="401"/>
      <c r="AT1054" s="403"/>
      <c r="AU1054" s="403"/>
      <c r="AV1054" s="170"/>
      <c r="AW1054" s="166"/>
      <c r="AX1054" s="166"/>
      <c r="AY1054" s="189"/>
      <c r="AZ1054" s="189"/>
      <c r="BA1054" s="190"/>
      <c r="BB1054" s="629"/>
      <c r="BC1054" s="190"/>
      <c r="BD1054" s="510"/>
      <c r="BE1054" s="510"/>
      <c r="BF1054" s="177"/>
      <c r="BG1054" s="177"/>
      <c r="BH1054" s="166"/>
      <c r="BI1054" s="474"/>
      <c r="BJ1054" s="166"/>
      <c r="BK1054" s="474"/>
      <c r="BL1054" s="474"/>
      <c r="BM1054" s="474"/>
      <c r="BN1054" s="166"/>
      <c r="BO1054" s="166"/>
      <c r="BP1054" s="204"/>
      <c r="BQ1054" s="475"/>
      <c r="BR1054" s="205"/>
      <c r="BS1054" s="509"/>
      <c r="BT1054" s="509"/>
      <c r="BU1054" s="459"/>
      <c r="BV1054" s="459"/>
      <c r="BW1054" s="1"/>
      <c r="BX1054" s="1"/>
      <c r="BY1054" s="1"/>
      <c r="BZ1054" s="1"/>
      <c r="CA1054" s="1"/>
      <c r="CB1054" s="1"/>
      <c r="CC1054" s="728"/>
      <c r="CD1054" s="728"/>
      <c r="CE1054" s="1"/>
    </row>
    <row r="1055" spans="1:83" customFormat="1">
      <c r="A1055" s="701"/>
      <c r="B1055" s="447"/>
      <c r="C1055" s="161"/>
      <c r="D1055" s="162"/>
      <c r="E1055" s="1"/>
      <c r="F1055" s="811"/>
      <c r="G1055" s="440"/>
      <c r="H1055" s="1"/>
      <c r="I1055" s="55"/>
      <c r="J1055" s="170"/>
      <c r="K1055" s="1"/>
      <c r="L1055" s="170"/>
      <c r="M1055" s="1"/>
      <c r="N1055" s="458"/>
      <c r="O1055" s="170"/>
      <c r="P1055" s="441"/>
      <c r="Q1055" s="55"/>
      <c r="R1055" s="177"/>
      <c r="S1055" s="454"/>
      <c r="T1055" s="178"/>
      <c r="U1055" s="178"/>
      <c r="V1055" s="179"/>
      <c r="W1055" s="180"/>
      <c r="X1055" s="179"/>
      <c r="Y1055" s="180"/>
      <c r="Z1055" s="178"/>
      <c r="AA1055" s="178"/>
      <c r="AB1055" s="178"/>
      <c r="AC1055" s="178"/>
      <c r="AD1055" s="182"/>
      <c r="AE1055" s="182"/>
      <c r="AF1055" s="182"/>
      <c r="AG1055" s="182"/>
      <c r="AH1055" s="401"/>
      <c r="AI1055" s="401"/>
      <c r="AJ1055" s="401"/>
      <c r="AK1055" s="401"/>
      <c r="AL1055" s="401"/>
      <c r="AM1055" s="189"/>
      <c r="AN1055" s="829"/>
      <c r="AO1055" s="830"/>
      <c r="AP1055" s="401"/>
      <c r="AQ1055" s="401"/>
      <c r="AR1055" s="401"/>
      <c r="AS1055" s="401"/>
      <c r="AT1055" s="403"/>
      <c r="AU1055" s="403"/>
      <c r="AV1055" s="170"/>
      <c r="AW1055" s="166"/>
      <c r="AX1055" s="166"/>
      <c r="AY1055" s="189"/>
      <c r="AZ1055" s="189"/>
      <c r="BA1055" s="190"/>
      <c r="BB1055" s="629"/>
      <c r="BC1055" s="190"/>
      <c r="BD1055" s="510"/>
      <c r="BE1055" s="510"/>
      <c r="BF1055" s="177"/>
      <c r="BG1055" s="177"/>
      <c r="BH1055" s="166"/>
      <c r="BI1055" s="474"/>
      <c r="BJ1055" s="166"/>
      <c r="BK1055" s="474"/>
      <c r="BL1055" s="474"/>
      <c r="BM1055" s="474"/>
      <c r="BN1055" s="166"/>
      <c r="BO1055" s="166"/>
      <c r="BP1055" s="204"/>
      <c r="BQ1055" s="475"/>
      <c r="BR1055" s="205"/>
      <c r="BS1055" s="509"/>
      <c r="BT1055" s="509"/>
      <c r="BU1055" s="459"/>
      <c r="BV1055" s="459"/>
      <c r="BW1055" s="1"/>
      <c r="BX1055" s="1"/>
      <c r="BY1055" s="1"/>
      <c r="BZ1055" s="1"/>
      <c r="CA1055" s="1"/>
      <c r="CB1055" s="1"/>
      <c r="CC1055" s="728"/>
      <c r="CD1055" s="728"/>
      <c r="CE1055" s="1"/>
    </row>
    <row r="1056" spans="1:83" customFormat="1">
      <c r="A1056" s="701"/>
      <c r="B1056" s="447"/>
      <c r="C1056" s="161"/>
      <c r="D1056" s="162"/>
      <c r="E1056" s="1"/>
      <c r="F1056" s="811"/>
      <c r="G1056" s="440"/>
      <c r="H1056" s="1"/>
      <c r="I1056" s="55"/>
      <c r="J1056" s="170"/>
      <c r="K1056" s="1"/>
      <c r="L1056" s="170"/>
      <c r="M1056" s="1"/>
      <c r="N1056" s="458"/>
      <c r="O1056" s="170"/>
      <c r="P1056" s="441"/>
      <c r="Q1056" s="55"/>
      <c r="R1056" s="177"/>
      <c r="S1056" s="454"/>
      <c r="T1056" s="178"/>
      <c r="U1056" s="178"/>
      <c r="V1056" s="179"/>
      <c r="W1056" s="180"/>
      <c r="X1056" s="179"/>
      <c r="Y1056" s="180"/>
      <c r="Z1056" s="178"/>
      <c r="AA1056" s="178"/>
      <c r="AB1056" s="178"/>
      <c r="AC1056" s="178"/>
      <c r="AD1056" s="182"/>
      <c r="AE1056" s="182"/>
      <c r="AF1056" s="182"/>
      <c r="AG1056" s="182"/>
      <c r="AH1056" s="401"/>
      <c r="AI1056" s="401"/>
      <c r="AJ1056" s="401"/>
      <c r="AK1056" s="401"/>
      <c r="AL1056" s="401"/>
      <c r="AM1056" s="189"/>
      <c r="AN1056" s="829"/>
      <c r="AO1056" s="830"/>
      <c r="AP1056" s="401"/>
      <c r="AQ1056" s="401"/>
      <c r="AR1056" s="401"/>
      <c r="AS1056" s="401"/>
      <c r="AT1056" s="403"/>
      <c r="AU1056" s="403"/>
      <c r="AV1056" s="170"/>
      <c r="AW1056" s="166"/>
      <c r="AX1056" s="166"/>
      <c r="AY1056" s="189"/>
      <c r="AZ1056" s="189"/>
      <c r="BA1056" s="190"/>
      <c r="BB1056" s="629"/>
      <c r="BC1056" s="190"/>
      <c r="BD1056" s="510"/>
      <c r="BE1056" s="510"/>
      <c r="BF1056" s="177"/>
      <c r="BG1056" s="177"/>
      <c r="BH1056" s="166"/>
      <c r="BI1056" s="474"/>
      <c r="BJ1056" s="166"/>
      <c r="BK1056" s="474"/>
      <c r="BL1056" s="474"/>
      <c r="BM1056" s="474"/>
      <c r="BN1056" s="166"/>
      <c r="BO1056" s="166"/>
      <c r="BP1056" s="204"/>
      <c r="BQ1056" s="475"/>
      <c r="BR1056" s="205"/>
      <c r="BS1056" s="509"/>
      <c r="BT1056" s="509"/>
      <c r="BU1056" s="459"/>
      <c r="BV1056" s="459"/>
      <c r="BW1056" s="1"/>
      <c r="BX1056" s="1"/>
      <c r="BY1056" s="1"/>
      <c r="BZ1056" s="1"/>
      <c r="CA1056" s="1"/>
      <c r="CB1056" s="1"/>
      <c r="CC1056" s="728"/>
      <c r="CD1056" s="728"/>
      <c r="CE1056" s="1"/>
    </row>
    <row r="1057" spans="1:83" customFormat="1">
      <c r="A1057" s="701"/>
      <c r="B1057" s="447"/>
      <c r="C1057" s="161"/>
      <c r="D1057" s="162"/>
      <c r="E1057" s="1"/>
      <c r="F1057" s="811"/>
      <c r="G1057" s="440"/>
      <c r="H1057" s="1"/>
      <c r="I1057" s="55"/>
      <c r="J1057" s="170"/>
      <c r="K1057" s="1"/>
      <c r="L1057" s="170"/>
      <c r="M1057" s="1"/>
      <c r="N1057" s="458"/>
      <c r="O1057" s="170"/>
      <c r="P1057" s="441"/>
      <c r="Q1057" s="55"/>
      <c r="R1057" s="177"/>
      <c r="S1057" s="454"/>
      <c r="T1057" s="178"/>
      <c r="U1057" s="178"/>
      <c r="V1057" s="179"/>
      <c r="W1057" s="180"/>
      <c r="X1057" s="179"/>
      <c r="Y1057" s="180"/>
      <c r="Z1057" s="178"/>
      <c r="AA1057" s="178"/>
      <c r="AB1057" s="178"/>
      <c r="AC1057" s="178"/>
      <c r="AD1057" s="182"/>
      <c r="AE1057" s="182"/>
      <c r="AF1057" s="182"/>
      <c r="AG1057" s="182"/>
      <c r="AH1057" s="401"/>
      <c r="AI1057" s="401"/>
      <c r="AJ1057" s="401"/>
      <c r="AK1057" s="401"/>
      <c r="AL1057" s="401"/>
      <c r="AM1057" s="189"/>
      <c r="AN1057" s="829"/>
      <c r="AO1057" s="830"/>
      <c r="AP1057" s="401"/>
      <c r="AQ1057" s="401"/>
      <c r="AR1057" s="401"/>
      <c r="AS1057" s="401"/>
      <c r="AT1057" s="403"/>
      <c r="AU1057" s="403"/>
      <c r="AV1057" s="170"/>
      <c r="AW1057" s="166"/>
      <c r="AX1057" s="166"/>
      <c r="AY1057" s="189"/>
      <c r="AZ1057" s="189"/>
      <c r="BA1057" s="190"/>
      <c r="BB1057" s="629"/>
      <c r="BC1057" s="190"/>
      <c r="BD1057" s="510"/>
      <c r="BE1057" s="510"/>
      <c r="BF1057" s="177"/>
      <c r="BG1057" s="177"/>
      <c r="BH1057" s="166"/>
      <c r="BI1057" s="474"/>
      <c r="BJ1057" s="166"/>
      <c r="BK1057" s="474"/>
      <c r="BL1057" s="474"/>
      <c r="BM1057" s="474"/>
      <c r="BN1057" s="166"/>
      <c r="BO1057" s="166"/>
      <c r="BP1057" s="204"/>
      <c r="BQ1057" s="475"/>
      <c r="BR1057" s="205"/>
      <c r="BS1057" s="509"/>
      <c r="BT1057" s="509"/>
      <c r="BU1057" s="459"/>
      <c r="BV1057" s="459"/>
      <c r="BW1057" s="1"/>
      <c r="BX1057" s="1"/>
      <c r="BY1057" s="1"/>
      <c r="BZ1057" s="1"/>
      <c r="CA1057" s="1"/>
      <c r="CB1057" s="1"/>
      <c r="CC1057" s="728"/>
      <c r="CD1057" s="728"/>
      <c r="CE1057" s="1"/>
    </row>
    <row r="1058" spans="1:83" customFormat="1">
      <c r="A1058" s="701"/>
      <c r="B1058" s="447"/>
      <c r="C1058" s="161"/>
      <c r="D1058" s="162"/>
      <c r="E1058" s="1"/>
      <c r="F1058" s="811"/>
      <c r="G1058" s="440"/>
      <c r="H1058" s="1"/>
      <c r="I1058" s="55"/>
      <c r="J1058" s="170"/>
      <c r="K1058" s="1"/>
      <c r="L1058" s="170"/>
      <c r="M1058" s="1"/>
      <c r="N1058" s="458"/>
      <c r="O1058" s="170"/>
      <c r="P1058" s="441"/>
      <c r="Q1058" s="55"/>
      <c r="R1058" s="177"/>
      <c r="S1058" s="454"/>
      <c r="T1058" s="178"/>
      <c r="U1058" s="178"/>
      <c r="V1058" s="179"/>
      <c r="W1058" s="180"/>
      <c r="X1058" s="179"/>
      <c r="Y1058" s="180"/>
      <c r="Z1058" s="178"/>
      <c r="AA1058" s="178"/>
      <c r="AB1058" s="178"/>
      <c r="AC1058" s="178"/>
      <c r="AD1058" s="182"/>
      <c r="AE1058" s="182"/>
      <c r="AF1058" s="182"/>
      <c r="AG1058" s="182"/>
      <c r="AH1058" s="401"/>
      <c r="AI1058" s="401"/>
      <c r="AJ1058" s="401"/>
      <c r="AK1058" s="401"/>
      <c r="AL1058" s="401"/>
      <c r="AM1058" s="189"/>
      <c r="AN1058" s="829"/>
      <c r="AO1058" s="830"/>
      <c r="AP1058" s="401"/>
      <c r="AQ1058" s="401"/>
      <c r="AR1058" s="401"/>
      <c r="AS1058" s="401"/>
      <c r="AT1058" s="403"/>
      <c r="AU1058" s="403"/>
      <c r="AV1058" s="170"/>
      <c r="AW1058" s="166"/>
      <c r="AX1058" s="166"/>
      <c r="AY1058" s="189"/>
      <c r="AZ1058" s="189"/>
      <c r="BA1058" s="190"/>
      <c r="BB1058" s="629"/>
      <c r="BC1058" s="190"/>
      <c r="BD1058" s="510"/>
      <c r="BE1058" s="510"/>
      <c r="BF1058" s="177"/>
      <c r="BG1058" s="177"/>
      <c r="BH1058" s="166"/>
      <c r="BI1058" s="474"/>
      <c r="BJ1058" s="166"/>
      <c r="BK1058" s="474"/>
      <c r="BL1058" s="474"/>
      <c r="BM1058" s="474"/>
      <c r="BN1058" s="166"/>
      <c r="BO1058" s="166"/>
      <c r="BP1058" s="204"/>
      <c r="BQ1058" s="475"/>
      <c r="BR1058" s="205"/>
      <c r="BS1058" s="509"/>
      <c r="BT1058" s="509"/>
      <c r="BU1058" s="459"/>
      <c r="BV1058" s="459"/>
      <c r="BW1058" s="1"/>
      <c r="BX1058" s="1"/>
      <c r="BY1058" s="1"/>
      <c r="BZ1058" s="1"/>
      <c r="CA1058" s="1"/>
      <c r="CB1058" s="1"/>
      <c r="CC1058" s="728"/>
      <c r="CD1058" s="728"/>
      <c r="CE1058" s="1"/>
    </row>
    <row r="1059" spans="1:83" customFormat="1">
      <c r="A1059" s="701"/>
      <c r="B1059" s="447"/>
      <c r="C1059" s="161"/>
      <c r="D1059" s="162"/>
      <c r="E1059" s="1"/>
      <c r="F1059" s="811"/>
      <c r="G1059" s="440"/>
      <c r="H1059" s="1"/>
      <c r="I1059" s="55"/>
      <c r="J1059" s="170"/>
      <c r="K1059" s="1"/>
      <c r="L1059" s="170"/>
      <c r="M1059" s="1"/>
      <c r="N1059" s="458"/>
      <c r="O1059" s="170"/>
      <c r="P1059" s="441"/>
      <c r="Q1059" s="55"/>
      <c r="R1059" s="177"/>
      <c r="S1059" s="454"/>
      <c r="T1059" s="178"/>
      <c r="U1059" s="178"/>
      <c r="V1059" s="179"/>
      <c r="W1059" s="180"/>
      <c r="X1059" s="179"/>
      <c r="Y1059" s="180"/>
      <c r="Z1059" s="178"/>
      <c r="AA1059" s="178"/>
      <c r="AB1059" s="178"/>
      <c r="AC1059" s="178"/>
      <c r="AD1059" s="182"/>
      <c r="AE1059" s="182"/>
      <c r="AF1059" s="182"/>
      <c r="AG1059" s="182"/>
      <c r="AH1059" s="401"/>
      <c r="AI1059" s="401"/>
      <c r="AJ1059" s="401"/>
      <c r="AK1059" s="401"/>
      <c r="AL1059" s="401"/>
      <c r="AM1059" s="189"/>
      <c r="AN1059" s="829"/>
      <c r="AO1059" s="830"/>
      <c r="AP1059" s="401"/>
      <c r="AQ1059" s="401"/>
      <c r="AR1059" s="401"/>
      <c r="AS1059" s="401"/>
      <c r="AT1059" s="403"/>
      <c r="AU1059" s="403"/>
      <c r="AV1059" s="170"/>
      <c r="AW1059" s="166"/>
      <c r="AX1059" s="166"/>
      <c r="AY1059" s="189"/>
      <c r="AZ1059" s="189"/>
      <c r="BA1059" s="190"/>
      <c r="BB1059" s="629"/>
      <c r="BC1059" s="190"/>
      <c r="BD1059" s="510"/>
      <c r="BE1059" s="510"/>
      <c r="BF1059" s="177"/>
      <c r="BG1059" s="177"/>
      <c r="BH1059" s="166"/>
      <c r="BI1059" s="474"/>
      <c r="BJ1059" s="166"/>
      <c r="BK1059" s="474"/>
      <c r="BL1059" s="474"/>
      <c r="BM1059" s="474"/>
      <c r="BN1059" s="166"/>
      <c r="BO1059" s="166"/>
      <c r="BP1059" s="204"/>
      <c r="BQ1059" s="475"/>
      <c r="BR1059" s="205"/>
      <c r="BS1059" s="509"/>
      <c r="BT1059" s="509"/>
      <c r="BU1059" s="459"/>
      <c r="BV1059" s="459"/>
      <c r="BW1059" s="1"/>
      <c r="BX1059" s="1"/>
      <c r="BY1059" s="1"/>
      <c r="BZ1059" s="1"/>
      <c r="CA1059" s="1"/>
      <c r="CB1059" s="1"/>
      <c r="CC1059" s="728"/>
      <c r="CD1059" s="728"/>
      <c r="CE1059" s="1"/>
    </row>
    <row r="1060" spans="1:83" customFormat="1">
      <c r="A1060" s="701"/>
      <c r="B1060" s="447"/>
      <c r="C1060" s="161"/>
      <c r="D1060" s="162"/>
      <c r="E1060" s="1"/>
      <c r="F1060" s="811"/>
      <c r="G1060" s="440"/>
      <c r="H1060" s="1"/>
      <c r="I1060" s="55"/>
      <c r="J1060" s="170"/>
      <c r="K1060" s="1"/>
      <c r="L1060" s="170"/>
      <c r="M1060" s="1"/>
      <c r="N1060" s="458"/>
      <c r="O1060" s="170"/>
      <c r="P1060" s="441"/>
      <c r="Q1060" s="55"/>
      <c r="R1060" s="177"/>
      <c r="S1060" s="454"/>
      <c r="T1060" s="178"/>
      <c r="U1060" s="178"/>
      <c r="V1060" s="179"/>
      <c r="W1060" s="180"/>
      <c r="X1060" s="179"/>
      <c r="Y1060" s="180"/>
      <c r="Z1060" s="178"/>
      <c r="AA1060" s="178"/>
      <c r="AB1060" s="178"/>
      <c r="AC1060" s="178"/>
      <c r="AD1060" s="182"/>
      <c r="AE1060" s="182"/>
      <c r="AF1060" s="182"/>
      <c r="AG1060" s="182"/>
      <c r="AH1060" s="401"/>
      <c r="AI1060" s="401"/>
      <c r="AJ1060" s="401"/>
      <c r="AK1060" s="401"/>
      <c r="AL1060" s="401"/>
      <c r="AM1060" s="189"/>
      <c r="AN1060" s="829"/>
      <c r="AO1060" s="830"/>
      <c r="AP1060" s="401"/>
      <c r="AQ1060" s="401"/>
      <c r="AR1060" s="401"/>
      <c r="AS1060" s="401"/>
      <c r="AT1060" s="403"/>
      <c r="AU1060" s="403"/>
      <c r="AV1060" s="170"/>
      <c r="AW1060" s="166"/>
      <c r="AX1060" s="166"/>
      <c r="AY1060" s="189"/>
      <c r="AZ1060" s="189"/>
      <c r="BA1060" s="190"/>
      <c r="BB1060" s="629"/>
      <c r="BC1060" s="190"/>
      <c r="BD1060" s="510"/>
      <c r="BE1060" s="510"/>
      <c r="BF1060" s="177"/>
      <c r="BG1060" s="177"/>
      <c r="BH1060" s="166"/>
      <c r="BI1060" s="474"/>
      <c r="BJ1060" s="166"/>
      <c r="BK1060" s="474"/>
      <c r="BL1060" s="474"/>
      <c r="BM1060" s="474"/>
      <c r="BN1060" s="166"/>
      <c r="BO1060" s="166"/>
      <c r="BP1060" s="204"/>
      <c r="BQ1060" s="475"/>
      <c r="BR1060" s="205"/>
      <c r="BS1060" s="509"/>
      <c r="BT1060" s="509"/>
      <c r="BU1060" s="459"/>
      <c r="BV1060" s="459"/>
      <c r="BW1060" s="1"/>
      <c r="BX1060" s="1"/>
      <c r="BY1060" s="1"/>
      <c r="BZ1060" s="1"/>
      <c r="CA1060" s="1"/>
      <c r="CB1060" s="1"/>
      <c r="CC1060" s="728"/>
      <c r="CD1060" s="728"/>
      <c r="CE1060" s="1"/>
    </row>
    <row r="1061" spans="1:83" customFormat="1">
      <c r="A1061" s="701"/>
      <c r="B1061" s="447"/>
      <c r="C1061" s="161"/>
      <c r="D1061" s="162"/>
      <c r="E1061" s="1"/>
      <c r="F1061" s="811"/>
      <c r="G1061" s="440"/>
      <c r="H1061" s="1"/>
      <c r="I1061" s="55"/>
      <c r="J1061" s="170"/>
      <c r="K1061" s="1"/>
      <c r="L1061" s="170"/>
      <c r="M1061" s="1"/>
      <c r="N1061" s="458"/>
      <c r="O1061" s="170"/>
      <c r="P1061" s="441"/>
      <c r="Q1061" s="55"/>
      <c r="R1061" s="177"/>
      <c r="S1061" s="454"/>
      <c r="T1061" s="178"/>
      <c r="U1061" s="178"/>
      <c r="V1061" s="179"/>
      <c r="W1061" s="180"/>
      <c r="X1061" s="179"/>
      <c r="Y1061" s="180"/>
      <c r="Z1061" s="178"/>
      <c r="AA1061" s="178"/>
      <c r="AB1061" s="178"/>
      <c r="AC1061" s="178"/>
      <c r="AD1061" s="182"/>
      <c r="AE1061" s="182"/>
      <c r="AF1061" s="182"/>
      <c r="AG1061" s="182"/>
      <c r="AH1061" s="401"/>
      <c r="AI1061" s="401"/>
      <c r="AJ1061" s="401"/>
      <c r="AK1061" s="401"/>
      <c r="AL1061" s="401"/>
      <c r="AM1061" s="189"/>
      <c r="AN1061" s="829"/>
      <c r="AO1061" s="830"/>
      <c r="AP1061" s="401"/>
      <c r="AQ1061" s="401"/>
      <c r="AR1061" s="401"/>
      <c r="AS1061" s="401"/>
      <c r="AT1061" s="403"/>
      <c r="AU1061" s="403"/>
      <c r="AV1061" s="170"/>
      <c r="AW1061" s="166"/>
      <c r="AX1061" s="166"/>
      <c r="AY1061" s="189"/>
      <c r="AZ1061" s="189"/>
      <c r="BA1061" s="190"/>
      <c r="BB1061" s="629"/>
      <c r="BC1061" s="190"/>
      <c r="BD1061" s="510"/>
      <c r="BE1061" s="510"/>
      <c r="BF1061" s="177"/>
      <c r="BG1061" s="177"/>
      <c r="BH1061" s="166"/>
      <c r="BI1061" s="474"/>
      <c r="BJ1061" s="166"/>
      <c r="BK1061" s="474"/>
      <c r="BL1061" s="474"/>
      <c r="BM1061" s="474"/>
      <c r="BN1061" s="166"/>
      <c r="BO1061" s="166"/>
      <c r="BP1061" s="204"/>
      <c r="BQ1061" s="475"/>
      <c r="BR1061" s="205"/>
      <c r="BS1061" s="509"/>
      <c r="BT1061" s="509"/>
      <c r="BU1061" s="459"/>
      <c r="BV1061" s="459"/>
      <c r="BW1061" s="1"/>
      <c r="BX1061" s="1"/>
      <c r="BY1061" s="1"/>
      <c r="BZ1061" s="1"/>
      <c r="CA1061" s="1"/>
      <c r="CB1061" s="1"/>
      <c r="CC1061" s="728"/>
      <c r="CD1061" s="728"/>
      <c r="CE1061" s="1"/>
    </row>
    <row r="1062" spans="1:83" customFormat="1">
      <c r="A1062" s="701"/>
      <c r="B1062" s="447"/>
      <c r="C1062" s="161"/>
      <c r="D1062" s="162"/>
      <c r="E1062" s="1"/>
      <c r="F1062" s="811"/>
      <c r="G1062" s="440"/>
      <c r="H1062" s="1"/>
      <c r="I1062" s="55"/>
      <c r="J1062" s="170"/>
      <c r="K1062" s="1"/>
      <c r="L1062" s="170"/>
      <c r="M1062" s="1"/>
      <c r="N1062" s="458"/>
      <c r="O1062" s="170"/>
      <c r="P1062" s="441"/>
      <c r="Q1062" s="55"/>
      <c r="R1062" s="177"/>
      <c r="S1062" s="454"/>
      <c r="T1062" s="178"/>
      <c r="U1062" s="178"/>
      <c r="V1062" s="179"/>
      <c r="W1062" s="180"/>
      <c r="X1062" s="179"/>
      <c r="Y1062" s="180"/>
      <c r="Z1062" s="178"/>
      <c r="AA1062" s="178"/>
      <c r="AB1062" s="178"/>
      <c r="AC1062" s="178"/>
      <c r="AD1062" s="182"/>
      <c r="AE1062" s="182"/>
      <c r="AF1062" s="182"/>
      <c r="AG1062" s="182"/>
      <c r="AH1062" s="401"/>
      <c r="AI1062" s="401"/>
      <c r="AJ1062" s="401"/>
      <c r="AK1062" s="401"/>
      <c r="AL1062" s="401"/>
      <c r="AM1062" s="189"/>
      <c r="AN1062" s="829"/>
      <c r="AO1062" s="830"/>
      <c r="AP1062" s="401"/>
      <c r="AQ1062" s="401"/>
      <c r="AR1062" s="401"/>
      <c r="AS1062" s="401"/>
      <c r="AT1062" s="403"/>
      <c r="AU1062" s="403"/>
      <c r="AV1062" s="170"/>
      <c r="AW1062" s="166"/>
      <c r="AX1062" s="166"/>
      <c r="AY1062" s="189"/>
      <c r="AZ1062" s="189"/>
      <c r="BA1062" s="190"/>
      <c r="BB1062" s="629"/>
      <c r="BC1062" s="190"/>
      <c r="BD1062" s="510"/>
      <c r="BE1062" s="510"/>
      <c r="BF1062" s="177"/>
      <c r="BG1062" s="177"/>
      <c r="BH1062" s="166"/>
      <c r="BI1062" s="474"/>
      <c r="BJ1062" s="166"/>
      <c r="BK1062" s="474"/>
      <c r="BL1062" s="474"/>
      <c r="BM1062" s="474"/>
      <c r="BN1062" s="166"/>
      <c r="BO1062" s="166"/>
      <c r="BP1062" s="204"/>
      <c r="BQ1062" s="475"/>
      <c r="BR1062" s="205"/>
      <c r="BS1062" s="509"/>
      <c r="BT1062" s="509"/>
      <c r="BU1062" s="459"/>
      <c r="BV1062" s="459"/>
      <c r="BW1062" s="1"/>
      <c r="BX1062" s="1"/>
      <c r="BY1062" s="1"/>
      <c r="BZ1062" s="1"/>
      <c r="CA1062" s="1"/>
      <c r="CB1062" s="1"/>
      <c r="CC1062" s="728"/>
      <c r="CD1062" s="728"/>
      <c r="CE1062" s="1"/>
    </row>
    <row r="1063" spans="1:83" customFormat="1">
      <c r="A1063" s="701"/>
      <c r="B1063" s="447"/>
      <c r="C1063" s="161"/>
      <c r="D1063" s="162"/>
      <c r="E1063" s="1"/>
      <c r="F1063" s="811"/>
      <c r="G1063" s="440"/>
      <c r="H1063" s="1"/>
      <c r="I1063" s="55"/>
      <c r="J1063" s="170"/>
      <c r="K1063" s="1"/>
      <c r="L1063" s="170"/>
      <c r="M1063" s="1"/>
      <c r="N1063" s="458"/>
      <c r="O1063" s="170"/>
      <c r="P1063" s="441"/>
      <c r="Q1063" s="55"/>
      <c r="R1063" s="177"/>
      <c r="S1063" s="454"/>
      <c r="T1063" s="178"/>
      <c r="U1063" s="178"/>
      <c r="V1063" s="179"/>
      <c r="W1063" s="180"/>
      <c r="X1063" s="179"/>
      <c r="Y1063" s="180"/>
      <c r="Z1063" s="178"/>
      <c r="AA1063" s="178"/>
      <c r="AB1063" s="178"/>
      <c r="AC1063" s="178"/>
      <c r="AD1063" s="182"/>
      <c r="AE1063" s="182"/>
      <c r="AF1063" s="182"/>
      <c r="AG1063" s="182"/>
      <c r="AH1063" s="401"/>
      <c r="AI1063" s="401"/>
      <c r="AJ1063" s="401"/>
      <c r="AK1063" s="401"/>
      <c r="AL1063" s="401"/>
      <c r="AM1063" s="189"/>
      <c r="AN1063" s="829"/>
      <c r="AO1063" s="830"/>
      <c r="AP1063" s="401"/>
      <c r="AQ1063" s="401"/>
      <c r="AR1063" s="401"/>
      <c r="AS1063" s="401"/>
      <c r="AT1063" s="403"/>
      <c r="AU1063" s="403"/>
      <c r="AV1063" s="170"/>
      <c r="AW1063" s="166"/>
      <c r="AX1063" s="166"/>
      <c r="AY1063" s="189"/>
      <c r="AZ1063" s="189"/>
      <c r="BA1063" s="190"/>
      <c r="BB1063" s="629"/>
      <c r="BC1063" s="190"/>
      <c r="BD1063" s="510"/>
      <c r="BE1063" s="510"/>
      <c r="BF1063" s="177"/>
      <c r="BG1063" s="177"/>
      <c r="BH1063" s="166"/>
      <c r="BI1063" s="474"/>
      <c r="BJ1063" s="166"/>
      <c r="BK1063" s="474"/>
      <c r="BL1063" s="474"/>
      <c r="BM1063" s="474"/>
      <c r="BN1063" s="166"/>
      <c r="BO1063" s="166"/>
      <c r="BP1063" s="204"/>
      <c r="BQ1063" s="475"/>
      <c r="BR1063" s="205"/>
      <c r="BS1063" s="509"/>
      <c r="BT1063" s="509"/>
      <c r="BU1063" s="459"/>
      <c r="BV1063" s="459"/>
      <c r="BW1063" s="1"/>
      <c r="BX1063" s="1"/>
      <c r="BY1063" s="1"/>
      <c r="BZ1063" s="1"/>
      <c r="CA1063" s="1"/>
      <c r="CB1063" s="1"/>
      <c r="CC1063" s="728"/>
      <c r="CD1063" s="728"/>
      <c r="CE1063" s="1"/>
    </row>
    <row r="1064" spans="1:83" customFormat="1">
      <c r="A1064" s="701"/>
      <c r="B1064" s="447"/>
      <c r="C1064" s="161"/>
      <c r="D1064" s="162"/>
      <c r="E1064" s="1"/>
      <c r="F1064" s="811"/>
      <c r="G1064" s="440"/>
      <c r="H1064" s="1"/>
      <c r="I1064" s="55"/>
      <c r="J1064" s="170"/>
      <c r="K1064" s="1"/>
      <c r="L1064" s="170"/>
      <c r="M1064" s="1"/>
      <c r="N1064" s="458"/>
      <c r="O1064" s="170"/>
      <c r="P1064" s="441"/>
      <c r="Q1064" s="55"/>
      <c r="R1064" s="177"/>
      <c r="S1064" s="454"/>
      <c r="T1064" s="178"/>
      <c r="U1064" s="178"/>
      <c r="V1064" s="179"/>
      <c r="W1064" s="180"/>
      <c r="X1064" s="179"/>
      <c r="Y1064" s="180"/>
      <c r="Z1064" s="178"/>
      <c r="AA1064" s="178"/>
      <c r="AB1064" s="178"/>
      <c r="AC1064" s="178"/>
      <c r="AD1064" s="182"/>
      <c r="AE1064" s="182"/>
      <c r="AF1064" s="182"/>
      <c r="AG1064" s="182"/>
      <c r="AH1064" s="401"/>
      <c r="AI1064" s="401"/>
      <c r="AJ1064" s="401"/>
      <c r="AK1064" s="401"/>
      <c r="AL1064" s="401"/>
      <c r="AM1064" s="189"/>
      <c r="AN1064" s="829"/>
      <c r="AO1064" s="830"/>
      <c r="AP1064" s="401"/>
      <c r="AQ1064" s="401"/>
      <c r="AR1064" s="401"/>
      <c r="AS1064" s="401"/>
      <c r="AT1064" s="403"/>
      <c r="AU1064" s="403"/>
      <c r="AV1064" s="170"/>
      <c r="AW1064" s="166"/>
      <c r="AX1064" s="166"/>
      <c r="AY1064" s="189"/>
      <c r="AZ1064" s="189"/>
      <c r="BA1064" s="190"/>
      <c r="BB1064" s="629"/>
      <c r="BC1064" s="190"/>
      <c r="BD1064" s="510"/>
      <c r="BE1064" s="510"/>
      <c r="BF1064" s="177"/>
      <c r="BG1064" s="177"/>
      <c r="BH1064" s="166"/>
      <c r="BI1064" s="474"/>
      <c r="BJ1064" s="166"/>
      <c r="BK1064" s="474"/>
      <c r="BL1064" s="474"/>
      <c r="BM1064" s="474"/>
      <c r="BN1064" s="166"/>
      <c r="BO1064" s="166"/>
      <c r="BP1064" s="204"/>
      <c r="BQ1064" s="475"/>
      <c r="BR1064" s="205"/>
      <c r="BS1064" s="509"/>
      <c r="BT1064" s="509"/>
      <c r="BU1064" s="459"/>
      <c r="BV1064" s="459"/>
      <c r="BW1064" s="1"/>
      <c r="BX1064" s="1"/>
      <c r="BY1064" s="1"/>
      <c r="BZ1064" s="1"/>
      <c r="CA1064" s="1"/>
      <c r="CB1064" s="1"/>
      <c r="CC1064" s="728"/>
      <c r="CD1064" s="728"/>
      <c r="CE1064" s="1"/>
    </row>
    <row r="1065" spans="1:83" customFormat="1">
      <c r="A1065" s="701"/>
      <c r="B1065" s="447"/>
      <c r="C1065" s="161"/>
      <c r="D1065" s="162"/>
      <c r="E1065" s="1"/>
      <c r="F1065" s="811"/>
      <c r="G1065" s="440"/>
      <c r="H1065" s="1"/>
      <c r="I1065" s="55"/>
      <c r="J1065" s="170"/>
      <c r="K1065" s="1"/>
      <c r="L1065" s="170"/>
      <c r="M1065" s="1"/>
      <c r="N1065" s="458"/>
      <c r="O1065" s="170"/>
      <c r="P1065" s="441"/>
      <c r="Q1065" s="55"/>
      <c r="R1065" s="177"/>
      <c r="S1065" s="454"/>
      <c r="T1065" s="178"/>
      <c r="U1065" s="178"/>
      <c r="V1065" s="179"/>
      <c r="W1065" s="180"/>
      <c r="X1065" s="179"/>
      <c r="Y1065" s="180"/>
      <c r="Z1065" s="178"/>
      <c r="AA1065" s="178"/>
      <c r="AB1065" s="178"/>
      <c r="AC1065" s="178"/>
      <c r="AD1065" s="182"/>
      <c r="AE1065" s="182"/>
      <c r="AF1065" s="182"/>
      <c r="AG1065" s="182"/>
      <c r="AH1065" s="401"/>
      <c r="AI1065" s="401"/>
      <c r="AJ1065" s="401"/>
      <c r="AK1065" s="401"/>
      <c r="AL1065" s="401"/>
      <c r="AM1065" s="189"/>
      <c r="AN1065" s="829"/>
      <c r="AO1065" s="830"/>
      <c r="AP1065" s="401"/>
      <c r="AQ1065" s="401"/>
      <c r="AR1065" s="401"/>
      <c r="AS1065" s="401"/>
      <c r="AT1065" s="403"/>
      <c r="AU1065" s="403"/>
      <c r="AV1065" s="170"/>
      <c r="AW1065" s="166"/>
      <c r="AX1065" s="166"/>
      <c r="AY1065" s="189"/>
      <c r="AZ1065" s="189"/>
      <c r="BA1065" s="190"/>
      <c r="BB1065" s="629"/>
      <c r="BC1065" s="190"/>
      <c r="BD1065" s="510"/>
      <c r="BE1065" s="510"/>
      <c r="BF1065" s="177"/>
      <c r="BG1065" s="177"/>
      <c r="BH1065" s="166"/>
      <c r="BI1065" s="474"/>
      <c r="BJ1065" s="166"/>
      <c r="BK1065" s="474"/>
      <c r="BL1065" s="474"/>
      <c r="BM1065" s="474"/>
      <c r="BN1065" s="166"/>
      <c r="BO1065" s="166"/>
      <c r="BP1065" s="204"/>
      <c r="BQ1065" s="475"/>
      <c r="BR1065" s="205"/>
      <c r="BS1065" s="509"/>
      <c r="BT1065" s="509"/>
      <c r="BU1065" s="459"/>
      <c r="BV1065" s="459"/>
      <c r="BW1065" s="1"/>
      <c r="BX1065" s="1"/>
      <c r="BY1065" s="1"/>
      <c r="BZ1065" s="1"/>
      <c r="CA1065" s="1"/>
      <c r="CB1065" s="1"/>
      <c r="CC1065" s="728"/>
      <c r="CD1065" s="728"/>
      <c r="CE1065" s="1"/>
    </row>
    <row r="1066" spans="1:83" customFormat="1">
      <c r="A1066" s="701"/>
      <c r="B1066" s="447"/>
      <c r="C1066" s="161"/>
      <c r="D1066" s="162"/>
      <c r="E1066" s="1"/>
      <c r="F1066" s="811"/>
      <c r="G1066" s="440"/>
      <c r="H1066" s="1"/>
      <c r="I1066" s="55"/>
      <c r="J1066" s="170"/>
      <c r="K1066" s="1"/>
      <c r="L1066" s="170"/>
      <c r="M1066" s="1"/>
      <c r="N1066" s="458"/>
      <c r="O1066" s="170"/>
      <c r="P1066" s="441"/>
      <c r="Q1066" s="55"/>
      <c r="R1066" s="177"/>
      <c r="S1066" s="454"/>
      <c r="T1066" s="178"/>
      <c r="U1066" s="178"/>
      <c r="V1066" s="179"/>
      <c r="W1066" s="180"/>
      <c r="X1066" s="179"/>
      <c r="Y1066" s="180"/>
      <c r="Z1066" s="178"/>
      <c r="AA1066" s="178"/>
      <c r="AB1066" s="178"/>
      <c r="AC1066" s="178"/>
      <c r="AD1066" s="182"/>
      <c r="AE1066" s="182"/>
      <c r="AF1066" s="182"/>
      <c r="AG1066" s="182"/>
      <c r="AH1066" s="401"/>
      <c r="AI1066" s="401"/>
      <c r="AJ1066" s="401"/>
      <c r="AK1066" s="401"/>
      <c r="AL1066" s="401"/>
      <c r="AM1066" s="189"/>
      <c r="AN1066" s="829"/>
      <c r="AO1066" s="830"/>
      <c r="AP1066" s="401"/>
      <c r="AQ1066" s="401"/>
      <c r="AR1066" s="401"/>
      <c r="AS1066" s="401"/>
      <c r="AT1066" s="403"/>
      <c r="AU1066" s="403"/>
      <c r="AV1066" s="170"/>
      <c r="AW1066" s="166"/>
      <c r="AX1066" s="166"/>
      <c r="AY1066" s="189"/>
      <c r="AZ1066" s="189"/>
      <c r="BA1066" s="190"/>
      <c r="BB1066" s="629"/>
      <c r="BC1066" s="190"/>
      <c r="BD1066" s="510"/>
      <c r="BE1066" s="510"/>
      <c r="BF1066" s="177"/>
      <c r="BG1066" s="177"/>
      <c r="BH1066" s="166"/>
      <c r="BI1066" s="474"/>
      <c r="BJ1066" s="166"/>
      <c r="BK1066" s="474"/>
      <c r="BL1066" s="474"/>
      <c r="BM1066" s="474"/>
      <c r="BN1066" s="166"/>
      <c r="BO1066" s="166"/>
      <c r="BP1066" s="204"/>
      <c r="BQ1066" s="475"/>
      <c r="BR1066" s="205"/>
      <c r="BS1066" s="509"/>
      <c r="BT1066" s="509"/>
      <c r="BU1066" s="459"/>
      <c r="BV1066" s="459"/>
      <c r="BW1066" s="1"/>
      <c r="BX1066" s="1"/>
      <c r="BY1066" s="1"/>
      <c r="BZ1066" s="1"/>
      <c r="CA1066" s="1"/>
      <c r="CB1066" s="1"/>
      <c r="CC1066" s="728"/>
      <c r="CD1066" s="728"/>
      <c r="CE1066" s="1"/>
    </row>
    <row r="1067" spans="1:83" customFormat="1">
      <c r="A1067" s="701"/>
      <c r="B1067" s="447"/>
      <c r="C1067" s="161"/>
      <c r="D1067" s="162"/>
      <c r="E1067" s="1"/>
      <c r="F1067" s="811"/>
      <c r="G1067" s="440"/>
      <c r="H1067" s="1"/>
      <c r="I1067" s="55"/>
      <c r="J1067" s="170"/>
      <c r="K1067" s="1"/>
      <c r="L1067" s="170"/>
      <c r="M1067" s="1"/>
      <c r="N1067" s="458"/>
      <c r="O1067" s="170"/>
      <c r="P1067" s="441"/>
      <c r="Q1067" s="55"/>
      <c r="R1067" s="177"/>
      <c r="S1067" s="454"/>
      <c r="T1067" s="178"/>
      <c r="U1067" s="178"/>
      <c r="V1067" s="179"/>
      <c r="W1067" s="180"/>
      <c r="X1067" s="179"/>
      <c r="Y1067" s="180"/>
      <c r="Z1067" s="178"/>
      <c r="AA1067" s="178"/>
      <c r="AB1067" s="178"/>
      <c r="AC1067" s="178"/>
      <c r="AD1067" s="182"/>
      <c r="AE1067" s="182"/>
      <c r="AF1067" s="182"/>
      <c r="AG1067" s="182"/>
      <c r="AH1067" s="401"/>
      <c r="AI1067" s="401"/>
      <c r="AJ1067" s="401"/>
      <c r="AK1067" s="401"/>
      <c r="AL1067" s="401"/>
      <c r="AM1067" s="189"/>
      <c r="AN1067" s="829"/>
      <c r="AO1067" s="830"/>
      <c r="AP1067" s="401"/>
      <c r="AQ1067" s="401"/>
      <c r="AR1067" s="401"/>
      <c r="AS1067" s="401"/>
      <c r="AT1067" s="403"/>
      <c r="AU1067" s="403"/>
      <c r="AV1067" s="170"/>
      <c r="AW1067" s="166"/>
      <c r="AX1067" s="166"/>
      <c r="AY1067" s="189"/>
      <c r="AZ1067" s="189"/>
      <c r="BA1067" s="190"/>
      <c r="BB1067" s="629"/>
      <c r="BC1067" s="190"/>
      <c r="BD1067" s="510"/>
      <c r="BE1067" s="510"/>
      <c r="BF1067" s="177"/>
      <c r="BG1067" s="177"/>
      <c r="BH1067" s="166"/>
      <c r="BI1067" s="474"/>
      <c r="BJ1067" s="166"/>
      <c r="BK1067" s="474"/>
      <c r="BL1067" s="474"/>
      <c r="BM1067" s="474"/>
      <c r="BN1067" s="166"/>
      <c r="BO1067" s="166"/>
      <c r="BP1067" s="204"/>
      <c r="BQ1067" s="475"/>
      <c r="BR1067" s="205"/>
      <c r="BS1067" s="509"/>
      <c r="BT1067" s="509"/>
      <c r="BU1067" s="459"/>
      <c r="BV1067" s="459"/>
      <c r="BW1067" s="1"/>
      <c r="BX1067" s="1"/>
      <c r="BY1067" s="1"/>
      <c r="BZ1067" s="1"/>
      <c r="CA1067" s="1"/>
      <c r="CB1067" s="1"/>
      <c r="CC1067" s="728"/>
      <c r="CD1067" s="728"/>
      <c r="CE1067" s="1"/>
    </row>
    <row r="1068" spans="1:83" customFormat="1">
      <c r="A1068" s="701"/>
      <c r="B1068" s="447"/>
      <c r="C1068" s="161"/>
      <c r="D1068" s="162"/>
      <c r="E1068" s="1"/>
      <c r="F1068" s="811"/>
      <c r="G1068" s="440"/>
      <c r="H1068" s="1"/>
      <c r="I1068" s="55"/>
      <c r="J1068" s="170"/>
      <c r="K1068" s="1"/>
      <c r="L1068" s="170"/>
      <c r="M1068" s="1"/>
      <c r="N1068" s="458"/>
      <c r="O1068" s="170"/>
      <c r="P1068" s="441"/>
      <c r="Q1068" s="55"/>
      <c r="R1068" s="177"/>
      <c r="S1068" s="454"/>
      <c r="T1068" s="178"/>
      <c r="U1068" s="178"/>
      <c r="V1068" s="179"/>
      <c r="W1068" s="180"/>
      <c r="X1068" s="179"/>
      <c r="Y1068" s="180"/>
      <c r="Z1068" s="178"/>
      <c r="AA1068" s="178"/>
      <c r="AB1068" s="178"/>
      <c r="AC1068" s="178"/>
      <c r="AD1068" s="182"/>
      <c r="AE1068" s="182"/>
      <c r="AF1068" s="182"/>
      <c r="AG1068" s="182"/>
      <c r="AH1068" s="401"/>
      <c r="AI1068" s="401"/>
      <c r="AJ1068" s="401"/>
      <c r="AK1068" s="401"/>
      <c r="AL1068" s="401"/>
      <c r="AM1068" s="189"/>
      <c r="AN1068" s="829"/>
      <c r="AO1068" s="830"/>
      <c r="AP1068" s="401"/>
      <c r="AQ1068" s="401"/>
      <c r="AR1068" s="401"/>
      <c r="AS1068" s="401"/>
      <c r="AT1068" s="403"/>
      <c r="AU1068" s="403"/>
      <c r="AV1068" s="170"/>
      <c r="AW1068" s="166"/>
      <c r="AX1068" s="166"/>
      <c r="AY1068" s="189"/>
      <c r="AZ1068" s="189"/>
      <c r="BA1068" s="190"/>
      <c r="BB1068" s="629"/>
      <c r="BC1068" s="190"/>
      <c r="BD1068" s="510"/>
      <c r="BE1068" s="510"/>
      <c r="BF1068" s="177"/>
      <c r="BG1068" s="177"/>
      <c r="BH1068" s="166"/>
      <c r="BI1068" s="474"/>
      <c r="BJ1068" s="166"/>
      <c r="BK1068" s="474"/>
      <c r="BL1068" s="474"/>
      <c r="BM1068" s="474"/>
      <c r="BN1068" s="166"/>
      <c r="BO1068" s="166"/>
      <c r="BP1068" s="204"/>
      <c r="BQ1068" s="475"/>
      <c r="BR1068" s="205"/>
      <c r="BS1068" s="509"/>
      <c r="BT1068" s="509"/>
      <c r="BU1068" s="459"/>
      <c r="BV1068" s="459"/>
      <c r="BW1068" s="1"/>
      <c r="BX1068" s="1"/>
      <c r="BY1068" s="1"/>
      <c r="BZ1068" s="1"/>
      <c r="CA1068" s="1"/>
      <c r="CB1068" s="1"/>
      <c r="CC1068" s="728"/>
      <c r="CD1068" s="728"/>
      <c r="CE1068" s="1"/>
    </row>
    <row r="1069" spans="1:83" customFormat="1">
      <c r="A1069" s="701"/>
      <c r="B1069" s="447"/>
      <c r="C1069" s="161"/>
      <c r="D1069" s="162"/>
      <c r="E1069" s="1"/>
      <c r="F1069" s="811"/>
      <c r="G1069" s="440"/>
      <c r="H1069" s="1"/>
      <c r="I1069" s="55"/>
      <c r="J1069" s="170"/>
      <c r="K1069" s="1"/>
      <c r="L1069" s="170"/>
      <c r="M1069" s="1"/>
      <c r="N1069" s="458"/>
      <c r="O1069" s="170"/>
      <c r="P1069" s="441"/>
      <c r="Q1069" s="55"/>
      <c r="R1069" s="177"/>
      <c r="S1069" s="454"/>
      <c r="T1069" s="178"/>
      <c r="U1069" s="178"/>
      <c r="V1069" s="179"/>
      <c r="W1069" s="180"/>
      <c r="X1069" s="179"/>
      <c r="Y1069" s="180"/>
      <c r="Z1069" s="178"/>
      <c r="AA1069" s="178"/>
      <c r="AB1069" s="178"/>
      <c r="AC1069" s="178"/>
      <c r="AD1069" s="182"/>
      <c r="AE1069" s="182"/>
      <c r="AF1069" s="182"/>
      <c r="AG1069" s="182"/>
      <c r="AH1069" s="401"/>
      <c r="AI1069" s="401"/>
      <c r="AJ1069" s="401"/>
      <c r="AK1069" s="401"/>
      <c r="AL1069" s="401"/>
      <c r="AM1069" s="189"/>
      <c r="AN1069" s="829"/>
      <c r="AO1069" s="830"/>
      <c r="AP1069" s="401"/>
      <c r="AQ1069" s="401"/>
      <c r="AR1069" s="401"/>
      <c r="AS1069" s="401"/>
      <c r="AT1069" s="403"/>
      <c r="AU1069" s="403"/>
      <c r="AV1069" s="170"/>
      <c r="AW1069" s="166"/>
      <c r="AX1069" s="166"/>
      <c r="AY1069" s="189"/>
      <c r="AZ1069" s="189"/>
      <c r="BA1069" s="190"/>
      <c r="BB1069" s="629"/>
      <c r="BC1069" s="190"/>
      <c r="BD1069" s="510"/>
      <c r="BE1069" s="510"/>
      <c r="BF1069" s="177"/>
      <c r="BG1069" s="177"/>
      <c r="BH1069" s="166"/>
      <c r="BI1069" s="474"/>
      <c r="BJ1069" s="166"/>
      <c r="BK1069" s="474"/>
      <c r="BL1069" s="474"/>
      <c r="BM1069" s="474"/>
      <c r="BN1069" s="166"/>
      <c r="BO1069" s="166"/>
      <c r="BP1069" s="204"/>
      <c r="BQ1069" s="475"/>
      <c r="BR1069" s="205"/>
      <c r="BS1069" s="509"/>
      <c r="BT1069" s="509"/>
      <c r="BU1069" s="459"/>
      <c r="BV1069" s="459"/>
      <c r="BW1069" s="1"/>
      <c r="BX1069" s="1"/>
      <c r="BY1069" s="1"/>
      <c r="BZ1069" s="1"/>
      <c r="CA1069" s="1"/>
      <c r="CB1069" s="1"/>
      <c r="CC1069" s="728"/>
      <c r="CD1069" s="728"/>
      <c r="CE1069" s="1"/>
    </row>
    <row r="1070" spans="1:83" customFormat="1">
      <c r="A1070" s="701"/>
      <c r="B1070" s="447"/>
      <c r="C1070" s="161"/>
      <c r="D1070" s="162"/>
      <c r="E1070" s="1"/>
      <c r="F1070" s="811"/>
      <c r="G1070" s="440"/>
      <c r="H1070" s="1"/>
      <c r="I1070" s="55"/>
      <c r="J1070" s="170"/>
      <c r="K1070" s="1"/>
      <c r="L1070" s="170"/>
      <c r="M1070" s="1"/>
      <c r="N1070" s="458"/>
      <c r="O1070" s="170"/>
      <c r="P1070" s="441"/>
      <c r="Q1070" s="55"/>
      <c r="R1070" s="177"/>
      <c r="S1070" s="454"/>
      <c r="T1070" s="178"/>
      <c r="U1070" s="178"/>
      <c r="V1070" s="179"/>
      <c r="W1070" s="180"/>
      <c r="X1070" s="179"/>
      <c r="Y1070" s="180"/>
      <c r="Z1070" s="178"/>
      <c r="AA1070" s="178"/>
      <c r="AB1070" s="178"/>
      <c r="AC1070" s="178"/>
      <c r="AD1070" s="182"/>
      <c r="AE1070" s="182"/>
      <c r="AF1070" s="182"/>
      <c r="AG1070" s="182"/>
      <c r="AH1070" s="401"/>
      <c r="AI1070" s="401"/>
      <c r="AJ1070" s="401"/>
      <c r="AK1070" s="401"/>
      <c r="AL1070" s="401"/>
      <c r="AM1070" s="189"/>
      <c r="AN1070" s="829"/>
      <c r="AO1070" s="830"/>
      <c r="AP1070" s="401"/>
      <c r="AQ1070" s="401"/>
      <c r="AR1070" s="401"/>
      <c r="AS1070" s="401"/>
      <c r="AT1070" s="403"/>
      <c r="AU1070" s="403"/>
      <c r="AV1070" s="170"/>
      <c r="AW1070" s="166"/>
      <c r="AX1070" s="166"/>
      <c r="AY1070" s="189"/>
      <c r="AZ1070" s="189"/>
      <c r="BA1070" s="190"/>
      <c r="BB1070" s="629"/>
      <c r="BC1070" s="190"/>
      <c r="BD1070" s="510"/>
      <c r="BE1070" s="510"/>
      <c r="BF1070" s="177"/>
      <c r="BG1070" s="177"/>
      <c r="BH1070" s="166"/>
      <c r="BI1070" s="474"/>
      <c r="BJ1070" s="166"/>
      <c r="BK1070" s="474"/>
      <c r="BL1070" s="474"/>
      <c r="BM1070" s="474"/>
      <c r="BN1070" s="166"/>
      <c r="BO1070" s="166"/>
      <c r="BP1070" s="204"/>
      <c r="BQ1070" s="475"/>
      <c r="BR1070" s="205"/>
      <c r="BS1070" s="509"/>
      <c r="BT1070" s="509"/>
      <c r="BU1070" s="459"/>
      <c r="BV1070" s="459"/>
      <c r="BW1070" s="1"/>
      <c r="BX1070" s="1"/>
      <c r="BY1070" s="1"/>
      <c r="BZ1070" s="1"/>
      <c r="CA1070" s="1"/>
      <c r="CB1070" s="1"/>
      <c r="CC1070" s="728"/>
      <c r="CD1070" s="728"/>
      <c r="CE1070" s="1"/>
    </row>
    <row r="1071" spans="1:83" customFormat="1">
      <c r="A1071" s="701"/>
      <c r="B1071" s="447"/>
      <c r="C1071" s="161"/>
      <c r="D1071" s="162"/>
      <c r="E1071" s="1"/>
      <c r="F1071" s="811"/>
      <c r="G1071" s="440"/>
      <c r="H1071" s="1"/>
      <c r="I1071" s="55"/>
      <c r="J1071" s="170"/>
      <c r="K1071" s="1"/>
      <c r="L1071" s="170"/>
      <c r="M1071" s="1"/>
      <c r="N1071" s="458"/>
      <c r="O1071" s="170"/>
      <c r="P1071" s="441"/>
      <c r="Q1071" s="55"/>
      <c r="R1071" s="177"/>
      <c r="S1071" s="454"/>
      <c r="T1071" s="178"/>
      <c r="U1071" s="178"/>
      <c r="V1071" s="179"/>
      <c r="W1071" s="180"/>
      <c r="X1071" s="179"/>
      <c r="Y1071" s="180"/>
      <c r="Z1071" s="178"/>
      <c r="AA1071" s="178"/>
      <c r="AB1071" s="178"/>
      <c r="AC1071" s="178"/>
      <c r="AD1071" s="182"/>
      <c r="AE1071" s="182"/>
      <c r="AF1071" s="182"/>
      <c r="AG1071" s="182"/>
      <c r="AH1071" s="401"/>
      <c r="AI1071" s="401"/>
      <c r="AJ1071" s="401"/>
      <c r="AK1071" s="401"/>
      <c r="AL1071" s="401"/>
      <c r="AM1071" s="189"/>
      <c r="AN1071" s="829"/>
      <c r="AO1071" s="830"/>
      <c r="AP1071" s="401"/>
      <c r="AQ1071" s="401"/>
      <c r="AR1071" s="401"/>
      <c r="AS1071" s="401"/>
      <c r="AT1071" s="403"/>
      <c r="AU1071" s="403"/>
      <c r="AV1071" s="170"/>
      <c r="AW1071" s="166"/>
      <c r="AX1071" s="166"/>
      <c r="AY1071" s="189"/>
      <c r="AZ1071" s="189"/>
      <c r="BA1071" s="190"/>
      <c r="BB1071" s="629"/>
      <c r="BC1071" s="190"/>
      <c r="BD1071" s="510"/>
      <c r="BE1071" s="510"/>
      <c r="BF1071" s="177"/>
      <c r="BG1071" s="177"/>
      <c r="BH1071" s="166"/>
      <c r="BI1071" s="474"/>
      <c r="BJ1071" s="166"/>
      <c r="BK1071" s="474"/>
      <c r="BL1071" s="474"/>
      <c r="BM1071" s="474"/>
      <c r="BN1071" s="166"/>
      <c r="BO1071" s="166"/>
      <c r="BP1071" s="204"/>
      <c r="BQ1071" s="475"/>
      <c r="BR1071" s="205"/>
      <c r="BS1071" s="509"/>
      <c r="BT1071" s="509"/>
      <c r="BU1071" s="459"/>
      <c r="BV1071" s="459"/>
      <c r="BW1071" s="1"/>
      <c r="BX1071" s="1"/>
      <c r="BY1071" s="1"/>
      <c r="BZ1071" s="1"/>
      <c r="CA1071" s="1"/>
      <c r="CB1071" s="1"/>
      <c r="CC1071" s="728"/>
      <c r="CD1071" s="728"/>
      <c r="CE1071" s="1"/>
    </row>
    <row r="1072" spans="1:83" customFormat="1">
      <c r="A1072" s="701"/>
      <c r="B1072" s="447"/>
      <c r="C1072" s="161"/>
      <c r="D1072" s="162"/>
      <c r="E1072" s="1"/>
      <c r="F1072" s="811"/>
      <c r="G1072" s="440"/>
      <c r="H1072" s="1"/>
      <c r="I1072" s="55"/>
      <c r="J1072" s="170"/>
      <c r="K1072" s="1"/>
      <c r="L1072" s="170"/>
      <c r="M1072" s="1"/>
      <c r="N1072" s="458"/>
      <c r="O1072" s="170"/>
      <c r="P1072" s="441"/>
      <c r="Q1072" s="55"/>
      <c r="R1072" s="177"/>
      <c r="S1072" s="454"/>
      <c r="T1072" s="178"/>
      <c r="U1072" s="178"/>
      <c r="V1072" s="179"/>
      <c r="W1072" s="180"/>
      <c r="X1072" s="179"/>
      <c r="Y1072" s="180"/>
      <c r="Z1072" s="178"/>
      <c r="AA1072" s="178"/>
      <c r="AB1072" s="178"/>
      <c r="AC1072" s="178"/>
      <c r="AD1072" s="182"/>
      <c r="AE1072" s="182"/>
      <c r="AF1072" s="182"/>
      <c r="AG1072" s="182"/>
      <c r="AH1072" s="401"/>
      <c r="AI1072" s="401"/>
      <c r="AJ1072" s="401"/>
      <c r="AK1072" s="401"/>
      <c r="AL1072" s="401"/>
      <c r="AM1072" s="189"/>
      <c r="AN1072" s="829"/>
      <c r="AO1072" s="830"/>
      <c r="AP1072" s="401"/>
      <c r="AQ1072" s="401"/>
      <c r="AR1072" s="401"/>
      <c r="AS1072" s="401"/>
      <c r="AT1072" s="403"/>
      <c r="AU1072" s="403"/>
      <c r="AV1072" s="170"/>
      <c r="AW1072" s="166"/>
      <c r="AX1072" s="166"/>
      <c r="AY1072" s="189"/>
      <c r="AZ1072" s="189"/>
      <c r="BA1072" s="190"/>
      <c r="BB1072" s="629"/>
      <c r="BC1072" s="190"/>
      <c r="BD1072" s="510"/>
      <c r="BE1072" s="510"/>
      <c r="BF1072" s="177"/>
      <c r="BG1072" s="177"/>
      <c r="BH1072" s="166"/>
      <c r="BI1072" s="474"/>
      <c r="BJ1072" s="166"/>
      <c r="BK1072" s="474"/>
      <c r="BL1072" s="474"/>
      <c r="BM1072" s="474"/>
      <c r="BN1072" s="166"/>
      <c r="BO1072" s="166"/>
      <c r="BP1072" s="204"/>
      <c r="BQ1072" s="475"/>
      <c r="BR1072" s="205"/>
      <c r="BS1072" s="509"/>
      <c r="BT1072" s="509"/>
      <c r="BU1072" s="459"/>
      <c r="BV1072" s="459"/>
      <c r="BW1072" s="1"/>
      <c r="BX1072" s="1"/>
      <c r="BY1072" s="1"/>
      <c r="BZ1072" s="1"/>
      <c r="CA1072" s="1"/>
      <c r="CB1072" s="1"/>
      <c r="CC1072" s="728"/>
      <c r="CD1072" s="728"/>
      <c r="CE1072" s="1"/>
    </row>
    <row r="1073" spans="1:83" customFormat="1">
      <c r="A1073" s="701"/>
      <c r="B1073" s="447"/>
      <c r="C1073" s="161"/>
      <c r="D1073" s="162"/>
      <c r="E1073" s="1"/>
      <c r="F1073" s="811"/>
      <c r="G1073" s="440"/>
      <c r="H1073" s="1"/>
      <c r="I1073" s="55"/>
      <c r="J1073" s="170"/>
      <c r="K1073" s="1"/>
      <c r="L1073" s="170"/>
      <c r="M1073" s="1"/>
      <c r="N1073" s="458"/>
      <c r="O1073" s="170"/>
      <c r="P1073" s="441"/>
      <c r="Q1073" s="55"/>
      <c r="R1073" s="177"/>
      <c r="S1073" s="454"/>
      <c r="T1073" s="178"/>
      <c r="U1073" s="178"/>
      <c r="V1073" s="179"/>
      <c r="W1073" s="180"/>
      <c r="X1073" s="179"/>
      <c r="Y1073" s="180"/>
      <c r="Z1073" s="178"/>
      <c r="AA1073" s="178"/>
      <c r="AB1073" s="178"/>
      <c r="AC1073" s="178"/>
      <c r="AD1073" s="182"/>
      <c r="AE1073" s="182"/>
      <c r="AF1073" s="182"/>
      <c r="AG1073" s="182"/>
      <c r="AH1073" s="401"/>
      <c r="AI1073" s="401"/>
      <c r="AJ1073" s="401"/>
      <c r="AK1073" s="401"/>
      <c r="AL1073" s="401"/>
      <c r="AM1073" s="189"/>
      <c r="AN1073" s="829"/>
      <c r="AO1073" s="830"/>
      <c r="AP1073" s="401"/>
      <c r="AQ1073" s="401"/>
      <c r="AR1073" s="401"/>
      <c r="AS1073" s="401"/>
      <c r="AT1073" s="403"/>
      <c r="AU1073" s="403"/>
      <c r="AV1073" s="170"/>
      <c r="AW1073" s="166"/>
      <c r="AX1073" s="166"/>
      <c r="AY1073" s="189"/>
      <c r="AZ1073" s="189"/>
      <c r="BA1073" s="190"/>
      <c r="BB1073" s="629"/>
      <c r="BC1073" s="190"/>
      <c r="BD1073" s="510"/>
      <c r="BE1073" s="510"/>
      <c r="BF1073" s="177"/>
      <c r="BG1073" s="177"/>
      <c r="BH1073" s="166"/>
      <c r="BI1073" s="474"/>
      <c r="BJ1073" s="166"/>
      <c r="BK1073" s="474"/>
      <c r="BL1073" s="474"/>
      <c r="BM1073" s="474"/>
      <c r="BN1073" s="166"/>
      <c r="BO1073" s="166"/>
      <c r="BP1073" s="204"/>
      <c r="BQ1073" s="475"/>
      <c r="BR1073" s="205"/>
      <c r="BS1073" s="509"/>
      <c r="BT1073" s="509"/>
      <c r="BU1073" s="459"/>
      <c r="BV1073" s="459"/>
      <c r="BW1073" s="1"/>
      <c r="BX1073" s="1"/>
      <c r="BY1073" s="1"/>
      <c r="BZ1073" s="1"/>
      <c r="CA1073" s="1"/>
      <c r="CB1073" s="1"/>
      <c r="CC1073" s="728"/>
      <c r="CD1073" s="728"/>
      <c r="CE1073" s="1"/>
    </row>
    <row r="1074" spans="1:83" customFormat="1">
      <c r="A1074" s="701"/>
      <c r="B1074" s="447"/>
      <c r="C1074" s="161"/>
      <c r="D1074" s="162"/>
      <c r="E1074" s="1"/>
      <c r="F1074" s="811"/>
      <c r="G1074" s="440"/>
      <c r="H1074" s="1"/>
      <c r="I1074" s="55"/>
      <c r="J1074" s="170"/>
      <c r="K1074" s="1"/>
      <c r="L1074" s="170"/>
      <c r="M1074" s="1"/>
      <c r="N1074" s="458"/>
      <c r="O1074" s="170"/>
      <c r="P1074" s="441"/>
      <c r="Q1074" s="55"/>
      <c r="R1074" s="177"/>
      <c r="S1074" s="454"/>
      <c r="T1074" s="178"/>
      <c r="U1074" s="178"/>
      <c r="V1074" s="179"/>
      <c r="W1074" s="180"/>
      <c r="X1074" s="179"/>
      <c r="Y1074" s="180"/>
      <c r="Z1074" s="178"/>
      <c r="AA1074" s="178"/>
      <c r="AB1074" s="178"/>
      <c r="AC1074" s="178"/>
      <c r="AD1074" s="182"/>
      <c r="AE1074" s="182"/>
      <c r="AF1074" s="182"/>
      <c r="AG1074" s="182"/>
      <c r="AH1074" s="401"/>
      <c r="AI1074" s="401"/>
      <c r="AJ1074" s="401"/>
      <c r="AK1074" s="401"/>
      <c r="AL1074" s="401"/>
      <c r="AM1074" s="189"/>
      <c r="AN1074" s="829"/>
      <c r="AO1074" s="830"/>
      <c r="AP1074" s="401"/>
      <c r="AQ1074" s="401"/>
      <c r="AR1074" s="401"/>
      <c r="AS1074" s="401"/>
      <c r="AT1074" s="403"/>
      <c r="AU1074" s="403"/>
      <c r="AV1074" s="170"/>
      <c r="AW1074" s="166"/>
      <c r="AX1074" s="166"/>
      <c r="AY1074" s="189"/>
      <c r="AZ1074" s="189"/>
      <c r="BA1074" s="190"/>
      <c r="BB1074" s="629"/>
      <c r="BC1074" s="190"/>
      <c r="BD1074" s="510"/>
      <c r="BE1074" s="510"/>
      <c r="BF1074" s="177"/>
      <c r="BG1074" s="177"/>
      <c r="BH1074" s="166"/>
      <c r="BI1074" s="474"/>
      <c r="BJ1074" s="166"/>
      <c r="BK1074" s="474"/>
      <c r="BL1074" s="474"/>
      <c r="BM1074" s="474"/>
      <c r="BN1074" s="166"/>
      <c r="BO1074" s="166"/>
      <c r="BP1074" s="204"/>
      <c r="BQ1074" s="475"/>
      <c r="BR1074" s="205"/>
      <c r="BS1074" s="509"/>
      <c r="BT1074" s="509"/>
      <c r="BU1074" s="459"/>
      <c r="BV1074" s="459"/>
      <c r="BW1074" s="1"/>
      <c r="BX1074" s="1"/>
      <c r="BY1074" s="1"/>
      <c r="BZ1074" s="1"/>
      <c r="CA1074" s="1"/>
      <c r="CB1074" s="1"/>
      <c r="CC1074" s="728"/>
      <c r="CD1074" s="728"/>
      <c r="CE1074" s="1"/>
    </row>
    <row r="1075" spans="1:83" customFormat="1">
      <c r="A1075" s="701"/>
      <c r="B1075" s="447"/>
      <c r="C1075" s="161"/>
      <c r="D1075" s="162"/>
      <c r="E1075" s="1"/>
      <c r="F1075" s="811"/>
      <c r="G1075" s="440"/>
      <c r="H1075" s="1"/>
      <c r="I1075" s="55"/>
      <c r="J1075" s="170"/>
      <c r="K1075" s="1"/>
      <c r="L1075" s="170"/>
      <c r="M1075" s="1"/>
      <c r="N1075" s="458"/>
      <c r="O1075" s="170"/>
      <c r="P1075" s="441"/>
      <c r="Q1075" s="55"/>
      <c r="R1075" s="177"/>
      <c r="S1075" s="454"/>
      <c r="T1075" s="178"/>
      <c r="U1075" s="178"/>
      <c r="V1075" s="179"/>
      <c r="W1075" s="180"/>
      <c r="X1075" s="179"/>
      <c r="Y1075" s="180"/>
      <c r="Z1075" s="178"/>
      <c r="AA1075" s="178"/>
      <c r="AB1075" s="178"/>
      <c r="AC1075" s="178"/>
      <c r="AD1075" s="182"/>
      <c r="AE1075" s="182"/>
      <c r="AF1075" s="182"/>
      <c r="AG1075" s="182"/>
      <c r="AH1075" s="401"/>
      <c r="AI1075" s="401"/>
      <c r="AJ1075" s="401"/>
      <c r="AK1075" s="401"/>
      <c r="AL1075" s="401"/>
      <c r="AM1075" s="189"/>
      <c r="AN1075" s="829"/>
      <c r="AO1075" s="830"/>
      <c r="AP1075" s="401"/>
      <c r="AQ1075" s="401"/>
      <c r="AR1075" s="401"/>
      <c r="AS1075" s="401"/>
      <c r="AT1075" s="403"/>
      <c r="AU1075" s="403"/>
      <c r="AV1075" s="170"/>
      <c r="AW1075" s="166"/>
      <c r="AX1075" s="166"/>
      <c r="AY1075" s="189"/>
      <c r="AZ1075" s="189"/>
      <c r="BA1075" s="190"/>
      <c r="BB1075" s="629"/>
      <c r="BC1075" s="190"/>
      <c r="BD1075" s="510"/>
      <c r="BE1075" s="510"/>
      <c r="BF1075" s="177"/>
      <c r="BG1075" s="177"/>
      <c r="BH1075" s="166"/>
      <c r="BI1075" s="474"/>
      <c r="BJ1075" s="166"/>
      <c r="BK1075" s="474"/>
      <c r="BL1075" s="474"/>
      <c r="BM1075" s="474"/>
      <c r="BN1075" s="166"/>
      <c r="BO1075" s="166"/>
      <c r="BP1075" s="204"/>
      <c r="BQ1075" s="475"/>
      <c r="BR1075" s="205"/>
      <c r="BS1075" s="509"/>
      <c r="BT1075" s="509"/>
      <c r="BU1075" s="459"/>
      <c r="BV1075" s="459"/>
      <c r="BW1075" s="1"/>
      <c r="BX1075" s="1"/>
      <c r="BY1075" s="1"/>
      <c r="BZ1075" s="1"/>
      <c r="CA1075" s="1"/>
      <c r="CB1075" s="1"/>
      <c r="CC1075" s="728"/>
      <c r="CD1075" s="728"/>
      <c r="CE1075" s="1"/>
    </row>
    <row r="1076" spans="1:83" customFormat="1">
      <c r="A1076" s="701"/>
      <c r="B1076" s="447"/>
      <c r="C1076" s="161"/>
      <c r="D1076" s="162"/>
      <c r="E1076" s="1"/>
      <c r="F1076" s="811"/>
      <c r="G1076" s="440"/>
      <c r="H1076" s="1"/>
      <c r="I1076" s="55"/>
      <c r="J1076" s="170"/>
      <c r="K1076" s="1"/>
      <c r="L1076" s="170"/>
      <c r="M1076" s="1"/>
      <c r="N1076" s="458"/>
      <c r="O1076" s="170"/>
      <c r="P1076" s="441"/>
      <c r="Q1076" s="55"/>
      <c r="R1076" s="177"/>
      <c r="S1076" s="454"/>
      <c r="T1076" s="178"/>
      <c r="U1076" s="178"/>
      <c r="V1076" s="179"/>
      <c r="W1076" s="180"/>
      <c r="X1076" s="179"/>
      <c r="Y1076" s="180"/>
      <c r="Z1076" s="178"/>
      <c r="AA1076" s="178"/>
      <c r="AB1076" s="178"/>
      <c r="AC1076" s="178"/>
      <c r="AD1076" s="182"/>
      <c r="AE1076" s="182"/>
      <c r="AF1076" s="182"/>
      <c r="AG1076" s="182"/>
      <c r="AH1076" s="401"/>
      <c r="AI1076" s="401"/>
      <c r="AJ1076" s="401"/>
      <c r="AK1076" s="401"/>
      <c r="AL1076" s="401"/>
      <c r="AM1076" s="189"/>
      <c r="AN1076" s="829"/>
      <c r="AO1076" s="830"/>
      <c r="AP1076" s="401"/>
      <c r="AQ1076" s="401"/>
      <c r="AR1076" s="401"/>
      <c r="AS1076" s="401"/>
      <c r="AT1076" s="403"/>
      <c r="AU1076" s="403"/>
      <c r="AV1076" s="170"/>
      <c r="AW1076" s="166"/>
      <c r="AX1076" s="166"/>
      <c r="AY1076" s="189"/>
      <c r="AZ1076" s="189"/>
      <c r="BA1076" s="190"/>
      <c r="BB1076" s="629"/>
      <c r="BC1076" s="190"/>
      <c r="BD1076" s="510"/>
      <c r="BE1076" s="510"/>
      <c r="BF1076" s="177"/>
      <c r="BG1076" s="177"/>
      <c r="BH1076" s="166"/>
      <c r="BI1076" s="474"/>
      <c r="BJ1076" s="166"/>
      <c r="BK1076" s="474"/>
      <c r="BL1076" s="474"/>
      <c r="BM1076" s="474"/>
      <c r="BN1076" s="166"/>
      <c r="BO1076" s="166"/>
      <c r="BP1076" s="204"/>
      <c r="BQ1076" s="475"/>
      <c r="BR1076" s="205"/>
      <c r="BS1076" s="509"/>
      <c r="BT1076" s="509"/>
      <c r="BU1076" s="459"/>
      <c r="BV1076" s="459"/>
      <c r="BW1076" s="1"/>
      <c r="BX1076" s="1"/>
      <c r="BY1076" s="1"/>
      <c r="BZ1076" s="1"/>
      <c r="CA1076" s="1"/>
      <c r="CB1076" s="1"/>
      <c r="CC1076" s="728"/>
      <c r="CD1076" s="728"/>
      <c r="CE1076" s="1"/>
    </row>
    <row r="1077" spans="1:83" customFormat="1">
      <c r="A1077" s="701"/>
      <c r="B1077" s="447"/>
      <c r="C1077" s="161"/>
      <c r="D1077" s="162"/>
      <c r="E1077" s="1"/>
      <c r="F1077" s="811"/>
      <c r="G1077" s="440"/>
      <c r="H1077" s="1"/>
      <c r="I1077" s="55"/>
      <c r="J1077" s="170"/>
      <c r="K1077" s="1"/>
      <c r="L1077" s="170"/>
      <c r="M1077" s="1"/>
      <c r="N1077" s="458"/>
      <c r="O1077" s="170"/>
      <c r="P1077" s="441"/>
      <c r="Q1077" s="55"/>
      <c r="R1077" s="177"/>
      <c r="S1077" s="454"/>
      <c r="T1077" s="178"/>
      <c r="U1077" s="178"/>
      <c r="V1077" s="179"/>
      <c r="W1077" s="180"/>
      <c r="X1077" s="179"/>
      <c r="Y1077" s="180"/>
      <c r="Z1077" s="178"/>
      <c r="AA1077" s="178"/>
      <c r="AB1077" s="178"/>
      <c r="AC1077" s="178"/>
      <c r="AD1077" s="182"/>
      <c r="AE1077" s="182"/>
      <c r="AF1077" s="182"/>
      <c r="AG1077" s="182"/>
      <c r="AH1077" s="401"/>
      <c r="AI1077" s="401"/>
      <c r="AJ1077" s="401"/>
      <c r="AK1077" s="401"/>
      <c r="AL1077" s="401"/>
      <c r="AM1077" s="189"/>
      <c r="AN1077" s="829"/>
      <c r="AO1077" s="830"/>
      <c r="AP1077" s="401"/>
      <c r="AQ1077" s="401"/>
      <c r="AR1077" s="401"/>
      <c r="AS1077" s="401"/>
      <c r="AT1077" s="403"/>
      <c r="AU1077" s="403"/>
      <c r="AV1077" s="170"/>
      <c r="AW1077" s="166"/>
      <c r="AX1077" s="166"/>
      <c r="AY1077" s="189"/>
      <c r="AZ1077" s="189"/>
      <c r="BA1077" s="190"/>
      <c r="BB1077" s="629"/>
      <c r="BC1077" s="190"/>
      <c r="BD1077" s="510"/>
      <c r="BE1077" s="510"/>
      <c r="BF1077" s="177"/>
      <c r="BG1077" s="177"/>
      <c r="BH1077" s="166"/>
      <c r="BI1077" s="474"/>
      <c r="BJ1077" s="166"/>
      <c r="BK1077" s="474"/>
      <c r="BL1077" s="474"/>
      <c r="BM1077" s="474"/>
      <c r="BN1077" s="166"/>
      <c r="BO1077" s="166"/>
      <c r="BP1077" s="204"/>
      <c r="BQ1077" s="475"/>
      <c r="BR1077" s="205"/>
      <c r="BS1077" s="509"/>
      <c r="BT1077" s="509"/>
      <c r="BU1077" s="459"/>
      <c r="BV1077" s="459"/>
      <c r="BW1077" s="1"/>
      <c r="BX1077" s="1"/>
      <c r="BY1077" s="1"/>
      <c r="BZ1077" s="1"/>
      <c r="CA1077" s="1"/>
      <c r="CB1077" s="1"/>
      <c r="CC1077" s="728"/>
      <c r="CD1077" s="728"/>
      <c r="CE1077" s="1"/>
    </row>
    <row r="1078" spans="1:83" customFormat="1">
      <c r="A1078" s="701"/>
      <c r="B1078" s="447"/>
      <c r="C1078" s="161"/>
      <c r="D1078" s="162"/>
      <c r="E1078" s="1"/>
      <c r="F1078" s="811"/>
      <c r="G1078" s="440"/>
      <c r="H1078" s="1"/>
      <c r="I1078" s="55"/>
      <c r="J1078" s="170"/>
      <c r="K1078" s="1"/>
      <c r="L1078" s="170"/>
      <c r="M1078" s="1"/>
      <c r="N1078" s="458"/>
      <c r="O1078" s="170"/>
      <c r="P1078" s="441"/>
      <c r="Q1078" s="55"/>
      <c r="R1078" s="177"/>
      <c r="S1078" s="454"/>
      <c r="T1078" s="178"/>
      <c r="U1078" s="178"/>
      <c r="V1078" s="179"/>
      <c r="W1078" s="180"/>
      <c r="X1078" s="179"/>
      <c r="Y1078" s="180"/>
      <c r="Z1078" s="178"/>
      <c r="AA1078" s="178"/>
      <c r="AB1078" s="178"/>
      <c r="AC1078" s="178"/>
      <c r="AD1078" s="182"/>
      <c r="AE1078" s="182"/>
      <c r="AF1078" s="182"/>
      <c r="AG1078" s="182"/>
      <c r="AH1078" s="401"/>
      <c r="AI1078" s="401"/>
      <c r="AJ1078" s="401"/>
      <c r="AK1078" s="401"/>
      <c r="AL1078" s="401"/>
      <c r="AM1078" s="189"/>
      <c r="AN1078" s="829"/>
      <c r="AO1078" s="830"/>
      <c r="AP1078" s="401"/>
      <c r="AQ1078" s="401"/>
      <c r="AR1078" s="401"/>
      <c r="AS1078" s="401"/>
      <c r="AT1078" s="403"/>
      <c r="AU1078" s="403"/>
      <c r="AV1078" s="170"/>
      <c r="AW1078" s="166"/>
      <c r="AX1078" s="166"/>
      <c r="AY1078" s="189"/>
      <c r="AZ1078" s="189"/>
      <c r="BA1078" s="190"/>
      <c r="BB1078" s="629"/>
      <c r="BC1078" s="190"/>
      <c r="BD1078" s="510"/>
      <c r="BE1078" s="510"/>
      <c r="BF1078" s="177"/>
      <c r="BG1078" s="177"/>
      <c r="BH1078" s="166"/>
      <c r="BI1078" s="474"/>
      <c r="BJ1078" s="166"/>
      <c r="BK1078" s="474"/>
      <c r="BL1078" s="474"/>
      <c r="BM1078" s="474"/>
      <c r="BN1078" s="166"/>
      <c r="BO1078" s="166"/>
      <c r="BP1078" s="204"/>
      <c r="BQ1078" s="475"/>
      <c r="BR1078" s="205"/>
      <c r="BS1078" s="509"/>
      <c r="BT1078" s="509"/>
      <c r="BU1078" s="459"/>
      <c r="BV1078" s="459"/>
      <c r="BW1078" s="1"/>
      <c r="BX1078" s="1"/>
      <c r="BY1078" s="1"/>
      <c r="BZ1078" s="1"/>
      <c r="CA1078" s="1"/>
      <c r="CB1078" s="1"/>
      <c r="CC1078" s="728"/>
      <c r="CD1078" s="728"/>
      <c r="CE1078" s="1"/>
    </row>
    <row r="1079" spans="1:83" customFormat="1">
      <c r="A1079" s="701"/>
      <c r="B1079" s="447"/>
      <c r="C1079" s="161"/>
      <c r="D1079" s="162"/>
      <c r="E1079" s="1"/>
      <c r="F1079" s="811"/>
      <c r="G1079" s="440"/>
      <c r="H1079" s="1"/>
      <c r="I1079" s="55"/>
      <c r="J1079" s="170"/>
      <c r="K1079" s="1"/>
      <c r="L1079" s="170"/>
      <c r="M1079" s="1"/>
      <c r="N1079" s="458"/>
      <c r="O1079" s="170"/>
      <c r="P1079" s="441"/>
      <c r="Q1079" s="55"/>
      <c r="R1079" s="177"/>
      <c r="S1079" s="454"/>
      <c r="T1079" s="178"/>
      <c r="U1079" s="178"/>
      <c r="V1079" s="179"/>
      <c r="W1079" s="180"/>
      <c r="X1079" s="179"/>
      <c r="Y1079" s="180"/>
      <c r="Z1079" s="178"/>
      <c r="AA1079" s="178"/>
      <c r="AB1079" s="178"/>
      <c r="AC1079" s="178"/>
      <c r="AD1079" s="182"/>
      <c r="AE1079" s="182"/>
      <c r="AF1079" s="182"/>
      <c r="AG1079" s="182"/>
      <c r="AH1079" s="401"/>
      <c r="AI1079" s="401"/>
      <c r="AJ1079" s="401"/>
      <c r="AK1079" s="401"/>
      <c r="AL1079" s="401"/>
      <c r="AM1079" s="189"/>
      <c r="AN1079" s="829"/>
      <c r="AO1079" s="830"/>
      <c r="AP1079" s="401"/>
      <c r="AQ1079" s="401"/>
      <c r="AR1079" s="401"/>
      <c r="AS1079" s="401"/>
      <c r="AT1079" s="403"/>
      <c r="AU1079" s="403"/>
      <c r="AV1079" s="170"/>
      <c r="AW1079" s="166"/>
      <c r="AX1079" s="166"/>
      <c r="AY1079" s="189"/>
      <c r="AZ1079" s="189"/>
      <c r="BA1079" s="190"/>
      <c r="BB1079" s="629"/>
      <c r="BC1079" s="190"/>
      <c r="BD1079" s="510"/>
      <c r="BE1079" s="510"/>
      <c r="BF1079" s="177"/>
      <c r="BG1079" s="177"/>
      <c r="BH1079" s="166"/>
      <c r="BI1079" s="474"/>
      <c r="BJ1079" s="166"/>
      <c r="BK1079" s="474"/>
      <c r="BL1079" s="474"/>
      <c r="BM1079" s="474"/>
      <c r="BN1079" s="166"/>
      <c r="BO1079" s="166"/>
      <c r="BP1079" s="204"/>
      <c r="BQ1079" s="475"/>
      <c r="BR1079" s="205"/>
      <c r="BS1079" s="509"/>
      <c r="BT1079" s="509"/>
      <c r="BU1079" s="459"/>
      <c r="BV1079" s="459"/>
      <c r="BW1079" s="1"/>
      <c r="BX1079" s="1"/>
      <c r="BY1079" s="1"/>
      <c r="BZ1079" s="1"/>
      <c r="CA1079" s="1"/>
      <c r="CB1079" s="1"/>
      <c r="CC1079" s="728"/>
      <c r="CD1079" s="728"/>
      <c r="CE1079" s="1"/>
    </row>
    <row r="1080" spans="1:83" customFormat="1">
      <c r="A1080" s="701"/>
      <c r="B1080" s="447"/>
      <c r="C1080" s="161"/>
      <c r="D1080" s="162"/>
      <c r="E1080" s="1"/>
      <c r="F1080" s="811"/>
      <c r="G1080" s="440"/>
      <c r="H1080" s="1"/>
      <c r="I1080" s="55"/>
      <c r="J1080" s="170"/>
      <c r="K1080" s="1"/>
      <c r="L1080" s="170"/>
      <c r="M1080" s="1"/>
      <c r="N1080" s="458"/>
      <c r="O1080" s="170"/>
      <c r="P1080" s="441"/>
      <c r="Q1080" s="55"/>
      <c r="R1080" s="177"/>
      <c r="S1080" s="454"/>
      <c r="T1080" s="178"/>
      <c r="U1080" s="178"/>
      <c r="V1080" s="179"/>
      <c r="W1080" s="180"/>
      <c r="X1080" s="179"/>
      <c r="Y1080" s="180"/>
      <c r="Z1080" s="178"/>
      <c r="AA1080" s="178"/>
      <c r="AB1080" s="178"/>
      <c r="AC1080" s="178"/>
      <c r="AD1080" s="182"/>
      <c r="AE1080" s="182"/>
      <c r="AF1080" s="182"/>
      <c r="AG1080" s="182"/>
      <c r="AH1080" s="401"/>
      <c r="AI1080" s="401"/>
      <c r="AJ1080" s="401"/>
      <c r="AK1080" s="401"/>
      <c r="AL1080" s="401"/>
      <c r="AM1080" s="189"/>
      <c r="AN1080" s="829"/>
      <c r="AO1080" s="830"/>
      <c r="AP1080" s="401"/>
      <c r="AQ1080" s="401"/>
      <c r="AR1080" s="401"/>
      <c r="AS1080" s="401"/>
      <c r="AT1080" s="403"/>
      <c r="AU1080" s="403"/>
      <c r="AV1080" s="170"/>
      <c r="AW1080" s="166"/>
      <c r="AX1080" s="166"/>
      <c r="AY1080" s="189"/>
      <c r="AZ1080" s="189"/>
      <c r="BA1080" s="190"/>
      <c r="BB1080" s="629"/>
      <c r="BC1080" s="190"/>
      <c r="BD1080" s="510"/>
      <c r="BE1080" s="510"/>
      <c r="BF1080" s="177"/>
      <c r="BG1080" s="177"/>
      <c r="BH1080" s="166"/>
      <c r="BI1080" s="474"/>
      <c r="BJ1080" s="166"/>
      <c r="BK1080" s="474"/>
      <c r="BL1080" s="474"/>
      <c r="BM1080" s="474"/>
      <c r="BN1080" s="166"/>
      <c r="BO1080" s="166"/>
      <c r="BP1080" s="204"/>
      <c r="BQ1080" s="475"/>
      <c r="BR1080" s="205"/>
      <c r="BS1080" s="509"/>
      <c r="BT1080" s="509"/>
      <c r="BU1080" s="459"/>
      <c r="BV1080" s="459"/>
      <c r="BW1080" s="1"/>
      <c r="BX1080" s="1"/>
      <c r="BY1080" s="1"/>
      <c r="BZ1080" s="1"/>
      <c r="CA1080" s="1"/>
      <c r="CB1080" s="1"/>
      <c r="CC1080" s="728"/>
      <c r="CD1080" s="728"/>
      <c r="CE1080" s="1"/>
    </row>
    <row r="1081" spans="1:83" customFormat="1">
      <c r="A1081" s="701"/>
      <c r="B1081" s="447"/>
      <c r="C1081" s="161"/>
      <c r="D1081" s="162"/>
      <c r="E1081" s="1"/>
      <c r="F1081" s="811"/>
      <c r="G1081" s="440"/>
      <c r="H1081" s="1"/>
      <c r="I1081" s="55"/>
      <c r="J1081" s="170"/>
      <c r="K1081" s="1"/>
      <c r="L1081" s="170"/>
      <c r="M1081" s="1"/>
      <c r="N1081" s="458"/>
      <c r="O1081" s="170"/>
      <c r="P1081" s="441"/>
      <c r="Q1081" s="55"/>
      <c r="R1081" s="177"/>
      <c r="S1081" s="454"/>
      <c r="T1081" s="178"/>
      <c r="U1081" s="178"/>
      <c r="V1081" s="179"/>
      <c r="W1081" s="180"/>
      <c r="X1081" s="179"/>
      <c r="Y1081" s="180"/>
      <c r="Z1081" s="178"/>
      <c r="AA1081" s="178"/>
      <c r="AB1081" s="178"/>
      <c r="AC1081" s="178"/>
      <c r="AD1081" s="182"/>
      <c r="AE1081" s="182"/>
      <c r="AF1081" s="182"/>
      <c r="AG1081" s="182"/>
      <c r="AH1081" s="401"/>
      <c r="AI1081" s="401"/>
      <c r="AJ1081" s="401"/>
      <c r="AK1081" s="401"/>
      <c r="AL1081" s="401"/>
      <c r="AM1081" s="189"/>
      <c r="AN1081" s="829"/>
      <c r="AO1081" s="830"/>
      <c r="AP1081" s="401"/>
      <c r="AQ1081" s="401"/>
      <c r="AR1081" s="401"/>
      <c r="AS1081" s="401"/>
      <c r="AT1081" s="403"/>
      <c r="AU1081" s="403"/>
      <c r="AV1081" s="170"/>
      <c r="AW1081" s="166"/>
      <c r="AX1081" s="166"/>
      <c r="AY1081" s="189"/>
      <c r="AZ1081" s="189"/>
      <c r="BA1081" s="190"/>
      <c r="BB1081" s="629"/>
      <c r="BC1081" s="190"/>
      <c r="BD1081" s="510"/>
      <c r="BE1081" s="510"/>
      <c r="BF1081" s="177"/>
      <c r="BG1081" s="177"/>
      <c r="BH1081" s="166"/>
      <c r="BI1081" s="474"/>
      <c r="BJ1081" s="166"/>
      <c r="BK1081" s="474"/>
      <c r="BL1081" s="474"/>
      <c r="BM1081" s="474"/>
      <c r="BN1081" s="166"/>
      <c r="BO1081" s="166"/>
      <c r="BP1081" s="204"/>
      <c r="BQ1081" s="475"/>
      <c r="BR1081" s="205"/>
      <c r="BS1081" s="509"/>
      <c r="BT1081" s="509"/>
      <c r="BU1081" s="459"/>
      <c r="BV1081" s="459"/>
      <c r="BW1081" s="1"/>
      <c r="BX1081" s="1"/>
      <c r="BY1081" s="1"/>
      <c r="BZ1081" s="1"/>
      <c r="CA1081" s="1"/>
      <c r="CB1081" s="1"/>
      <c r="CC1081" s="728"/>
      <c r="CD1081" s="728"/>
      <c r="CE1081" s="1"/>
    </row>
    <row r="1082" spans="1:83" customFormat="1">
      <c r="A1082" s="701"/>
      <c r="B1082" s="447"/>
      <c r="C1082" s="161"/>
      <c r="D1082" s="162"/>
      <c r="E1082" s="1"/>
      <c r="F1082" s="811"/>
      <c r="G1082" s="440"/>
      <c r="H1082" s="1"/>
      <c r="I1082" s="55"/>
      <c r="J1082" s="170"/>
      <c r="K1082" s="1"/>
      <c r="L1082" s="170"/>
      <c r="M1082" s="1"/>
      <c r="N1082" s="458"/>
      <c r="O1082" s="170"/>
      <c r="P1082" s="441"/>
      <c r="Q1082" s="55"/>
      <c r="R1082" s="177"/>
      <c r="S1082" s="454"/>
      <c r="T1082" s="178"/>
      <c r="U1082" s="178"/>
      <c r="V1082" s="179"/>
      <c r="W1082" s="180"/>
      <c r="X1082" s="179"/>
      <c r="Y1082" s="180"/>
      <c r="Z1082" s="178"/>
      <c r="AA1082" s="178"/>
      <c r="AB1082" s="178"/>
      <c r="AC1082" s="178"/>
      <c r="AD1082" s="182"/>
      <c r="AE1082" s="182"/>
      <c r="AF1082" s="182"/>
      <c r="AG1082" s="182"/>
      <c r="AH1082" s="401"/>
      <c r="AI1082" s="401"/>
      <c r="AJ1082" s="401"/>
      <c r="AK1082" s="401"/>
      <c r="AL1082" s="401"/>
      <c r="AM1082" s="189"/>
      <c r="AN1082" s="829"/>
      <c r="AO1082" s="830"/>
      <c r="AP1082" s="401"/>
      <c r="AQ1082" s="401"/>
      <c r="AR1082" s="401"/>
      <c r="AS1082" s="401"/>
      <c r="AT1082" s="403"/>
      <c r="AU1082" s="403"/>
      <c r="AV1082" s="170"/>
      <c r="AW1082" s="166"/>
      <c r="AX1082" s="166"/>
      <c r="AY1082" s="189"/>
      <c r="AZ1082" s="189"/>
      <c r="BA1082" s="190"/>
      <c r="BB1082" s="629"/>
      <c r="BC1082" s="190"/>
      <c r="BD1082" s="510"/>
      <c r="BE1082" s="510"/>
      <c r="BF1082" s="177"/>
      <c r="BG1082" s="177"/>
      <c r="BH1082" s="166"/>
      <c r="BI1082" s="474"/>
      <c r="BJ1082" s="166"/>
      <c r="BK1082" s="474"/>
      <c r="BL1082" s="474"/>
      <c r="BM1082" s="474"/>
      <c r="BN1082" s="166"/>
      <c r="BO1082" s="166"/>
      <c r="BP1082" s="204"/>
      <c r="BQ1082" s="475"/>
      <c r="BR1082" s="205"/>
      <c r="BS1082" s="509"/>
      <c r="BT1082" s="509"/>
      <c r="BU1082" s="459"/>
      <c r="BV1082" s="459"/>
      <c r="BW1082" s="1"/>
      <c r="BX1082" s="1"/>
      <c r="BY1082" s="1"/>
      <c r="BZ1082" s="1"/>
      <c r="CA1082" s="1"/>
      <c r="CB1082" s="1"/>
      <c r="CC1082" s="728"/>
      <c r="CD1082" s="728"/>
      <c r="CE1082" s="1"/>
    </row>
    <row r="1083" spans="1:83" customFormat="1">
      <c r="A1083" s="701"/>
      <c r="B1083" s="447"/>
      <c r="C1083" s="161"/>
      <c r="D1083" s="162"/>
      <c r="E1083" s="1"/>
      <c r="F1083" s="811"/>
      <c r="G1083" s="440"/>
      <c r="H1083" s="1"/>
      <c r="I1083" s="55"/>
      <c r="J1083" s="170"/>
      <c r="K1083" s="1"/>
      <c r="L1083" s="170"/>
      <c r="M1083" s="1"/>
      <c r="N1083" s="458"/>
      <c r="O1083" s="170"/>
      <c r="P1083" s="441"/>
      <c r="Q1083" s="55"/>
      <c r="R1083" s="177"/>
      <c r="S1083" s="454"/>
      <c r="T1083" s="178"/>
      <c r="U1083" s="178"/>
      <c r="V1083" s="179"/>
      <c r="W1083" s="180"/>
      <c r="X1083" s="179"/>
      <c r="Y1083" s="180"/>
      <c r="Z1083" s="178"/>
      <c r="AA1083" s="178"/>
      <c r="AB1083" s="178"/>
      <c r="AC1083" s="178"/>
      <c r="AD1083" s="182"/>
      <c r="AE1083" s="182"/>
      <c r="AF1083" s="182"/>
      <c r="AG1083" s="182"/>
      <c r="AH1083" s="401"/>
      <c r="AI1083" s="401"/>
      <c r="AJ1083" s="401"/>
      <c r="AK1083" s="401"/>
      <c r="AL1083" s="401"/>
      <c r="AM1083" s="189"/>
      <c r="AN1083" s="829"/>
      <c r="AO1083" s="830"/>
      <c r="AP1083" s="401"/>
      <c r="AQ1083" s="401"/>
      <c r="AR1083" s="401"/>
      <c r="AS1083" s="401"/>
      <c r="AT1083" s="403"/>
      <c r="AU1083" s="403"/>
      <c r="AV1083" s="170"/>
      <c r="AW1083" s="166"/>
      <c r="AX1083" s="166"/>
      <c r="AY1083" s="189"/>
      <c r="AZ1083" s="189"/>
      <c r="BA1083" s="190"/>
      <c r="BB1083" s="629"/>
      <c r="BC1083" s="190"/>
      <c r="BD1083" s="510"/>
      <c r="BE1083" s="510"/>
      <c r="BF1083" s="177"/>
      <c r="BG1083" s="177"/>
      <c r="BH1083" s="166"/>
      <c r="BI1083" s="474"/>
      <c r="BJ1083" s="166"/>
      <c r="BK1083" s="474"/>
      <c r="BL1083" s="474"/>
      <c r="BM1083" s="474"/>
      <c r="BN1083" s="166"/>
      <c r="BO1083" s="166"/>
      <c r="BP1083" s="204"/>
      <c r="BQ1083" s="475"/>
      <c r="BR1083" s="205"/>
      <c r="BS1083" s="509"/>
      <c r="BT1083" s="509"/>
      <c r="BU1083" s="459"/>
      <c r="BV1083" s="459"/>
      <c r="BW1083" s="1"/>
      <c r="BX1083" s="1"/>
      <c r="BY1083" s="1"/>
      <c r="BZ1083" s="1"/>
      <c r="CA1083" s="1"/>
      <c r="CB1083" s="1"/>
      <c r="CC1083" s="728"/>
      <c r="CD1083" s="728"/>
      <c r="CE1083" s="1"/>
    </row>
    <row r="1084" spans="1:83" customFormat="1">
      <c r="A1084" s="701"/>
      <c r="B1084" s="447"/>
      <c r="C1084" s="161"/>
      <c r="D1084" s="162"/>
      <c r="E1084" s="1"/>
      <c r="F1084" s="811"/>
      <c r="G1084" s="440"/>
      <c r="H1084" s="1"/>
      <c r="I1084" s="55"/>
      <c r="J1084" s="170"/>
      <c r="K1084" s="1"/>
      <c r="L1084" s="170"/>
      <c r="M1084" s="1"/>
      <c r="N1084" s="458"/>
      <c r="O1084" s="170"/>
      <c r="P1084" s="441"/>
      <c r="Q1084" s="55"/>
      <c r="R1084" s="177"/>
      <c r="S1084" s="454"/>
      <c r="T1084" s="178"/>
      <c r="U1084" s="178"/>
      <c r="V1084" s="179"/>
      <c r="W1084" s="180"/>
      <c r="X1084" s="179"/>
      <c r="Y1084" s="180"/>
      <c r="Z1084" s="178"/>
      <c r="AA1084" s="178"/>
      <c r="AB1084" s="178"/>
      <c r="AC1084" s="178"/>
      <c r="AD1084" s="182"/>
      <c r="AE1084" s="182"/>
      <c r="AF1084" s="182"/>
      <c r="AG1084" s="182"/>
      <c r="AH1084" s="401"/>
      <c r="AI1084" s="401"/>
      <c r="AJ1084" s="401"/>
      <c r="AK1084" s="401"/>
      <c r="AL1084" s="401"/>
      <c r="AM1084" s="189"/>
      <c r="AN1084" s="829"/>
      <c r="AO1084" s="830"/>
      <c r="AP1084" s="401"/>
      <c r="AQ1084" s="401"/>
      <c r="AR1084" s="401"/>
      <c r="AS1084" s="401"/>
      <c r="AT1084" s="403"/>
      <c r="AU1084" s="403"/>
      <c r="AV1084" s="170"/>
      <c r="AW1084" s="166"/>
      <c r="AX1084" s="166"/>
      <c r="AY1084" s="189"/>
      <c r="AZ1084" s="189"/>
      <c r="BA1084" s="190"/>
      <c r="BB1084" s="629"/>
      <c r="BC1084" s="190"/>
      <c r="BD1084" s="510"/>
      <c r="BE1084" s="510"/>
      <c r="BF1084" s="177"/>
      <c r="BG1084" s="177"/>
      <c r="BH1084" s="166"/>
      <c r="BI1084" s="474"/>
      <c r="BJ1084" s="166"/>
      <c r="BK1084" s="474"/>
      <c r="BL1084" s="474"/>
      <c r="BM1084" s="474"/>
      <c r="BN1084" s="166"/>
      <c r="BO1084" s="166"/>
      <c r="BP1084" s="204"/>
      <c r="BQ1084" s="475"/>
      <c r="BR1084" s="205"/>
      <c r="BS1084" s="509"/>
      <c r="BT1084" s="509"/>
      <c r="BU1084" s="459"/>
      <c r="BV1084" s="459"/>
      <c r="BW1084" s="1"/>
      <c r="BX1084" s="1"/>
      <c r="BY1084" s="1"/>
      <c r="BZ1084" s="1"/>
      <c r="CA1084" s="1"/>
      <c r="CB1084" s="1"/>
      <c r="CC1084" s="728"/>
      <c r="CD1084" s="728"/>
      <c r="CE1084" s="1"/>
    </row>
    <row r="1085" spans="1:83" customFormat="1">
      <c r="A1085" s="701"/>
      <c r="B1085" s="447"/>
      <c r="C1085" s="161"/>
      <c r="D1085" s="162"/>
      <c r="E1085" s="1"/>
      <c r="F1085" s="811"/>
      <c r="G1085" s="440"/>
      <c r="H1085" s="1"/>
      <c r="I1085" s="55"/>
      <c r="J1085" s="170"/>
      <c r="K1085" s="1"/>
      <c r="L1085" s="170"/>
      <c r="M1085" s="1"/>
      <c r="N1085" s="458"/>
      <c r="O1085" s="170"/>
      <c r="P1085" s="441"/>
      <c r="Q1085" s="55"/>
      <c r="R1085" s="177"/>
      <c r="S1085" s="454"/>
      <c r="T1085" s="178"/>
      <c r="U1085" s="178"/>
      <c r="V1085" s="179"/>
      <c r="W1085" s="180"/>
      <c r="X1085" s="179"/>
      <c r="Y1085" s="180"/>
      <c r="Z1085" s="178"/>
      <c r="AA1085" s="178"/>
      <c r="AB1085" s="178"/>
      <c r="AC1085" s="178"/>
      <c r="AD1085" s="182"/>
      <c r="AE1085" s="182"/>
      <c r="AF1085" s="182"/>
      <c r="AG1085" s="182"/>
      <c r="AH1085" s="401"/>
      <c r="AI1085" s="401"/>
      <c r="AJ1085" s="401"/>
      <c r="AK1085" s="401"/>
      <c r="AL1085" s="401"/>
      <c r="AM1085" s="189"/>
      <c r="AN1085" s="829"/>
      <c r="AO1085" s="830"/>
      <c r="AP1085" s="401"/>
      <c r="AQ1085" s="401"/>
      <c r="AR1085" s="401"/>
      <c r="AS1085" s="401"/>
      <c r="AT1085" s="403"/>
      <c r="AU1085" s="403"/>
      <c r="AV1085" s="170"/>
      <c r="AW1085" s="166"/>
      <c r="AX1085" s="166"/>
      <c r="AY1085" s="189"/>
      <c r="AZ1085" s="189"/>
      <c r="BA1085" s="190"/>
      <c r="BB1085" s="629"/>
      <c r="BC1085" s="190"/>
      <c r="BD1085" s="510"/>
      <c r="BE1085" s="510"/>
      <c r="BF1085" s="177"/>
      <c r="BG1085" s="177"/>
      <c r="BH1085" s="166"/>
      <c r="BI1085" s="474"/>
      <c r="BJ1085" s="166"/>
      <c r="BK1085" s="474"/>
      <c r="BL1085" s="474"/>
      <c r="BM1085" s="474"/>
      <c r="BN1085" s="166"/>
      <c r="BO1085" s="166"/>
      <c r="BP1085" s="204"/>
      <c r="BQ1085" s="475"/>
      <c r="BR1085" s="205"/>
      <c r="BS1085" s="509"/>
      <c r="BT1085" s="509"/>
      <c r="BU1085" s="459"/>
      <c r="BV1085" s="459"/>
      <c r="BW1085" s="1"/>
      <c r="BX1085" s="1"/>
      <c r="BY1085" s="1"/>
      <c r="BZ1085" s="1"/>
      <c r="CA1085" s="1"/>
      <c r="CB1085" s="1"/>
      <c r="CC1085" s="728"/>
      <c r="CD1085" s="728"/>
      <c r="CE1085" s="1"/>
    </row>
    <row r="1086" spans="1:83" customFormat="1">
      <c r="A1086" s="701"/>
      <c r="B1086" s="447"/>
      <c r="C1086" s="161"/>
      <c r="D1086" s="162"/>
      <c r="E1086" s="1"/>
      <c r="F1086" s="811"/>
      <c r="G1086" s="440"/>
      <c r="H1086" s="1"/>
      <c r="I1086" s="55"/>
      <c r="J1086" s="170"/>
      <c r="K1086" s="1"/>
      <c r="L1086" s="170"/>
      <c r="M1086" s="1"/>
      <c r="N1086" s="458"/>
      <c r="O1086" s="170"/>
      <c r="P1086" s="441"/>
      <c r="Q1086" s="55"/>
      <c r="R1086" s="177"/>
      <c r="S1086" s="454"/>
      <c r="T1086" s="178"/>
      <c r="U1086" s="178"/>
      <c r="V1086" s="179"/>
      <c r="W1086" s="180"/>
      <c r="X1086" s="179"/>
      <c r="Y1086" s="180"/>
      <c r="Z1086" s="178"/>
      <c r="AA1086" s="178"/>
      <c r="AB1086" s="178"/>
      <c r="AC1086" s="178"/>
      <c r="AD1086" s="182"/>
      <c r="AE1086" s="182"/>
      <c r="AF1086" s="182"/>
      <c r="AG1086" s="182"/>
      <c r="AH1086" s="401"/>
      <c r="AI1086" s="401"/>
      <c r="AJ1086" s="401"/>
      <c r="AK1086" s="401"/>
      <c r="AL1086" s="401"/>
      <c r="AM1086" s="189"/>
      <c r="AN1086" s="829"/>
      <c r="AO1086" s="830"/>
      <c r="AP1086" s="401"/>
      <c r="AQ1086" s="401"/>
      <c r="AR1086" s="401"/>
      <c r="AS1086" s="401"/>
      <c r="AT1086" s="403"/>
      <c r="AU1086" s="403"/>
      <c r="AV1086" s="170"/>
      <c r="AW1086" s="166"/>
      <c r="AX1086" s="166"/>
      <c r="AY1086" s="189"/>
      <c r="AZ1086" s="189"/>
      <c r="BA1086" s="190"/>
      <c r="BB1086" s="629"/>
      <c r="BC1086" s="190"/>
      <c r="BD1086" s="510"/>
      <c r="BE1086" s="510"/>
      <c r="BF1086" s="177"/>
      <c r="BG1086" s="177"/>
      <c r="BH1086" s="166"/>
      <c r="BI1086" s="474"/>
      <c r="BJ1086" s="166"/>
      <c r="BK1086" s="474"/>
      <c r="BL1086" s="474"/>
      <c r="BM1086" s="474"/>
      <c r="BN1086" s="166"/>
      <c r="BO1086" s="166"/>
      <c r="BP1086" s="204"/>
      <c r="BQ1086" s="475"/>
      <c r="BR1086" s="205"/>
      <c r="BS1086" s="509"/>
      <c r="BT1086" s="509"/>
      <c r="BU1086" s="459"/>
      <c r="BV1086" s="459"/>
      <c r="BW1086" s="1"/>
      <c r="BX1086" s="1"/>
      <c r="BY1086" s="1"/>
      <c r="BZ1086" s="1"/>
      <c r="CA1086" s="1"/>
      <c r="CB1086" s="1"/>
      <c r="CC1086" s="728"/>
      <c r="CD1086" s="728"/>
      <c r="CE1086" s="1"/>
    </row>
    <row r="1087" spans="1:83" customFormat="1">
      <c r="A1087" s="701"/>
      <c r="B1087" s="447"/>
      <c r="C1087" s="161"/>
      <c r="D1087" s="162"/>
      <c r="E1087" s="1"/>
      <c r="F1087" s="811"/>
      <c r="G1087" s="440"/>
      <c r="H1087" s="1"/>
      <c r="I1087" s="55"/>
      <c r="J1087" s="170"/>
      <c r="K1087" s="1"/>
      <c r="L1087" s="170"/>
      <c r="M1087" s="1"/>
      <c r="N1087" s="458"/>
      <c r="O1087" s="170"/>
      <c r="P1087" s="441"/>
      <c r="Q1087" s="55"/>
      <c r="R1087" s="177"/>
      <c r="S1087" s="454"/>
      <c r="T1087" s="178"/>
      <c r="U1087" s="178"/>
      <c r="V1087" s="179"/>
      <c r="W1087" s="180"/>
      <c r="X1087" s="179"/>
      <c r="Y1087" s="180"/>
      <c r="Z1087" s="178"/>
      <c r="AA1087" s="178"/>
      <c r="AB1087" s="178"/>
      <c r="AC1087" s="178"/>
      <c r="AD1087" s="182"/>
      <c r="AE1087" s="182"/>
      <c r="AF1087" s="182"/>
      <c r="AG1087" s="182"/>
      <c r="AH1087" s="401"/>
      <c r="AI1087" s="401"/>
      <c r="AJ1087" s="401"/>
      <c r="AK1087" s="401"/>
      <c r="AL1087" s="401"/>
      <c r="AM1087" s="189"/>
      <c r="AN1087" s="829"/>
      <c r="AO1087" s="830"/>
      <c r="AP1087" s="401"/>
      <c r="AQ1087" s="401"/>
      <c r="AR1087" s="401"/>
      <c r="AS1087" s="401"/>
      <c r="AT1087" s="403"/>
      <c r="AU1087" s="403"/>
      <c r="AV1087" s="170"/>
      <c r="AW1087" s="166"/>
      <c r="AX1087" s="166"/>
      <c r="AY1087" s="189"/>
      <c r="AZ1087" s="189"/>
      <c r="BA1087" s="190"/>
      <c r="BB1087" s="629"/>
      <c r="BC1087" s="190"/>
      <c r="BD1087" s="510"/>
      <c r="BE1087" s="510"/>
      <c r="BF1087" s="177"/>
      <c r="BG1087" s="177"/>
      <c r="BH1087" s="166"/>
      <c r="BI1087" s="474"/>
      <c r="BJ1087" s="166"/>
      <c r="BK1087" s="474"/>
      <c r="BL1087" s="474"/>
      <c r="BM1087" s="474"/>
      <c r="BN1087" s="166"/>
      <c r="BO1087" s="166"/>
      <c r="BP1087" s="204"/>
      <c r="BQ1087" s="475"/>
      <c r="BR1087" s="205"/>
      <c r="BS1087" s="509"/>
      <c r="BT1087" s="509"/>
      <c r="BU1087" s="459"/>
      <c r="BV1087" s="459"/>
      <c r="BW1087" s="1"/>
      <c r="BX1087" s="1"/>
      <c r="BY1087" s="1"/>
      <c r="BZ1087" s="1"/>
      <c r="CA1087" s="1"/>
      <c r="CB1087" s="1"/>
      <c r="CC1087" s="728"/>
      <c r="CD1087" s="728"/>
      <c r="CE1087" s="1"/>
    </row>
    <row r="1088" spans="1:83" customFormat="1">
      <c r="A1088" s="701"/>
      <c r="B1088" s="447"/>
      <c r="C1088" s="161"/>
      <c r="D1088" s="162"/>
      <c r="E1088" s="1"/>
      <c r="F1088" s="811"/>
      <c r="G1088" s="440"/>
      <c r="H1088" s="1"/>
      <c r="I1088" s="55"/>
      <c r="J1088" s="170"/>
      <c r="K1088" s="1"/>
      <c r="L1088" s="170"/>
      <c r="M1088" s="1"/>
      <c r="N1088" s="458"/>
      <c r="O1088" s="170"/>
      <c r="P1088" s="441"/>
      <c r="Q1088" s="55"/>
      <c r="R1088" s="177"/>
      <c r="S1088" s="454"/>
      <c r="T1088" s="178"/>
      <c r="U1088" s="178"/>
      <c r="V1088" s="179"/>
      <c r="W1088" s="180"/>
      <c r="X1088" s="179"/>
      <c r="Y1088" s="180"/>
      <c r="Z1088" s="178"/>
      <c r="AA1088" s="178"/>
      <c r="AB1088" s="178"/>
      <c r="AC1088" s="178"/>
      <c r="AD1088" s="182"/>
      <c r="AE1088" s="182"/>
      <c r="AF1088" s="182"/>
      <c r="AG1088" s="182"/>
      <c r="AH1088" s="401"/>
      <c r="AI1088" s="401"/>
      <c r="AJ1088" s="401"/>
      <c r="AK1088" s="401"/>
      <c r="AL1088" s="401"/>
      <c r="AM1088" s="189"/>
      <c r="AN1088" s="829"/>
      <c r="AO1088" s="830"/>
      <c r="AP1088" s="401"/>
      <c r="AQ1088" s="401"/>
      <c r="AR1088" s="401"/>
      <c r="AS1088" s="401"/>
      <c r="AT1088" s="403"/>
      <c r="AU1088" s="403"/>
      <c r="AV1088" s="170"/>
      <c r="AW1088" s="166"/>
      <c r="AX1088" s="166"/>
      <c r="AY1088" s="189"/>
      <c r="AZ1088" s="189"/>
      <c r="BA1088" s="190"/>
      <c r="BB1088" s="629"/>
      <c r="BC1088" s="190"/>
      <c r="BD1088" s="510"/>
      <c r="BE1088" s="510"/>
      <c r="BF1088" s="177"/>
      <c r="BG1088" s="177"/>
      <c r="BH1088" s="166"/>
      <c r="BI1088" s="474"/>
      <c r="BJ1088" s="166"/>
      <c r="BK1088" s="474"/>
      <c r="BL1088" s="474"/>
      <c r="BM1088" s="474"/>
      <c r="BN1088" s="166"/>
      <c r="BO1088" s="166"/>
      <c r="BP1088" s="204"/>
      <c r="BQ1088" s="475"/>
      <c r="BR1088" s="205"/>
      <c r="BS1088" s="509"/>
      <c r="BT1088" s="509"/>
      <c r="BU1088" s="459"/>
      <c r="BV1088" s="459"/>
      <c r="BW1088" s="1"/>
      <c r="BX1088" s="1"/>
      <c r="BY1088" s="1"/>
      <c r="BZ1088" s="1"/>
      <c r="CA1088" s="1"/>
      <c r="CB1088" s="1"/>
      <c r="CC1088" s="728"/>
      <c r="CD1088" s="728"/>
      <c r="CE1088" s="1"/>
    </row>
    <row r="1089" spans="1:84" customFormat="1">
      <c r="A1089" s="701"/>
      <c r="B1089" s="447"/>
      <c r="C1089" s="161"/>
      <c r="D1089" s="162"/>
      <c r="E1089" s="1"/>
      <c r="F1089" s="811"/>
      <c r="G1089" s="440"/>
      <c r="H1089" s="1"/>
      <c r="I1089" s="55"/>
      <c r="J1089" s="170"/>
      <c r="K1089" s="1"/>
      <c r="L1089" s="170"/>
      <c r="M1089" s="1"/>
      <c r="N1089" s="458"/>
      <c r="O1089" s="170"/>
      <c r="P1089" s="441"/>
      <c r="Q1089" s="55"/>
      <c r="R1089" s="177"/>
      <c r="S1089" s="454"/>
      <c r="T1089" s="178"/>
      <c r="U1089" s="178"/>
      <c r="V1089" s="179"/>
      <c r="W1089" s="180"/>
      <c r="X1089" s="179"/>
      <c r="Y1089" s="180"/>
      <c r="Z1089" s="178"/>
      <c r="AA1089" s="178"/>
      <c r="AB1089" s="178"/>
      <c r="AC1089" s="178"/>
      <c r="AD1089" s="182"/>
      <c r="AE1089" s="182"/>
      <c r="AF1089" s="182"/>
      <c r="AG1089" s="182"/>
      <c r="AH1089" s="401"/>
      <c r="AI1089" s="401"/>
      <c r="AJ1089" s="401"/>
      <c r="AK1089" s="401"/>
      <c r="AL1089" s="401"/>
      <c r="AM1089" s="189"/>
      <c r="AN1089" s="829"/>
      <c r="AO1089" s="830"/>
      <c r="AP1089" s="401"/>
      <c r="AQ1089" s="401"/>
      <c r="AR1089" s="401"/>
      <c r="AS1089" s="401"/>
      <c r="AT1089" s="403"/>
      <c r="AU1089" s="403"/>
      <c r="AV1089" s="170"/>
      <c r="AW1089" s="166"/>
      <c r="AX1089" s="166"/>
      <c r="AY1089" s="189"/>
      <c r="AZ1089" s="189"/>
      <c r="BA1089" s="190"/>
      <c r="BB1089" s="629"/>
      <c r="BC1089" s="190"/>
      <c r="BD1089" s="510"/>
      <c r="BE1089" s="510"/>
      <c r="BF1089" s="177"/>
      <c r="BG1089" s="177"/>
      <c r="BH1089" s="166"/>
      <c r="BI1089" s="474"/>
      <c r="BJ1089" s="166"/>
      <c r="BK1089" s="474"/>
      <c r="BL1089" s="474"/>
      <c r="BM1089" s="474"/>
      <c r="BN1089" s="166"/>
      <c r="BO1089" s="166"/>
      <c r="BP1089" s="204"/>
      <c r="BQ1089" s="475"/>
      <c r="BR1089" s="205"/>
      <c r="BS1089" s="509"/>
      <c r="BT1089" s="509"/>
      <c r="BU1089" s="459"/>
      <c r="BV1089" s="459"/>
      <c r="BW1089" s="1"/>
      <c r="BX1089" s="1"/>
      <c r="BY1089" s="1"/>
      <c r="BZ1089" s="1"/>
      <c r="CA1089" s="1"/>
      <c r="CB1089" s="1"/>
      <c r="CC1089" s="728"/>
      <c r="CD1089" s="728"/>
      <c r="CE1089" s="1"/>
    </row>
    <row r="1090" spans="1:84" customFormat="1">
      <c r="A1090" s="701"/>
      <c r="B1090" s="447"/>
      <c r="C1090" s="161"/>
      <c r="D1090" s="162"/>
      <c r="E1090" s="1"/>
      <c r="F1090" s="811"/>
      <c r="G1090" s="440"/>
      <c r="H1090" s="1"/>
      <c r="I1090" s="55"/>
      <c r="J1090" s="170"/>
      <c r="K1090" s="1"/>
      <c r="L1090" s="170"/>
      <c r="M1090" s="1"/>
      <c r="N1090" s="458"/>
      <c r="O1090" s="170"/>
      <c r="P1090" s="441"/>
      <c r="Q1090" s="55"/>
      <c r="R1090" s="177"/>
      <c r="S1090" s="454"/>
      <c r="T1090" s="178"/>
      <c r="U1090" s="178"/>
      <c r="V1090" s="179"/>
      <c r="W1090" s="180"/>
      <c r="X1090" s="179"/>
      <c r="Y1090" s="180"/>
      <c r="Z1090" s="178"/>
      <c r="AA1090" s="178"/>
      <c r="AB1090" s="178"/>
      <c r="AC1090" s="178"/>
      <c r="AD1090" s="182"/>
      <c r="AE1090" s="182"/>
      <c r="AF1090" s="182"/>
      <c r="AG1090" s="182"/>
      <c r="AH1090" s="401"/>
      <c r="AI1090" s="401"/>
      <c r="AJ1090" s="401"/>
      <c r="AK1090" s="401"/>
      <c r="AL1090" s="401"/>
      <c r="AM1090" s="189"/>
      <c r="AN1090" s="829"/>
      <c r="AO1090" s="830"/>
      <c r="AP1090" s="401"/>
      <c r="AQ1090" s="401"/>
      <c r="AR1090" s="401"/>
      <c r="AS1090" s="401"/>
      <c r="AT1090" s="403"/>
      <c r="AU1090" s="403"/>
      <c r="AV1090" s="170"/>
      <c r="AW1090" s="166"/>
      <c r="AX1090" s="166"/>
      <c r="AY1090" s="189"/>
      <c r="AZ1090" s="189"/>
      <c r="BA1090" s="190"/>
      <c r="BB1090" s="629"/>
      <c r="BC1090" s="190"/>
      <c r="BD1090" s="510"/>
      <c r="BE1090" s="510"/>
      <c r="BF1090" s="177"/>
      <c r="BG1090" s="177"/>
      <c r="BH1090" s="166"/>
      <c r="BI1090" s="474"/>
      <c r="BJ1090" s="166"/>
      <c r="BK1090" s="474"/>
      <c r="BL1090" s="474"/>
      <c r="BM1090" s="474"/>
      <c r="BN1090" s="166"/>
      <c r="BO1090" s="166"/>
      <c r="BP1090" s="204"/>
      <c r="BQ1090" s="475"/>
      <c r="BR1090" s="205"/>
      <c r="BS1090" s="509"/>
      <c r="BT1090" s="509"/>
      <c r="BU1090" s="459"/>
      <c r="BV1090" s="459"/>
      <c r="BW1090" s="1"/>
      <c r="BX1090" s="1"/>
      <c r="BY1090" s="1"/>
      <c r="BZ1090" s="1"/>
      <c r="CA1090" s="1"/>
      <c r="CB1090" s="1"/>
      <c r="CC1090" s="728"/>
      <c r="CD1090" s="728"/>
      <c r="CE1090" s="1"/>
    </row>
    <row r="1091" spans="1:84" customFormat="1">
      <c r="A1091" s="701"/>
      <c r="B1091" s="447"/>
      <c r="C1091" s="161"/>
      <c r="D1091" s="162"/>
      <c r="E1091" s="1"/>
      <c r="F1091" s="811"/>
      <c r="G1091" s="440"/>
      <c r="H1091" s="1"/>
      <c r="I1091" s="55"/>
      <c r="J1091" s="170"/>
      <c r="K1091" s="1"/>
      <c r="L1091" s="170"/>
      <c r="M1091" s="1"/>
      <c r="N1091" s="458"/>
      <c r="O1091" s="170"/>
      <c r="P1091" s="441"/>
      <c r="Q1091" s="55"/>
      <c r="R1091" s="177"/>
      <c r="S1091" s="454"/>
      <c r="T1091" s="178"/>
      <c r="U1091" s="178"/>
      <c r="V1091" s="179"/>
      <c r="W1091" s="180"/>
      <c r="X1091" s="179"/>
      <c r="Y1091" s="180"/>
      <c r="Z1091" s="178"/>
      <c r="AA1091" s="178"/>
      <c r="AB1091" s="178"/>
      <c r="AC1091" s="178"/>
      <c r="AD1091" s="182"/>
      <c r="AE1091" s="182"/>
      <c r="AF1091" s="182"/>
      <c r="AG1091" s="182"/>
      <c r="AH1091" s="401"/>
      <c r="AI1091" s="401"/>
      <c r="AJ1091" s="401"/>
      <c r="AK1091" s="401"/>
      <c r="AL1091" s="401"/>
      <c r="AM1091" s="189"/>
      <c r="AN1091" s="829"/>
      <c r="AO1091" s="830"/>
      <c r="AP1091" s="401"/>
      <c r="AQ1091" s="401"/>
      <c r="AR1091" s="401"/>
      <c r="AS1091" s="401"/>
      <c r="AT1091" s="403"/>
      <c r="AU1091" s="403"/>
      <c r="AV1091" s="170"/>
      <c r="AW1091" s="166"/>
      <c r="AX1091" s="166"/>
      <c r="AY1091" s="189"/>
      <c r="AZ1091" s="189"/>
      <c r="BA1091" s="190"/>
      <c r="BB1091" s="629"/>
      <c r="BC1091" s="190"/>
      <c r="BD1091" s="510"/>
      <c r="BE1091" s="510"/>
      <c r="BF1091" s="177"/>
      <c r="BG1091" s="177"/>
      <c r="BH1091" s="166"/>
      <c r="BI1091" s="474"/>
      <c r="BJ1091" s="166"/>
      <c r="BK1091" s="474"/>
      <c r="BL1091" s="474"/>
      <c r="BM1091" s="474"/>
      <c r="BN1091" s="166"/>
      <c r="BO1091" s="166"/>
      <c r="BP1091" s="204"/>
      <c r="BQ1091" s="475"/>
      <c r="BR1091" s="205"/>
      <c r="BS1091" s="509"/>
      <c r="BT1091" s="509"/>
      <c r="BU1091" s="459"/>
      <c r="BV1091" s="459"/>
      <c r="BW1091" s="1"/>
      <c r="BX1091" s="1"/>
      <c r="BY1091" s="1"/>
      <c r="BZ1091" s="1"/>
      <c r="CA1091" s="1"/>
      <c r="CB1091" s="1"/>
      <c r="CC1091" s="728"/>
      <c r="CD1091" s="728"/>
      <c r="CE1091" s="1"/>
    </row>
    <row r="1092" spans="1:84" customFormat="1">
      <c r="A1092" s="701"/>
      <c r="B1092" s="447"/>
      <c r="C1092" s="161"/>
      <c r="D1092" s="162"/>
      <c r="E1092" s="1"/>
      <c r="F1092" s="811"/>
      <c r="G1092" s="440"/>
      <c r="H1092" s="1"/>
      <c r="I1092" s="55"/>
      <c r="J1092" s="170"/>
      <c r="K1092" s="1"/>
      <c r="L1092" s="170"/>
      <c r="M1092" s="1"/>
      <c r="N1092" s="458"/>
      <c r="O1092" s="170"/>
      <c r="P1092" s="441"/>
      <c r="Q1092" s="55"/>
      <c r="R1092" s="177"/>
      <c r="S1092" s="454"/>
      <c r="T1092" s="178"/>
      <c r="U1092" s="178"/>
      <c r="V1092" s="179"/>
      <c r="W1092" s="180"/>
      <c r="X1092" s="179"/>
      <c r="Y1092" s="180"/>
      <c r="Z1092" s="178"/>
      <c r="AA1092" s="178"/>
      <c r="AB1092" s="178"/>
      <c r="AC1092" s="178"/>
      <c r="AD1092" s="182"/>
      <c r="AE1092" s="182"/>
      <c r="AF1092" s="182"/>
      <c r="AG1092" s="182"/>
      <c r="AH1092" s="401"/>
      <c r="AI1092" s="401"/>
      <c r="AJ1092" s="401"/>
      <c r="AK1092" s="401"/>
      <c r="AL1092" s="401"/>
      <c r="AM1092" s="189"/>
      <c r="AN1092" s="829"/>
      <c r="AO1092" s="830"/>
      <c r="AP1092" s="401"/>
      <c r="AQ1092" s="401"/>
      <c r="AR1092" s="401"/>
      <c r="AS1092" s="401"/>
      <c r="AT1092" s="403"/>
      <c r="AU1092" s="403"/>
      <c r="AV1092" s="170"/>
      <c r="AW1092" s="166"/>
      <c r="AX1092" s="166"/>
      <c r="AY1092" s="189"/>
      <c r="AZ1092" s="189"/>
      <c r="BA1092" s="190"/>
      <c r="BB1092" s="629"/>
      <c r="BC1092" s="190"/>
      <c r="BD1092" s="510"/>
      <c r="BE1092" s="510"/>
      <c r="BF1092" s="177"/>
      <c r="BG1092" s="177"/>
      <c r="BH1092" s="166"/>
      <c r="BI1092" s="474"/>
      <c r="BJ1092" s="166"/>
      <c r="BK1092" s="474"/>
      <c r="BL1092" s="474"/>
      <c r="BM1092" s="474"/>
      <c r="BN1092" s="166"/>
      <c r="BO1092" s="166"/>
      <c r="BP1092" s="204"/>
      <c r="BQ1092" s="475"/>
      <c r="BR1092" s="205"/>
      <c r="BS1092" s="509"/>
      <c r="BT1092" s="509"/>
      <c r="BU1092" s="459"/>
      <c r="BV1092" s="459"/>
      <c r="BW1092" s="1"/>
      <c r="BX1092" s="1"/>
      <c r="BY1092" s="1"/>
      <c r="BZ1092" s="1"/>
      <c r="CA1092" s="1"/>
      <c r="CB1092" s="1"/>
      <c r="CC1092" s="728"/>
      <c r="CD1092" s="728"/>
      <c r="CE1092" s="1"/>
    </row>
    <row r="1093" spans="1:84" customFormat="1">
      <c r="A1093" s="701"/>
      <c r="B1093" s="447"/>
      <c r="C1093" s="161"/>
      <c r="D1093" s="162"/>
      <c r="E1093" s="1"/>
      <c r="F1093" s="811"/>
      <c r="G1093" s="440"/>
      <c r="H1093" s="1"/>
      <c r="I1093" s="55"/>
      <c r="J1093" s="170"/>
      <c r="K1093" s="1"/>
      <c r="L1093" s="170"/>
      <c r="M1093" s="1"/>
      <c r="N1093" s="458"/>
      <c r="O1093" s="170"/>
      <c r="P1093" s="441"/>
      <c r="Q1093" s="55"/>
      <c r="R1093" s="177"/>
      <c r="S1093" s="454"/>
      <c r="T1093" s="178"/>
      <c r="U1093" s="178"/>
      <c r="V1093" s="179"/>
      <c r="W1093" s="180"/>
      <c r="X1093" s="179"/>
      <c r="Y1093" s="180"/>
      <c r="Z1093" s="178"/>
      <c r="AA1093" s="178"/>
      <c r="AB1093" s="178"/>
      <c r="AC1093" s="178"/>
      <c r="AD1093" s="182"/>
      <c r="AE1093" s="182"/>
      <c r="AF1093" s="182"/>
      <c r="AG1093" s="182"/>
      <c r="AH1093" s="401"/>
      <c r="AI1093" s="401"/>
      <c r="AJ1093" s="401"/>
      <c r="AK1093" s="401"/>
      <c r="AL1093" s="401"/>
      <c r="AM1093" s="189"/>
      <c r="AN1093" s="829"/>
      <c r="AO1093" s="830"/>
      <c r="AP1093" s="401"/>
      <c r="AQ1093" s="401"/>
      <c r="AR1093" s="401"/>
      <c r="AS1093" s="401"/>
      <c r="AT1093" s="403"/>
      <c r="AU1093" s="403"/>
      <c r="AV1093" s="170"/>
      <c r="AW1093" s="166"/>
      <c r="AX1093" s="166"/>
      <c r="AY1093" s="189"/>
      <c r="AZ1093" s="189"/>
      <c r="BA1093" s="190"/>
      <c r="BB1093" s="629"/>
      <c r="BC1093" s="190"/>
      <c r="BD1093" s="510"/>
      <c r="BE1093" s="510"/>
      <c r="BF1093" s="177"/>
      <c r="BG1093" s="177"/>
      <c r="BH1093" s="166"/>
      <c r="BI1093" s="474"/>
      <c r="BJ1093" s="166"/>
      <c r="BK1093" s="474"/>
      <c r="BL1093" s="474"/>
      <c r="BM1093" s="474"/>
      <c r="BN1093" s="166"/>
      <c r="BO1093" s="166"/>
      <c r="BP1093" s="204"/>
      <c r="BQ1093" s="475"/>
      <c r="BR1093" s="205"/>
      <c r="BS1093" s="509"/>
      <c r="BT1093" s="509"/>
      <c r="BU1093" s="459"/>
      <c r="BV1093" s="459"/>
      <c r="BW1093" s="1"/>
      <c r="BX1093" s="1"/>
      <c r="BY1093" s="1"/>
      <c r="BZ1093" s="1"/>
      <c r="CA1093" s="1"/>
      <c r="CB1093" s="1"/>
      <c r="CC1093" s="728"/>
      <c r="CD1093" s="728"/>
      <c r="CE1093" s="1"/>
    </row>
    <row r="1094" spans="1:84" customFormat="1">
      <c r="A1094" s="701"/>
      <c r="B1094" s="447"/>
      <c r="C1094" s="161"/>
      <c r="D1094" s="162"/>
      <c r="E1094" s="1"/>
      <c r="F1094" s="811"/>
      <c r="G1094" s="440"/>
      <c r="H1094" s="1"/>
      <c r="I1094" s="55"/>
      <c r="J1094" s="170"/>
      <c r="K1094" s="1"/>
      <c r="L1094" s="170"/>
      <c r="M1094" s="1"/>
      <c r="N1094" s="458"/>
      <c r="O1094" s="170"/>
      <c r="P1094" s="441"/>
      <c r="Q1094" s="55"/>
      <c r="R1094" s="177"/>
      <c r="S1094" s="454"/>
      <c r="T1094" s="178"/>
      <c r="U1094" s="178"/>
      <c r="V1094" s="179"/>
      <c r="W1094" s="180"/>
      <c r="X1094" s="179"/>
      <c r="Y1094" s="180"/>
      <c r="Z1094" s="178"/>
      <c r="AA1094" s="178"/>
      <c r="AB1094" s="178"/>
      <c r="AC1094" s="178"/>
      <c r="AD1094" s="182"/>
      <c r="AE1094" s="182"/>
      <c r="AF1094" s="182"/>
      <c r="AG1094" s="182"/>
      <c r="AH1094" s="401"/>
      <c r="AI1094" s="401"/>
      <c r="AJ1094" s="401"/>
      <c r="AK1094" s="401"/>
      <c r="AL1094" s="401"/>
      <c r="AM1094" s="189"/>
      <c r="AN1094" s="829"/>
      <c r="AO1094" s="830"/>
      <c r="AP1094" s="401"/>
      <c r="AQ1094" s="401"/>
      <c r="AR1094" s="401"/>
      <c r="AS1094" s="401"/>
      <c r="AT1094" s="403"/>
      <c r="AU1094" s="403"/>
      <c r="AV1094" s="170"/>
      <c r="AW1094" s="166"/>
      <c r="AX1094" s="166"/>
      <c r="AY1094" s="189"/>
      <c r="AZ1094" s="189"/>
      <c r="BA1094" s="190"/>
      <c r="BB1094" s="629"/>
      <c r="BC1094" s="190"/>
      <c r="BD1094" s="510"/>
      <c r="BE1094" s="510"/>
      <c r="BF1094" s="177"/>
      <c r="BG1094" s="177"/>
      <c r="BH1094" s="166"/>
      <c r="BI1094" s="474"/>
      <c r="BJ1094" s="166"/>
      <c r="BK1094" s="474"/>
      <c r="BL1094" s="474"/>
      <c r="BM1094" s="474"/>
      <c r="BN1094" s="166"/>
      <c r="BO1094" s="166"/>
      <c r="BP1094" s="204"/>
      <c r="BQ1094" s="475"/>
      <c r="BR1094" s="205"/>
      <c r="BS1094" s="509"/>
      <c r="BT1094" s="509"/>
      <c r="BU1094" s="459"/>
      <c r="BV1094" s="459"/>
      <c r="BW1094" s="1"/>
      <c r="BX1094" s="1"/>
      <c r="BY1094" s="1"/>
      <c r="BZ1094" s="1"/>
      <c r="CA1094" s="1"/>
      <c r="CB1094" s="1"/>
      <c r="CC1094" s="728"/>
      <c r="CD1094" s="728"/>
      <c r="CE1094" s="1"/>
    </row>
    <row r="1095" spans="1:84" customFormat="1">
      <c r="A1095" s="701"/>
      <c r="B1095" s="447"/>
      <c r="C1095" s="161"/>
      <c r="D1095" s="162"/>
      <c r="E1095" s="1"/>
      <c r="F1095" s="811"/>
      <c r="G1095" s="440"/>
      <c r="H1095" s="1"/>
      <c r="I1095" s="55"/>
      <c r="J1095" s="170"/>
      <c r="K1095" s="1"/>
      <c r="L1095" s="170"/>
      <c r="M1095" s="1"/>
      <c r="N1095" s="458"/>
      <c r="O1095" s="170"/>
      <c r="P1095" s="441"/>
      <c r="Q1095" s="55"/>
      <c r="R1095" s="177"/>
      <c r="S1095" s="454"/>
      <c r="T1095" s="178"/>
      <c r="U1095" s="178"/>
      <c r="V1095" s="179"/>
      <c r="W1095" s="180"/>
      <c r="X1095" s="179"/>
      <c r="Y1095" s="180"/>
      <c r="Z1095" s="178"/>
      <c r="AA1095" s="178"/>
      <c r="AB1095" s="178"/>
      <c r="AC1095" s="178"/>
      <c r="AD1095" s="182"/>
      <c r="AE1095" s="182"/>
      <c r="AF1095" s="182"/>
      <c r="AG1095" s="182"/>
      <c r="AH1095" s="401"/>
      <c r="AI1095" s="401"/>
      <c r="AJ1095" s="401"/>
      <c r="AK1095" s="401"/>
      <c r="AL1095" s="401"/>
      <c r="AM1095" s="189"/>
      <c r="AN1095" s="829"/>
      <c r="AO1095" s="830"/>
      <c r="AP1095" s="401"/>
      <c r="AQ1095" s="401"/>
      <c r="AR1095" s="401"/>
      <c r="AS1095" s="401"/>
      <c r="AT1095" s="403"/>
      <c r="AU1095" s="403"/>
      <c r="AV1095" s="170"/>
      <c r="AW1095" s="166"/>
      <c r="AX1095" s="166"/>
      <c r="AY1095" s="189"/>
      <c r="AZ1095" s="189"/>
      <c r="BA1095" s="190"/>
      <c r="BB1095" s="629"/>
      <c r="BC1095" s="190"/>
      <c r="BD1095" s="510"/>
      <c r="BE1095" s="510"/>
      <c r="BF1095" s="177"/>
      <c r="BG1095" s="177"/>
      <c r="BH1095" s="166"/>
      <c r="BI1095" s="474"/>
      <c r="BJ1095" s="166"/>
      <c r="BK1095" s="474"/>
      <c r="BL1095" s="474"/>
      <c r="BM1095" s="474"/>
      <c r="BN1095" s="166"/>
      <c r="BO1095" s="166"/>
      <c r="BP1095" s="204"/>
      <c r="BQ1095" s="475"/>
      <c r="BR1095" s="205"/>
      <c r="BS1095" s="509"/>
      <c r="BT1095" s="509"/>
      <c r="BU1095" s="459"/>
      <c r="BV1095" s="459"/>
      <c r="BW1095" s="1"/>
      <c r="BX1095" s="1"/>
      <c r="BY1095" s="1"/>
      <c r="BZ1095" s="1"/>
      <c r="CA1095" s="1"/>
      <c r="CB1095" s="1"/>
      <c r="CC1095" s="728"/>
      <c r="CD1095" s="728"/>
      <c r="CE1095" s="1"/>
    </row>
    <row r="1096" spans="1:84" customFormat="1">
      <c r="A1096" s="701"/>
      <c r="B1096" s="447"/>
      <c r="C1096" s="161"/>
      <c r="D1096" s="162"/>
      <c r="E1096" s="1"/>
      <c r="F1096" s="811"/>
      <c r="G1096" s="440"/>
      <c r="H1096" s="1"/>
      <c r="I1096" s="55"/>
      <c r="J1096" s="170"/>
      <c r="K1096" s="1"/>
      <c r="L1096" s="170"/>
      <c r="M1096" s="1"/>
      <c r="N1096" s="458"/>
      <c r="O1096" s="170"/>
      <c r="P1096" s="441"/>
      <c r="Q1096" s="55"/>
      <c r="R1096" s="177"/>
      <c r="S1096" s="454"/>
      <c r="T1096" s="178"/>
      <c r="U1096" s="178"/>
      <c r="V1096" s="179"/>
      <c r="W1096" s="180"/>
      <c r="X1096" s="179"/>
      <c r="Y1096" s="180"/>
      <c r="Z1096" s="178"/>
      <c r="AA1096" s="178"/>
      <c r="AB1096" s="178"/>
      <c r="AC1096" s="178"/>
      <c r="AD1096" s="182"/>
      <c r="AE1096" s="182"/>
      <c r="AF1096" s="182"/>
      <c r="AG1096" s="182"/>
      <c r="AH1096" s="401"/>
      <c r="AI1096" s="401"/>
      <c r="AJ1096" s="401"/>
      <c r="AK1096" s="401"/>
      <c r="AL1096" s="401"/>
      <c r="AM1096" s="189"/>
      <c r="AN1096" s="829"/>
      <c r="AO1096" s="830"/>
      <c r="AP1096" s="401"/>
      <c r="AQ1096" s="401"/>
      <c r="AR1096" s="401"/>
      <c r="AS1096" s="401"/>
      <c r="AT1096" s="403"/>
      <c r="AU1096" s="403"/>
      <c r="AV1096" s="170"/>
      <c r="AW1096" s="166"/>
      <c r="AX1096" s="166"/>
      <c r="AY1096" s="189"/>
      <c r="AZ1096" s="189"/>
      <c r="BA1096" s="190"/>
      <c r="BB1096" s="629"/>
      <c r="BC1096" s="190"/>
      <c r="BD1096" s="510"/>
      <c r="BE1096" s="510"/>
      <c r="BF1096" s="177"/>
      <c r="BG1096" s="177"/>
      <c r="BH1096" s="166"/>
      <c r="BI1096" s="474"/>
      <c r="BJ1096" s="166"/>
      <c r="BK1096" s="474"/>
      <c r="BL1096" s="474"/>
      <c r="BM1096" s="474"/>
      <c r="BN1096" s="166"/>
      <c r="BO1096" s="166"/>
      <c r="BP1096" s="204"/>
      <c r="BQ1096" s="475"/>
      <c r="BR1096" s="205"/>
      <c r="BS1096" s="509"/>
      <c r="BT1096" s="509"/>
      <c r="BU1096" s="459"/>
      <c r="BV1096" s="459"/>
      <c r="BW1096" s="1"/>
      <c r="BX1096" s="1"/>
      <c r="BY1096" s="1"/>
      <c r="BZ1096" s="1"/>
      <c r="CA1096" s="1"/>
      <c r="CB1096" s="1"/>
      <c r="CC1096" s="728"/>
      <c r="CD1096" s="728"/>
      <c r="CE1096" s="1"/>
    </row>
    <row r="1097" spans="1:84" customFormat="1">
      <c r="A1097" s="701"/>
      <c r="B1097" s="447"/>
      <c r="C1097" s="161"/>
      <c r="D1097" s="162"/>
      <c r="E1097" s="1"/>
      <c r="F1097" s="811"/>
      <c r="G1097" s="440"/>
      <c r="H1097" s="1"/>
      <c r="I1097" s="55"/>
      <c r="J1097" s="170"/>
      <c r="K1097" s="1"/>
      <c r="L1097" s="170"/>
      <c r="M1097" s="1"/>
      <c r="N1097" s="458"/>
      <c r="O1097" s="170"/>
      <c r="P1097" s="441"/>
      <c r="Q1097" s="55"/>
      <c r="R1097" s="177"/>
      <c r="S1097" s="454"/>
      <c r="T1097" s="178"/>
      <c r="U1097" s="178"/>
      <c r="V1097" s="179"/>
      <c r="W1097" s="180"/>
      <c r="X1097" s="179"/>
      <c r="Y1097" s="180"/>
      <c r="Z1097" s="178"/>
      <c r="AA1097" s="178"/>
      <c r="AB1097" s="178"/>
      <c r="AC1097" s="178"/>
      <c r="AD1097" s="182"/>
      <c r="AE1097" s="182"/>
      <c r="AF1097" s="182"/>
      <c r="AG1097" s="182"/>
      <c r="AH1097" s="401"/>
      <c r="AI1097" s="401"/>
      <c r="AJ1097" s="401"/>
      <c r="AK1097" s="401"/>
      <c r="AL1097" s="401"/>
      <c r="AM1097" s="189"/>
      <c r="AN1097" s="829"/>
      <c r="AO1097" s="830"/>
      <c r="AP1097" s="401"/>
      <c r="AQ1097" s="401"/>
      <c r="AR1097" s="401"/>
      <c r="AS1097" s="401"/>
      <c r="AT1097" s="403"/>
      <c r="AU1097" s="403"/>
      <c r="AV1097" s="170"/>
      <c r="AW1097" s="166"/>
      <c r="AX1097" s="166"/>
      <c r="AY1097" s="189"/>
      <c r="AZ1097" s="189"/>
      <c r="BA1097" s="190"/>
      <c r="BB1097" s="629"/>
      <c r="BC1097" s="190"/>
      <c r="BD1097" s="510"/>
      <c r="BE1097" s="510"/>
      <c r="BF1097" s="177"/>
      <c r="BG1097" s="177"/>
      <c r="BH1097" s="166"/>
      <c r="BI1097" s="474"/>
      <c r="BJ1097" s="166"/>
      <c r="BK1097" s="474"/>
      <c r="BL1097" s="474"/>
      <c r="BM1097" s="474"/>
      <c r="BN1097" s="166"/>
      <c r="BO1097" s="166"/>
      <c r="BP1097" s="204"/>
      <c r="BQ1097" s="475"/>
      <c r="BR1097" s="205"/>
      <c r="BS1097" s="509"/>
      <c r="BT1097" s="509"/>
      <c r="BU1097" s="459"/>
      <c r="BV1097" s="459"/>
      <c r="BW1097" s="1"/>
      <c r="BX1097" s="1"/>
      <c r="BY1097" s="1"/>
      <c r="BZ1097" s="1"/>
      <c r="CA1097" s="1"/>
      <c r="CB1097" s="1"/>
      <c r="CC1097" s="728"/>
      <c r="CD1097" s="728"/>
      <c r="CE1097" s="1"/>
    </row>
    <row r="1098" spans="1:84" customFormat="1">
      <c r="A1098" s="701"/>
      <c r="B1098" s="447"/>
      <c r="C1098" s="161"/>
      <c r="D1098" s="162"/>
      <c r="E1098" s="1"/>
      <c r="F1098" s="811"/>
      <c r="G1098" s="440"/>
      <c r="H1098" s="1"/>
      <c r="I1098" s="55"/>
      <c r="J1098" s="170"/>
      <c r="K1098" s="1"/>
      <c r="L1098" s="170"/>
      <c r="M1098" s="1"/>
      <c r="N1098" s="458"/>
      <c r="O1098" s="170"/>
      <c r="P1098" s="441"/>
      <c r="Q1098" s="55"/>
      <c r="R1098" s="177"/>
      <c r="S1098" s="454"/>
      <c r="T1098" s="178"/>
      <c r="U1098" s="178"/>
      <c r="V1098" s="179"/>
      <c r="W1098" s="180"/>
      <c r="X1098" s="179"/>
      <c r="Y1098" s="180"/>
      <c r="Z1098" s="178"/>
      <c r="AA1098" s="178"/>
      <c r="AB1098" s="178"/>
      <c r="AC1098" s="178"/>
      <c r="AD1098" s="182"/>
      <c r="AE1098" s="182"/>
      <c r="AF1098" s="182"/>
      <c r="AG1098" s="182"/>
      <c r="AH1098" s="401"/>
      <c r="AI1098" s="401"/>
      <c r="AJ1098" s="401"/>
      <c r="AK1098" s="401"/>
      <c r="AL1098" s="401"/>
      <c r="AM1098" s="189"/>
      <c r="AN1098" s="829"/>
      <c r="AO1098" s="830"/>
      <c r="AP1098" s="401"/>
      <c r="AQ1098" s="401"/>
      <c r="AR1098" s="401"/>
      <c r="AS1098" s="401"/>
      <c r="AT1098" s="403"/>
      <c r="AU1098" s="403"/>
      <c r="AV1098" s="170"/>
      <c r="AW1098" s="166"/>
      <c r="AX1098" s="166"/>
      <c r="AY1098" s="189"/>
      <c r="AZ1098" s="189"/>
      <c r="BA1098" s="190"/>
      <c r="BB1098" s="629"/>
      <c r="BC1098" s="190"/>
      <c r="BD1098" s="510"/>
      <c r="BE1098" s="510"/>
      <c r="BF1098" s="177"/>
      <c r="BG1098" s="177"/>
      <c r="BH1098" s="166"/>
      <c r="BI1098" s="474"/>
      <c r="BJ1098" s="166"/>
      <c r="BK1098" s="474"/>
      <c r="BL1098" s="474"/>
      <c r="BM1098" s="474"/>
      <c r="BN1098" s="166"/>
      <c r="BO1098" s="166"/>
      <c r="BP1098" s="204"/>
      <c r="BQ1098" s="475"/>
      <c r="BR1098" s="205"/>
      <c r="BS1098" s="509"/>
      <c r="BT1098" s="509"/>
      <c r="BU1098" s="459"/>
      <c r="BV1098" s="459"/>
      <c r="BW1098" s="1"/>
      <c r="BX1098" s="1"/>
      <c r="BY1098" s="1"/>
      <c r="BZ1098" s="1"/>
      <c r="CA1098" s="1"/>
      <c r="CB1098" s="1"/>
      <c r="CC1098" s="728"/>
      <c r="CD1098" s="728"/>
      <c r="CE1098" s="1"/>
    </row>
    <row r="1099" spans="1:84" customFormat="1">
      <c r="A1099" s="701"/>
      <c r="B1099" s="447"/>
      <c r="C1099" s="161"/>
      <c r="D1099" s="162"/>
      <c r="E1099" s="1"/>
      <c r="F1099" s="811"/>
      <c r="G1099" s="440"/>
      <c r="H1099" s="1"/>
      <c r="I1099" s="55"/>
      <c r="J1099" s="170"/>
      <c r="K1099" s="1"/>
      <c r="L1099" s="170"/>
      <c r="M1099" s="1"/>
      <c r="N1099" s="458"/>
      <c r="O1099" s="170"/>
      <c r="P1099" s="441"/>
      <c r="Q1099" s="55"/>
      <c r="R1099" s="177"/>
      <c r="S1099" s="454"/>
      <c r="T1099" s="178"/>
      <c r="U1099" s="178"/>
      <c r="V1099" s="179"/>
      <c r="W1099" s="180"/>
      <c r="X1099" s="179"/>
      <c r="Y1099" s="180"/>
      <c r="Z1099" s="178"/>
      <c r="AA1099" s="178"/>
      <c r="AB1099" s="178"/>
      <c r="AC1099" s="178"/>
      <c r="AD1099" s="182"/>
      <c r="AE1099" s="182"/>
      <c r="AF1099" s="182"/>
      <c r="AG1099" s="182"/>
      <c r="AH1099" s="401"/>
      <c r="AI1099" s="401"/>
      <c r="AJ1099" s="401"/>
      <c r="AK1099" s="401"/>
      <c r="AL1099" s="401"/>
      <c r="AM1099" s="189"/>
      <c r="AN1099" s="829"/>
      <c r="AO1099" s="830"/>
      <c r="AP1099" s="401"/>
      <c r="AQ1099" s="401"/>
      <c r="AR1099" s="401"/>
      <c r="AS1099" s="401"/>
      <c r="AT1099" s="403"/>
      <c r="AU1099" s="403"/>
      <c r="AV1099" s="170"/>
      <c r="AW1099" s="166"/>
      <c r="AX1099" s="166"/>
      <c r="AY1099" s="189"/>
      <c r="AZ1099" s="189"/>
      <c r="BA1099" s="190"/>
      <c r="BB1099" s="629"/>
      <c r="BC1099" s="190"/>
      <c r="BD1099" s="510"/>
      <c r="BE1099" s="510"/>
      <c r="BF1099" s="177"/>
      <c r="BG1099" s="177"/>
      <c r="BH1099" s="166"/>
      <c r="BI1099" s="474"/>
      <c r="BJ1099" s="166"/>
      <c r="BK1099" s="474"/>
      <c r="BL1099" s="474"/>
      <c r="BM1099" s="474"/>
      <c r="BN1099" s="166"/>
      <c r="BO1099" s="166"/>
      <c r="BP1099" s="204"/>
      <c r="BQ1099" s="475"/>
      <c r="BR1099" s="205"/>
      <c r="BS1099" s="509"/>
      <c r="BT1099" s="509"/>
      <c r="BU1099" s="459"/>
      <c r="BV1099" s="459"/>
      <c r="BW1099" s="1"/>
      <c r="BX1099" s="1"/>
      <c r="BY1099" s="1"/>
      <c r="BZ1099" s="1"/>
      <c r="CA1099" s="1"/>
      <c r="CB1099" s="1"/>
      <c r="CC1099" s="728"/>
      <c r="CD1099" s="728"/>
      <c r="CE1099" s="1"/>
    </row>
    <row r="1100" spans="1:84" customFormat="1">
      <c r="A1100" s="701"/>
      <c r="B1100" s="447"/>
      <c r="C1100" s="161"/>
      <c r="D1100" s="162"/>
      <c r="E1100" s="1"/>
      <c r="F1100" s="811"/>
      <c r="G1100" s="440"/>
      <c r="H1100" s="1"/>
      <c r="I1100" s="55"/>
      <c r="J1100" s="170"/>
      <c r="K1100" s="1"/>
      <c r="L1100" s="170"/>
      <c r="M1100" s="1"/>
      <c r="N1100" s="458"/>
      <c r="O1100" s="170"/>
      <c r="P1100" s="441"/>
      <c r="Q1100" s="55"/>
      <c r="R1100" s="177"/>
      <c r="S1100" s="454"/>
      <c r="T1100" s="178"/>
      <c r="U1100" s="178"/>
      <c r="V1100" s="179"/>
      <c r="W1100" s="180"/>
      <c r="X1100" s="179"/>
      <c r="Y1100" s="180"/>
      <c r="Z1100" s="178"/>
      <c r="AA1100" s="178"/>
      <c r="AB1100" s="178"/>
      <c r="AC1100" s="178"/>
      <c r="AD1100" s="182"/>
      <c r="AE1100" s="182"/>
      <c r="AF1100" s="182"/>
      <c r="AG1100" s="182"/>
      <c r="AH1100" s="401"/>
      <c r="AI1100" s="401"/>
      <c r="AJ1100" s="401"/>
      <c r="AK1100" s="401"/>
      <c r="AL1100" s="401"/>
      <c r="AM1100" s="189"/>
      <c r="AN1100" s="829"/>
      <c r="AO1100" s="830"/>
      <c r="AP1100" s="401"/>
      <c r="AQ1100" s="401"/>
      <c r="AR1100" s="401"/>
      <c r="AS1100" s="401"/>
      <c r="AT1100" s="403"/>
      <c r="AU1100" s="403"/>
      <c r="AV1100" s="170"/>
      <c r="AW1100" s="166"/>
      <c r="AX1100" s="166"/>
      <c r="AY1100" s="189"/>
      <c r="AZ1100" s="189"/>
      <c r="BA1100" s="190"/>
      <c r="BB1100" s="629"/>
      <c r="BC1100" s="190"/>
      <c r="BD1100" s="510"/>
      <c r="BE1100" s="510"/>
      <c r="BF1100" s="177"/>
      <c r="BG1100" s="177"/>
      <c r="BH1100" s="166"/>
      <c r="BI1100" s="474"/>
      <c r="BJ1100" s="166"/>
      <c r="BK1100" s="474"/>
      <c r="BL1100" s="474"/>
      <c r="BM1100" s="474"/>
      <c r="BN1100" s="166"/>
      <c r="BO1100" s="166"/>
      <c r="BP1100" s="204"/>
      <c r="BQ1100" s="475"/>
      <c r="BR1100" s="205"/>
      <c r="BS1100" s="509"/>
      <c r="BT1100" s="509"/>
      <c r="BU1100" s="459"/>
      <c r="BV1100" s="459"/>
      <c r="BW1100" s="1"/>
      <c r="BX1100" s="1"/>
      <c r="BY1100" s="1"/>
      <c r="BZ1100" s="1"/>
      <c r="CA1100" s="1"/>
      <c r="CB1100" s="1"/>
      <c r="CC1100" s="728"/>
      <c r="CD1100" s="728"/>
      <c r="CE1100" s="1"/>
    </row>
    <row r="1101" spans="1:84" customFormat="1">
      <c r="A1101" s="701"/>
      <c r="B1101" s="447"/>
      <c r="C1101" s="161"/>
      <c r="D1101" s="162"/>
      <c r="E1101" s="1"/>
      <c r="F1101" s="811"/>
      <c r="G1101" s="440"/>
      <c r="H1101" s="1"/>
      <c r="I1101" s="55"/>
      <c r="J1101" s="170"/>
      <c r="K1101" s="1"/>
      <c r="L1101" s="170"/>
      <c r="M1101" s="1"/>
      <c r="N1101" s="458"/>
      <c r="O1101" s="170"/>
      <c r="P1101" s="441"/>
      <c r="Q1101" s="55"/>
      <c r="R1101" s="177"/>
      <c r="S1101" s="454"/>
      <c r="T1101" s="178"/>
      <c r="U1101" s="178"/>
      <c r="V1101" s="179"/>
      <c r="W1101" s="180"/>
      <c r="X1101" s="179"/>
      <c r="Y1101" s="180"/>
      <c r="Z1101" s="178"/>
      <c r="AA1101" s="178"/>
      <c r="AB1101" s="178"/>
      <c r="AC1101" s="178"/>
      <c r="AD1101" s="182"/>
      <c r="AE1101" s="182"/>
      <c r="AF1101" s="182"/>
      <c r="AG1101" s="182"/>
      <c r="AH1101" s="401"/>
      <c r="AI1101" s="401"/>
      <c r="AJ1101" s="401"/>
      <c r="AK1101" s="401"/>
      <c r="AL1101" s="401"/>
      <c r="AM1101" s="189"/>
      <c r="AN1101" s="829"/>
      <c r="AO1101" s="830"/>
      <c r="AP1101" s="401"/>
      <c r="AQ1101" s="401"/>
      <c r="AR1101" s="401"/>
      <c r="AS1101" s="401"/>
      <c r="AT1101" s="403"/>
      <c r="AU1101" s="403"/>
      <c r="AV1101" s="170"/>
      <c r="AW1101" s="166"/>
      <c r="AX1101" s="166"/>
      <c r="AY1101" s="189"/>
      <c r="AZ1101" s="189"/>
      <c r="BA1101" s="190"/>
      <c r="BB1101" s="629"/>
      <c r="BC1101" s="190"/>
      <c r="BD1101" s="510"/>
      <c r="BE1101" s="510"/>
      <c r="BF1101" s="177"/>
      <c r="BG1101" s="177"/>
      <c r="BH1101" s="166"/>
      <c r="BI1101" s="474"/>
      <c r="BJ1101" s="166"/>
      <c r="BK1101" s="474"/>
      <c r="BL1101" s="474"/>
      <c r="BM1101" s="474"/>
      <c r="BN1101" s="166"/>
      <c r="BO1101" s="166"/>
      <c r="BP1101" s="204"/>
      <c r="BQ1101" s="475"/>
      <c r="BR1101" s="205"/>
      <c r="BS1101" s="509"/>
      <c r="BT1101" s="509"/>
      <c r="BU1101" s="459"/>
      <c r="BV1101" s="459"/>
      <c r="BW1101" s="1"/>
      <c r="BX1101" s="1"/>
      <c r="BY1101" s="1"/>
      <c r="BZ1101" s="1"/>
      <c r="CA1101" s="1"/>
      <c r="CB1101" s="1"/>
      <c r="CC1101" s="728"/>
      <c r="CD1101" s="728"/>
      <c r="CE1101" s="1"/>
    </row>
    <row r="1102" spans="1:84" customFormat="1">
      <c r="A1102" s="701"/>
      <c r="B1102" s="447"/>
      <c r="C1102" s="161"/>
      <c r="D1102" s="162"/>
      <c r="E1102" s="1"/>
      <c r="F1102" s="811"/>
      <c r="G1102" s="440"/>
      <c r="H1102" s="1"/>
      <c r="I1102" s="55"/>
      <c r="J1102" s="170"/>
      <c r="K1102" s="1"/>
      <c r="L1102" s="170"/>
      <c r="M1102" s="1"/>
      <c r="N1102" s="458"/>
      <c r="O1102" s="170"/>
      <c r="P1102" s="441"/>
      <c r="Q1102" s="55"/>
      <c r="R1102" s="177"/>
      <c r="S1102" s="454"/>
      <c r="T1102" s="178"/>
      <c r="U1102" s="178"/>
      <c r="V1102" s="179"/>
      <c r="W1102" s="180"/>
      <c r="X1102" s="179"/>
      <c r="Y1102" s="180"/>
      <c r="Z1102" s="178"/>
      <c r="AA1102" s="178"/>
      <c r="AB1102" s="178"/>
      <c r="AC1102" s="178"/>
      <c r="AD1102" s="182"/>
      <c r="AE1102" s="182"/>
      <c r="AF1102" s="182"/>
      <c r="AG1102" s="182"/>
      <c r="AH1102" s="401"/>
      <c r="AI1102" s="401"/>
      <c r="AJ1102" s="401"/>
      <c r="AK1102" s="401"/>
      <c r="AL1102" s="401"/>
      <c r="AM1102" s="189"/>
      <c r="AN1102" s="829"/>
      <c r="AO1102" s="830"/>
      <c r="AP1102" s="401"/>
      <c r="AQ1102" s="401"/>
      <c r="AR1102" s="401"/>
      <c r="AS1102" s="401"/>
      <c r="AT1102" s="403"/>
      <c r="AU1102" s="403"/>
      <c r="AV1102" s="170"/>
      <c r="AW1102" s="166"/>
      <c r="AX1102" s="166"/>
      <c r="AY1102" s="189"/>
      <c r="AZ1102" s="189"/>
      <c r="BA1102" s="190"/>
      <c r="BB1102" s="629"/>
      <c r="BC1102" s="190"/>
      <c r="BD1102" s="510"/>
      <c r="BE1102" s="510"/>
      <c r="BF1102" s="177"/>
      <c r="BG1102" s="177"/>
      <c r="BH1102" s="166"/>
      <c r="BI1102" s="474"/>
      <c r="BJ1102" s="166"/>
      <c r="BK1102" s="474"/>
      <c r="BL1102" s="474"/>
      <c r="BM1102" s="474"/>
      <c r="BN1102" s="166"/>
      <c r="BO1102" s="166"/>
      <c r="BP1102" s="204"/>
      <c r="BQ1102" s="475"/>
      <c r="BR1102" s="205"/>
      <c r="BS1102" s="509"/>
      <c r="BT1102" s="509"/>
      <c r="BU1102" s="459"/>
      <c r="BV1102" s="459"/>
      <c r="BW1102" s="1"/>
      <c r="BX1102" s="1"/>
      <c r="BY1102" s="1"/>
      <c r="BZ1102" s="1"/>
      <c r="CA1102" s="1"/>
      <c r="CB1102" s="1"/>
      <c r="CC1102" s="728"/>
      <c r="CD1102" s="728"/>
      <c r="CE1102" s="1"/>
    </row>
    <row r="1103" spans="1:84" customFormat="1">
      <c r="A1103" s="701"/>
      <c r="B1103" s="447"/>
      <c r="C1103" s="161"/>
      <c r="D1103" s="162"/>
      <c r="E1103" s="1"/>
      <c r="F1103" s="811" t="str">
        <f>IFERROR(INDEX((opt),MATCH($H1103,Prt,0)),"")</f>
        <v/>
      </c>
      <c r="G1103" s="440"/>
      <c r="H1103" s="1"/>
      <c r="I1103" s="55"/>
      <c r="J1103" s="170"/>
      <c r="K1103" s="1"/>
      <c r="L1103" s="170"/>
      <c r="M1103" s="1"/>
      <c r="N1103" s="458"/>
      <c r="O1103" s="170"/>
      <c r="P1103" s="441"/>
      <c r="Q1103" s="55"/>
      <c r="R1103" s="177"/>
      <c r="S1103" s="454"/>
      <c r="T1103" s="178"/>
      <c r="U1103" s="178"/>
      <c r="V1103" s="179"/>
      <c r="W1103" s="180"/>
      <c r="X1103" s="179"/>
      <c r="Y1103" s="180"/>
      <c r="Z1103" s="178"/>
      <c r="AA1103" s="178"/>
      <c r="AB1103" s="178"/>
      <c r="AC1103" s="178"/>
      <c r="AD1103" s="182"/>
      <c r="AE1103" s="182"/>
      <c r="AF1103" s="182"/>
      <c r="AG1103" s="182"/>
      <c r="AH1103" s="401"/>
      <c r="AI1103" s="401"/>
      <c r="AJ1103" s="401"/>
      <c r="AK1103" s="401"/>
      <c r="AL1103" s="401"/>
      <c r="AM1103" s="189"/>
      <c r="AN1103" s="829"/>
      <c r="AO1103" s="830"/>
      <c r="AP1103" s="401"/>
      <c r="AQ1103" s="401"/>
      <c r="AR1103" s="401"/>
      <c r="AS1103" s="401"/>
      <c r="AT1103" s="403"/>
      <c r="AU1103" s="403"/>
      <c r="AV1103" s="170"/>
      <c r="AW1103" s="166"/>
      <c r="AX1103" s="166"/>
      <c r="AY1103" s="189"/>
      <c r="AZ1103" s="189"/>
      <c r="BA1103" s="190"/>
      <c r="BB1103" s="629"/>
      <c r="BC1103" s="190"/>
      <c r="BD1103" s="510"/>
      <c r="BE1103" s="510"/>
      <c r="BF1103" s="177"/>
      <c r="BG1103" s="177"/>
      <c r="BH1103" s="166"/>
      <c r="BI1103" s="474"/>
      <c r="BJ1103" s="166"/>
      <c r="BK1103" s="474"/>
      <c r="BL1103" s="474"/>
      <c r="BM1103" s="474"/>
      <c r="BN1103" s="166"/>
      <c r="BO1103" s="166"/>
      <c r="BP1103" s="204"/>
      <c r="BQ1103" s="475"/>
      <c r="BR1103" s="205"/>
      <c r="BS1103" s="509"/>
      <c r="BT1103" s="509"/>
      <c r="BU1103" s="459"/>
      <c r="BV1103" s="459"/>
      <c r="BW1103" s="1"/>
      <c r="BX1103" s="1"/>
      <c r="BY1103" s="1"/>
      <c r="BZ1103" s="1"/>
      <c r="CA1103" s="1"/>
      <c r="CB1103" s="1"/>
      <c r="CC1103" s="728"/>
      <c r="CD1103" s="728"/>
      <c r="CE1103" s="1"/>
      <c r="CF1103" t="str">
        <f>IF(F1103=1,(CONCATENATE(J1103,";",L1103,";",Q1103,";",BP1103,";",N1103,";",H1103,";","-1",";",AF1103,";",CA1103,";",AG1103,";",CB1103,";",AD1103,";",BY1103,";",AE1103,";",BZ1103))," ")</f>
        <v xml:space="preserve"> </v>
      </c>
    </row>
    <row r="1104" spans="1:84" customFormat="1">
      <c r="A1104" s="701"/>
      <c r="B1104" s="447"/>
      <c r="C1104" s="161"/>
      <c r="D1104" s="162"/>
      <c r="E1104" s="1"/>
      <c r="F1104" s="811" t="str">
        <f>IFERROR(INDEX((opt),MATCH($H1104,Prt,0)),"")</f>
        <v/>
      </c>
      <c r="G1104" s="440"/>
      <c r="H1104" s="1"/>
      <c r="I1104" s="55"/>
      <c r="J1104" s="170"/>
      <c r="K1104" s="1"/>
      <c r="L1104" s="170"/>
      <c r="M1104" s="1"/>
      <c r="N1104" s="458"/>
      <c r="O1104" s="170"/>
      <c r="P1104" s="441"/>
      <c r="Q1104" s="55"/>
      <c r="R1104" s="177"/>
      <c r="S1104" s="454"/>
      <c r="T1104" s="178"/>
      <c r="U1104" s="178"/>
      <c r="V1104" s="179"/>
      <c r="W1104" s="180"/>
      <c r="X1104" s="179"/>
      <c r="Y1104" s="180"/>
      <c r="Z1104" s="178"/>
      <c r="AA1104" s="178"/>
      <c r="AB1104" s="178"/>
      <c r="AC1104" s="178"/>
      <c r="AD1104" s="182"/>
      <c r="AE1104" s="182"/>
      <c r="AF1104" s="182"/>
      <c r="AG1104" s="182"/>
      <c r="AH1104" s="401"/>
      <c r="AI1104" s="401"/>
      <c r="AJ1104" s="401"/>
      <c r="AK1104" s="401"/>
      <c r="AL1104" s="401"/>
      <c r="AM1104" s="189"/>
      <c r="AN1104" s="829"/>
      <c r="AO1104" s="830"/>
      <c r="AP1104" s="401"/>
      <c r="AQ1104" s="401"/>
      <c r="AR1104" s="401"/>
      <c r="AS1104" s="401"/>
      <c r="AT1104" s="403"/>
      <c r="AU1104" s="403"/>
      <c r="AV1104" s="170"/>
      <c r="AW1104" s="166"/>
      <c r="AX1104" s="166"/>
      <c r="AY1104" s="189"/>
      <c r="AZ1104" s="189"/>
      <c r="BA1104" s="190"/>
      <c r="BB1104" s="629"/>
      <c r="BC1104" s="190"/>
      <c r="BD1104" s="510"/>
      <c r="BE1104" s="510"/>
      <c r="BF1104" s="177"/>
      <c r="BG1104" s="177"/>
      <c r="BH1104" s="166"/>
      <c r="BI1104" s="474"/>
      <c r="BJ1104" s="166"/>
      <c r="BK1104" s="474"/>
      <c r="BL1104" s="474"/>
      <c r="BM1104" s="474"/>
      <c r="BN1104" s="166"/>
      <c r="BO1104" s="166"/>
      <c r="BP1104" s="204"/>
      <c r="BQ1104" s="475"/>
      <c r="BR1104" s="205"/>
      <c r="BS1104" s="509"/>
      <c r="BT1104" s="509"/>
      <c r="BU1104" s="459"/>
      <c r="BV1104" s="459"/>
      <c r="BW1104" s="1"/>
      <c r="BX1104" s="1"/>
      <c r="BY1104" s="1"/>
      <c r="BZ1104" s="1"/>
      <c r="CA1104" s="1"/>
      <c r="CB1104" s="1"/>
      <c r="CC1104" s="728"/>
      <c r="CD1104" s="728"/>
      <c r="CE1104" s="1"/>
      <c r="CF1104" t="str">
        <f>IF(F1104=1,(CONCATENATE(J1104,";",L1104,";",Q1104,";",BP1104,";",N1104,";",H1104,";","-1",";",AF1104,";",CA1104,";",AG1104,";",CB1104,";",AD1104,";",BY1104,";",AE1104,";",BZ1104))," ")</f>
        <v xml:space="preserve"> </v>
      </c>
    </row>
    <row r="1105" spans="1:84" customFormat="1">
      <c r="A1105" s="701"/>
      <c r="B1105" s="447"/>
      <c r="C1105" s="161"/>
      <c r="D1105" s="162"/>
      <c r="E1105" s="1"/>
      <c r="F1105" s="811" t="str">
        <f>IFERROR(INDEX((opt),MATCH($H1105,Prt,0)),"")</f>
        <v/>
      </c>
      <c r="G1105" s="440"/>
      <c r="H1105" s="1"/>
      <c r="I1105" s="55"/>
      <c r="J1105" s="170"/>
      <c r="K1105" s="1"/>
      <c r="L1105" s="170"/>
      <c r="M1105" s="1"/>
      <c r="N1105" s="458"/>
      <c r="O1105" s="170"/>
      <c r="P1105" s="441"/>
      <c r="Q1105" s="55"/>
      <c r="R1105" s="177"/>
      <c r="S1105" s="454"/>
      <c r="T1105" s="178"/>
      <c r="U1105" s="178"/>
      <c r="V1105" s="179"/>
      <c r="W1105" s="180"/>
      <c r="X1105" s="179"/>
      <c r="Y1105" s="180"/>
      <c r="Z1105" s="178"/>
      <c r="AA1105" s="178"/>
      <c r="AB1105" s="178"/>
      <c r="AC1105" s="178"/>
      <c r="AD1105" s="182"/>
      <c r="AE1105" s="182"/>
      <c r="AF1105" s="182"/>
      <c r="AG1105" s="182"/>
      <c r="AH1105" s="401"/>
      <c r="AI1105" s="401"/>
      <c r="AJ1105" s="401"/>
      <c r="AK1105" s="401"/>
      <c r="AL1105" s="401"/>
      <c r="AM1105" s="189"/>
      <c r="AN1105" s="829"/>
      <c r="AO1105" s="830"/>
      <c r="AP1105" s="401"/>
      <c r="AQ1105" s="401"/>
      <c r="AR1105" s="401"/>
      <c r="AS1105" s="401"/>
      <c r="AT1105" s="403"/>
      <c r="AU1105" s="403"/>
      <c r="AV1105" s="170"/>
      <c r="AW1105" s="166"/>
      <c r="AX1105" s="166"/>
      <c r="AY1105" s="189"/>
      <c r="AZ1105" s="189"/>
      <c r="BA1105" s="190"/>
      <c r="BB1105" s="629"/>
      <c r="BC1105" s="190"/>
      <c r="BD1105" s="510"/>
      <c r="BE1105" s="510"/>
      <c r="BF1105" s="177"/>
      <c r="BG1105" s="177"/>
      <c r="BH1105" s="166"/>
      <c r="BI1105" s="474"/>
      <c r="BJ1105" s="166"/>
      <c r="BK1105" s="474"/>
      <c r="BL1105" s="474"/>
      <c r="BM1105" s="474"/>
      <c r="BN1105" s="166"/>
      <c r="BO1105" s="166"/>
      <c r="BP1105" s="204"/>
      <c r="BQ1105" s="475"/>
      <c r="BR1105" s="205"/>
      <c r="BS1105" s="509"/>
      <c r="BT1105" s="509"/>
      <c r="BU1105" s="459"/>
      <c r="BV1105" s="459"/>
      <c r="BW1105" s="1"/>
      <c r="BX1105" s="1"/>
      <c r="BY1105" s="1"/>
      <c r="BZ1105" s="1"/>
      <c r="CA1105" s="1"/>
      <c r="CB1105" s="1"/>
      <c r="CC1105" s="728"/>
      <c r="CD1105" s="728"/>
      <c r="CE1105" s="1"/>
      <c r="CF1105" t="str">
        <f>IF(F1105=1,(CONCATENATE(J1105,";",L1105,";",Q1105,";",BP1105,";",N1105,";",H1105,";","-1",";",AF1105,";",CA1105,";",AG1105,";",CB1105,";",AD1105,";",BY1105,";",AE1105,";",BZ1105))," ")</f>
        <v xml:space="preserve"> </v>
      </c>
    </row>
    <row r="1106" spans="1:84" customFormat="1">
      <c r="A1106" s="701"/>
      <c r="B1106" s="447"/>
      <c r="C1106" s="161"/>
      <c r="D1106" s="162"/>
      <c r="E1106" s="1"/>
      <c r="F1106" s="811" t="str">
        <f>IFERROR(INDEX((opt),MATCH($H1106,Prt,0)),"")</f>
        <v/>
      </c>
      <c r="G1106" s="440"/>
      <c r="H1106" s="1"/>
      <c r="I1106" s="55"/>
      <c r="J1106" s="170"/>
      <c r="K1106" s="1"/>
      <c r="L1106" s="170"/>
      <c r="M1106" s="1"/>
      <c r="N1106" s="458"/>
      <c r="O1106" s="170"/>
      <c r="P1106" s="441"/>
      <c r="Q1106" s="55"/>
      <c r="R1106" s="177"/>
      <c r="S1106" s="454"/>
      <c r="T1106" s="178"/>
      <c r="U1106" s="178"/>
      <c r="V1106" s="179"/>
      <c r="W1106" s="180"/>
      <c r="X1106" s="179"/>
      <c r="Y1106" s="180"/>
      <c r="Z1106" s="178"/>
      <c r="AA1106" s="178"/>
      <c r="AB1106" s="178"/>
      <c r="AC1106" s="178"/>
      <c r="AD1106" s="182"/>
      <c r="AE1106" s="182"/>
      <c r="AF1106" s="182"/>
      <c r="AG1106" s="182"/>
      <c r="AH1106" s="401"/>
      <c r="AI1106" s="401"/>
      <c r="AJ1106" s="401"/>
      <c r="AK1106" s="401"/>
      <c r="AL1106" s="401"/>
      <c r="AM1106" s="189"/>
      <c r="AN1106" s="829"/>
      <c r="AO1106" s="830"/>
      <c r="AP1106" s="401"/>
      <c r="AQ1106" s="401"/>
      <c r="AR1106" s="401"/>
      <c r="AS1106" s="401"/>
      <c r="AT1106" s="403"/>
      <c r="AU1106" s="403"/>
      <c r="AV1106" s="170"/>
      <c r="AW1106" s="166"/>
      <c r="AX1106" s="166"/>
      <c r="AY1106" s="189"/>
      <c r="AZ1106" s="189"/>
      <c r="BA1106" s="190"/>
      <c r="BB1106" s="629"/>
      <c r="BC1106" s="190"/>
      <c r="BD1106" s="510"/>
      <c r="BE1106" s="510"/>
      <c r="BF1106" s="177"/>
      <c r="BG1106" s="177"/>
      <c r="BH1106" s="166"/>
      <c r="BI1106" s="474"/>
      <c r="BJ1106" s="166"/>
      <c r="BK1106" s="474"/>
      <c r="BL1106" s="474"/>
      <c r="BM1106" s="474"/>
      <c r="BN1106" s="166"/>
      <c r="BO1106" s="166"/>
      <c r="BP1106" s="204"/>
      <c r="BQ1106" s="475"/>
      <c r="BR1106" s="205"/>
      <c r="BS1106" s="509"/>
      <c r="BT1106" s="509"/>
      <c r="BU1106" s="459"/>
      <c r="BV1106" s="459"/>
      <c r="BW1106" s="1"/>
      <c r="BX1106" s="1"/>
      <c r="BY1106" s="1"/>
      <c r="BZ1106" s="1"/>
      <c r="CA1106" s="1"/>
      <c r="CB1106" s="1"/>
      <c r="CC1106" s="728"/>
      <c r="CD1106" s="728"/>
      <c r="CE1106" s="1"/>
      <c r="CF1106" t="str">
        <f>IF(F1106=1,(CONCATENATE(J1106,";",L1106,";",Q1106,";",BP1106,";",N1106,";",H1106,";","-1",";",AF1106,";",CA1106,";",AG1106,";",CB1106,";",AD1106,";",BY1106,";",AE1106,";",BZ1106))," ")</f>
        <v xml:space="preserve"> </v>
      </c>
    </row>
    <row r="1107" spans="1:84" customFormat="1">
      <c r="A1107" s="701"/>
      <c r="B1107" s="447"/>
      <c r="C1107" s="161"/>
      <c r="D1107" s="162"/>
      <c r="E1107" s="1"/>
      <c r="F1107" s="811" t="str">
        <f t="shared" ref="F1107:F1170" si="254">IFERROR(INDEX((opt),MATCH($H1107,Prt,0)),"")</f>
        <v/>
      </c>
      <c r="G1107" s="440"/>
      <c r="H1107" s="1"/>
      <c r="I1107" s="55"/>
      <c r="J1107" s="170"/>
      <c r="K1107" s="1"/>
      <c r="L1107" s="170"/>
      <c r="M1107" s="1"/>
      <c r="N1107" s="458"/>
      <c r="O1107" s="170"/>
      <c r="P1107" s="441"/>
      <c r="Q1107" s="55"/>
      <c r="R1107" s="177"/>
      <c r="S1107" s="454"/>
      <c r="T1107" s="178"/>
      <c r="U1107" s="178"/>
      <c r="V1107" s="179"/>
      <c r="W1107" s="180"/>
      <c r="X1107" s="179"/>
      <c r="Y1107" s="180"/>
      <c r="Z1107" s="178"/>
      <c r="AA1107" s="178"/>
      <c r="AB1107" s="178"/>
      <c r="AC1107" s="178"/>
      <c r="AD1107" s="182"/>
      <c r="AE1107" s="182"/>
      <c r="AF1107" s="182"/>
      <c r="AG1107" s="182"/>
      <c r="AH1107" s="401"/>
      <c r="AI1107" s="401"/>
      <c r="AJ1107" s="401"/>
      <c r="AK1107" s="401"/>
      <c r="AL1107" s="401"/>
      <c r="AM1107" s="189"/>
      <c r="AN1107" s="829"/>
      <c r="AO1107" s="830"/>
      <c r="AP1107" s="401"/>
      <c r="AQ1107" s="401"/>
      <c r="AR1107" s="401"/>
      <c r="AS1107" s="401"/>
      <c r="AT1107" s="403"/>
      <c r="AU1107" s="403"/>
      <c r="AV1107" s="170"/>
      <c r="AW1107" s="166"/>
      <c r="AX1107" s="166"/>
      <c r="AY1107" s="189"/>
      <c r="AZ1107" s="189"/>
      <c r="BA1107" s="190"/>
      <c r="BB1107" s="629"/>
      <c r="BC1107" s="190"/>
      <c r="BD1107" s="510"/>
      <c r="BE1107" s="510"/>
      <c r="BF1107" s="177"/>
      <c r="BG1107" s="177"/>
      <c r="BH1107" s="166"/>
      <c r="BI1107" s="474"/>
      <c r="BJ1107" s="166"/>
      <c r="BK1107" s="474"/>
      <c r="BL1107" s="474"/>
      <c r="BM1107" s="474"/>
      <c r="BN1107" s="166"/>
      <c r="BO1107" s="166"/>
      <c r="BP1107" s="204"/>
      <c r="BQ1107" s="475"/>
      <c r="BR1107" s="205"/>
      <c r="BS1107" s="509"/>
      <c r="BT1107" s="509"/>
      <c r="BU1107" s="459"/>
      <c r="BV1107" s="459"/>
      <c r="BW1107" s="1"/>
      <c r="BX1107" s="1"/>
      <c r="BY1107" s="1"/>
      <c r="BZ1107" s="1"/>
      <c r="CA1107" s="1"/>
      <c r="CB1107" s="1"/>
      <c r="CC1107" s="728"/>
      <c r="CD1107" s="728"/>
      <c r="CE1107" s="1"/>
      <c r="CF1107" t="str">
        <f>IF(F1107=1,(CONCATENATE(J1107,";",L1107,";",Q1107,";",BP1107,";",N1107,";",H1107,";","-1",";",AF1107,";",CA1107,";",AG1107,";",CB1107,";",AD1107,";",BY1107,";",AE1107,";",BZ1107))," ")</f>
        <v xml:space="preserve"> </v>
      </c>
    </row>
    <row r="1108" spans="1:84" customFormat="1">
      <c r="A1108" s="701"/>
      <c r="B1108" s="447"/>
      <c r="C1108" s="161"/>
      <c r="D1108" s="162"/>
      <c r="E1108" s="1"/>
      <c r="F1108" s="811" t="str">
        <f t="shared" si="254"/>
        <v/>
      </c>
      <c r="G1108" s="440"/>
      <c r="H1108" s="1"/>
      <c r="I1108" s="55"/>
      <c r="J1108" s="170"/>
      <c r="K1108" s="1"/>
      <c r="L1108" s="170"/>
      <c r="M1108" s="1"/>
      <c r="N1108" s="458"/>
      <c r="O1108" s="170"/>
      <c r="P1108" s="441"/>
      <c r="Q1108" s="55"/>
      <c r="R1108" s="177"/>
      <c r="S1108" s="454"/>
      <c r="T1108" s="178"/>
      <c r="U1108" s="178"/>
      <c r="V1108" s="179"/>
      <c r="W1108" s="180"/>
      <c r="X1108" s="179"/>
      <c r="Y1108" s="180"/>
      <c r="Z1108" s="178"/>
      <c r="AA1108" s="178"/>
      <c r="AB1108" s="178"/>
      <c r="AC1108" s="178"/>
      <c r="AD1108" s="182"/>
      <c r="AE1108" s="182"/>
      <c r="AF1108" s="182"/>
      <c r="AG1108" s="182"/>
      <c r="AH1108" s="401"/>
      <c r="AI1108" s="401"/>
      <c r="AJ1108" s="401"/>
      <c r="AK1108" s="401"/>
      <c r="AL1108" s="401"/>
      <c r="AM1108" s="189"/>
      <c r="AN1108" s="829"/>
      <c r="AO1108" s="830"/>
      <c r="AP1108" s="401"/>
      <c r="AQ1108" s="401"/>
      <c r="AR1108" s="401"/>
      <c r="AS1108" s="401"/>
      <c r="AT1108" s="403"/>
      <c r="AU1108" s="403"/>
      <c r="AV1108" s="170"/>
      <c r="AW1108" s="166"/>
      <c r="AX1108" s="166"/>
      <c r="AY1108" s="189"/>
      <c r="AZ1108" s="189"/>
      <c r="BA1108" s="190"/>
      <c r="BB1108" s="629"/>
      <c r="BC1108" s="190"/>
      <c r="BD1108" s="510"/>
      <c r="BE1108" s="510"/>
      <c r="BF1108" s="177"/>
      <c r="BG1108" s="177"/>
      <c r="BH1108" s="166"/>
      <c r="BI1108" s="474"/>
      <c r="BJ1108" s="166"/>
      <c r="BK1108" s="474"/>
      <c r="BL1108" s="474"/>
      <c r="BM1108" s="474"/>
      <c r="BN1108" s="166"/>
      <c r="BO1108" s="166"/>
      <c r="BP1108" s="204"/>
      <c r="BQ1108" s="475"/>
      <c r="BR1108" s="205"/>
      <c r="BS1108" s="509"/>
      <c r="BT1108" s="509"/>
      <c r="BU1108" s="459"/>
      <c r="BV1108" s="459"/>
      <c r="BW1108" s="1"/>
      <c r="BX1108" s="1"/>
      <c r="BY1108" s="1"/>
      <c r="BZ1108" s="1"/>
      <c r="CA1108" s="1"/>
      <c r="CB1108" s="1"/>
      <c r="CC1108" s="728"/>
      <c r="CD1108" s="728"/>
      <c r="CE1108" s="1"/>
      <c r="CF1108" t="str">
        <f t="shared" ref="CF1108:CF1170" si="255">IF(F1108=1,(CONCATENATE(J1108,";",L1108,";",Q1108,";",BP1108,";",N1108,";",H1108,";","-1",";",AF1108,";",CA1108,";",AG1108,";",CB1108,";",AD1108,";",BY1108,";",AE1108,";",BZ1108))," ")</f>
        <v xml:space="preserve"> </v>
      </c>
    </row>
    <row r="1109" spans="1:84" customFormat="1">
      <c r="A1109" s="701"/>
      <c r="B1109" s="447"/>
      <c r="C1109" s="161"/>
      <c r="D1109" s="162"/>
      <c r="E1109" s="1"/>
      <c r="F1109" s="811" t="str">
        <f t="shared" si="254"/>
        <v/>
      </c>
      <c r="G1109" s="440"/>
      <c r="H1109" s="1"/>
      <c r="I1109" s="55"/>
      <c r="J1109" s="170"/>
      <c r="K1109" s="1"/>
      <c r="L1109" s="170"/>
      <c r="M1109" s="1"/>
      <c r="N1109" s="458"/>
      <c r="O1109" s="170"/>
      <c r="P1109" s="441"/>
      <c r="Q1109" s="55"/>
      <c r="R1109" s="177"/>
      <c r="S1109" s="454"/>
      <c r="T1109" s="178"/>
      <c r="U1109" s="178"/>
      <c r="V1109" s="179"/>
      <c r="W1109" s="180"/>
      <c r="X1109" s="179"/>
      <c r="Y1109" s="180"/>
      <c r="Z1109" s="178"/>
      <c r="AA1109" s="178"/>
      <c r="AB1109" s="178"/>
      <c r="AC1109" s="178"/>
      <c r="AD1109" s="182"/>
      <c r="AE1109" s="182"/>
      <c r="AF1109" s="182"/>
      <c r="AG1109" s="182"/>
      <c r="AH1109" s="401"/>
      <c r="AI1109" s="401"/>
      <c r="AJ1109" s="401"/>
      <c r="AK1109" s="401"/>
      <c r="AL1109" s="401"/>
      <c r="AM1109" s="189"/>
      <c r="AN1109" s="829"/>
      <c r="AO1109" s="830"/>
      <c r="AP1109" s="401"/>
      <c r="AQ1109" s="401"/>
      <c r="AR1109" s="401"/>
      <c r="AS1109" s="401"/>
      <c r="AT1109" s="403"/>
      <c r="AU1109" s="403"/>
      <c r="AV1109" s="170"/>
      <c r="AW1109" s="166"/>
      <c r="AX1109" s="166"/>
      <c r="AY1109" s="189"/>
      <c r="AZ1109" s="189"/>
      <c r="BA1109" s="190"/>
      <c r="BB1109" s="629"/>
      <c r="BC1109" s="190"/>
      <c r="BD1109" s="510"/>
      <c r="BE1109" s="510"/>
      <c r="BF1109" s="177"/>
      <c r="BG1109" s="177"/>
      <c r="BH1109" s="166"/>
      <c r="BI1109" s="474"/>
      <c r="BJ1109" s="166"/>
      <c r="BK1109" s="474"/>
      <c r="BL1109" s="474"/>
      <c r="BM1109" s="474"/>
      <c r="BN1109" s="166"/>
      <c r="BO1109" s="166"/>
      <c r="BP1109" s="204"/>
      <c r="BQ1109" s="475"/>
      <c r="BR1109" s="205"/>
      <c r="BS1109" s="509"/>
      <c r="BT1109" s="509"/>
      <c r="BU1109" s="459"/>
      <c r="BV1109" s="459"/>
      <c r="BW1109" s="1"/>
      <c r="BX1109" s="1"/>
      <c r="BY1109" s="1"/>
      <c r="BZ1109" s="1"/>
      <c r="CA1109" s="1"/>
      <c r="CB1109" s="1"/>
      <c r="CC1109" s="728"/>
      <c r="CD1109" s="728"/>
      <c r="CE1109" s="1"/>
      <c r="CF1109" t="str">
        <f t="shared" si="255"/>
        <v xml:space="preserve"> </v>
      </c>
    </row>
    <row r="1110" spans="1:84" customFormat="1">
      <c r="A1110" s="701"/>
      <c r="B1110" s="447"/>
      <c r="C1110" s="161"/>
      <c r="D1110" s="162"/>
      <c r="E1110" s="1"/>
      <c r="F1110" s="811" t="str">
        <f t="shared" si="254"/>
        <v/>
      </c>
      <c r="G1110" s="440"/>
      <c r="H1110" s="1"/>
      <c r="I1110" s="55"/>
      <c r="J1110" s="170"/>
      <c r="K1110" s="1"/>
      <c r="L1110" s="170"/>
      <c r="M1110" s="1"/>
      <c r="N1110" s="458"/>
      <c r="O1110" s="170"/>
      <c r="P1110" s="441"/>
      <c r="Q1110" s="55"/>
      <c r="R1110" s="177"/>
      <c r="S1110" s="454"/>
      <c r="T1110" s="178"/>
      <c r="U1110" s="178"/>
      <c r="V1110" s="179"/>
      <c r="W1110" s="180"/>
      <c r="X1110" s="179"/>
      <c r="Y1110" s="180"/>
      <c r="Z1110" s="178"/>
      <c r="AA1110" s="178"/>
      <c r="AB1110" s="178"/>
      <c r="AC1110" s="178"/>
      <c r="AD1110" s="182"/>
      <c r="AE1110" s="182"/>
      <c r="AF1110" s="182"/>
      <c r="AG1110" s="182"/>
      <c r="AH1110" s="401"/>
      <c r="AI1110" s="401"/>
      <c r="AJ1110" s="401"/>
      <c r="AK1110" s="401"/>
      <c r="AL1110" s="401"/>
      <c r="AM1110" s="189"/>
      <c r="AN1110" s="829"/>
      <c r="AO1110" s="830"/>
      <c r="AP1110" s="401"/>
      <c r="AQ1110" s="401"/>
      <c r="AR1110" s="401"/>
      <c r="AS1110" s="401"/>
      <c r="AT1110" s="403"/>
      <c r="AU1110" s="403"/>
      <c r="AV1110" s="170"/>
      <c r="AW1110" s="166"/>
      <c r="AX1110" s="166"/>
      <c r="AY1110" s="189"/>
      <c r="AZ1110" s="189"/>
      <c r="BA1110" s="190"/>
      <c r="BB1110" s="629"/>
      <c r="BC1110" s="190"/>
      <c r="BD1110" s="510"/>
      <c r="BE1110" s="510"/>
      <c r="BF1110" s="177"/>
      <c r="BG1110" s="177"/>
      <c r="BH1110" s="166"/>
      <c r="BI1110" s="474"/>
      <c r="BJ1110" s="166"/>
      <c r="BK1110" s="474"/>
      <c r="BL1110" s="474"/>
      <c r="BM1110" s="474"/>
      <c r="BN1110" s="166"/>
      <c r="BO1110" s="166"/>
      <c r="BP1110" s="204"/>
      <c r="BQ1110" s="475"/>
      <c r="BR1110" s="205"/>
      <c r="BS1110" s="509"/>
      <c r="BT1110" s="509"/>
      <c r="BU1110" s="459"/>
      <c r="BV1110" s="459"/>
      <c r="BW1110" s="1"/>
      <c r="BX1110" s="1"/>
      <c r="BY1110" s="1"/>
      <c r="BZ1110" s="1"/>
      <c r="CA1110" s="1"/>
      <c r="CB1110" s="1"/>
      <c r="CC1110" s="728"/>
      <c r="CD1110" s="728"/>
      <c r="CE1110" s="1"/>
      <c r="CF1110" t="str">
        <f t="shared" si="255"/>
        <v xml:space="preserve"> </v>
      </c>
    </row>
    <row r="1111" spans="1:84" customFormat="1">
      <c r="A1111" s="701"/>
      <c r="B1111" s="447"/>
      <c r="C1111" s="161"/>
      <c r="D1111" s="162"/>
      <c r="E1111" s="1"/>
      <c r="F1111" s="811" t="str">
        <f t="shared" si="254"/>
        <v/>
      </c>
      <c r="G1111" s="440"/>
      <c r="H1111" s="1"/>
      <c r="I1111" s="55"/>
      <c r="J1111" s="170"/>
      <c r="K1111" s="1"/>
      <c r="L1111" s="170"/>
      <c r="M1111" s="1"/>
      <c r="N1111" s="458"/>
      <c r="O1111" s="170"/>
      <c r="P1111" s="441"/>
      <c r="Q1111" s="55"/>
      <c r="R1111" s="177"/>
      <c r="S1111" s="454"/>
      <c r="T1111" s="178"/>
      <c r="U1111" s="178"/>
      <c r="V1111" s="179"/>
      <c r="W1111" s="180"/>
      <c r="X1111" s="179"/>
      <c r="Y1111" s="180"/>
      <c r="Z1111" s="178"/>
      <c r="AA1111" s="178"/>
      <c r="AB1111" s="178"/>
      <c r="AC1111" s="178"/>
      <c r="AD1111" s="182"/>
      <c r="AE1111" s="182"/>
      <c r="AF1111" s="182"/>
      <c r="AG1111" s="182"/>
      <c r="AH1111" s="401"/>
      <c r="AI1111" s="401"/>
      <c r="AJ1111" s="401"/>
      <c r="AK1111" s="401"/>
      <c r="AL1111" s="401"/>
      <c r="AM1111" s="189"/>
      <c r="AN1111" s="829"/>
      <c r="AO1111" s="830"/>
      <c r="AP1111" s="401"/>
      <c r="AQ1111" s="401"/>
      <c r="AR1111" s="401"/>
      <c r="AS1111" s="401"/>
      <c r="AT1111" s="403"/>
      <c r="AU1111" s="403"/>
      <c r="AV1111" s="170"/>
      <c r="AW1111" s="166"/>
      <c r="AX1111" s="166"/>
      <c r="AY1111" s="189"/>
      <c r="AZ1111" s="189"/>
      <c r="BA1111" s="190"/>
      <c r="BB1111" s="629"/>
      <c r="BC1111" s="190"/>
      <c r="BD1111" s="510"/>
      <c r="BE1111" s="510"/>
      <c r="BF1111" s="177"/>
      <c r="BG1111" s="177"/>
      <c r="BH1111" s="166"/>
      <c r="BI1111" s="474"/>
      <c r="BJ1111" s="166"/>
      <c r="BK1111" s="474"/>
      <c r="BL1111" s="474"/>
      <c r="BM1111" s="474"/>
      <c r="BN1111" s="166"/>
      <c r="BO1111" s="166"/>
      <c r="BP1111" s="204"/>
      <c r="BQ1111" s="475"/>
      <c r="BR1111" s="205"/>
      <c r="BS1111" s="509"/>
      <c r="BT1111" s="509"/>
      <c r="BU1111" s="459"/>
      <c r="BV1111" s="459"/>
      <c r="BW1111" s="1"/>
      <c r="BX1111" s="1"/>
      <c r="BY1111" s="1"/>
      <c r="BZ1111" s="1"/>
      <c r="CA1111" s="1"/>
      <c r="CB1111" s="1"/>
      <c r="CC1111" s="728"/>
      <c r="CD1111" s="728"/>
      <c r="CE1111" s="1"/>
      <c r="CF1111" t="str">
        <f t="shared" si="255"/>
        <v xml:space="preserve"> </v>
      </c>
    </row>
    <row r="1112" spans="1:84" customFormat="1">
      <c r="A1112" s="701"/>
      <c r="B1112" s="447"/>
      <c r="C1112" s="161"/>
      <c r="D1112" s="162"/>
      <c r="E1112" s="1"/>
      <c r="F1112" s="811" t="str">
        <f t="shared" si="254"/>
        <v/>
      </c>
      <c r="G1112" s="440"/>
      <c r="H1112" s="1"/>
      <c r="I1112" s="55"/>
      <c r="J1112" s="170"/>
      <c r="K1112" s="1"/>
      <c r="L1112" s="170"/>
      <c r="M1112" s="1"/>
      <c r="N1112" s="458"/>
      <c r="O1112" s="170"/>
      <c r="P1112" s="441"/>
      <c r="Q1112" s="55"/>
      <c r="R1112" s="177"/>
      <c r="S1112" s="454"/>
      <c r="T1112" s="178"/>
      <c r="U1112" s="178"/>
      <c r="V1112" s="179"/>
      <c r="W1112" s="180"/>
      <c r="X1112" s="179"/>
      <c r="Y1112" s="180"/>
      <c r="Z1112" s="178"/>
      <c r="AA1112" s="178"/>
      <c r="AB1112" s="178"/>
      <c r="AC1112" s="178"/>
      <c r="AD1112" s="182"/>
      <c r="AE1112" s="182"/>
      <c r="AF1112" s="182"/>
      <c r="AG1112" s="182"/>
      <c r="AH1112" s="401"/>
      <c r="AI1112" s="401"/>
      <c r="AJ1112" s="401"/>
      <c r="AK1112" s="401"/>
      <c r="AL1112" s="401"/>
      <c r="AM1112" s="189"/>
      <c r="AN1112" s="829"/>
      <c r="AO1112" s="830"/>
      <c r="AP1112" s="401"/>
      <c r="AQ1112" s="401"/>
      <c r="AR1112" s="401"/>
      <c r="AS1112" s="401"/>
      <c r="AT1112" s="403"/>
      <c r="AU1112" s="403"/>
      <c r="AV1112" s="170"/>
      <c r="AW1112" s="166"/>
      <c r="AX1112" s="166"/>
      <c r="AY1112" s="189"/>
      <c r="AZ1112" s="189"/>
      <c r="BA1112" s="190"/>
      <c r="BB1112" s="629"/>
      <c r="BC1112" s="190"/>
      <c r="BD1112" s="510"/>
      <c r="BE1112" s="510"/>
      <c r="BF1112" s="177"/>
      <c r="BG1112" s="177"/>
      <c r="BH1112" s="166"/>
      <c r="BI1112" s="474"/>
      <c r="BJ1112" s="166"/>
      <c r="BK1112" s="474"/>
      <c r="BL1112" s="474"/>
      <c r="BM1112" s="474"/>
      <c r="BN1112" s="166"/>
      <c r="BO1112" s="166"/>
      <c r="BP1112" s="204"/>
      <c r="BQ1112" s="475"/>
      <c r="BR1112" s="205"/>
      <c r="BS1112" s="509"/>
      <c r="BT1112" s="509"/>
      <c r="BU1112" s="459"/>
      <c r="BV1112" s="459"/>
      <c r="BW1112" s="1"/>
      <c r="BX1112" s="1"/>
      <c r="BY1112" s="1"/>
      <c r="BZ1112" s="1"/>
      <c r="CA1112" s="1"/>
      <c r="CB1112" s="1"/>
      <c r="CC1112" s="728"/>
      <c r="CD1112" s="728"/>
      <c r="CE1112" s="1"/>
      <c r="CF1112" t="str">
        <f t="shared" si="255"/>
        <v xml:space="preserve"> </v>
      </c>
    </row>
    <row r="1113" spans="1:84" customFormat="1">
      <c r="A1113" s="701"/>
      <c r="B1113" s="447"/>
      <c r="C1113" s="161"/>
      <c r="D1113" s="162"/>
      <c r="E1113" s="1"/>
      <c r="F1113" s="811" t="str">
        <f t="shared" si="254"/>
        <v/>
      </c>
      <c r="G1113" s="440"/>
      <c r="H1113" s="1"/>
      <c r="I1113" s="55"/>
      <c r="J1113" s="170"/>
      <c r="K1113" s="1"/>
      <c r="L1113" s="170"/>
      <c r="M1113" s="1"/>
      <c r="N1113" s="458"/>
      <c r="O1113" s="170"/>
      <c r="P1113" s="441"/>
      <c r="Q1113" s="55"/>
      <c r="R1113" s="177"/>
      <c r="S1113" s="454"/>
      <c r="T1113" s="178"/>
      <c r="U1113" s="178"/>
      <c r="V1113" s="179"/>
      <c r="W1113" s="180"/>
      <c r="X1113" s="179"/>
      <c r="Y1113" s="180"/>
      <c r="Z1113" s="178"/>
      <c r="AA1113" s="178"/>
      <c r="AB1113" s="178"/>
      <c r="AC1113" s="178"/>
      <c r="AD1113" s="182"/>
      <c r="AE1113" s="182"/>
      <c r="AF1113" s="182"/>
      <c r="AG1113" s="182"/>
      <c r="AH1113" s="401"/>
      <c r="AI1113" s="401"/>
      <c r="AJ1113" s="401"/>
      <c r="AK1113" s="401"/>
      <c r="AL1113" s="401"/>
      <c r="AM1113" s="189"/>
      <c r="AN1113" s="829"/>
      <c r="AO1113" s="830"/>
      <c r="AP1113" s="401"/>
      <c r="AQ1113" s="401"/>
      <c r="AR1113" s="401"/>
      <c r="AS1113" s="401"/>
      <c r="AT1113" s="403"/>
      <c r="AU1113" s="403"/>
      <c r="AV1113" s="170"/>
      <c r="AW1113" s="166"/>
      <c r="AX1113" s="166"/>
      <c r="AY1113" s="189"/>
      <c r="AZ1113" s="189"/>
      <c r="BA1113" s="190"/>
      <c r="BB1113" s="629"/>
      <c r="BC1113" s="190"/>
      <c r="BD1113" s="510"/>
      <c r="BE1113" s="510"/>
      <c r="BF1113" s="177"/>
      <c r="BG1113" s="177"/>
      <c r="BH1113" s="166"/>
      <c r="BI1113" s="474"/>
      <c r="BJ1113" s="166"/>
      <c r="BK1113" s="474"/>
      <c r="BL1113" s="474"/>
      <c r="BM1113" s="474"/>
      <c r="BN1113" s="166"/>
      <c r="BO1113" s="166"/>
      <c r="BP1113" s="204"/>
      <c r="BQ1113" s="475"/>
      <c r="BR1113" s="205"/>
      <c r="BS1113" s="509"/>
      <c r="BT1113" s="509"/>
      <c r="BU1113" s="459"/>
      <c r="BV1113" s="459"/>
      <c r="BW1113" s="1"/>
      <c r="BX1113" s="1"/>
      <c r="BY1113" s="1"/>
      <c r="BZ1113" s="1"/>
      <c r="CA1113" s="1"/>
      <c r="CB1113" s="1"/>
      <c r="CC1113" s="728"/>
      <c r="CD1113" s="728"/>
      <c r="CE1113" s="1"/>
      <c r="CF1113" t="str">
        <f t="shared" si="255"/>
        <v xml:space="preserve"> </v>
      </c>
    </row>
    <row r="1114" spans="1:84" customFormat="1">
      <c r="A1114" s="701"/>
      <c r="B1114" s="447"/>
      <c r="C1114" s="161"/>
      <c r="D1114" s="162"/>
      <c r="E1114" s="1"/>
      <c r="F1114" s="811" t="str">
        <f t="shared" si="254"/>
        <v/>
      </c>
      <c r="G1114" s="440"/>
      <c r="H1114" s="1"/>
      <c r="I1114" s="55"/>
      <c r="J1114" s="170"/>
      <c r="K1114" s="1"/>
      <c r="L1114" s="170"/>
      <c r="M1114" s="1"/>
      <c r="N1114" s="458"/>
      <c r="O1114" s="170"/>
      <c r="P1114" s="441"/>
      <c r="Q1114" s="55"/>
      <c r="R1114" s="177"/>
      <c r="S1114" s="454"/>
      <c r="T1114" s="178"/>
      <c r="U1114" s="178"/>
      <c r="V1114" s="179"/>
      <c r="W1114" s="180"/>
      <c r="X1114" s="179"/>
      <c r="Y1114" s="180"/>
      <c r="Z1114" s="178"/>
      <c r="AA1114" s="178"/>
      <c r="AB1114" s="178"/>
      <c r="AC1114" s="178"/>
      <c r="AD1114" s="182"/>
      <c r="AE1114" s="182"/>
      <c r="AF1114" s="182"/>
      <c r="AG1114" s="182"/>
      <c r="AH1114" s="401"/>
      <c r="AI1114" s="401"/>
      <c r="AJ1114" s="401"/>
      <c r="AK1114" s="401"/>
      <c r="AL1114" s="401"/>
      <c r="AM1114" s="189"/>
      <c r="AN1114" s="829"/>
      <c r="AO1114" s="830"/>
      <c r="AP1114" s="401"/>
      <c r="AQ1114" s="401"/>
      <c r="AR1114" s="401"/>
      <c r="AS1114" s="401"/>
      <c r="AT1114" s="403"/>
      <c r="AU1114" s="403"/>
      <c r="AV1114" s="170"/>
      <c r="AW1114" s="166"/>
      <c r="AX1114" s="166"/>
      <c r="AY1114" s="189"/>
      <c r="AZ1114" s="189"/>
      <c r="BA1114" s="190"/>
      <c r="BB1114" s="629"/>
      <c r="BC1114" s="190"/>
      <c r="BD1114" s="510"/>
      <c r="BE1114" s="510"/>
      <c r="BF1114" s="177"/>
      <c r="BG1114" s="177"/>
      <c r="BH1114" s="166"/>
      <c r="BI1114" s="474"/>
      <c r="BJ1114" s="166"/>
      <c r="BK1114" s="474"/>
      <c r="BL1114" s="474"/>
      <c r="BM1114" s="474"/>
      <c r="BN1114" s="166"/>
      <c r="BO1114" s="166"/>
      <c r="BP1114" s="204"/>
      <c r="BQ1114" s="475"/>
      <c r="BR1114" s="205"/>
      <c r="BS1114" s="509"/>
      <c r="BT1114" s="509"/>
      <c r="BU1114" s="459"/>
      <c r="BV1114" s="459"/>
      <c r="BW1114" s="1"/>
      <c r="BX1114" s="1"/>
      <c r="BY1114" s="1"/>
      <c r="BZ1114" s="1"/>
      <c r="CA1114" s="1"/>
      <c r="CB1114" s="1"/>
      <c r="CC1114" s="728"/>
      <c r="CD1114" s="728"/>
      <c r="CE1114" s="1"/>
      <c r="CF1114" t="str">
        <f t="shared" si="255"/>
        <v xml:space="preserve"> </v>
      </c>
    </row>
    <row r="1115" spans="1:84" customFormat="1">
      <c r="A1115" s="701"/>
      <c r="B1115" s="447"/>
      <c r="C1115" s="161"/>
      <c r="D1115" s="162"/>
      <c r="E1115" s="1"/>
      <c r="F1115" s="811" t="str">
        <f t="shared" si="254"/>
        <v/>
      </c>
      <c r="G1115" s="440"/>
      <c r="H1115" s="1"/>
      <c r="I1115" s="55"/>
      <c r="J1115" s="170"/>
      <c r="K1115" s="1"/>
      <c r="L1115" s="170"/>
      <c r="M1115" s="1"/>
      <c r="N1115" s="458"/>
      <c r="O1115" s="170"/>
      <c r="P1115" s="441"/>
      <c r="Q1115" s="55"/>
      <c r="R1115" s="177"/>
      <c r="S1115" s="454"/>
      <c r="T1115" s="178"/>
      <c r="U1115" s="178"/>
      <c r="V1115" s="179"/>
      <c r="W1115" s="180"/>
      <c r="X1115" s="179"/>
      <c r="Y1115" s="180"/>
      <c r="Z1115" s="178"/>
      <c r="AA1115" s="178"/>
      <c r="AB1115" s="178"/>
      <c r="AC1115" s="178"/>
      <c r="AD1115" s="182"/>
      <c r="AE1115" s="182"/>
      <c r="AF1115" s="182"/>
      <c r="AG1115" s="182"/>
      <c r="AH1115" s="401"/>
      <c r="AI1115" s="401"/>
      <c r="AJ1115" s="401"/>
      <c r="AK1115" s="401"/>
      <c r="AL1115" s="401"/>
      <c r="AM1115" s="189"/>
      <c r="AN1115" s="829"/>
      <c r="AO1115" s="830"/>
      <c r="AP1115" s="401"/>
      <c r="AQ1115" s="401"/>
      <c r="AR1115" s="401"/>
      <c r="AS1115" s="401"/>
      <c r="AT1115" s="403"/>
      <c r="AU1115" s="403"/>
      <c r="AV1115" s="170"/>
      <c r="AW1115" s="166"/>
      <c r="AX1115" s="166"/>
      <c r="AY1115" s="189"/>
      <c r="AZ1115" s="189"/>
      <c r="BA1115" s="190"/>
      <c r="BB1115" s="629"/>
      <c r="BC1115" s="190"/>
      <c r="BD1115" s="510"/>
      <c r="BE1115" s="510"/>
      <c r="BF1115" s="177"/>
      <c r="BG1115" s="177"/>
      <c r="BH1115" s="166"/>
      <c r="BI1115" s="474"/>
      <c r="BJ1115" s="166"/>
      <c r="BK1115" s="474"/>
      <c r="BL1115" s="474"/>
      <c r="BM1115" s="474"/>
      <c r="BN1115" s="166"/>
      <c r="BO1115" s="166"/>
      <c r="BP1115" s="204"/>
      <c r="BQ1115" s="475"/>
      <c r="BR1115" s="205"/>
      <c r="BS1115" s="509"/>
      <c r="BT1115" s="509"/>
      <c r="BU1115" s="459"/>
      <c r="BV1115" s="459"/>
      <c r="BW1115" s="1"/>
      <c r="BX1115" s="1"/>
      <c r="BY1115" s="1"/>
      <c r="BZ1115" s="1"/>
      <c r="CA1115" s="1"/>
      <c r="CB1115" s="1"/>
      <c r="CC1115" s="728"/>
      <c r="CD1115" s="728"/>
      <c r="CE1115" s="1"/>
      <c r="CF1115" t="str">
        <f t="shared" si="255"/>
        <v xml:space="preserve"> </v>
      </c>
    </row>
    <row r="1116" spans="1:84" customFormat="1">
      <c r="A1116" s="701"/>
      <c r="B1116" s="447"/>
      <c r="C1116" s="161"/>
      <c r="D1116" s="162"/>
      <c r="E1116" s="1"/>
      <c r="F1116" s="811" t="str">
        <f t="shared" si="254"/>
        <v/>
      </c>
      <c r="G1116" s="440"/>
      <c r="H1116" s="1"/>
      <c r="I1116" s="55"/>
      <c r="J1116" s="170"/>
      <c r="K1116" s="1"/>
      <c r="L1116" s="170"/>
      <c r="M1116" s="1"/>
      <c r="N1116" s="458"/>
      <c r="O1116" s="170"/>
      <c r="P1116" s="441"/>
      <c r="Q1116" s="55"/>
      <c r="R1116" s="177"/>
      <c r="S1116" s="454"/>
      <c r="T1116" s="178"/>
      <c r="U1116" s="178"/>
      <c r="V1116" s="179"/>
      <c r="W1116" s="180"/>
      <c r="X1116" s="179"/>
      <c r="Y1116" s="180"/>
      <c r="Z1116" s="178"/>
      <c r="AA1116" s="178"/>
      <c r="AB1116" s="178"/>
      <c r="AC1116" s="178"/>
      <c r="AD1116" s="182"/>
      <c r="AE1116" s="182"/>
      <c r="AF1116" s="182"/>
      <c r="AG1116" s="182"/>
      <c r="AH1116" s="401"/>
      <c r="AI1116" s="401"/>
      <c r="AJ1116" s="401"/>
      <c r="AK1116" s="401"/>
      <c r="AL1116" s="401"/>
      <c r="AM1116" s="189"/>
      <c r="AN1116" s="829"/>
      <c r="AO1116" s="830"/>
      <c r="AP1116" s="401"/>
      <c r="AQ1116" s="401"/>
      <c r="AR1116" s="401"/>
      <c r="AS1116" s="401"/>
      <c r="AT1116" s="403"/>
      <c r="AU1116" s="403"/>
      <c r="AV1116" s="170"/>
      <c r="AW1116" s="166"/>
      <c r="AX1116" s="166"/>
      <c r="AY1116" s="189"/>
      <c r="AZ1116" s="189"/>
      <c r="BA1116" s="190"/>
      <c r="BB1116" s="629"/>
      <c r="BC1116" s="190"/>
      <c r="BD1116" s="510"/>
      <c r="BE1116" s="510"/>
      <c r="BF1116" s="177"/>
      <c r="BG1116" s="177"/>
      <c r="BH1116" s="166"/>
      <c r="BI1116" s="474"/>
      <c r="BJ1116" s="166"/>
      <c r="BK1116" s="474"/>
      <c r="BL1116" s="474"/>
      <c r="BM1116" s="474"/>
      <c r="BN1116" s="166"/>
      <c r="BO1116" s="166"/>
      <c r="BP1116" s="204"/>
      <c r="BQ1116" s="475"/>
      <c r="BR1116" s="205"/>
      <c r="BS1116" s="509"/>
      <c r="BT1116" s="509"/>
      <c r="BU1116" s="459"/>
      <c r="BV1116" s="459"/>
      <c r="BW1116" s="1"/>
      <c r="BX1116" s="1"/>
      <c r="BY1116" s="1"/>
      <c r="BZ1116" s="1"/>
      <c r="CA1116" s="1"/>
      <c r="CB1116" s="1"/>
      <c r="CC1116" s="728"/>
      <c r="CD1116" s="728"/>
      <c r="CE1116" s="1"/>
      <c r="CF1116" t="str">
        <f t="shared" si="255"/>
        <v xml:space="preserve"> </v>
      </c>
    </row>
    <row r="1117" spans="1:84" customFormat="1">
      <c r="A1117" s="701"/>
      <c r="B1117" s="447"/>
      <c r="C1117" s="161"/>
      <c r="D1117" s="162"/>
      <c r="E1117" s="1"/>
      <c r="F1117" s="811" t="str">
        <f t="shared" si="254"/>
        <v/>
      </c>
      <c r="G1117" s="440"/>
      <c r="H1117" s="1"/>
      <c r="I1117" s="55"/>
      <c r="J1117" s="170"/>
      <c r="K1117" s="1"/>
      <c r="L1117" s="170"/>
      <c r="M1117" s="1"/>
      <c r="N1117" s="458"/>
      <c r="O1117" s="170"/>
      <c r="P1117" s="441"/>
      <c r="Q1117" s="55"/>
      <c r="R1117" s="177"/>
      <c r="S1117" s="454"/>
      <c r="T1117" s="178"/>
      <c r="U1117" s="178"/>
      <c r="V1117" s="179"/>
      <c r="W1117" s="180"/>
      <c r="X1117" s="179"/>
      <c r="Y1117" s="180"/>
      <c r="Z1117" s="178"/>
      <c r="AA1117" s="178"/>
      <c r="AB1117" s="178"/>
      <c r="AC1117" s="178"/>
      <c r="AD1117" s="182"/>
      <c r="AE1117" s="182"/>
      <c r="AF1117" s="182"/>
      <c r="AG1117" s="182"/>
      <c r="AH1117" s="401"/>
      <c r="AI1117" s="401"/>
      <c r="AJ1117" s="401"/>
      <c r="AK1117" s="401"/>
      <c r="AL1117" s="401"/>
      <c r="AM1117" s="189"/>
      <c r="AN1117" s="829"/>
      <c r="AO1117" s="830"/>
      <c r="AP1117" s="401"/>
      <c r="AQ1117" s="401"/>
      <c r="AR1117" s="401"/>
      <c r="AS1117" s="401"/>
      <c r="AT1117" s="403"/>
      <c r="AU1117" s="403"/>
      <c r="AV1117" s="170"/>
      <c r="AW1117" s="166"/>
      <c r="AX1117" s="166"/>
      <c r="AY1117" s="189"/>
      <c r="AZ1117" s="189"/>
      <c r="BA1117" s="190"/>
      <c r="BB1117" s="629"/>
      <c r="BC1117" s="190"/>
      <c r="BD1117" s="510"/>
      <c r="BE1117" s="510"/>
      <c r="BF1117" s="177"/>
      <c r="BG1117" s="177"/>
      <c r="BH1117" s="166"/>
      <c r="BI1117" s="474"/>
      <c r="BJ1117" s="166"/>
      <c r="BK1117" s="474"/>
      <c r="BL1117" s="474"/>
      <c r="BM1117" s="474"/>
      <c r="BN1117" s="166"/>
      <c r="BO1117" s="166"/>
      <c r="BP1117" s="204"/>
      <c r="BQ1117" s="475"/>
      <c r="BR1117" s="205"/>
      <c r="BS1117" s="509"/>
      <c r="BT1117" s="509"/>
      <c r="BU1117" s="459"/>
      <c r="BV1117" s="459"/>
      <c r="BW1117" s="1"/>
      <c r="BX1117" s="1"/>
      <c r="BY1117" s="1"/>
      <c r="BZ1117" s="1"/>
      <c r="CA1117" s="1"/>
      <c r="CB1117" s="1"/>
      <c r="CC1117" s="728"/>
      <c r="CD1117" s="728"/>
      <c r="CE1117" s="1"/>
      <c r="CF1117" t="str">
        <f t="shared" si="255"/>
        <v xml:space="preserve"> </v>
      </c>
    </row>
    <row r="1118" spans="1:84" customFormat="1">
      <c r="A1118" s="701" t="str">
        <f t="shared" ref="A1118:A1170" si="256">IFERROR(INDEX((ID),MATCH(H1118,BARANG,0)),"…")</f>
        <v>…</v>
      </c>
      <c r="B1118" s="447"/>
      <c r="C1118" s="161"/>
      <c r="D1118" s="162"/>
      <c r="E1118" s="1"/>
      <c r="F1118" s="811" t="str">
        <f t="shared" si="254"/>
        <v/>
      </c>
      <c r="G1118" s="440"/>
      <c r="H1118" s="1"/>
      <c r="I1118" s="55"/>
      <c r="J1118" s="170"/>
      <c r="K1118" s="1"/>
      <c r="L1118" s="170"/>
      <c r="M1118" s="1"/>
      <c r="N1118" s="458"/>
      <c r="O1118" s="170"/>
      <c r="P1118" s="441"/>
      <c r="Q1118" s="55"/>
      <c r="R1118" s="177"/>
      <c r="S1118" s="454"/>
      <c r="T1118" s="178"/>
      <c r="U1118" s="178"/>
      <c r="V1118" s="179"/>
      <c r="W1118" s="180"/>
      <c r="X1118" s="179"/>
      <c r="Y1118" s="180"/>
      <c r="Z1118" s="178"/>
      <c r="AA1118" s="178"/>
      <c r="AB1118" s="178"/>
      <c r="AC1118" s="178"/>
      <c r="AD1118" s="182"/>
      <c r="AE1118" s="182"/>
      <c r="AF1118" s="182"/>
      <c r="AG1118" s="182"/>
      <c r="AH1118" s="401"/>
      <c r="AI1118" s="401"/>
      <c r="AJ1118" s="401"/>
      <c r="AK1118" s="401"/>
      <c r="AL1118" s="401"/>
      <c r="AM1118" s="189"/>
      <c r="AN1118" s="829"/>
      <c r="AO1118" s="830"/>
      <c r="AP1118" s="401"/>
      <c r="AQ1118" s="401"/>
      <c r="AR1118" s="401"/>
      <c r="AS1118" s="401"/>
      <c r="AT1118" s="403"/>
      <c r="AU1118" s="403"/>
      <c r="AV1118" s="170"/>
      <c r="AW1118" s="166"/>
      <c r="AX1118" s="166"/>
      <c r="AY1118" s="189"/>
      <c r="AZ1118" s="189"/>
      <c r="BA1118" s="190"/>
      <c r="BB1118" s="629"/>
      <c r="BC1118" s="190"/>
      <c r="BD1118" s="510"/>
      <c r="BE1118" s="510"/>
      <c r="BF1118" s="177"/>
      <c r="BG1118" s="177"/>
      <c r="BH1118" s="166"/>
      <c r="BI1118" s="474"/>
      <c r="BJ1118" s="166"/>
      <c r="BK1118" s="474"/>
      <c r="BL1118" s="474"/>
      <c r="BM1118" s="474"/>
      <c r="BN1118" s="166"/>
      <c r="BO1118" s="166"/>
      <c r="BP1118" s="204"/>
      <c r="BQ1118" s="475"/>
      <c r="BR1118" s="205"/>
      <c r="BS1118" s="509"/>
      <c r="BT1118" s="509"/>
      <c r="BU1118" s="459"/>
      <c r="BV1118" s="459"/>
      <c r="BW1118" s="1">
        <f t="shared" ref="BW1118:BW1170" si="257">+((J1118*L1118)*Q1118)/1000000</f>
        <v>0</v>
      </c>
      <c r="BX1118" s="1">
        <f t="shared" ref="BX1118:BX1170" si="258">+((J1118*L1118*N1118)*Q1118)/1000000000</f>
        <v>0</v>
      </c>
      <c r="BY1118" s="1"/>
      <c r="BZ1118" s="1"/>
      <c r="CA1118" s="1"/>
      <c r="CB1118" s="1"/>
      <c r="CC1118" s="728"/>
      <c r="CD1118" s="728"/>
      <c r="CE1118" s="1"/>
      <c r="CF1118" t="str">
        <f t="shared" si="255"/>
        <v xml:space="preserve"> </v>
      </c>
    </row>
    <row r="1119" spans="1:84" customFormat="1">
      <c r="A1119" s="701" t="str">
        <f t="shared" si="256"/>
        <v>…</v>
      </c>
      <c r="B1119" s="447"/>
      <c r="C1119" s="161"/>
      <c r="D1119" s="162"/>
      <c r="E1119" s="1"/>
      <c r="F1119" s="811" t="str">
        <f t="shared" si="254"/>
        <v/>
      </c>
      <c r="G1119" s="440"/>
      <c r="H1119" s="1"/>
      <c r="I1119" s="55"/>
      <c r="J1119" s="170"/>
      <c r="K1119" s="1"/>
      <c r="L1119" s="170"/>
      <c r="M1119" s="1"/>
      <c r="N1119" s="458"/>
      <c r="O1119" s="170"/>
      <c r="P1119" s="441"/>
      <c r="Q1119" s="55"/>
      <c r="R1119" s="177"/>
      <c r="S1119" s="454"/>
      <c r="T1119" s="178"/>
      <c r="U1119" s="178"/>
      <c r="V1119" s="179"/>
      <c r="W1119" s="180"/>
      <c r="X1119" s="179"/>
      <c r="Y1119" s="180"/>
      <c r="Z1119" s="178"/>
      <c r="AA1119" s="178"/>
      <c r="AB1119" s="178"/>
      <c r="AC1119" s="178"/>
      <c r="AD1119" s="182"/>
      <c r="AE1119" s="182"/>
      <c r="AF1119" s="182"/>
      <c r="AG1119" s="182"/>
      <c r="AH1119" s="401"/>
      <c r="AI1119" s="401"/>
      <c r="AJ1119" s="401"/>
      <c r="AK1119" s="401"/>
      <c r="AL1119" s="401"/>
      <c r="AM1119" s="189"/>
      <c r="AN1119" s="829"/>
      <c r="AO1119" s="830"/>
      <c r="AP1119" s="401"/>
      <c r="AQ1119" s="401"/>
      <c r="AR1119" s="401"/>
      <c r="AS1119" s="401"/>
      <c r="AT1119" s="403"/>
      <c r="AU1119" s="403"/>
      <c r="AV1119" s="170"/>
      <c r="AW1119" s="166"/>
      <c r="AX1119" s="166"/>
      <c r="AY1119" s="189"/>
      <c r="AZ1119" s="189"/>
      <c r="BA1119" s="190"/>
      <c r="BB1119" s="629"/>
      <c r="BC1119" s="190"/>
      <c r="BD1119" s="510"/>
      <c r="BE1119" s="510"/>
      <c r="BF1119" s="177"/>
      <c r="BG1119" s="177"/>
      <c r="BH1119" s="166"/>
      <c r="BI1119" s="474"/>
      <c r="BJ1119" s="166"/>
      <c r="BK1119" s="474"/>
      <c r="BL1119" s="474"/>
      <c r="BM1119" s="474"/>
      <c r="BN1119" s="166"/>
      <c r="BO1119" s="166"/>
      <c r="BP1119" s="204"/>
      <c r="BQ1119" s="475"/>
      <c r="BR1119" s="205"/>
      <c r="BS1119" s="509"/>
      <c r="BT1119" s="509"/>
      <c r="BU1119" s="459"/>
      <c r="BV1119" s="459"/>
      <c r="BW1119" s="1">
        <f t="shared" si="257"/>
        <v>0</v>
      </c>
      <c r="BX1119" s="1">
        <f t="shared" si="258"/>
        <v>0</v>
      </c>
      <c r="BY1119" s="1"/>
      <c r="BZ1119" s="1"/>
      <c r="CA1119" s="1"/>
      <c r="CB1119" s="1"/>
      <c r="CC1119" s="728"/>
      <c r="CD1119" s="728"/>
      <c r="CE1119" s="1"/>
      <c r="CF1119" t="str">
        <f t="shared" si="255"/>
        <v xml:space="preserve"> </v>
      </c>
    </row>
    <row r="1120" spans="1:84" customFormat="1">
      <c r="A1120" s="701" t="str">
        <f t="shared" si="256"/>
        <v>…</v>
      </c>
      <c r="B1120" s="447"/>
      <c r="C1120" s="161"/>
      <c r="D1120" s="162"/>
      <c r="E1120" s="1"/>
      <c r="F1120" s="811" t="str">
        <f t="shared" si="254"/>
        <v/>
      </c>
      <c r="G1120" s="440"/>
      <c r="H1120" s="1"/>
      <c r="I1120" s="55"/>
      <c r="J1120" s="170"/>
      <c r="K1120" s="1"/>
      <c r="L1120" s="170"/>
      <c r="M1120" s="1"/>
      <c r="N1120" s="458"/>
      <c r="O1120" s="170"/>
      <c r="P1120" s="441"/>
      <c r="Q1120" s="55"/>
      <c r="R1120" s="177"/>
      <c r="S1120" s="454"/>
      <c r="T1120" s="178"/>
      <c r="U1120" s="178"/>
      <c r="V1120" s="179"/>
      <c r="W1120" s="180"/>
      <c r="X1120" s="179"/>
      <c r="Y1120" s="180"/>
      <c r="Z1120" s="178"/>
      <c r="AA1120" s="178"/>
      <c r="AB1120" s="178"/>
      <c r="AC1120" s="178"/>
      <c r="AD1120" s="182"/>
      <c r="AE1120" s="182"/>
      <c r="AF1120" s="182"/>
      <c r="AG1120" s="182"/>
      <c r="AH1120" s="401"/>
      <c r="AI1120" s="401"/>
      <c r="AJ1120" s="401"/>
      <c r="AK1120" s="401"/>
      <c r="AL1120" s="401"/>
      <c r="AM1120" s="189"/>
      <c r="AN1120" s="829"/>
      <c r="AO1120" s="830"/>
      <c r="AP1120" s="401"/>
      <c r="AQ1120" s="401"/>
      <c r="AR1120" s="401"/>
      <c r="AS1120" s="401"/>
      <c r="AT1120" s="403"/>
      <c r="AU1120" s="403"/>
      <c r="AV1120" s="170"/>
      <c r="AW1120" s="166"/>
      <c r="AX1120" s="166"/>
      <c r="AY1120" s="189"/>
      <c r="AZ1120" s="189"/>
      <c r="BA1120" s="190"/>
      <c r="BB1120" s="629"/>
      <c r="BC1120" s="190"/>
      <c r="BD1120" s="510"/>
      <c r="BE1120" s="510"/>
      <c r="BF1120" s="177"/>
      <c r="BG1120" s="177"/>
      <c r="BH1120" s="166"/>
      <c r="BI1120" s="474"/>
      <c r="BJ1120" s="166"/>
      <c r="BK1120" s="474"/>
      <c r="BL1120" s="474"/>
      <c r="BM1120" s="474"/>
      <c r="BN1120" s="166"/>
      <c r="BO1120" s="166"/>
      <c r="BP1120" s="204"/>
      <c r="BQ1120" s="475"/>
      <c r="BR1120" s="205"/>
      <c r="BS1120" s="509"/>
      <c r="BT1120" s="509"/>
      <c r="BU1120" s="459"/>
      <c r="BV1120" s="459"/>
      <c r="BW1120" s="1">
        <f t="shared" si="257"/>
        <v>0</v>
      </c>
      <c r="BX1120" s="1">
        <f t="shared" si="258"/>
        <v>0</v>
      </c>
      <c r="BY1120" s="1"/>
      <c r="BZ1120" s="1"/>
      <c r="CA1120" s="1"/>
      <c r="CB1120" s="1"/>
      <c r="CC1120" s="728"/>
      <c r="CD1120" s="728"/>
      <c r="CE1120" s="1"/>
      <c r="CF1120" t="str">
        <f t="shared" si="255"/>
        <v xml:space="preserve"> </v>
      </c>
    </row>
    <row r="1121" spans="1:84" customFormat="1">
      <c r="A1121" s="701" t="str">
        <f t="shared" si="256"/>
        <v>…</v>
      </c>
      <c r="B1121" s="447"/>
      <c r="C1121" s="161"/>
      <c r="D1121" s="162"/>
      <c r="E1121" s="1"/>
      <c r="F1121" s="811" t="str">
        <f t="shared" si="254"/>
        <v/>
      </c>
      <c r="G1121" s="440"/>
      <c r="H1121" s="1"/>
      <c r="I1121" s="55"/>
      <c r="J1121" s="170"/>
      <c r="K1121" s="1"/>
      <c r="L1121" s="170"/>
      <c r="M1121" s="1"/>
      <c r="N1121" s="458"/>
      <c r="O1121" s="170"/>
      <c r="P1121" s="441"/>
      <c r="Q1121" s="55"/>
      <c r="R1121" s="177"/>
      <c r="S1121" s="454"/>
      <c r="T1121" s="178"/>
      <c r="U1121" s="178"/>
      <c r="V1121" s="179"/>
      <c r="W1121" s="180"/>
      <c r="X1121" s="179"/>
      <c r="Y1121" s="180"/>
      <c r="Z1121" s="178"/>
      <c r="AA1121" s="178"/>
      <c r="AB1121" s="178"/>
      <c r="AC1121" s="178"/>
      <c r="AD1121" s="182"/>
      <c r="AE1121" s="182"/>
      <c r="AF1121" s="182"/>
      <c r="AG1121" s="182"/>
      <c r="AH1121" s="401"/>
      <c r="AI1121" s="401"/>
      <c r="AJ1121" s="401"/>
      <c r="AK1121" s="401"/>
      <c r="AL1121" s="401"/>
      <c r="AM1121" s="189"/>
      <c r="AN1121" s="829"/>
      <c r="AO1121" s="830"/>
      <c r="AP1121" s="401"/>
      <c r="AQ1121" s="401"/>
      <c r="AR1121" s="401"/>
      <c r="AS1121" s="401"/>
      <c r="AT1121" s="403"/>
      <c r="AU1121" s="403"/>
      <c r="AV1121" s="170"/>
      <c r="AW1121" s="166"/>
      <c r="AX1121" s="166"/>
      <c r="AY1121" s="189"/>
      <c r="AZ1121" s="189"/>
      <c r="BA1121" s="190"/>
      <c r="BB1121" s="629"/>
      <c r="BC1121" s="190"/>
      <c r="BD1121" s="510"/>
      <c r="BE1121" s="510"/>
      <c r="BF1121" s="177"/>
      <c r="BG1121" s="177"/>
      <c r="BH1121" s="166"/>
      <c r="BI1121" s="474"/>
      <c r="BJ1121" s="166"/>
      <c r="BK1121" s="474"/>
      <c r="BL1121" s="474"/>
      <c r="BM1121" s="474"/>
      <c r="BN1121" s="166"/>
      <c r="BO1121" s="166"/>
      <c r="BP1121" s="204"/>
      <c r="BQ1121" s="475"/>
      <c r="BR1121" s="205"/>
      <c r="BS1121" s="509"/>
      <c r="BT1121" s="509"/>
      <c r="BU1121" s="459"/>
      <c r="BV1121" s="459"/>
      <c r="BW1121" s="1">
        <f t="shared" si="257"/>
        <v>0</v>
      </c>
      <c r="BX1121" s="1">
        <f t="shared" si="258"/>
        <v>0</v>
      </c>
      <c r="BY1121" s="1"/>
      <c r="BZ1121" s="1"/>
      <c r="CA1121" s="1"/>
      <c r="CB1121" s="1"/>
      <c r="CC1121" s="728"/>
      <c r="CD1121" s="728"/>
      <c r="CE1121" s="1"/>
      <c r="CF1121" t="str">
        <f t="shared" si="255"/>
        <v xml:space="preserve"> </v>
      </c>
    </row>
    <row r="1122" spans="1:84" customFormat="1">
      <c r="A1122" s="701" t="str">
        <f t="shared" si="256"/>
        <v>…</v>
      </c>
      <c r="B1122" s="447"/>
      <c r="C1122" s="161"/>
      <c r="D1122" s="162"/>
      <c r="E1122" s="1"/>
      <c r="F1122" s="811" t="str">
        <f t="shared" si="254"/>
        <v/>
      </c>
      <c r="G1122" s="440"/>
      <c r="H1122" s="1"/>
      <c r="I1122" s="55"/>
      <c r="J1122" s="170"/>
      <c r="K1122" s="1"/>
      <c r="L1122" s="170"/>
      <c r="M1122" s="1"/>
      <c r="N1122" s="458"/>
      <c r="O1122" s="170"/>
      <c r="P1122" s="441"/>
      <c r="Q1122" s="55"/>
      <c r="R1122" s="177"/>
      <c r="S1122" s="454"/>
      <c r="T1122" s="178"/>
      <c r="U1122" s="178"/>
      <c r="V1122" s="179"/>
      <c r="W1122" s="180"/>
      <c r="X1122" s="179"/>
      <c r="Y1122" s="180"/>
      <c r="Z1122" s="178"/>
      <c r="AA1122" s="178"/>
      <c r="AB1122" s="178"/>
      <c r="AC1122" s="178"/>
      <c r="AD1122" s="182"/>
      <c r="AE1122" s="182"/>
      <c r="AF1122" s="182"/>
      <c r="AG1122" s="182"/>
      <c r="AH1122" s="401"/>
      <c r="AI1122" s="401"/>
      <c r="AJ1122" s="401"/>
      <c r="AK1122" s="401"/>
      <c r="AL1122" s="401"/>
      <c r="AM1122" s="189"/>
      <c r="AN1122" s="829"/>
      <c r="AO1122" s="830"/>
      <c r="AP1122" s="401"/>
      <c r="AQ1122" s="401"/>
      <c r="AR1122" s="401"/>
      <c r="AS1122" s="401"/>
      <c r="AT1122" s="403"/>
      <c r="AU1122" s="403"/>
      <c r="AV1122" s="170"/>
      <c r="AW1122" s="166"/>
      <c r="AX1122" s="166"/>
      <c r="AY1122" s="189"/>
      <c r="AZ1122" s="189"/>
      <c r="BA1122" s="190"/>
      <c r="BB1122" s="629"/>
      <c r="BC1122" s="190"/>
      <c r="BD1122" s="510"/>
      <c r="BE1122" s="510"/>
      <c r="BF1122" s="177"/>
      <c r="BG1122" s="177"/>
      <c r="BH1122" s="166"/>
      <c r="BI1122" s="474"/>
      <c r="BJ1122" s="166"/>
      <c r="BK1122" s="474"/>
      <c r="BL1122" s="474"/>
      <c r="BM1122" s="474"/>
      <c r="BN1122" s="166"/>
      <c r="BO1122" s="166"/>
      <c r="BP1122" s="204"/>
      <c r="BQ1122" s="475"/>
      <c r="BR1122" s="205"/>
      <c r="BS1122" s="509"/>
      <c r="BT1122" s="509"/>
      <c r="BU1122" s="459"/>
      <c r="BV1122" s="459"/>
      <c r="BW1122" s="1">
        <f t="shared" si="257"/>
        <v>0</v>
      </c>
      <c r="BX1122" s="1">
        <f t="shared" si="258"/>
        <v>0</v>
      </c>
      <c r="BY1122" s="1"/>
      <c r="BZ1122" s="1"/>
      <c r="CA1122" s="1"/>
      <c r="CB1122" s="1"/>
      <c r="CC1122" s="728"/>
      <c r="CD1122" s="728"/>
      <c r="CE1122" s="1"/>
      <c r="CF1122" t="str">
        <f t="shared" si="255"/>
        <v xml:space="preserve"> </v>
      </c>
    </row>
    <row r="1123" spans="1:84" customFormat="1">
      <c r="A1123" s="701" t="str">
        <f t="shared" si="256"/>
        <v>…</v>
      </c>
      <c r="B1123" s="447"/>
      <c r="C1123" s="161"/>
      <c r="D1123" s="162"/>
      <c r="E1123" s="1"/>
      <c r="F1123" s="811" t="str">
        <f t="shared" si="254"/>
        <v/>
      </c>
      <c r="G1123" s="440"/>
      <c r="H1123" s="1"/>
      <c r="I1123" s="55"/>
      <c r="J1123" s="170"/>
      <c r="K1123" s="1"/>
      <c r="L1123" s="170"/>
      <c r="M1123" s="1"/>
      <c r="N1123" s="458"/>
      <c r="O1123" s="170"/>
      <c r="P1123" s="441"/>
      <c r="Q1123" s="55"/>
      <c r="R1123" s="177"/>
      <c r="S1123" s="454"/>
      <c r="T1123" s="178"/>
      <c r="U1123" s="178"/>
      <c r="V1123" s="179"/>
      <c r="W1123" s="180"/>
      <c r="X1123" s="179"/>
      <c r="Y1123" s="180"/>
      <c r="Z1123" s="178"/>
      <c r="AA1123" s="178"/>
      <c r="AB1123" s="178"/>
      <c r="AC1123" s="178"/>
      <c r="AD1123" s="182"/>
      <c r="AE1123" s="182"/>
      <c r="AF1123" s="182"/>
      <c r="AG1123" s="182"/>
      <c r="AH1123" s="401"/>
      <c r="AI1123" s="401"/>
      <c r="AJ1123" s="401"/>
      <c r="AK1123" s="401"/>
      <c r="AL1123" s="401"/>
      <c r="AM1123" s="189"/>
      <c r="AN1123" s="829"/>
      <c r="AO1123" s="830"/>
      <c r="AP1123" s="401"/>
      <c r="AQ1123" s="401"/>
      <c r="AR1123" s="401"/>
      <c r="AS1123" s="401"/>
      <c r="AT1123" s="403"/>
      <c r="AU1123" s="403"/>
      <c r="AV1123" s="170"/>
      <c r="AW1123" s="166"/>
      <c r="AX1123" s="166"/>
      <c r="AY1123" s="189"/>
      <c r="AZ1123" s="189"/>
      <c r="BA1123" s="190"/>
      <c r="BB1123" s="629"/>
      <c r="BC1123" s="190"/>
      <c r="BD1123" s="510"/>
      <c r="BE1123" s="510"/>
      <c r="BF1123" s="177"/>
      <c r="BG1123" s="177"/>
      <c r="BH1123" s="166"/>
      <c r="BI1123" s="474"/>
      <c r="BJ1123" s="166"/>
      <c r="BK1123" s="474"/>
      <c r="BL1123" s="474"/>
      <c r="BM1123" s="474"/>
      <c r="BN1123" s="166"/>
      <c r="BO1123" s="166"/>
      <c r="BP1123" s="204"/>
      <c r="BQ1123" s="475"/>
      <c r="BR1123" s="205"/>
      <c r="BS1123" s="509"/>
      <c r="BT1123" s="509"/>
      <c r="BU1123" s="459"/>
      <c r="BV1123" s="459"/>
      <c r="BW1123" s="1">
        <f t="shared" si="257"/>
        <v>0</v>
      </c>
      <c r="BX1123" s="1">
        <f t="shared" si="258"/>
        <v>0</v>
      </c>
      <c r="BY1123" s="1"/>
      <c r="BZ1123" s="1"/>
      <c r="CA1123" s="1"/>
      <c r="CB1123" s="1"/>
      <c r="CC1123" s="728"/>
      <c r="CD1123" s="728"/>
      <c r="CE1123" s="1"/>
      <c r="CF1123" t="str">
        <f t="shared" si="255"/>
        <v xml:space="preserve"> </v>
      </c>
    </row>
    <row r="1124" spans="1:84" customFormat="1">
      <c r="A1124" s="701" t="str">
        <f t="shared" si="256"/>
        <v>…</v>
      </c>
      <c r="B1124" s="447"/>
      <c r="C1124" s="161"/>
      <c r="D1124" s="162"/>
      <c r="E1124" s="1"/>
      <c r="F1124" s="811" t="str">
        <f t="shared" si="254"/>
        <v/>
      </c>
      <c r="G1124" s="440"/>
      <c r="H1124" s="1"/>
      <c r="I1124" s="55"/>
      <c r="J1124" s="170"/>
      <c r="K1124" s="1"/>
      <c r="L1124" s="170"/>
      <c r="M1124" s="1"/>
      <c r="N1124" s="458"/>
      <c r="O1124" s="170"/>
      <c r="P1124" s="441"/>
      <c r="Q1124" s="55"/>
      <c r="R1124" s="177"/>
      <c r="S1124" s="454"/>
      <c r="T1124" s="178"/>
      <c r="U1124" s="178"/>
      <c r="V1124" s="179"/>
      <c r="W1124" s="180"/>
      <c r="X1124" s="179"/>
      <c r="Y1124" s="180"/>
      <c r="Z1124" s="178"/>
      <c r="AA1124" s="178"/>
      <c r="AB1124" s="178"/>
      <c r="AC1124" s="178"/>
      <c r="AD1124" s="182"/>
      <c r="AE1124" s="182"/>
      <c r="AF1124" s="182"/>
      <c r="AG1124" s="182"/>
      <c r="AH1124" s="401"/>
      <c r="AI1124" s="401"/>
      <c r="AJ1124" s="401"/>
      <c r="AK1124" s="401"/>
      <c r="AL1124" s="401"/>
      <c r="AM1124" s="189"/>
      <c r="AN1124" s="829"/>
      <c r="AO1124" s="830"/>
      <c r="AP1124" s="401"/>
      <c r="AQ1124" s="401"/>
      <c r="AR1124" s="401"/>
      <c r="AS1124" s="401"/>
      <c r="AT1124" s="403"/>
      <c r="AU1124" s="403"/>
      <c r="AV1124" s="170"/>
      <c r="AW1124" s="166"/>
      <c r="AX1124" s="166"/>
      <c r="AY1124" s="189"/>
      <c r="AZ1124" s="189"/>
      <c r="BA1124" s="190"/>
      <c r="BB1124" s="629"/>
      <c r="BC1124" s="190"/>
      <c r="BD1124" s="510"/>
      <c r="BE1124" s="510"/>
      <c r="BF1124" s="177"/>
      <c r="BG1124" s="177"/>
      <c r="BH1124" s="166"/>
      <c r="BI1124" s="474"/>
      <c r="BJ1124" s="166"/>
      <c r="BK1124" s="474"/>
      <c r="BL1124" s="474"/>
      <c r="BM1124" s="474"/>
      <c r="BN1124" s="166"/>
      <c r="BO1124" s="166"/>
      <c r="BP1124" s="204"/>
      <c r="BQ1124" s="475"/>
      <c r="BR1124" s="205"/>
      <c r="BS1124" s="509"/>
      <c r="BT1124" s="509"/>
      <c r="BU1124" s="459"/>
      <c r="BV1124" s="459"/>
      <c r="BW1124" s="1">
        <f t="shared" si="257"/>
        <v>0</v>
      </c>
      <c r="BX1124" s="1">
        <f t="shared" si="258"/>
        <v>0</v>
      </c>
      <c r="BY1124" s="1"/>
      <c r="BZ1124" s="1"/>
      <c r="CA1124" s="1"/>
      <c r="CB1124" s="1"/>
      <c r="CC1124" s="728"/>
      <c r="CD1124" s="728"/>
      <c r="CE1124" s="1"/>
      <c r="CF1124" t="str">
        <f t="shared" si="255"/>
        <v xml:space="preserve"> </v>
      </c>
    </row>
    <row r="1125" spans="1:84" customFormat="1">
      <c r="A1125" s="701" t="str">
        <f t="shared" si="256"/>
        <v>…</v>
      </c>
      <c r="B1125" s="447"/>
      <c r="C1125" s="161"/>
      <c r="D1125" s="162"/>
      <c r="E1125" s="1"/>
      <c r="F1125" s="811" t="str">
        <f t="shared" si="254"/>
        <v/>
      </c>
      <c r="G1125" s="440"/>
      <c r="H1125" s="1"/>
      <c r="I1125" s="55"/>
      <c r="J1125" s="170"/>
      <c r="K1125" s="1"/>
      <c r="L1125" s="170"/>
      <c r="M1125" s="1"/>
      <c r="N1125" s="458"/>
      <c r="O1125" s="170"/>
      <c r="P1125" s="441"/>
      <c r="Q1125" s="55"/>
      <c r="R1125" s="177"/>
      <c r="S1125" s="454"/>
      <c r="T1125" s="178"/>
      <c r="U1125" s="178"/>
      <c r="V1125" s="179"/>
      <c r="W1125" s="180"/>
      <c r="X1125" s="179"/>
      <c r="Y1125" s="180"/>
      <c r="Z1125" s="178"/>
      <c r="AA1125" s="178"/>
      <c r="AB1125" s="178"/>
      <c r="AC1125" s="178"/>
      <c r="AD1125" s="182"/>
      <c r="AE1125" s="182"/>
      <c r="AF1125" s="182"/>
      <c r="AG1125" s="182"/>
      <c r="AH1125" s="401"/>
      <c r="AI1125" s="401"/>
      <c r="AJ1125" s="401"/>
      <c r="AK1125" s="401"/>
      <c r="AL1125" s="401"/>
      <c r="AM1125" s="189"/>
      <c r="AN1125" s="829"/>
      <c r="AO1125" s="830"/>
      <c r="AP1125" s="401"/>
      <c r="AQ1125" s="401"/>
      <c r="AR1125" s="401"/>
      <c r="AS1125" s="401"/>
      <c r="AT1125" s="403"/>
      <c r="AU1125" s="403"/>
      <c r="AV1125" s="170"/>
      <c r="AW1125" s="166"/>
      <c r="AX1125" s="166"/>
      <c r="AY1125" s="189"/>
      <c r="AZ1125" s="189"/>
      <c r="BA1125" s="190"/>
      <c r="BB1125" s="629"/>
      <c r="BC1125" s="190"/>
      <c r="BD1125" s="510"/>
      <c r="BE1125" s="510"/>
      <c r="BF1125" s="177"/>
      <c r="BG1125" s="177"/>
      <c r="BH1125" s="166"/>
      <c r="BI1125" s="474"/>
      <c r="BJ1125" s="166"/>
      <c r="BK1125" s="474"/>
      <c r="BL1125" s="474"/>
      <c r="BM1125" s="474"/>
      <c r="BN1125" s="166"/>
      <c r="BO1125" s="166"/>
      <c r="BP1125" s="204"/>
      <c r="BQ1125" s="475"/>
      <c r="BR1125" s="205"/>
      <c r="BS1125" s="509"/>
      <c r="BT1125" s="509"/>
      <c r="BU1125" s="459"/>
      <c r="BV1125" s="459"/>
      <c r="BW1125" s="1">
        <f t="shared" si="257"/>
        <v>0</v>
      </c>
      <c r="BX1125" s="1">
        <f t="shared" si="258"/>
        <v>0</v>
      </c>
      <c r="BY1125" s="1"/>
      <c r="BZ1125" s="1"/>
      <c r="CA1125" s="1"/>
      <c r="CB1125" s="1"/>
      <c r="CC1125" s="728"/>
      <c r="CD1125" s="728"/>
      <c r="CE1125" s="1"/>
      <c r="CF1125" t="str">
        <f t="shared" si="255"/>
        <v xml:space="preserve"> </v>
      </c>
    </row>
    <row r="1126" spans="1:84" customFormat="1">
      <c r="A1126" s="701" t="str">
        <f t="shared" si="256"/>
        <v>…</v>
      </c>
      <c r="B1126" s="447"/>
      <c r="C1126" s="161"/>
      <c r="D1126" s="162"/>
      <c r="E1126" s="1"/>
      <c r="F1126" s="811" t="str">
        <f t="shared" si="254"/>
        <v/>
      </c>
      <c r="G1126" s="440"/>
      <c r="H1126" s="1"/>
      <c r="I1126" s="55"/>
      <c r="J1126" s="170"/>
      <c r="K1126" s="1"/>
      <c r="L1126" s="170"/>
      <c r="M1126" s="1"/>
      <c r="N1126" s="458"/>
      <c r="O1126" s="170"/>
      <c r="P1126" s="441"/>
      <c r="Q1126" s="55"/>
      <c r="R1126" s="177"/>
      <c r="S1126" s="454"/>
      <c r="T1126" s="178"/>
      <c r="U1126" s="178"/>
      <c r="V1126" s="179"/>
      <c r="W1126" s="180"/>
      <c r="X1126" s="179"/>
      <c r="Y1126" s="180"/>
      <c r="Z1126" s="178"/>
      <c r="AA1126" s="178"/>
      <c r="AB1126" s="178"/>
      <c r="AC1126" s="178"/>
      <c r="AD1126" s="182"/>
      <c r="AE1126" s="182"/>
      <c r="AF1126" s="182"/>
      <c r="AG1126" s="182"/>
      <c r="AH1126" s="401"/>
      <c r="AI1126" s="401"/>
      <c r="AJ1126" s="401"/>
      <c r="AK1126" s="401"/>
      <c r="AL1126" s="401"/>
      <c r="AM1126" s="189"/>
      <c r="AN1126" s="829"/>
      <c r="AO1126" s="830"/>
      <c r="AP1126" s="401"/>
      <c r="AQ1126" s="401"/>
      <c r="AR1126" s="401"/>
      <c r="AS1126" s="401"/>
      <c r="AT1126" s="403"/>
      <c r="AU1126" s="403"/>
      <c r="AV1126" s="170"/>
      <c r="AW1126" s="166"/>
      <c r="AX1126" s="166"/>
      <c r="AY1126" s="189"/>
      <c r="AZ1126" s="189"/>
      <c r="BA1126" s="190"/>
      <c r="BB1126" s="629"/>
      <c r="BC1126" s="190"/>
      <c r="BD1126" s="510"/>
      <c r="BE1126" s="510"/>
      <c r="BF1126" s="177"/>
      <c r="BG1126" s="177"/>
      <c r="BH1126" s="166"/>
      <c r="BI1126" s="474"/>
      <c r="BJ1126" s="166"/>
      <c r="BK1126" s="474"/>
      <c r="BL1126" s="474"/>
      <c r="BM1126" s="474"/>
      <c r="BN1126" s="166"/>
      <c r="BO1126" s="166"/>
      <c r="BP1126" s="204"/>
      <c r="BQ1126" s="475"/>
      <c r="BR1126" s="205"/>
      <c r="BS1126" s="509"/>
      <c r="BT1126" s="509"/>
      <c r="BU1126" s="459"/>
      <c r="BV1126" s="459"/>
      <c r="BW1126" s="1">
        <f t="shared" si="257"/>
        <v>0</v>
      </c>
      <c r="BX1126" s="1">
        <f t="shared" si="258"/>
        <v>0</v>
      </c>
      <c r="BY1126" s="1"/>
      <c r="BZ1126" s="1"/>
      <c r="CA1126" s="1"/>
      <c r="CB1126" s="1"/>
      <c r="CC1126" s="728"/>
      <c r="CD1126" s="728"/>
      <c r="CE1126" s="1"/>
      <c r="CF1126" t="str">
        <f t="shared" si="255"/>
        <v xml:space="preserve"> </v>
      </c>
    </row>
    <row r="1127" spans="1:84" customFormat="1">
      <c r="A1127" s="701" t="str">
        <f t="shared" si="256"/>
        <v>…</v>
      </c>
      <c r="B1127" s="447"/>
      <c r="C1127" s="161"/>
      <c r="D1127" s="162"/>
      <c r="E1127" s="1"/>
      <c r="F1127" s="811" t="str">
        <f t="shared" si="254"/>
        <v/>
      </c>
      <c r="G1127" s="440"/>
      <c r="H1127" s="1"/>
      <c r="I1127" s="55"/>
      <c r="J1127" s="170"/>
      <c r="K1127" s="1"/>
      <c r="L1127" s="170"/>
      <c r="M1127" s="1"/>
      <c r="N1127" s="458"/>
      <c r="O1127" s="170"/>
      <c r="P1127" s="441"/>
      <c r="Q1127" s="55"/>
      <c r="R1127" s="177"/>
      <c r="S1127" s="454"/>
      <c r="T1127" s="178"/>
      <c r="U1127" s="178"/>
      <c r="V1127" s="179"/>
      <c r="W1127" s="180"/>
      <c r="X1127" s="179"/>
      <c r="Y1127" s="180"/>
      <c r="Z1127" s="178"/>
      <c r="AA1127" s="178"/>
      <c r="AB1127" s="178"/>
      <c r="AC1127" s="178"/>
      <c r="AD1127" s="182"/>
      <c r="AE1127" s="182"/>
      <c r="AF1127" s="182"/>
      <c r="AG1127" s="182"/>
      <c r="AH1127" s="401"/>
      <c r="AI1127" s="401"/>
      <c r="AJ1127" s="401"/>
      <c r="AK1127" s="401"/>
      <c r="AL1127" s="401"/>
      <c r="AM1127" s="189"/>
      <c r="AN1127" s="829"/>
      <c r="AO1127" s="830"/>
      <c r="AP1127" s="401"/>
      <c r="AQ1127" s="401"/>
      <c r="AR1127" s="401"/>
      <c r="AS1127" s="401"/>
      <c r="AT1127" s="403"/>
      <c r="AU1127" s="403"/>
      <c r="AV1127" s="170"/>
      <c r="AW1127" s="166"/>
      <c r="AX1127" s="166"/>
      <c r="AY1127" s="189"/>
      <c r="AZ1127" s="189"/>
      <c r="BA1127" s="190"/>
      <c r="BB1127" s="629"/>
      <c r="BC1127" s="190"/>
      <c r="BD1127" s="510"/>
      <c r="BE1127" s="510"/>
      <c r="BF1127" s="177"/>
      <c r="BG1127" s="177"/>
      <c r="BH1127" s="166"/>
      <c r="BI1127" s="474"/>
      <c r="BJ1127" s="166"/>
      <c r="BK1127" s="474"/>
      <c r="BL1127" s="474"/>
      <c r="BM1127" s="474"/>
      <c r="BN1127" s="166"/>
      <c r="BO1127" s="166"/>
      <c r="BP1127" s="204"/>
      <c r="BQ1127" s="475"/>
      <c r="BR1127" s="205"/>
      <c r="BS1127" s="509"/>
      <c r="BT1127" s="509"/>
      <c r="BU1127" s="459"/>
      <c r="BV1127" s="459"/>
      <c r="BW1127" s="1">
        <f t="shared" si="257"/>
        <v>0</v>
      </c>
      <c r="BX1127" s="1">
        <f t="shared" si="258"/>
        <v>0</v>
      </c>
      <c r="BY1127" s="1"/>
      <c r="BZ1127" s="1"/>
      <c r="CA1127" s="1"/>
      <c r="CB1127" s="1"/>
      <c r="CC1127" s="728"/>
      <c r="CD1127" s="728"/>
      <c r="CE1127" s="1"/>
      <c r="CF1127" t="str">
        <f t="shared" si="255"/>
        <v xml:space="preserve"> </v>
      </c>
    </row>
    <row r="1128" spans="1:84" customFormat="1">
      <c r="A1128" s="701" t="str">
        <f t="shared" si="256"/>
        <v>…</v>
      </c>
      <c r="B1128" s="447"/>
      <c r="C1128" s="161"/>
      <c r="D1128" s="162"/>
      <c r="E1128" s="1"/>
      <c r="F1128" s="811" t="str">
        <f t="shared" si="254"/>
        <v/>
      </c>
      <c r="G1128" s="440"/>
      <c r="H1128" s="1"/>
      <c r="I1128" s="55"/>
      <c r="J1128" s="170"/>
      <c r="K1128" s="1"/>
      <c r="L1128" s="170"/>
      <c r="M1128" s="1"/>
      <c r="N1128" s="458"/>
      <c r="O1128" s="170"/>
      <c r="P1128" s="441"/>
      <c r="Q1128" s="55"/>
      <c r="R1128" s="177"/>
      <c r="S1128" s="454"/>
      <c r="T1128" s="178"/>
      <c r="U1128" s="178"/>
      <c r="V1128" s="179"/>
      <c r="W1128" s="180"/>
      <c r="X1128" s="179"/>
      <c r="Y1128" s="180"/>
      <c r="Z1128" s="178"/>
      <c r="AA1128" s="178"/>
      <c r="AB1128" s="178"/>
      <c r="AC1128" s="178"/>
      <c r="AD1128" s="182"/>
      <c r="AE1128" s="182"/>
      <c r="AF1128" s="182"/>
      <c r="AG1128" s="182"/>
      <c r="AH1128" s="401"/>
      <c r="AI1128" s="401"/>
      <c r="AJ1128" s="401"/>
      <c r="AK1128" s="401"/>
      <c r="AL1128" s="401"/>
      <c r="AM1128" s="189"/>
      <c r="AN1128" s="829"/>
      <c r="AO1128" s="830"/>
      <c r="AP1128" s="401"/>
      <c r="AQ1128" s="401"/>
      <c r="AR1128" s="401"/>
      <c r="AS1128" s="401"/>
      <c r="AT1128" s="403"/>
      <c r="AU1128" s="403"/>
      <c r="AV1128" s="170"/>
      <c r="AW1128" s="166"/>
      <c r="AX1128" s="166"/>
      <c r="AY1128" s="189"/>
      <c r="AZ1128" s="189"/>
      <c r="BA1128" s="190"/>
      <c r="BB1128" s="629"/>
      <c r="BC1128" s="190"/>
      <c r="BD1128" s="510"/>
      <c r="BE1128" s="510"/>
      <c r="BF1128" s="177"/>
      <c r="BG1128" s="177"/>
      <c r="BH1128" s="166"/>
      <c r="BI1128" s="474"/>
      <c r="BJ1128" s="166"/>
      <c r="BK1128" s="474"/>
      <c r="BL1128" s="474"/>
      <c r="BM1128" s="474"/>
      <c r="BN1128" s="166"/>
      <c r="BO1128" s="166"/>
      <c r="BP1128" s="204"/>
      <c r="BQ1128" s="475"/>
      <c r="BR1128" s="205"/>
      <c r="BS1128" s="509"/>
      <c r="BT1128" s="509"/>
      <c r="BU1128" s="459"/>
      <c r="BV1128" s="459"/>
      <c r="BW1128" s="1">
        <f t="shared" si="257"/>
        <v>0</v>
      </c>
      <c r="BX1128" s="1">
        <f t="shared" si="258"/>
        <v>0</v>
      </c>
      <c r="BY1128" s="1"/>
      <c r="BZ1128" s="1"/>
      <c r="CA1128" s="1"/>
      <c r="CB1128" s="1"/>
      <c r="CC1128" s="728"/>
      <c r="CD1128" s="728"/>
      <c r="CE1128" s="1"/>
      <c r="CF1128" t="str">
        <f t="shared" si="255"/>
        <v xml:space="preserve"> </v>
      </c>
    </row>
    <row r="1129" spans="1:84" customFormat="1">
      <c r="A1129" s="701" t="str">
        <f t="shared" si="256"/>
        <v>…</v>
      </c>
      <c r="B1129" s="447"/>
      <c r="C1129" s="161"/>
      <c r="D1129" s="162"/>
      <c r="E1129" s="1"/>
      <c r="F1129" s="811" t="str">
        <f t="shared" si="254"/>
        <v/>
      </c>
      <c r="G1129" s="440"/>
      <c r="H1129" s="1"/>
      <c r="I1129" s="55"/>
      <c r="J1129" s="170"/>
      <c r="K1129" s="1"/>
      <c r="L1129" s="170"/>
      <c r="M1129" s="1"/>
      <c r="N1129" s="458"/>
      <c r="O1129" s="170"/>
      <c r="P1129" s="441"/>
      <c r="Q1129" s="55"/>
      <c r="R1129" s="177"/>
      <c r="S1129" s="454"/>
      <c r="T1129" s="178"/>
      <c r="U1129" s="178"/>
      <c r="V1129" s="179"/>
      <c r="W1129" s="180"/>
      <c r="X1129" s="179"/>
      <c r="Y1129" s="180"/>
      <c r="Z1129" s="178"/>
      <c r="AA1129" s="178"/>
      <c r="AB1129" s="178"/>
      <c r="AC1129" s="178"/>
      <c r="AD1129" s="182"/>
      <c r="AE1129" s="182"/>
      <c r="AF1129" s="182"/>
      <c r="AG1129" s="182"/>
      <c r="AH1129" s="401"/>
      <c r="AI1129" s="401"/>
      <c r="AJ1129" s="401"/>
      <c r="AK1129" s="401"/>
      <c r="AL1129" s="401"/>
      <c r="AM1129" s="189"/>
      <c r="AN1129" s="829"/>
      <c r="AO1129" s="830"/>
      <c r="AP1129" s="401"/>
      <c r="AQ1129" s="401"/>
      <c r="AR1129" s="401"/>
      <c r="AS1129" s="401"/>
      <c r="AT1129" s="403"/>
      <c r="AU1129" s="403"/>
      <c r="AV1129" s="170"/>
      <c r="AW1129" s="166"/>
      <c r="AX1129" s="166"/>
      <c r="AY1129" s="189"/>
      <c r="AZ1129" s="189"/>
      <c r="BA1129" s="190"/>
      <c r="BB1129" s="629"/>
      <c r="BC1129" s="190"/>
      <c r="BD1129" s="510"/>
      <c r="BE1129" s="510"/>
      <c r="BF1129" s="177"/>
      <c r="BG1129" s="177"/>
      <c r="BH1129" s="166"/>
      <c r="BI1129" s="474"/>
      <c r="BJ1129" s="166"/>
      <c r="BK1129" s="474"/>
      <c r="BL1129" s="474"/>
      <c r="BM1129" s="474"/>
      <c r="BN1129" s="166"/>
      <c r="BO1129" s="166"/>
      <c r="BP1129" s="204"/>
      <c r="BQ1129" s="475"/>
      <c r="BR1129" s="205"/>
      <c r="BS1129" s="509"/>
      <c r="BT1129" s="509"/>
      <c r="BU1129" s="459"/>
      <c r="BV1129" s="459"/>
      <c r="BW1129" s="1">
        <f t="shared" si="257"/>
        <v>0</v>
      </c>
      <c r="BX1129" s="1">
        <f t="shared" si="258"/>
        <v>0</v>
      </c>
      <c r="BY1129" s="1"/>
      <c r="BZ1129" s="1"/>
      <c r="CA1129" s="1"/>
      <c r="CB1129" s="1"/>
      <c r="CC1129" s="728"/>
      <c r="CD1129" s="728"/>
      <c r="CE1129" s="1"/>
      <c r="CF1129" t="str">
        <f t="shared" si="255"/>
        <v xml:space="preserve"> </v>
      </c>
    </row>
    <row r="1130" spans="1:84" customFormat="1">
      <c r="A1130" s="701" t="str">
        <f t="shared" si="256"/>
        <v>…</v>
      </c>
      <c r="B1130" s="447"/>
      <c r="C1130" s="161"/>
      <c r="D1130" s="162"/>
      <c r="E1130" s="1"/>
      <c r="F1130" s="811" t="str">
        <f t="shared" si="254"/>
        <v/>
      </c>
      <c r="G1130" s="440"/>
      <c r="H1130" s="1"/>
      <c r="I1130" s="55"/>
      <c r="J1130" s="170"/>
      <c r="K1130" s="1"/>
      <c r="L1130" s="170"/>
      <c r="M1130" s="1"/>
      <c r="N1130" s="458"/>
      <c r="O1130" s="170"/>
      <c r="P1130" s="441"/>
      <c r="Q1130" s="55"/>
      <c r="R1130" s="177"/>
      <c r="S1130" s="454"/>
      <c r="T1130" s="178"/>
      <c r="U1130" s="178"/>
      <c r="V1130" s="179"/>
      <c r="W1130" s="180"/>
      <c r="X1130" s="179"/>
      <c r="Y1130" s="180"/>
      <c r="Z1130" s="178"/>
      <c r="AA1130" s="178"/>
      <c r="AB1130" s="178"/>
      <c r="AC1130" s="178"/>
      <c r="AD1130" s="182"/>
      <c r="AE1130" s="182"/>
      <c r="AF1130" s="182"/>
      <c r="AG1130" s="182"/>
      <c r="AH1130" s="401"/>
      <c r="AI1130" s="401"/>
      <c r="AJ1130" s="401"/>
      <c r="AK1130" s="401"/>
      <c r="AL1130" s="401"/>
      <c r="AM1130" s="189"/>
      <c r="AN1130" s="829"/>
      <c r="AO1130" s="830"/>
      <c r="AP1130" s="401"/>
      <c r="AQ1130" s="401"/>
      <c r="AR1130" s="401"/>
      <c r="AS1130" s="401"/>
      <c r="AT1130" s="403"/>
      <c r="AU1130" s="403"/>
      <c r="AV1130" s="170"/>
      <c r="AW1130" s="166"/>
      <c r="AX1130" s="166"/>
      <c r="AY1130" s="189"/>
      <c r="AZ1130" s="189"/>
      <c r="BA1130" s="190"/>
      <c r="BB1130" s="629"/>
      <c r="BC1130" s="190"/>
      <c r="BD1130" s="510"/>
      <c r="BE1130" s="510"/>
      <c r="BF1130" s="177"/>
      <c r="BG1130" s="177"/>
      <c r="BH1130" s="166"/>
      <c r="BI1130" s="474"/>
      <c r="BJ1130" s="166"/>
      <c r="BK1130" s="474"/>
      <c r="BL1130" s="474"/>
      <c r="BM1130" s="474"/>
      <c r="BN1130" s="166"/>
      <c r="BO1130" s="166"/>
      <c r="BP1130" s="204"/>
      <c r="BQ1130" s="475"/>
      <c r="BR1130" s="205"/>
      <c r="BS1130" s="509"/>
      <c r="BT1130" s="509"/>
      <c r="BU1130" s="459"/>
      <c r="BV1130" s="459"/>
      <c r="BW1130" s="1">
        <f t="shared" si="257"/>
        <v>0</v>
      </c>
      <c r="BX1130" s="1">
        <f t="shared" si="258"/>
        <v>0</v>
      </c>
      <c r="BY1130" s="1"/>
      <c r="BZ1130" s="1"/>
      <c r="CA1130" s="1"/>
      <c r="CB1130" s="1"/>
      <c r="CC1130" s="728"/>
      <c r="CD1130" s="728"/>
      <c r="CE1130" s="1"/>
      <c r="CF1130" t="str">
        <f t="shared" si="255"/>
        <v xml:space="preserve"> </v>
      </c>
    </row>
    <row r="1131" spans="1:84" customFormat="1">
      <c r="A1131" s="701" t="str">
        <f t="shared" si="256"/>
        <v>…</v>
      </c>
      <c r="B1131" s="447"/>
      <c r="C1131" s="161"/>
      <c r="D1131" s="162"/>
      <c r="E1131" s="1"/>
      <c r="F1131" s="811" t="str">
        <f t="shared" si="254"/>
        <v/>
      </c>
      <c r="G1131" s="440"/>
      <c r="H1131" s="1"/>
      <c r="I1131" s="55"/>
      <c r="J1131" s="170"/>
      <c r="K1131" s="1"/>
      <c r="L1131" s="170"/>
      <c r="M1131" s="1"/>
      <c r="N1131" s="458"/>
      <c r="O1131" s="170"/>
      <c r="P1131" s="441"/>
      <c r="Q1131" s="55"/>
      <c r="R1131" s="177"/>
      <c r="S1131" s="454"/>
      <c r="T1131" s="178"/>
      <c r="U1131" s="178"/>
      <c r="V1131" s="179"/>
      <c r="W1131" s="180"/>
      <c r="X1131" s="179"/>
      <c r="Y1131" s="180"/>
      <c r="Z1131" s="178"/>
      <c r="AA1131" s="178"/>
      <c r="AB1131" s="178"/>
      <c r="AC1131" s="178"/>
      <c r="AD1131" s="182"/>
      <c r="AE1131" s="182"/>
      <c r="AF1131" s="182"/>
      <c r="AG1131" s="182"/>
      <c r="AH1131" s="401"/>
      <c r="AI1131" s="401"/>
      <c r="AJ1131" s="401"/>
      <c r="AK1131" s="401"/>
      <c r="AL1131" s="401"/>
      <c r="AM1131" s="189"/>
      <c r="AN1131" s="829"/>
      <c r="AO1131" s="830"/>
      <c r="AP1131" s="401"/>
      <c r="AQ1131" s="401"/>
      <c r="AR1131" s="401"/>
      <c r="AS1131" s="401"/>
      <c r="AT1131" s="403"/>
      <c r="AU1131" s="403"/>
      <c r="AV1131" s="170"/>
      <c r="AW1131" s="166"/>
      <c r="AX1131" s="166"/>
      <c r="AY1131" s="189"/>
      <c r="AZ1131" s="189"/>
      <c r="BA1131" s="190"/>
      <c r="BB1131" s="629"/>
      <c r="BC1131" s="190"/>
      <c r="BD1131" s="510"/>
      <c r="BE1131" s="510"/>
      <c r="BF1131" s="177"/>
      <c r="BG1131" s="177"/>
      <c r="BH1131" s="166"/>
      <c r="BI1131" s="474"/>
      <c r="BJ1131" s="166"/>
      <c r="BK1131" s="474"/>
      <c r="BL1131" s="474"/>
      <c r="BM1131" s="474"/>
      <c r="BN1131" s="166"/>
      <c r="BO1131" s="166"/>
      <c r="BP1131" s="204"/>
      <c r="BQ1131" s="475"/>
      <c r="BR1131" s="205"/>
      <c r="BS1131" s="509"/>
      <c r="BT1131" s="509"/>
      <c r="BU1131" s="459"/>
      <c r="BV1131" s="459"/>
      <c r="BW1131" s="1">
        <f t="shared" si="257"/>
        <v>0</v>
      </c>
      <c r="BX1131" s="1">
        <f t="shared" si="258"/>
        <v>0</v>
      </c>
      <c r="BY1131" s="1"/>
      <c r="BZ1131" s="1"/>
      <c r="CA1131" s="1"/>
      <c r="CB1131" s="1"/>
      <c r="CC1131" s="728"/>
      <c r="CD1131" s="728"/>
      <c r="CE1131" s="1"/>
      <c r="CF1131" t="str">
        <f t="shared" si="255"/>
        <v xml:space="preserve"> </v>
      </c>
    </row>
    <row r="1132" spans="1:84" customFormat="1">
      <c r="A1132" s="701" t="str">
        <f t="shared" si="256"/>
        <v>…</v>
      </c>
      <c r="B1132" s="447"/>
      <c r="C1132" s="161"/>
      <c r="D1132" s="162"/>
      <c r="E1132" s="1"/>
      <c r="F1132" s="811" t="str">
        <f t="shared" si="254"/>
        <v/>
      </c>
      <c r="G1132" s="440"/>
      <c r="H1132" s="1"/>
      <c r="I1132" s="55"/>
      <c r="J1132" s="170"/>
      <c r="K1132" s="1"/>
      <c r="L1132" s="170"/>
      <c r="M1132" s="1"/>
      <c r="N1132" s="458"/>
      <c r="O1132" s="170"/>
      <c r="P1132" s="441"/>
      <c r="Q1132" s="55"/>
      <c r="R1132" s="177"/>
      <c r="S1132" s="454"/>
      <c r="T1132" s="178"/>
      <c r="U1132" s="178"/>
      <c r="V1132" s="179"/>
      <c r="W1132" s="180"/>
      <c r="X1132" s="179"/>
      <c r="Y1132" s="180"/>
      <c r="Z1132" s="178"/>
      <c r="AA1132" s="178"/>
      <c r="AB1132" s="178"/>
      <c r="AC1132" s="178"/>
      <c r="AD1132" s="182"/>
      <c r="AE1132" s="182"/>
      <c r="AF1132" s="182"/>
      <c r="AG1132" s="182"/>
      <c r="AH1132" s="401"/>
      <c r="AI1132" s="401"/>
      <c r="AJ1132" s="401"/>
      <c r="AK1132" s="401"/>
      <c r="AL1132" s="401"/>
      <c r="AM1132" s="189"/>
      <c r="AN1132" s="829"/>
      <c r="AO1132" s="830"/>
      <c r="AP1132" s="401"/>
      <c r="AQ1132" s="401"/>
      <c r="AR1132" s="401"/>
      <c r="AS1132" s="401"/>
      <c r="AT1132" s="403"/>
      <c r="AU1132" s="403"/>
      <c r="AV1132" s="170"/>
      <c r="AW1132" s="166"/>
      <c r="AX1132" s="166"/>
      <c r="AY1132" s="189"/>
      <c r="AZ1132" s="189"/>
      <c r="BA1132" s="190"/>
      <c r="BB1132" s="629" t="e">
        <f>IF($B1132="…",CONCATENATE(0,$E1132,")"," ",$H1132),IF($B1132="kc",CONCATENATE(VLOOKUP(H1132,tabprt,2,0),")",$H1132," ",$R1132," ",$S1132,"mm"," ","-"," "," ",";"," ",$AZ1132,"  ",$I1132),IF($B1132="alu",CONCATENATE(VLOOKUP(H1132,tabprt,2,0),")",$H1132," ",$R1132," ",$S1132,"mm"," ","-"," "," ",";"," ",$AZ1132,"  ",$I1132),CONCATENATE(VLOOKUP(H1132,tabprt,2,0),")",$H1132," ",$R1132," ",$S1132,"mm"," ","-"," ",$AY1132," ",";"," ",$AZ1132,"  ",$I1132))))</f>
        <v>#N/A</v>
      </c>
      <c r="BC1132" s="190"/>
      <c r="BD1132" s="510"/>
      <c r="BE1132" s="510"/>
      <c r="BF1132" s="177"/>
      <c r="BG1132" s="177"/>
      <c r="BH1132" s="166"/>
      <c r="BI1132" s="474"/>
      <c r="BJ1132" s="166"/>
      <c r="BK1132" s="474"/>
      <c r="BL1132" s="474"/>
      <c r="BM1132" s="474"/>
      <c r="BN1132" s="166"/>
      <c r="BO1132" s="166"/>
      <c r="BP1132" s="204"/>
      <c r="BQ1132" s="475"/>
      <c r="BR1132" s="205"/>
      <c r="BS1132" s="509"/>
      <c r="BT1132" s="509"/>
      <c r="BU1132" s="459"/>
      <c r="BV1132" s="459"/>
      <c r="BW1132" s="1">
        <f t="shared" si="257"/>
        <v>0</v>
      </c>
      <c r="BX1132" s="1">
        <f t="shared" si="258"/>
        <v>0</v>
      </c>
      <c r="BY1132" s="1"/>
      <c r="BZ1132" s="1"/>
      <c r="CA1132" s="1"/>
      <c r="CB1132" s="1"/>
      <c r="CC1132" s="728"/>
      <c r="CD1132" s="728"/>
      <c r="CE1132" s="1"/>
      <c r="CF1132" t="str">
        <f t="shared" si="255"/>
        <v xml:space="preserve"> </v>
      </c>
    </row>
    <row r="1133" spans="1:84" customFormat="1">
      <c r="A1133" s="701">
        <f t="shared" si="256"/>
        <v>205412</v>
      </c>
      <c r="B1133" s="447" t="str">
        <f>IFERROR(INDEX((cprt),MATCH($H1133,Prt,0)),"…")</f>
        <v>…</v>
      </c>
      <c r="C1133" s="161" t="s">
        <v>1472</v>
      </c>
      <c r="D1133" s="162" t="str">
        <f>IFERROR(INDEX((KS),MATCH($H1133,Prt,0)),"")</f>
        <v/>
      </c>
      <c r="E1133" s="1" t="s">
        <v>1787</v>
      </c>
      <c r="F1133" s="811" t="str">
        <f t="shared" si="254"/>
        <v/>
      </c>
      <c r="G1133" s="822" t="str">
        <f>IF(Q1133=0," ",INDEX(no_ref,MATCH($H1133,ref,0)))</f>
        <v>fr</v>
      </c>
      <c r="H1133" s="161" t="str">
        <f>mled02</f>
        <v>M-LED-02 Brown Doff ( Alm. 75111 ) P3</v>
      </c>
      <c r="I1133" s="55"/>
      <c r="J1133" s="457">
        <v>3000</v>
      </c>
      <c r="K1133" s="1"/>
      <c r="L1133" s="170"/>
      <c r="M1133" s="1"/>
      <c r="N1133" s="458"/>
      <c r="O1133" s="170" t="str">
        <f>CONCATENATE(J1133," ",K1133," ",L1133," ",M1133," ",N1133)</f>
        <v xml:space="preserve">3000    </v>
      </c>
      <c r="P1133" s="441">
        <f>jumlah_mled</f>
        <v>2</v>
      </c>
      <c r="Q1133" s="685">
        <f>+P1133</f>
        <v>2</v>
      </c>
      <c r="R1133" s="177" t="str">
        <f>IFERROR(INDEX((std_bhn_prt),MATCH($H1133,Prt,0)),"")</f>
        <v/>
      </c>
      <c r="S1133" s="454"/>
      <c r="T1133" s="178" t="e">
        <f>INDEX((std_lapisan_luar_prt),MATCH($H1133,Prt,0))</f>
        <v>#N/A</v>
      </c>
      <c r="U1133" s="178" t="e">
        <f>INDEX((std_lapisan_dalam_prt),MATCH($H1133,Prt,0))</f>
        <v>#N/A</v>
      </c>
      <c r="V1133" s="179" t="str">
        <f>IFERROR(INDEX((tf),MATCH(T1133,ctf,0)),"")</f>
        <v/>
      </c>
      <c r="W1133" s="180" t="str">
        <f>IFERROR(INDEX((tebal_lapisan),MATCH($V1133,tf,0)),"")</f>
        <v/>
      </c>
      <c r="X1133" s="179" t="str">
        <f>IFERROR(INDEX((tf),MATCH(U1133,ctf,0)),"")</f>
        <v/>
      </c>
      <c r="Y1133" s="180" t="str">
        <f>IFERROR(INDEX((tebal_lapisan),MATCH($X1133,tf,0)),"")</f>
        <v/>
      </c>
      <c r="Z1133" s="178" t="e">
        <f>INDEX((std_edg_P1_prt),MATCH($H1133,Prt,0))</f>
        <v>#N/A</v>
      </c>
      <c r="AA1133" s="178" t="e">
        <f>INDEX((std_edg_P2_prt),MATCH($H1133,Prt,0))</f>
        <v>#N/A</v>
      </c>
      <c r="AB1133" s="178" t="e">
        <f>INDEX((std_edg_L1_prt),MATCH($H1133,Prt,0))</f>
        <v>#N/A</v>
      </c>
      <c r="AC1133" s="178" t="e">
        <f>INDEX((std_edg_L2_prt),MATCH($H1133,Prt,0))</f>
        <v>#N/A</v>
      </c>
      <c r="AD1133" s="182" t="e">
        <f>IF($B1133="alu",(INDEX((Fr),MATCH(Z1133,cfr,0))),INDEX((te),MATCH(Z1133,cte,0)))</f>
        <v>#N/A</v>
      </c>
      <c r="AE1133" s="182" t="e">
        <f>IF($B1133="alu",(INDEX((Fr),MATCH(AA1133,cfr,0))),INDEX((te),MATCH(AA1133,cte,0)))</f>
        <v>#N/A</v>
      </c>
      <c r="AF1133" s="182" t="e">
        <f>IF($B1133="alu",(INDEX((Fr),MATCH(AB1133,cfr,0))),INDEX((te),MATCH(AB1133,cte,0)))</f>
        <v>#N/A</v>
      </c>
      <c r="AG1133" s="182" t="e">
        <f>IF($B1133="alu",(INDEX((Fr),MATCH(AC1133,cfr,0))),INDEX((te),MATCH(AC1133,cte,0)))</f>
        <v>#N/A</v>
      </c>
      <c r="AH1133" s="401" t="str">
        <f>IFERROR(INDEX((std_profil3_prt),MATCH($H1133,Prt,0)),"")</f>
        <v/>
      </c>
      <c r="AI1133" s="401" t="str">
        <f>IFERROR(INDEX((std_profil2_prt),MATCH($H1133,Prt,0)),"")</f>
        <v/>
      </c>
      <c r="AJ1133" s="401" t="str">
        <f>IFERROR(INDEX((std_profil_prt),MATCH($H1133,Prt,0)),"")</f>
        <v/>
      </c>
      <c r="AK1133" s="401" t="str">
        <f>IFERROR(INDEX((std_siku_prt),MATCH($H1133,Prt,0)),"")</f>
        <v/>
      </c>
      <c r="AL1133" s="401" t="str">
        <f>IFERROR(INDEX((std_screw_prt),MATCH($H1133,Prt,0)),"")</f>
        <v/>
      </c>
      <c r="AM1133" s="189"/>
      <c r="AN1133" s="829" t="str">
        <f>IFERROR(INDEX((std_rel_prt),MATCH($H1133,Prt,0)),"")</f>
        <v/>
      </c>
      <c r="AO1133" s="830" t="str">
        <f>IFERROR(INDEX((std_engsel_prt),MATCH($H1133,Prt,0)),"")</f>
        <v/>
      </c>
      <c r="AP1133" s="401" t="str">
        <f>IFERROR(INDEX((std_anodizev_proses),MATCH($I1133,pk,0)),"")</f>
        <v/>
      </c>
      <c r="AQ1133" s="401" t="str">
        <f>IFERROR(INDEX((std_anodizev2_proses),MATCH($I1133,pk,0)),"")</f>
        <v/>
      </c>
      <c r="AR1133" s="401" t="str">
        <f>IFERROR(INDEX((std_anodizeh_proses),MATCH($I1133,pk,0)),"")</f>
        <v/>
      </c>
      <c r="AS1133" s="401" t="str">
        <f>IFERROR(INDEX((std_anodize_per_ukuran),MATCH($H1133,Prt,0)),"")</f>
        <v/>
      </c>
      <c r="AT1133" s="403" t="str">
        <f>IF($AS1133=edging7,L1133,IF($AS1133=edging8,L1133,IF($AS1133=edging9,L1133,IF($AS1133=Hand1,J1132,IF($AS1133=Hand2,L1132,IF($AS1133=hand3,"diisi manual",IF($AS1133=hand4,"diisi manual",IF($AS1133=hand5,"diisi manual",IF($AS1133=mled02,J1133,IF($AS1133=mprf1,J1133,IF($AS1133=mlis1,J1133,"")))))))))))</f>
        <v/>
      </c>
      <c r="AU1133" s="403" t="str">
        <f>IF($AS1133="","",Q1133*BR1133)</f>
        <v/>
      </c>
      <c r="AV1133" s="170"/>
      <c r="AW1133" s="166" t="e">
        <f>CONCATENATE(VLOOKUP($V1133,tabtf,2,0),VLOOKUP($X1133,tabtf,2,0))</f>
        <v>#N/A</v>
      </c>
      <c r="AX1133" s="166" t="e">
        <f>IF($B1133="alu",(CONCATENATE(VLOOKUP($AD1133,tabfr,2,0),VLOOKUP($AE1133,tabfr,2,0),VLOOKUP($AF1133,tabfr,2,0),VLOOKUP($AG1133,tabfr,2,0))),(CONCATENATE(VLOOKUP($AD1133,tabte,2,0),VLOOKUP($AE1133,tabte,2,0),VLOOKUP($AF1133,tabte,2,0),VLOOKUP($AG1133,tabte,2,0))))</f>
        <v>#N/A</v>
      </c>
      <c r="AY1133" s="189" t="str">
        <f>IFERROR(VLOOKUP(AW1133,descf,2,0),"")</f>
        <v/>
      </c>
      <c r="AZ1133" s="189" t="e">
        <f>IF($B1133="alu",(VLOOKUP(AX1133,descfr,2,0)),(VLOOKUP(AX1133,desce,2,0)))</f>
        <v>#N/A</v>
      </c>
      <c r="BA1133" s="196" t="e">
        <f>IF($R1133=0,CONCATENATE(0,")"," ",$H1133," ",$J1133),CONCATENATE(VLOOKUP(H1133,tabprt,2,0),")",$H1133,"_",AY1133))</f>
        <v>#N/A</v>
      </c>
      <c r="BB1133" s="629" t="str">
        <f>IF($B1133="…",CONCATENATE(0,$E1133,")"," ",$H1133),IF($B1133="kc",CONCATENATE(VLOOKUP(H1133,tabprt,2,0),")",$H1133," ",$R1133," ",$S1133,"mm"," ","-"," "," ",";"," ",$AZ1133,"  ",$I1133),IF($B1133="alu",CONCATENATE(VLOOKUP(H1133,tabprt,2,0),")",$H1133," ",$R1133," ",$S1133,"mm"," ","-"," "," ",";"," ",$AZ1133,"  ",$I1133),CONCATENATE(VLOOKUP(H1133,tabprt,2,0),")",$H1133," ",$R1133," ",$S1133,"mm"," ","-"," ",$AY1133," ",";"," ",$AZ1133,"  ",$I1133))))</f>
        <v>0…) M-LED-02 Brown Doff ( Alm. 75111 ) P3</v>
      </c>
      <c r="BC1133" s="190"/>
      <c r="BD1133" s="510" t="str">
        <f>IFERROR(INDEX((std_minifix_prt),MATCH($H1133,Prt,0)),"")</f>
        <v/>
      </c>
      <c r="BE1133" s="510" t="str">
        <f>IFERROR(INDEX((std_dowel_prt),MATCH($H1133,Prt,0)),"")</f>
        <v/>
      </c>
      <c r="BF1133" s="177" t="e">
        <f>IFERROR(INDEX((std_j_sikufr_prt),MATCH($H1133,Prt,0)),"")*Q1133</f>
        <v>#VALUE!</v>
      </c>
      <c r="BG1133" s="177" t="e">
        <f>IFERROR(INDEX((std_j_screwjf_prt),MATCH($H1133,Prt,0)),"")*Q1133</f>
        <v>#VALUE!</v>
      </c>
      <c r="BH1133" s="166">
        <f>IF($AM1133=0,0,1)*Q1133</f>
        <v>0</v>
      </c>
      <c r="BI1133" s="474">
        <f>IF($AO1133=0,0,IF(J1133&lt;=fp,2,(ROUNDUP(J1133/fp,0))))*Q1133</f>
        <v>12</v>
      </c>
      <c r="BJ1133" s="166">
        <f>IF($AN1133=0,0,1)*Q1133</f>
        <v>2</v>
      </c>
      <c r="BK1133" s="474">
        <f>(($J1133+tol_p)*$Q1133)/1000</f>
        <v>6.08</v>
      </c>
      <c r="BL1133" s="474">
        <f>(($L1133+tol_p)*$Q1133)/1000</f>
        <v>0.08</v>
      </c>
      <c r="BM1133" s="474">
        <f>IF(R1133=0,0,((2*((J1133+tol_p)+(L1133+tol_p))*Q1133)/1000))</f>
        <v>12.32</v>
      </c>
      <c r="BN1133" s="166">
        <f>((J1133*L1133)/1000000)*Q1133</f>
        <v>0</v>
      </c>
      <c r="BO1133" s="166" t="str">
        <f>CONCATENATE(R1133,"_",S1133)</f>
        <v>_</v>
      </c>
      <c r="BP1133" s="204" t="str">
        <f>CONCATENATE(R1133," ",S1133," ",AY1133)</f>
        <v xml:space="preserve">  </v>
      </c>
      <c r="BQ1133" s="475">
        <f>((J1133*L1133*Q1133)/(2400*1200))+10%</f>
        <v>0.1</v>
      </c>
      <c r="BR1133" s="205" t="str">
        <f>IFERROR(INDEX((std_jml_anodize_per_uk),MATCH($H1133,Prt,0)),"")</f>
        <v/>
      </c>
      <c r="BS1133" s="509">
        <f>IF($BD1133=0,0,IF($L1133&lt;150,2,((ROUNDUP($L1133/fm,0)*2))))*$Q1133</f>
        <v>4</v>
      </c>
      <c r="BT1133" s="509">
        <f>IF($BE1133=0,0,IF($L1133&lt;150,2,((ROUNDUP($L1133/fd,0)*2))))*$Q1133</f>
        <v>4</v>
      </c>
      <c r="BU1133" s="459" t="e">
        <f>BF1133*$Q1133</f>
        <v>#VALUE!</v>
      </c>
      <c r="BV1133" s="459" t="e">
        <f>BG1133*$Q1133</f>
        <v>#VALUE!</v>
      </c>
      <c r="BW1133" s="1">
        <f t="shared" si="257"/>
        <v>0</v>
      </c>
      <c r="BX1133" s="1">
        <f t="shared" si="258"/>
        <v>0</v>
      </c>
      <c r="BY1133" s="1"/>
      <c r="BZ1133" s="1"/>
      <c r="CA1133" s="1"/>
      <c r="CB1133" s="1"/>
      <c r="CC1133" s="728"/>
      <c r="CD1133" s="728"/>
      <c r="CE1133" s="1"/>
      <c r="CF1133" t="str">
        <f t="shared" si="255"/>
        <v xml:space="preserve"> </v>
      </c>
    </row>
    <row r="1134" spans="1:84" customFormat="1">
      <c r="A1134" s="701" t="str">
        <f t="shared" si="256"/>
        <v>…</v>
      </c>
      <c r="B1134" s="447"/>
      <c r="C1134" s="161"/>
      <c r="D1134" s="162"/>
      <c r="E1134" s="1"/>
      <c r="F1134" s="811" t="str">
        <f t="shared" si="254"/>
        <v/>
      </c>
      <c r="G1134" s="440"/>
      <c r="H1134" s="1"/>
      <c r="I1134" s="55"/>
      <c r="J1134" s="170"/>
      <c r="K1134" s="1"/>
      <c r="L1134" s="170"/>
      <c r="M1134" s="1"/>
      <c r="N1134" s="458"/>
      <c r="O1134" s="170"/>
      <c r="P1134" s="441"/>
      <c r="Q1134" s="55"/>
      <c r="R1134" s="177"/>
      <c r="S1134" s="454"/>
      <c r="T1134" s="178"/>
      <c r="U1134" s="178"/>
      <c r="V1134" s="179"/>
      <c r="W1134" s="180"/>
      <c r="X1134" s="179"/>
      <c r="Y1134" s="180"/>
      <c r="Z1134" s="178"/>
      <c r="AA1134" s="178"/>
      <c r="AB1134" s="178"/>
      <c r="AC1134" s="178"/>
      <c r="AD1134" s="182"/>
      <c r="AE1134" s="182"/>
      <c r="AF1134" s="182"/>
      <c r="AG1134" s="182"/>
      <c r="AH1134" s="401"/>
      <c r="AI1134" s="401"/>
      <c r="AJ1134" s="401"/>
      <c r="AK1134" s="401"/>
      <c r="AL1134" s="401"/>
      <c r="AM1134" s="189"/>
      <c r="AN1134" s="829"/>
      <c r="AO1134" s="830"/>
      <c r="AP1134" s="401" t="str">
        <f>IFERROR(INDEX((std_anodizev_proses),MATCH($I1134,pk,0)),"")</f>
        <v/>
      </c>
      <c r="AQ1134" s="401" t="str">
        <f>IFERROR(INDEX((std_anodizev2_proses),MATCH($I1134,pk,0)),"")</f>
        <v/>
      </c>
      <c r="AR1134" s="401" t="str">
        <f>IFERROR(INDEX((std_anodizeh_proses),MATCH($I1134,pk,0)),"")</f>
        <v/>
      </c>
      <c r="AS1134" s="401"/>
      <c r="AT1134" s="403"/>
      <c r="AU1134" s="403"/>
      <c r="AV1134" s="170"/>
      <c r="AW1134" s="166"/>
      <c r="AX1134" s="166"/>
      <c r="AY1134" s="189"/>
      <c r="AZ1134" s="189"/>
      <c r="BA1134" s="190"/>
      <c r="BB1134" s="629" t="e">
        <f>IF($B1134="…",CONCATENATE(0,$E1134,")"," ",$H1134),IF($B1134="kc",CONCATENATE(VLOOKUP(H1134,tabprt,2,0),")",$H1134," ",$R1134," ",$S1134,"mm"," ","-"," "," ",";"," ",$AZ1134,"  ",$I1134),IF($B1134="alu",CONCATENATE(VLOOKUP(H1134,tabprt,2,0),")",$H1134," ",$R1134," ",$S1134,"mm"," ","-"," "," ",";"," ",$AZ1134,"  ",$I1134),CONCATENATE(VLOOKUP(H1134,tabprt,2,0),")",$H1134," ",$R1134," ",$S1134,"mm"," ","-"," ",$AY1134," ",";"," ",$AZ1134,"  ",$I1134))))</f>
        <v>#N/A</v>
      </c>
      <c r="BC1134" s="190"/>
      <c r="BD1134" s="510" t="str">
        <f>IFERROR(INDEX((std_minifix_prt),MATCH($H1134,Prt,0)),"")</f>
        <v/>
      </c>
      <c r="BE1134" s="510" t="str">
        <f>IFERROR(INDEX((std_dowel_prt),MATCH($H1134,Prt,0)),"")</f>
        <v/>
      </c>
      <c r="BF1134" s="177"/>
      <c r="BG1134" s="177"/>
      <c r="BH1134" s="166"/>
      <c r="BI1134" s="474">
        <f>IF($AO1134=0,0,IF(J1134&lt;=fp,2,(ROUNDUP(J1134/fp,0))))*Q1134</f>
        <v>0</v>
      </c>
      <c r="BJ1134" s="166"/>
      <c r="BK1134" s="474"/>
      <c r="BL1134" s="474"/>
      <c r="BM1134" s="474"/>
      <c r="BN1134" s="166"/>
      <c r="BO1134" s="166"/>
      <c r="BP1134" s="204"/>
      <c r="BQ1134" s="475"/>
      <c r="BR1134" s="205"/>
      <c r="BS1134" s="509">
        <f>IF($BD1134=0,0,IF($L1134&lt;150,2,((ROUNDUP($L1134/fm,0)*2))))*$Q1134</f>
        <v>0</v>
      </c>
      <c r="BT1134" s="509">
        <f>IF($BE1134=0,0,IF($L1134&lt;150,2,((ROUNDUP($L1134/fd,0)*2))))*$Q1134</f>
        <v>0</v>
      </c>
      <c r="BU1134" s="459"/>
      <c r="BV1134" s="459"/>
      <c r="BW1134" s="1">
        <f t="shared" si="257"/>
        <v>0</v>
      </c>
      <c r="BX1134" s="1">
        <f t="shared" si="258"/>
        <v>0</v>
      </c>
      <c r="BY1134" s="1"/>
      <c r="BZ1134" s="1"/>
      <c r="CA1134" s="1"/>
      <c r="CB1134" s="1"/>
      <c r="CC1134" s="728"/>
      <c r="CD1134" s="728"/>
      <c r="CE1134" s="1"/>
      <c r="CF1134" t="str">
        <f t="shared" si="255"/>
        <v xml:space="preserve"> </v>
      </c>
    </row>
    <row r="1135" spans="1:84" customFormat="1">
      <c r="A1135" s="86">
        <f t="shared" ref="A1135:A1148" si="259">IFERROR(INDEX((ID),MATCH(H1135,BARANG,0)),"…")</f>
        <v>3065067</v>
      </c>
      <c r="B1135" s="818"/>
      <c r="C1135" s="819"/>
      <c r="D1135" s="820" t="s">
        <v>1787</v>
      </c>
      <c r="E1135" s="129" t="s">
        <v>1787</v>
      </c>
      <c r="F1135" s="821"/>
      <c r="G1135" s="822" t="str">
        <f t="shared" ref="G1135:G1160" si="260">IF(Q1135=0," ",INDEX(no_ref,MATCH($H1135,ref,0)))</f>
        <v xml:space="preserve"> </v>
      </c>
      <c r="H1135" s="136" t="str">
        <f>_rel1</f>
        <v>LEGRA S1 ORION GREY (OG</v>
      </c>
      <c r="I1135" s="823"/>
      <c r="J1135" s="824"/>
      <c r="K1135" s="129"/>
      <c r="L1135" s="824"/>
      <c r="M1135" s="129"/>
      <c r="N1135" s="825"/>
      <c r="O1135" s="824" t="s">
        <v>1787</v>
      </c>
      <c r="P1135" s="826"/>
      <c r="Q1135" s="135">
        <f t="shared" ref="Q1135:Q1148" si="261">SUMIF(RelI,H1135,Rel)</f>
        <v>0</v>
      </c>
      <c r="R1135" s="177"/>
      <c r="S1135" s="454"/>
      <c r="T1135" s="178"/>
      <c r="U1135" s="178"/>
      <c r="V1135" s="179"/>
      <c r="W1135" s="180"/>
      <c r="X1135" s="179"/>
      <c r="Y1135" s="180"/>
      <c r="Z1135" s="178"/>
      <c r="AA1135" s="178"/>
      <c r="AB1135" s="178"/>
      <c r="AC1135" s="178"/>
      <c r="AD1135" s="182"/>
      <c r="AE1135" s="182"/>
      <c r="AF1135" s="182"/>
      <c r="AG1135" s="182"/>
      <c r="AH1135" s="401"/>
      <c r="AI1135" s="401"/>
      <c r="AJ1135" s="401"/>
      <c r="AK1135" s="401"/>
      <c r="AL1135" s="401"/>
      <c r="AM1135" s="189"/>
      <c r="AN1135" s="829"/>
      <c r="AO1135" s="830"/>
      <c r="AP1135" s="401"/>
      <c r="AQ1135" s="401"/>
      <c r="AR1135" s="401"/>
      <c r="AS1135" s="401"/>
      <c r="AT1135" s="403"/>
      <c r="AU1135" s="403"/>
      <c r="AV1135" s="170"/>
      <c r="AW1135" s="166"/>
      <c r="AX1135" s="166"/>
      <c r="AY1135" s="189"/>
      <c r="AZ1135" s="189"/>
      <c r="BA1135" s="190"/>
      <c r="BB1135" s="629"/>
      <c r="BC1135" s="190"/>
      <c r="BD1135" s="510"/>
      <c r="BE1135" s="510"/>
      <c r="BF1135" s="177"/>
      <c r="BG1135" s="177"/>
      <c r="BH1135" s="166"/>
      <c r="BI1135" s="474"/>
      <c r="BJ1135" s="166"/>
      <c r="BK1135" s="474"/>
      <c r="BL1135" s="474"/>
      <c r="BM1135" s="474"/>
      <c r="BN1135" s="166"/>
      <c r="BO1135" s="166"/>
      <c r="BP1135" s="204"/>
      <c r="BQ1135" s="475"/>
      <c r="BR1135" s="205"/>
      <c r="BS1135" s="509"/>
      <c r="BT1135" s="509"/>
      <c r="BU1135" s="459"/>
      <c r="BV1135" s="459"/>
      <c r="BW1135" s="1"/>
      <c r="BX1135" s="1"/>
      <c r="BY1135" s="1"/>
      <c r="BZ1135" s="1"/>
      <c r="CA1135" s="1"/>
      <c r="CB1135" s="1"/>
      <c r="CC1135" s="728"/>
      <c r="CD1135" s="728"/>
      <c r="CE1135" s="1"/>
    </row>
    <row r="1136" spans="1:84" customFormat="1">
      <c r="A1136" s="86">
        <f t="shared" si="259"/>
        <v>3065146</v>
      </c>
      <c r="B1136" s="818"/>
      <c r="C1136" s="819"/>
      <c r="D1136" s="820" t="s">
        <v>1787</v>
      </c>
      <c r="E1136" s="129" t="s">
        <v>1787</v>
      </c>
      <c r="F1136" s="821"/>
      <c r="G1136" s="822" t="str">
        <f t="shared" si="260"/>
        <v xml:space="preserve"> </v>
      </c>
      <c r="H1136" s="136" t="str">
        <f>_rel2</f>
        <v>LEGRABOX S4 OG (ORION GREY)</v>
      </c>
      <c r="I1136" s="823"/>
      <c r="J1136" s="824"/>
      <c r="K1136" s="129"/>
      <c r="L1136" s="824"/>
      <c r="M1136" s="129"/>
      <c r="N1136" s="825"/>
      <c r="O1136" s="824" t="s">
        <v>1787</v>
      </c>
      <c r="P1136" s="826"/>
      <c r="Q1136" s="135">
        <f t="shared" si="261"/>
        <v>0</v>
      </c>
      <c r="R1136" s="177"/>
      <c r="S1136" s="454"/>
      <c r="T1136" s="178"/>
      <c r="U1136" s="178"/>
      <c r="V1136" s="179"/>
      <c r="W1136" s="180"/>
      <c r="X1136" s="179"/>
      <c r="Y1136" s="180"/>
      <c r="Z1136" s="178"/>
      <c r="AA1136" s="178"/>
      <c r="AB1136" s="178"/>
      <c r="AC1136" s="178"/>
      <c r="AD1136" s="182"/>
      <c r="AE1136" s="182"/>
      <c r="AF1136" s="182"/>
      <c r="AG1136" s="182"/>
      <c r="AH1136" s="401"/>
      <c r="AI1136" s="401"/>
      <c r="AJ1136" s="401"/>
      <c r="AK1136" s="401"/>
      <c r="AL1136" s="401"/>
      <c r="AM1136" s="189"/>
      <c r="AN1136" s="829"/>
      <c r="AO1136" s="830"/>
      <c r="AP1136" s="401"/>
      <c r="AQ1136" s="401"/>
      <c r="AR1136" s="401"/>
      <c r="AS1136" s="401"/>
      <c r="AT1136" s="403"/>
      <c r="AU1136" s="403"/>
      <c r="AV1136" s="170"/>
      <c r="AW1136" s="166"/>
      <c r="AX1136" s="166"/>
      <c r="AY1136" s="189"/>
      <c r="AZ1136" s="189"/>
      <c r="BA1136" s="190"/>
      <c r="BB1136" s="629"/>
      <c r="BC1136" s="190"/>
      <c r="BD1136" s="510"/>
      <c r="BE1136" s="510"/>
      <c r="BF1136" s="177"/>
      <c r="BG1136" s="177"/>
      <c r="BH1136" s="166"/>
      <c r="BI1136" s="474"/>
      <c r="BJ1136" s="166"/>
      <c r="BK1136" s="474"/>
      <c r="BL1136" s="474"/>
      <c r="BM1136" s="474"/>
      <c r="BN1136" s="166"/>
      <c r="BO1136" s="166"/>
      <c r="BP1136" s="204"/>
      <c r="BQ1136" s="475"/>
      <c r="BR1136" s="205"/>
      <c r="BS1136" s="509"/>
      <c r="BT1136" s="509"/>
      <c r="BU1136" s="459"/>
      <c r="BV1136" s="459"/>
      <c r="BW1136" s="1"/>
      <c r="BX1136" s="1"/>
      <c r="BY1136" s="1"/>
      <c r="BZ1136" s="1"/>
      <c r="CA1136" s="1"/>
      <c r="CB1136" s="1"/>
      <c r="CC1136" s="728"/>
      <c r="CD1136" s="728"/>
      <c r="CE1136" s="1"/>
    </row>
    <row r="1137" spans="1:83" customFormat="1">
      <c r="A1137" s="86" t="str">
        <f t="shared" si="259"/>
        <v>307051</v>
      </c>
      <c r="B1137" s="818"/>
      <c r="C1137" s="819"/>
      <c r="D1137" s="820" t="s">
        <v>1787</v>
      </c>
      <c r="E1137" s="129" t="s">
        <v>1787</v>
      </c>
      <c r="F1137" s="821"/>
      <c r="G1137" s="822" t="str">
        <f t="shared" si="260"/>
        <v xml:space="preserve"> </v>
      </c>
      <c r="H1137" s="136" t="str">
        <f>_rel3</f>
        <v>REL TANDEM BLUM SINGLE EXT INTG P.500</v>
      </c>
      <c r="I1137" s="823"/>
      <c r="J1137" s="824"/>
      <c r="K1137" s="129"/>
      <c r="L1137" s="824"/>
      <c r="M1137" s="129"/>
      <c r="N1137" s="825"/>
      <c r="O1137" s="824" t="s">
        <v>1787</v>
      </c>
      <c r="P1137" s="826"/>
      <c r="Q1137" s="135">
        <f t="shared" si="261"/>
        <v>0</v>
      </c>
      <c r="R1137" s="177"/>
      <c r="S1137" s="454"/>
      <c r="T1137" s="178"/>
      <c r="U1137" s="178"/>
      <c r="V1137" s="179"/>
      <c r="W1137" s="180"/>
      <c r="X1137" s="179"/>
      <c r="Y1137" s="180"/>
      <c r="Z1137" s="178"/>
      <c r="AA1137" s="178"/>
      <c r="AB1137" s="178"/>
      <c r="AC1137" s="178"/>
      <c r="AD1137" s="182"/>
      <c r="AE1137" s="182"/>
      <c r="AF1137" s="182"/>
      <c r="AG1137" s="182"/>
      <c r="AH1137" s="401"/>
      <c r="AI1137" s="401"/>
      <c r="AJ1137" s="401"/>
      <c r="AK1137" s="401"/>
      <c r="AL1137" s="401"/>
      <c r="AM1137" s="189"/>
      <c r="AN1137" s="829"/>
      <c r="AO1137" s="830"/>
      <c r="AP1137" s="401"/>
      <c r="AQ1137" s="401"/>
      <c r="AR1137" s="401"/>
      <c r="AS1137" s="401"/>
      <c r="AT1137" s="403"/>
      <c r="AU1137" s="403"/>
      <c r="AV1137" s="170"/>
      <c r="AW1137" s="166"/>
      <c r="AX1137" s="166"/>
      <c r="AY1137" s="189"/>
      <c r="AZ1137" s="189"/>
      <c r="BA1137" s="190"/>
      <c r="BB1137" s="629"/>
      <c r="BC1137" s="190"/>
      <c r="BD1137" s="510"/>
      <c r="BE1137" s="510"/>
      <c r="BF1137" s="177"/>
      <c r="BG1137" s="177"/>
      <c r="BH1137" s="166"/>
      <c r="BI1137" s="474"/>
      <c r="BJ1137" s="166"/>
      <c r="BK1137" s="474"/>
      <c r="BL1137" s="474"/>
      <c r="BM1137" s="474"/>
      <c r="BN1137" s="166"/>
      <c r="BO1137" s="166"/>
      <c r="BP1137" s="204"/>
      <c r="BQ1137" s="475"/>
      <c r="BR1137" s="205"/>
      <c r="BS1137" s="509"/>
      <c r="BT1137" s="509"/>
      <c r="BU1137" s="459"/>
      <c r="BV1137" s="459"/>
      <c r="BW1137" s="1"/>
      <c r="BX1137" s="1"/>
      <c r="BY1137" s="1"/>
      <c r="BZ1137" s="1"/>
      <c r="CA1137" s="1"/>
      <c r="CB1137" s="1"/>
      <c r="CC1137" s="728"/>
      <c r="CD1137" s="728"/>
      <c r="CE1137" s="1"/>
    </row>
    <row r="1138" spans="1:83" customFormat="1">
      <c r="A1138" s="86" t="str">
        <f t="shared" si="259"/>
        <v>307056</v>
      </c>
      <c r="B1138" s="818"/>
      <c r="C1138" s="819"/>
      <c r="D1138" s="820" t="s">
        <v>1787</v>
      </c>
      <c r="E1138" s="129" t="s">
        <v>1787</v>
      </c>
      <c r="F1138" s="821"/>
      <c r="G1138" s="822" t="str">
        <f t="shared" si="260"/>
        <v>ft</v>
      </c>
      <c r="H1138" s="136" t="str">
        <f>_rel4</f>
        <v>REL TANDEM BLUM FULL EXT INTG P.500</v>
      </c>
      <c r="I1138" s="823"/>
      <c r="J1138" s="824"/>
      <c r="K1138" s="129"/>
      <c r="L1138" s="824"/>
      <c r="M1138" s="129"/>
      <c r="N1138" s="825"/>
      <c r="O1138" s="824" t="s">
        <v>1787</v>
      </c>
      <c r="P1138" s="826"/>
      <c r="Q1138" s="135">
        <f t="shared" si="261"/>
        <v>4</v>
      </c>
      <c r="R1138" s="177"/>
      <c r="S1138" s="454"/>
      <c r="T1138" s="178"/>
      <c r="U1138" s="178"/>
      <c r="V1138" s="179"/>
      <c r="W1138" s="180"/>
      <c r="X1138" s="179"/>
      <c r="Y1138" s="180"/>
      <c r="Z1138" s="178"/>
      <c r="AA1138" s="178"/>
      <c r="AB1138" s="178"/>
      <c r="AC1138" s="178"/>
      <c r="AD1138" s="182"/>
      <c r="AE1138" s="182"/>
      <c r="AF1138" s="182"/>
      <c r="AG1138" s="182"/>
      <c r="AH1138" s="401"/>
      <c r="AI1138" s="401"/>
      <c r="AJ1138" s="401"/>
      <c r="AK1138" s="401"/>
      <c r="AL1138" s="401"/>
      <c r="AM1138" s="189"/>
      <c r="AN1138" s="829"/>
      <c r="AO1138" s="830"/>
      <c r="AP1138" s="401"/>
      <c r="AQ1138" s="401"/>
      <c r="AR1138" s="401"/>
      <c r="AS1138" s="401"/>
      <c r="AT1138" s="403"/>
      <c r="AU1138" s="403"/>
      <c r="AV1138" s="170"/>
      <c r="AW1138" s="166"/>
      <c r="AX1138" s="166"/>
      <c r="AY1138" s="189"/>
      <c r="AZ1138" s="189"/>
      <c r="BA1138" s="190"/>
      <c r="BB1138" s="629"/>
      <c r="BC1138" s="190"/>
      <c r="BD1138" s="510"/>
      <c r="BE1138" s="510"/>
      <c r="BF1138" s="177"/>
      <c r="BG1138" s="177"/>
      <c r="BH1138" s="166"/>
      <c r="BI1138" s="474"/>
      <c r="BJ1138" s="166"/>
      <c r="BK1138" s="474"/>
      <c r="BL1138" s="474"/>
      <c r="BM1138" s="474"/>
      <c r="BN1138" s="166"/>
      <c r="BO1138" s="166"/>
      <c r="BP1138" s="204"/>
      <c r="BQ1138" s="475"/>
      <c r="BR1138" s="205"/>
      <c r="BS1138" s="509"/>
      <c r="BT1138" s="509"/>
      <c r="BU1138" s="459"/>
      <c r="BV1138" s="459"/>
      <c r="BW1138" s="1"/>
      <c r="BX1138" s="1"/>
      <c r="BY1138" s="1"/>
      <c r="BZ1138" s="1"/>
      <c r="CA1138" s="1"/>
      <c r="CB1138" s="1"/>
      <c r="CC1138" s="728"/>
      <c r="CD1138" s="728"/>
      <c r="CE1138" s="1"/>
    </row>
    <row r="1139" spans="1:83" customFormat="1">
      <c r="A1139" s="86" t="str">
        <f t="shared" si="259"/>
        <v>307061</v>
      </c>
      <c r="B1139" s="818"/>
      <c r="C1139" s="819"/>
      <c r="D1139" s="820" t="s">
        <v>1787</v>
      </c>
      <c r="E1139" s="129" t="s">
        <v>1787</v>
      </c>
      <c r="F1139" s="821"/>
      <c r="G1139" s="822" t="str">
        <f t="shared" si="260"/>
        <v xml:space="preserve"> </v>
      </c>
      <c r="H1139" s="136" t="str">
        <f>_rel5</f>
        <v>REL TANDEM BLUM FULL EXT INTG P.400</v>
      </c>
      <c r="I1139" s="823"/>
      <c r="J1139" s="824"/>
      <c r="K1139" s="129"/>
      <c r="L1139" s="824"/>
      <c r="M1139" s="129"/>
      <c r="N1139" s="825"/>
      <c r="O1139" s="824" t="s">
        <v>1787</v>
      </c>
      <c r="P1139" s="826"/>
      <c r="Q1139" s="135">
        <f t="shared" si="261"/>
        <v>0</v>
      </c>
      <c r="R1139" s="177"/>
      <c r="S1139" s="454"/>
      <c r="T1139" s="178"/>
      <c r="U1139" s="178"/>
      <c r="V1139" s="179"/>
      <c r="W1139" s="180"/>
      <c r="X1139" s="179"/>
      <c r="Y1139" s="180"/>
      <c r="Z1139" s="178"/>
      <c r="AA1139" s="178"/>
      <c r="AB1139" s="178"/>
      <c r="AC1139" s="178"/>
      <c r="AD1139" s="182"/>
      <c r="AE1139" s="182"/>
      <c r="AF1139" s="182"/>
      <c r="AG1139" s="182"/>
      <c r="AH1139" s="401"/>
      <c r="AI1139" s="401"/>
      <c r="AJ1139" s="401"/>
      <c r="AK1139" s="401"/>
      <c r="AL1139" s="401"/>
      <c r="AM1139" s="189"/>
      <c r="AN1139" s="829"/>
      <c r="AO1139" s="830"/>
      <c r="AP1139" s="401"/>
      <c r="AQ1139" s="401"/>
      <c r="AR1139" s="401"/>
      <c r="AS1139" s="401"/>
      <c r="AT1139" s="403"/>
      <c r="AU1139" s="403"/>
      <c r="AV1139" s="170"/>
      <c r="AW1139" s="166"/>
      <c r="AX1139" s="166"/>
      <c r="AY1139" s="189"/>
      <c r="AZ1139" s="189"/>
      <c r="BA1139" s="190"/>
      <c r="BB1139" s="629"/>
      <c r="BC1139" s="190"/>
      <c r="BD1139" s="510"/>
      <c r="BE1139" s="510"/>
      <c r="BF1139" s="177"/>
      <c r="BG1139" s="177"/>
      <c r="BH1139" s="166"/>
      <c r="BI1139" s="474"/>
      <c r="BJ1139" s="166"/>
      <c r="BK1139" s="474"/>
      <c r="BL1139" s="474"/>
      <c r="BM1139" s="474"/>
      <c r="BN1139" s="166"/>
      <c r="BO1139" s="166"/>
      <c r="BP1139" s="204"/>
      <c r="BQ1139" s="475"/>
      <c r="BR1139" s="205"/>
      <c r="BS1139" s="509"/>
      <c r="BT1139" s="509"/>
      <c r="BU1139" s="459"/>
      <c r="BV1139" s="459"/>
      <c r="BW1139" s="1"/>
      <c r="BX1139" s="1"/>
      <c r="BY1139" s="1"/>
      <c r="BZ1139" s="1"/>
      <c r="CA1139" s="1"/>
      <c r="CB1139" s="1"/>
      <c r="CC1139" s="728"/>
      <c r="CD1139" s="728"/>
      <c r="CE1139" s="1"/>
    </row>
    <row r="1140" spans="1:83" customFormat="1">
      <c r="A1140" s="86" t="str">
        <f t="shared" si="259"/>
        <v>307124</v>
      </c>
      <c r="B1140" s="818"/>
      <c r="C1140" s="819"/>
      <c r="D1140" s="820" t="s">
        <v>1787</v>
      </c>
      <c r="E1140" s="129" t="s">
        <v>1787</v>
      </c>
      <c r="F1140" s="821"/>
      <c r="G1140" s="822" t="str">
        <f t="shared" si="260"/>
        <v xml:space="preserve"> </v>
      </c>
      <c r="H1140" s="136" t="str">
        <f>_rel6</f>
        <v>LACI B1S1 INTE BLUMO</v>
      </c>
      <c r="I1140" s="823"/>
      <c r="J1140" s="824"/>
      <c r="K1140" s="129"/>
      <c r="L1140" s="824"/>
      <c r="M1140" s="129"/>
      <c r="N1140" s="825"/>
      <c r="O1140" s="824" t="s">
        <v>1787</v>
      </c>
      <c r="P1140" s="826"/>
      <c r="Q1140" s="135">
        <f t="shared" si="261"/>
        <v>0</v>
      </c>
      <c r="R1140" s="177"/>
      <c r="S1140" s="454"/>
      <c r="T1140" s="178"/>
      <c r="U1140" s="178"/>
      <c r="V1140" s="179"/>
      <c r="W1140" s="180"/>
      <c r="X1140" s="179"/>
      <c r="Y1140" s="180"/>
      <c r="Z1140" s="178"/>
      <c r="AA1140" s="178"/>
      <c r="AB1140" s="178"/>
      <c r="AC1140" s="178"/>
      <c r="AD1140" s="182"/>
      <c r="AE1140" s="182"/>
      <c r="AF1140" s="182"/>
      <c r="AG1140" s="182"/>
      <c r="AH1140" s="401"/>
      <c r="AI1140" s="401"/>
      <c r="AJ1140" s="401"/>
      <c r="AK1140" s="401"/>
      <c r="AL1140" s="401"/>
      <c r="AM1140" s="189"/>
      <c r="AN1140" s="829"/>
      <c r="AO1140" s="830"/>
      <c r="AP1140" s="401"/>
      <c r="AQ1140" s="401"/>
      <c r="AR1140" s="401"/>
      <c r="AS1140" s="401"/>
      <c r="AT1140" s="403"/>
      <c r="AU1140" s="403"/>
      <c r="AV1140" s="170"/>
      <c r="AW1140" s="166"/>
      <c r="AX1140" s="166"/>
      <c r="AY1140" s="189"/>
      <c r="AZ1140" s="189"/>
      <c r="BA1140" s="190"/>
      <c r="BB1140" s="629"/>
      <c r="BC1140" s="190"/>
      <c r="BD1140" s="510"/>
      <c r="BE1140" s="510"/>
      <c r="BF1140" s="177"/>
      <c r="BG1140" s="177"/>
      <c r="BH1140" s="166"/>
      <c r="BI1140" s="474"/>
      <c r="BJ1140" s="166"/>
      <c r="BK1140" s="474"/>
      <c r="BL1140" s="474"/>
      <c r="BM1140" s="474"/>
      <c r="BN1140" s="166"/>
      <c r="BO1140" s="166"/>
      <c r="BP1140" s="204"/>
      <c r="BQ1140" s="475"/>
      <c r="BR1140" s="205"/>
      <c r="BS1140" s="509"/>
      <c r="BT1140" s="509"/>
      <c r="BU1140" s="459"/>
      <c r="BV1140" s="459"/>
      <c r="BW1140" s="1"/>
      <c r="BX1140" s="1"/>
      <c r="BY1140" s="1"/>
      <c r="BZ1140" s="1"/>
      <c r="CA1140" s="1"/>
      <c r="CB1140" s="1"/>
      <c r="CC1140" s="728"/>
      <c r="CD1140" s="728"/>
      <c r="CE1140" s="1"/>
    </row>
    <row r="1141" spans="1:83" customFormat="1">
      <c r="A1141" s="86" t="str">
        <f t="shared" si="259"/>
        <v>307132</v>
      </c>
      <c r="B1141" s="818"/>
      <c r="C1141" s="819"/>
      <c r="D1141" s="820" t="s">
        <v>1787</v>
      </c>
      <c r="E1141" s="129" t="s">
        <v>1787</v>
      </c>
      <c r="F1141" s="821"/>
      <c r="G1141" s="822" t="str">
        <f t="shared" si="260"/>
        <v xml:space="preserve"> </v>
      </c>
      <c r="H1141" s="136" t="str">
        <f>_rel7</f>
        <v>B1S2 GREY INTEG.BM</v>
      </c>
      <c r="I1141" s="823"/>
      <c r="J1141" s="824"/>
      <c r="K1141" s="129"/>
      <c r="L1141" s="824"/>
      <c r="M1141" s="129"/>
      <c r="N1141" s="825"/>
      <c r="O1141" s="824" t="s">
        <v>1787</v>
      </c>
      <c r="P1141" s="826"/>
      <c r="Q1141" s="135">
        <f t="shared" si="261"/>
        <v>0</v>
      </c>
      <c r="R1141" s="177"/>
      <c r="S1141" s="454"/>
      <c r="T1141" s="178"/>
      <c r="U1141" s="178"/>
      <c r="V1141" s="179"/>
      <c r="W1141" s="180"/>
      <c r="X1141" s="179"/>
      <c r="Y1141" s="180"/>
      <c r="Z1141" s="178"/>
      <c r="AA1141" s="178"/>
      <c r="AB1141" s="178"/>
      <c r="AC1141" s="178"/>
      <c r="AD1141" s="182"/>
      <c r="AE1141" s="182"/>
      <c r="AF1141" s="182"/>
      <c r="AG1141" s="182"/>
      <c r="AH1141" s="401"/>
      <c r="AI1141" s="401"/>
      <c r="AJ1141" s="401"/>
      <c r="AK1141" s="401"/>
      <c r="AL1141" s="401"/>
      <c r="AM1141" s="189"/>
      <c r="AN1141" s="829"/>
      <c r="AO1141" s="830"/>
      <c r="AP1141" s="401"/>
      <c r="AQ1141" s="401"/>
      <c r="AR1141" s="401"/>
      <c r="AS1141" s="401"/>
      <c r="AT1141" s="403"/>
      <c r="AU1141" s="403"/>
      <c r="AV1141" s="170"/>
      <c r="AW1141" s="166"/>
      <c r="AX1141" s="166"/>
      <c r="AY1141" s="189"/>
      <c r="AZ1141" s="189"/>
      <c r="BA1141" s="190"/>
      <c r="BB1141" s="629"/>
      <c r="BC1141" s="190"/>
      <c r="BD1141" s="510"/>
      <c r="BE1141" s="510"/>
      <c r="BF1141" s="177"/>
      <c r="BG1141" s="177"/>
      <c r="BH1141" s="166"/>
      <c r="BI1141" s="474"/>
      <c r="BJ1141" s="166"/>
      <c r="BK1141" s="474"/>
      <c r="BL1141" s="474"/>
      <c r="BM1141" s="474"/>
      <c r="BN1141" s="166"/>
      <c r="BO1141" s="166"/>
      <c r="BP1141" s="204"/>
      <c r="BQ1141" s="475"/>
      <c r="BR1141" s="205"/>
      <c r="BS1141" s="509"/>
      <c r="BT1141" s="509"/>
      <c r="BU1141" s="459"/>
      <c r="BV1141" s="459"/>
      <c r="BW1141" s="1"/>
      <c r="BX1141" s="1"/>
      <c r="BY1141" s="1"/>
      <c r="BZ1141" s="1"/>
      <c r="CA1141" s="1"/>
      <c r="CB1141" s="1"/>
      <c r="CC1141" s="728"/>
      <c r="CD1141" s="728"/>
      <c r="CE1141" s="1"/>
    </row>
    <row r="1142" spans="1:83" customFormat="1">
      <c r="A1142" s="86" t="str">
        <f t="shared" si="259"/>
        <v>307057</v>
      </c>
      <c r="B1142" s="818"/>
      <c r="C1142" s="819"/>
      <c r="D1142" s="820" t="s">
        <v>1787</v>
      </c>
      <c r="E1142" s="129" t="s">
        <v>1787</v>
      </c>
      <c r="F1142" s="821"/>
      <c r="G1142" s="822" t="str">
        <f t="shared" si="260"/>
        <v xml:space="preserve"> </v>
      </c>
      <c r="H1142" s="136" t="str">
        <f>_rel8</f>
        <v>REL TANDEM BLUM SINGLE EXT INTG P.450</v>
      </c>
      <c r="I1142" s="823"/>
      <c r="J1142" s="824"/>
      <c r="K1142" s="129"/>
      <c r="L1142" s="824"/>
      <c r="M1142" s="129"/>
      <c r="N1142" s="825"/>
      <c r="O1142" s="824" t="s">
        <v>1787</v>
      </c>
      <c r="P1142" s="826"/>
      <c r="Q1142" s="135">
        <f t="shared" si="261"/>
        <v>0</v>
      </c>
      <c r="R1142" s="177"/>
      <c r="S1142" s="454"/>
      <c r="T1142" s="178"/>
      <c r="U1142" s="178"/>
      <c r="V1142" s="179"/>
      <c r="W1142" s="180"/>
      <c r="X1142" s="179"/>
      <c r="Y1142" s="180"/>
      <c r="Z1142" s="178"/>
      <c r="AA1142" s="178"/>
      <c r="AB1142" s="178"/>
      <c r="AC1142" s="178"/>
      <c r="AD1142" s="182"/>
      <c r="AE1142" s="182"/>
      <c r="AF1142" s="182"/>
      <c r="AG1142" s="182"/>
      <c r="AH1142" s="401"/>
      <c r="AI1142" s="401"/>
      <c r="AJ1142" s="401"/>
      <c r="AK1142" s="401"/>
      <c r="AL1142" s="401"/>
      <c r="AM1142" s="189"/>
      <c r="AN1142" s="829"/>
      <c r="AO1142" s="830"/>
      <c r="AP1142" s="401"/>
      <c r="AQ1142" s="401"/>
      <c r="AR1142" s="401"/>
      <c r="AS1142" s="401"/>
      <c r="AT1142" s="403"/>
      <c r="AU1142" s="403"/>
      <c r="AV1142" s="170"/>
      <c r="AW1142" s="166"/>
      <c r="AX1142" s="166"/>
      <c r="AY1142" s="189"/>
      <c r="AZ1142" s="189"/>
      <c r="BA1142" s="190"/>
      <c r="BB1142" s="629"/>
      <c r="BC1142" s="190"/>
      <c r="BD1142" s="510"/>
      <c r="BE1142" s="510"/>
      <c r="BF1142" s="177"/>
      <c r="BG1142" s="177"/>
      <c r="BH1142" s="166"/>
      <c r="BI1142" s="474"/>
      <c r="BJ1142" s="166"/>
      <c r="BK1142" s="474"/>
      <c r="BL1142" s="474"/>
      <c r="BM1142" s="474"/>
      <c r="BN1142" s="166"/>
      <c r="BO1142" s="166"/>
      <c r="BP1142" s="204"/>
      <c r="BQ1142" s="475"/>
      <c r="BR1142" s="205"/>
      <c r="BS1142" s="509"/>
      <c r="BT1142" s="509"/>
      <c r="BU1142" s="459"/>
      <c r="BV1142" s="459"/>
      <c r="BW1142" s="1"/>
      <c r="BX1142" s="1"/>
      <c r="BY1142" s="1"/>
      <c r="BZ1142" s="1"/>
      <c r="CA1142" s="1"/>
      <c r="CB1142" s="1"/>
      <c r="CC1142" s="728"/>
      <c r="CD1142" s="728"/>
      <c r="CE1142" s="1"/>
    </row>
    <row r="1143" spans="1:83" customFormat="1">
      <c r="A1143" s="86">
        <f t="shared" si="259"/>
        <v>318142</v>
      </c>
      <c r="B1143" s="818"/>
      <c r="C1143" s="819"/>
      <c r="D1143" s="820" t="s">
        <v>1787</v>
      </c>
      <c r="E1143" s="129" t="s">
        <v>1787</v>
      </c>
      <c r="F1143" s="821"/>
      <c r="G1143" s="822" t="str">
        <f t="shared" si="260"/>
        <v xml:space="preserve"> </v>
      </c>
      <c r="H1143" s="136" t="str">
        <f>_rel9</f>
        <v>MERIVOBOX MVX S1 SW 500 40 BM</v>
      </c>
      <c r="I1143" s="823"/>
      <c r="J1143" s="824"/>
      <c r="K1143" s="129"/>
      <c r="L1143" s="824"/>
      <c r="M1143" s="129"/>
      <c r="N1143" s="825"/>
      <c r="O1143" s="824" t="s">
        <v>1787</v>
      </c>
      <c r="P1143" s="826"/>
      <c r="Q1143" s="135">
        <f t="shared" si="261"/>
        <v>0</v>
      </c>
      <c r="R1143" s="177"/>
      <c r="S1143" s="454"/>
      <c r="T1143" s="178"/>
      <c r="U1143" s="178"/>
      <c r="V1143" s="179"/>
      <c r="W1143" s="180"/>
      <c r="X1143" s="179"/>
      <c r="Y1143" s="180"/>
      <c r="Z1143" s="178"/>
      <c r="AA1143" s="178"/>
      <c r="AB1143" s="178"/>
      <c r="AC1143" s="178"/>
      <c r="AD1143" s="182"/>
      <c r="AE1143" s="182"/>
      <c r="AF1143" s="182"/>
      <c r="AG1143" s="182"/>
      <c r="AH1143" s="401"/>
      <c r="AI1143" s="401"/>
      <c r="AJ1143" s="401"/>
      <c r="AK1143" s="401"/>
      <c r="AL1143" s="401"/>
      <c r="AM1143" s="189"/>
      <c r="AN1143" s="829"/>
      <c r="AO1143" s="830"/>
      <c r="AP1143" s="401"/>
      <c r="AQ1143" s="401"/>
      <c r="AR1143" s="401"/>
      <c r="AS1143" s="401"/>
      <c r="AT1143" s="403"/>
      <c r="AU1143" s="403"/>
      <c r="AV1143" s="170"/>
      <c r="AW1143" s="166"/>
      <c r="AX1143" s="166"/>
      <c r="AY1143" s="189"/>
      <c r="AZ1143" s="189"/>
      <c r="BA1143" s="190"/>
      <c r="BB1143" s="629"/>
      <c r="BC1143" s="190"/>
      <c r="BD1143" s="510"/>
      <c r="BE1143" s="510"/>
      <c r="BF1143" s="177"/>
      <c r="BG1143" s="177"/>
      <c r="BH1143" s="166"/>
      <c r="BI1143" s="474"/>
      <c r="BJ1143" s="166"/>
      <c r="BK1143" s="474"/>
      <c r="BL1143" s="474"/>
      <c r="BM1143" s="474"/>
      <c r="BN1143" s="166"/>
      <c r="BO1143" s="166"/>
      <c r="BP1143" s="204"/>
      <c r="BQ1143" s="475"/>
      <c r="BR1143" s="205"/>
      <c r="BS1143" s="509"/>
      <c r="BT1143" s="509"/>
      <c r="BU1143" s="459"/>
      <c r="BV1143" s="459"/>
      <c r="BW1143" s="1"/>
      <c r="BX1143" s="1"/>
      <c r="BY1143" s="1"/>
      <c r="BZ1143" s="1"/>
      <c r="CA1143" s="1"/>
      <c r="CB1143" s="1"/>
      <c r="CC1143" s="728"/>
      <c r="CD1143" s="728"/>
      <c r="CE1143" s="1"/>
    </row>
    <row r="1144" spans="1:83" customFormat="1">
      <c r="A1144" s="86">
        <f t="shared" si="259"/>
        <v>318134</v>
      </c>
      <c r="B1144" s="818"/>
      <c r="C1144" s="819"/>
      <c r="D1144" s="820" t="s">
        <v>1787</v>
      </c>
      <c r="E1144" s="129" t="s">
        <v>1787</v>
      </c>
      <c r="F1144" s="821"/>
      <c r="G1144" s="822" t="str">
        <f t="shared" si="260"/>
        <v xml:space="preserve"> </v>
      </c>
      <c r="H1144" s="136" t="str">
        <f>_rel10</f>
        <v>MERIVOBOX MVX S4 SW 500 70 BM</v>
      </c>
      <c r="I1144" s="823"/>
      <c r="J1144" s="824"/>
      <c r="K1144" s="129"/>
      <c r="L1144" s="824"/>
      <c r="M1144" s="129"/>
      <c r="N1144" s="825"/>
      <c r="O1144" s="824" t="s">
        <v>1787</v>
      </c>
      <c r="P1144" s="826"/>
      <c r="Q1144" s="135">
        <f t="shared" si="261"/>
        <v>0</v>
      </c>
      <c r="R1144" s="177"/>
      <c r="S1144" s="454"/>
      <c r="T1144" s="178"/>
      <c r="U1144" s="178"/>
      <c r="V1144" s="179"/>
      <c r="W1144" s="180"/>
      <c r="X1144" s="179"/>
      <c r="Y1144" s="180"/>
      <c r="Z1144" s="178"/>
      <c r="AA1144" s="178"/>
      <c r="AB1144" s="178"/>
      <c r="AC1144" s="178"/>
      <c r="AD1144" s="182"/>
      <c r="AE1144" s="182"/>
      <c r="AF1144" s="182"/>
      <c r="AG1144" s="182"/>
      <c r="AH1144" s="401"/>
      <c r="AI1144" s="401"/>
      <c r="AJ1144" s="401"/>
      <c r="AK1144" s="401"/>
      <c r="AL1144" s="401"/>
      <c r="AM1144" s="189"/>
      <c r="AN1144" s="829"/>
      <c r="AO1144" s="830"/>
      <c r="AP1144" s="401"/>
      <c r="AQ1144" s="401"/>
      <c r="AR1144" s="401"/>
      <c r="AS1144" s="401"/>
      <c r="AT1144" s="403"/>
      <c r="AU1144" s="403"/>
      <c r="AV1144" s="170"/>
      <c r="AW1144" s="166"/>
      <c r="AX1144" s="166"/>
      <c r="AY1144" s="189"/>
      <c r="AZ1144" s="189"/>
      <c r="BA1144" s="190"/>
      <c r="BB1144" s="629"/>
      <c r="BC1144" s="190"/>
      <c r="BD1144" s="510"/>
      <c r="BE1144" s="510"/>
      <c r="BF1144" s="177"/>
      <c r="BG1144" s="177"/>
      <c r="BH1144" s="166"/>
      <c r="BI1144" s="474"/>
      <c r="BJ1144" s="166"/>
      <c r="BK1144" s="474"/>
      <c r="BL1144" s="474"/>
      <c r="BM1144" s="474"/>
      <c r="BN1144" s="166"/>
      <c r="BO1144" s="166"/>
      <c r="BP1144" s="204"/>
      <c r="BQ1144" s="475"/>
      <c r="BR1144" s="205"/>
      <c r="BS1144" s="509"/>
      <c r="BT1144" s="509"/>
      <c r="BU1144" s="459"/>
      <c r="BV1144" s="459"/>
      <c r="BW1144" s="1"/>
      <c r="BX1144" s="1"/>
      <c r="BY1144" s="1"/>
      <c r="BZ1144" s="1"/>
      <c r="CA1144" s="1"/>
      <c r="CB1144" s="1"/>
      <c r="CC1144" s="728"/>
      <c r="CD1144" s="728"/>
      <c r="CE1144" s="1"/>
    </row>
    <row r="1145" spans="1:83" customFormat="1">
      <c r="A1145" s="86">
        <f t="shared" si="259"/>
        <v>318287</v>
      </c>
      <c r="B1145" s="818"/>
      <c r="C1145" s="819"/>
      <c r="D1145" s="820" t="s">
        <v>1787</v>
      </c>
      <c r="E1145" s="129" t="s">
        <v>1787</v>
      </c>
      <c r="F1145" s="821"/>
      <c r="G1145" s="822" t="str">
        <f t="shared" si="260"/>
        <v xml:space="preserve"> </v>
      </c>
      <c r="H1145" s="136" t="str">
        <f>_rel11</f>
        <v>LACI MERIVOBOX S2 + KACA ORION GREY</v>
      </c>
      <c r="I1145" s="823"/>
      <c r="J1145" s="824"/>
      <c r="K1145" s="129"/>
      <c r="L1145" s="824"/>
      <c r="M1145" s="129"/>
      <c r="N1145" s="825"/>
      <c r="O1145" s="824" t="s">
        <v>1787</v>
      </c>
      <c r="P1145" s="826"/>
      <c r="Q1145" s="135">
        <f t="shared" si="261"/>
        <v>0</v>
      </c>
      <c r="R1145" s="177"/>
      <c r="S1145" s="454"/>
      <c r="T1145" s="178"/>
      <c r="U1145" s="178"/>
      <c r="V1145" s="179"/>
      <c r="W1145" s="180"/>
      <c r="X1145" s="179"/>
      <c r="Y1145" s="180"/>
      <c r="Z1145" s="178"/>
      <c r="AA1145" s="178"/>
      <c r="AB1145" s="178"/>
      <c r="AC1145" s="178"/>
      <c r="AD1145" s="182"/>
      <c r="AE1145" s="182"/>
      <c r="AF1145" s="182"/>
      <c r="AG1145" s="182"/>
      <c r="AH1145" s="401"/>
      <c r="AI1145" s="401"/>
      <c r="AJ1145" s="401"/>
      <c r="AK1145" s="401"/>
      <c r="AL1145" s="401"/>
      <c r="AM1145" s="189"/>
      <c r="AN1145" s="829"/>
      <c r="AO1145" s="830"/>
      <c r="AP1145" s="401"/>
      <c r="AQ1145" s="401"/>
      <c r="AR1145" s="401"/>
      <c r="AS1145" s="401"/>
      <c r="AT1145" s="403"/>
      <c r="AU1145" s="403"/>
      <c r="AV1145" s="170"/>
      <c r="AW1145" s="166"/>
      <c r="AX1145" s="166"/>
      <c r="AY1145" s="189"/>
      <c r="AZ1145" s="189"/>
      <c r="BA1145" s="190"/>
      <c r="BB1145" s="629"/>
      <c r="BC1145" s="190"/>
      <c r="BD1145" s="510"/>
      <c r="BE1145" s="510"/>
      <c r="BF1145" s="177"/>
      <c r="BG1145" s="177"/>
      <c r="BH1145" s="166"/>
      <c r="BI1145" s="474"/>
      <c r="BJ1145" s="166"/>
      <c r="BK1145" s="474"/>
      <c r="BL1145" s="474"/>
      <c r="BM1145" s="474"/>
      <c r="BN1145" s="166"/>
      <c r="BO1145" s="166"/>
      <c r="BP1145" s="204"/>
      <c r="BQ1145" s="475"/>
      <c r="BR1145" s="205"/>
      <c r="BS1145" s="509"/>
      <c r="BT1145" s="509"/>
      <c r="BU1145" s="459"/>
      <c r="BV1145" s="459"/>
      <c r="BW1145" s="1"/>
      <c r="BX1145" s="1"/>
      <c r="BY1145" s="1"/>
      <c r="BZ1145" s="1"/>
      <c r="CA1145" s="1"/>
      <c r="CB1145" s="1"/>
      <c r="CC1145" s="728"/>
      <c r="CD1145" s="728"/>
      <c r="CE1145" s="1"/>
    </row>
    <row r="1146" spans="1:83" customFormat="1">
      <c r="A1146" s="86">
        <f t="shared" si="259"/>
        <v>307917</v>
      </c>
      <c r="B1146" s="818"/>
      <c r="C1146" s="819"/>
      <c r="D1146" s="820" t="s">
        <v>1787</v>
      </c>
      <c r="E1146" s="129" t="s">
        <v>1787</v>
      </c>
      <c r="F1146" s="821"/>
      <c r="G1146" s="822" t="str">
        <f t="shared" si="260"/>
        <v xml:space="preserve"> </v>
      </c>
      <c r="H1146" s="136" t="str">
        <f>_rel12</f>
        <v>QUADRO V6 SFP FL 500 EB 20 TIP ON HETTICH L/R</v>
      </c>
      <c r="I1146" s="823"/>
      <c r="J1146" s="824"/>
      <c r="K1146" s="129"/>
      <c r="L1146" s="824"/>
      <c r="M1146" s="129"/>
      <c r="N1146" s="825"/>
      <c r="O1146" s="824" t="s">
        <v>1787</v>
      </c>
      <c r="P1146" s="826"/>
      <c r="Q1146" s="135">
        <f t="shared" si="261"/>
        <v>0</v>
      </c>
      <c r="R1146" s="177"/>
      <c r="S1146" s="454"/>
      <c r="T1146" s="178"/>
      <c r="U1146" s="178"/>
      <c r="V1146" s="179"/>
      <c r="W1146" s="180"/>
      <c r="X1146" s="179"/>
      <c r="Y1146" s="180"/>
      <c r="Z1146" s="178"/>
      <c r="AA1146" s="178"/>
      <c r="AB1146" s="178"/>
      <c r="AC1146" s="178"/>
      <c r="AD1146" s="182"/>
      <c r="AE1146" s="182"/>
      <c r="AF1146" s="182"/>
      <c r="AG1146" s="182"/>
      <c r="AH1146" s="401"/>
      <c r="AI1146" s="401"/>
      <c r="AJ1146" s="401"/>
      <c r="AK1146" s="401"/>
      <c r="AL1146" s="401"/>
      <c r="AM1146" s="189"/>
      <c r="AN1146" s="829"/>
      <c r="AO1146" s="830"/>
      <c r="AP1146" s="401"/>
      <c r="AQ1146" s="401"/>
      <c r="AR1146" s="401"/>
      <c r="AS1146" s="401"/>
      <c r="AT1146" s="403"/>
      <c r="AU1146" s="403"/>
      <c r="AV1146" s="170"/>
      <c r="AW1146" s="166"/>
      <c r="AX1146" s="166"/>
      <c r="AY1146" s="189"/>
      <c r="AZ1146" s="189"/>
      <c r="BA1146" s="190"/>
      <c r="BB1146" s="629"/>
      <c r="BC1146" s="190"/>
      <c r="BD1146" s="510"/>
      <c r="BE1146" s="510"/>
      <c r="BF1146" s="177"/>
      <c r="BG1146" s="177"/>
      <c r="BH1146" s="166"/>
      <c r="BI1146" s="474"/>
      <c r="BJ1146" s="166"/>
      <c r="BK1146" s="474"/>
      <c r="BL1146" s="474"/>
      <c r="BM1146" s="474"/>
      <c r="BN1146" s="166"/>
      <c r="BO1146" s="166"/>
      <c r="BP1146" s="204"/>
      <c r="BQ1146" s="475"/>
      <c r="BR1146" s="205"/>
      <c r="BS1146" s="509"/>
      <c r="BT1146" s="509"/>
      <c r="BU1146" s="459"/>
      <c r="BV1146" s="459"/>
      <c r="BW1146" s="1"/>
      <c r="BX1146" s="1"/>
      <c r="BY1146" s="1"/>
      <c r="BZ1146" s="1"/>
      <c r="CA1146" s="1"/>
      <c r="CB1146" s="1"/>
      <c r="CC1146" s="728"/>
      <c r="CD1146" s="728"/>
      <c r="CE1146" s="1"/>
    </row>
    <row r="1147" spans="1:83" customFormat="1">
      <c r="A1147" s="86" t="str">
        <f t="shared" si="259"/>
        <v>…</v>
      </c>
      <c r="B1147" s="818"/>
      <c r="C1147" s="819"/>
      <c r="D1147" s="820" t="s">
        <v>1787</v>
      </c>
      <c r="E1147" s="129" t="s">
        <v>1787</v>
      </c>
      <c r="F1147" s="821"/>
      <c r="G1147" s="822" t="str">
        <f t="shared" si="260"/>
        <v xml:space="preserve"> </v>
      </c>
      <c r="H1147" s="136" t="str">
        <f>_rel13</f>
        <v>Avantech You 101 P.500mm</v>
      </c>
      <c r="I1147" s="823"/>
      <c r="J1147" s="824"/>
      <c r="K1147" s="129"/>
      <c r="L1147" s="824"/>
      <c r="M1147" s="129"/>
      <c r="N1147" s="825"/>
      <c r="O1147" s="824" t="s">
        <v>1787</v>
      </c>
      <c r="P1147" s="826"/>
      <c r="Q1147" s="135">
        <f t="shared" si="261"/>
        <v>0</v>
      </c>
      <c r="R1147" s="177"/>
      <c r="S1147" s="454"/>
      <c r="T1147" s="178"/>
      <c r="U1147" s="178"/>
      <c r="V1147" s="179"/>
      <c r="W1147" s="180"/>
      <c r="X1147" s="179"/>
      <c r="Y1147" s="180"/>
      <c r="Z1147" s="178"/>
      <c r="AA1147" s="178"/>
      <c r="AB1147" s="178"/>
      <c r="AC1147" s="178"/>
      <c r="AD1147" s="182"/>
      <c r="AE1147" s="182"/>
      <c r="AF1147" s="182"/>
      <c r="AG1147" s="182"/>
      <c r="AH1147" s="401"/>
      <c r="AI1147" s="401"/>
      <c r="AJ1147" s="401"/>
      <c r="AK1147" s="401"/>
      <c r="AL1147" s="401"/>
      <c r="AM1147" s="189"/>
      <c r="AN1147" s="829"/>
      <c r="AO1147" s="830"/>
      <c r="AP1147" s="401"/>
      <c r="AQ1147" s="401"/>
      <c r="AR1147" s="401"/>
      <c r="AS1147" s="401"/>
      <c r="AT1147" s="403"/>
      <c r="AU1147" s="403"/>
      <c r="AV1147" s="170"/>
      <c r="AW1147" s="166"/>
      <c r="AX1147" s="166"/>
      <c r="AY1147" s="189"/>
      <c r="AZ1147" s="189"/>
      <c r="BA1147" s="190"/>
      <c r="BB1147" s="629"/>
      <c r="BC1147" s="190"/>
      <c r="BD1147" s="510"/>
      <c r="BE1147" s="510"/>
      <c r="BF1147" s="177"/>
      <c r="BG1147" s="177"/>
      <c r="BH1147" s="166"/>
      <c r="BI1147" s="474"/>
      <c r="BJ1147" s="166"/>
      <c r="BK1147" s="474"/>
      <c r="BL1147" s="474"/>
      <c r="BM1147" s="474"/>
      <c r="BN1147" s="166"/>
      <c r="BO1147" s="166"/>
      <c r="BP1147" s="204"/>
      <c r="BQ1147" s="475"/>
      <c r="BR1147" s="205"/>
      <c r="BS1147" s="509"/>
      <c r="BT1147" s="509"/>
      <c r="BU1147" s="459"/>
      <c r="BV1147" s="459"/>
      <c r="BW1147" s="1"/>
      <c r="BX1147" s="1"/>
      <c r="BY1147" s="1"/>
      <c r="BZ1147" s="1"/>
      <c r="CA1147" s="1"/>
      <c r="CB1147" s="1"/>
      <c r="CC1147" s="728"/>
      <c r="CD1147" s="728"/>
      <c r="CE1147" s="1"/>
    </row>
    <row r="1148" spans="1:83" customFormat="1">
      <c r="A1148" s="86" t="str">
        <f t="shared" si="259"/>
        <v>…</v>
      </c>
      <c r="B1148" s="818"/>
      <c r="C1148" s="819"/>
      <c r="D1148" s="820" t="s">
        <v>1787</v>
      </c>
      <c r="E1148" s="129" t="s">
        <v>1787</v>
      </c>
      <c r="F1148" s="821"/>
      <c r="G1148" s="822" t="str">
        <f t="shared" si="260"/>
        <v xml:space="preserve"> </v>
      </c>
      <c r="H1148" s="136" t="str">
        <f>_rel14</f>
        <v>Avantech You 251 P.500mm</v>
      </c>
      <c r="I1148" s="823"/>
      <c r="J1148" s="824"/>
      <c r="K1148" s="129"/>
      <c r="L1148" s="824"/>
      <c r="M1148" s="129"/>
      <c r="N1148" s="825"/>
      <c r="O1148" s="824" t="s">
        <v>1787</v>
      </c>
      <c r="P1148" s="826"/>
      <c r="Q1148" s="135">
        <f t="shared" si="261"/>
        <v>0</v>
      </c>
      <c r="R1148" s="177"/>
      <c r="S1148" s="454"/>
      <c r="T1148" s="178"/>
      <c r="U1148" s="178"/>
      <c r="V1148" s="179"/>
      <c r="W1148" s="180"/>
      <c r="X1148" s="179"/>
      <c r="Y1148" s="180"/>
      <c r="Z1148" s="178"/>
      <c r="AA1148" s="178"/>
      <c r="AB1148" s="178"/>
      <c r="AC1148" s="178"/>
      <c r="AD1148" s="182"/>
      <c r="AE1148" s="182"/>
      <c r="AF1148" s="182"/>
      <c r="AG1148" s="182"/>
      <c r="AH1148" s="401"/>
      <c r="AI1148" s="401"/>
      <c r="AJ1148" s="401"/>
      <c r="AK1148" s="401"/>
      <c r="AL1148" s="401"/>
      <c r="AM1148" s="189"/>
      <c r="AN1148" s="829"/>
      <c r="AO1148" s="830"/>
      <c r="AP1148" s="401"/>
      <c r="AQ1148" s="401"/>
      <c r="AR1148" s="401"/>
      <c r="AS1148" s="401"/>
      <c r="AT1148" s="403"/>
      <c r="AU1148" s="403"/>
      <c r="AV1148" s="170"/>
      <c r="AW1148" s="166"/>
      <c r="AX1148" s="166"/>
      <c r="AY1148" s="189"/>
      <c r="AZ1148" s="189"/>
      <c r="BA1148" s="190"/>
      <c r="BB1148" s="629"/>
      <c r="BC1148" s="190"/>
      <c r="BD1148" s="510"/>
      <c r="BE1148" s="510"/>
      <c r="BF1148" s="177"/>
      <c r="BG1148" s="177"/>
      <c r="BH1148" s="166"/>
      <c r="BI1148" s="474"/>
      <c r="BJ1148" s="166"/>
      <c r="BK1148" s="474"/>
      <c r="BL1148" s="474"/>
      <c r="BM1148" s="474"/>
      <c r="BN1148" s="166"/>
      <c r="BO1148" s="166"/>
      <c r="BP1148" s="204"/>
      <c r="BQ1148" s="475"/>
      <c r="BR1148" s="205"/>
      <c r="BS1148" s="509"/>
      <c r="BT1148" s="509"/>
      <c r="BU1148" s="459"/>
      <c r="BV1148" s="459"/>
      <c r="BW1148" s="1"/>
      <c r="BX1148" s="1"/>
      <c r="BY1148" s="1"/>
      <c r="BZ1148" s="1"/>
      <c r="CA1148" s="1"/>
      <c r="CB1148" s="1"/>
      <c r="CC1148" s="728"/>
      <c r="CD1148" s="728"/>
      <c r="CE1148" s="1"/>
    </row>
    <row r="1149" spans="1:83" customFormat="1">
      <c r="A1149" s="86"/>
      <c r="B1149" s="818"/>
      <c r="C1149" s="819"/>
      <c r="D1149" s="820" t="s">
        <v>1787</v>
      </c>
      <c r="E1149" s="129" t="s">
        <v>1787</v>
      </c>
      <c r="F1149" s="821"/>
      <c r="G1149" s="822" t="str">
        <f t="shared" si="260"/>
        <v xml:space="preserve"> </v>
      </c>
      <c r="H1149" s="129"/>
      <c r="I1149" s="823"/>
      <c r="J1149" s="824"/>
      <c r="K1149" s="129"/>
      <c r="L1149" s="824"/>
      <c r="M1149" s="129"/>
      <c r="N1149" s="825"/>
      <c r="O1149" s="824"/>
      <c r="P1149" s="826"/>
      <c r="Q1149" s="823"/>
      <c r="R1149" s="177"/>
      <c r="S1149" s="454"/>
      <c r="T1149" s="178"/>
      <c r="U1149" s="178"/>
      <c r="V1149" s="179"/>
      <c r="W1149" s="180"/>
      <c r="X1149" s="179"/>
      <c r="Y1149" s="180"/>
      <c r="Z1149" s="178"/>
      <c r="AA1149" s="178"/>
      <c r="AB1149" s="178"/>
      <c r="AC1149" s="178"/>
      <c r="AD1149" s="182"/>
      <c r="AE1149" s="182"/>
      <c r="AF1149" s="182"/>
      <c r="AG1149" s="182"/>
      <c r="AH1149" s="401"/>
      <c r="AI1149" s="401"/>
      <c r="AJ1149" s="401"/>
      <c r="AK1149" s="401"/>
      <c r="AL1149" s="401"/>
      <c r="AM1149" s="189"/>
      <c r="AN1149" s="829"/>
      <c r="AO1149" s="830"/>
      <c r="AP1149" s="401"/>
      <c r="AQ1149" s="401"/>
      <c r="AR1149" s="401"/>
      <c r="AS1149" s="401"/>
      <c r="AT1149" s="403"/>
      <c r="AU1149" s="403"/>
      <c r="AV1149" s="170"/>
      <c r="AW1149" s="166"/>
      <c r="AX1149" s="166"/>
      <c r="AY1149" s="189"/>
      <c r="AZ1149" s="189"/>
      <c r="BA1149" s="190"/>
      <c r="BB1149" s="629"/>
      <c r="BC1149" s="190"/>
      <c r="BD1149" s="510"/>
      <c r="BE1149" s="510"/>
      <c r="BF1149" s="177"/>
      <c r="BG1149" s="177"/>
      <c r="BH1149" s="166"/>
      <c r="BI1149" s="474"/>
      <c r="BJ1149" s="166"/>
      <c r="BK1149" s="474"/>
      <c r="BL1149" s="474"/>
      <c r="BM1149" s="474"/>
      <c r="BN1149" s="166"/>
      <c r="BO1149" s="166"/>
      <c r="BP1149" s="204"/>
      <c r="BQ1149" s="475"/>
      <c r="BR1149" s="205"/>
      <c r="BS1149" s="509"/>
      <c r="BT1149" s="509"/>
      <c r="BU1149" s="459"/>
      <c r="BV1149" s="459"/>
      <c r="BW1149" s="1"/>
      <c r="BX1149" s="1"/>
      <c r="BY1149" s="1"/>
      <c r="BZ1149" s="1"/>
      <c r="CA1149" s="1"/>
      <c r="CB1149" s="1"/>
      <c r="CC1149" s="728"/>
      <c r="CD1149" s="728"/>
      <c r="CE1149" s="1"/>
    </row>
    <row r="1150" spans="1:83" customFormat="1">
      <c r="A1150" s="86"/>
      <c r="B1150" s="818"/>
      <c r="C1150" s="819"/>
      <c r="D1150" s="820" t="s">
        <v>1787</v>
      </c>
      <c r="E1150" s="129" t="s">
        <v>1787</v>
      </c>
      <c r="F1150" s="821"/>
      <c r="G1150" s="822" t="str">
        <f t="shared" si="260"/>
        <v xml:space="preserve"> </v>
      </c>
      <c r="H1150" s="129"/>
      <c r="I1150" s="823"/>
      <c r="J1150" s="824"/>
      <c r="K1150" s="129"/>
      <c r="L1150" s="824"/>
      <c r="M1150" s="129"/>
      <c r="N1150" s="825"/>
      <c r="O1150" s="824"/>
      <c r="P1150" s="826"/>
      <c r="Q1150" s="823"/>
      <c r="R1150" s="177"/>
      <c r="S1150" s="454"/>
      <c r="T1150" s="178"/>
      <c r="U1150" s="178"/>
      <c r="V1150" s="179"/>
      <c r="W1150" s="180"/>
      <c r="X1150" s="179"/>
      <c r="Y1150" s="180"/>
      <c r="Z1150" s="178"/>
      <c r="AA1150" s="178"/>
      <c r="AB1150" s="178"/>
      <c r="AC1150" s="178"/>
      <c r="AD1150" s="182"/>
      <c r="AE1150" s="182"/>
      <c r="AF1150" s="182"/>
      <c r="AG1150" s="182"/>
      <c r="AH1150" s="401"/>
      <c r="AI1150" s="401"/>
      <c r="AJ1150" s="401"/>
      <c r="AK1150" s="401"/>
      <c r="AL1150" s="401"/>
      <c r="AM1150" s="189"/>
      <c r="AN1150" s="829"/>
      <c r="AO1150" s="830"/>
      <c r="AP1150" s="401"/>
      <c r="AQ1150" s="401"/>
      <c r="AR1150" s="401"/>
      <c r="AS1150" s="401"/>
      <c r="AT1150" s="403"/>
      <c r="AU1150" s="403"/>
      <c r="AV1150" s="170"/>
      <c r="AW1150" s="166"/>
      <c r="AX1150" s="166"/>
      <c r="AY1150" s="189"/>
      <c r="AZ1150" s="189"/>
      <c r="BA1150" s="190"/>
      <c r="BB1150" s="629"/>
      <c r="BC1150" s="190"/>
      <c r="BD1150" s="510"/>
      <c r="BE1150" s="510"/>
      <c r="BF1150" s="177"/>
      <c r="BG1150" s="177"/>
      <c r="BH1150" s="166"/>
      <c r="BI1150" s="474"/>
      <c r="BJ1150" s="166"/>
      <c r="BK1150" s="474"/>
      <c r="BL1150" s="474"/>
      <c r="BM1150" s="474"/>
      <c r="BN1150" s="166"/>
      <c r="BO1150" s="166"/>
      <c r="BP1150" s="204"/>
      <c r="BQ1150" s="475"/>
      <c r="BR1150" s="205"/>
      <c r="BS1150" s="509"/>
      <c r="BT1150" s="509"/>
      <c r="BU1150" s="459"/>
      <c r="BV1150" s="459"/>
      <c r="BW1150" s="1"/>
      <c r="BX1150" s="1"/>
      <c r="BY1150" s="1"/>
      <c r="BZ1150" s="1"/>
      <c r="CA1150" s="1"/>
      <c r="CB1150" s="1"/>
      <c r="CC1150" s="728"/>
      <c r="CD1150" s="728"/>
      <c r="CE1150" s="1"/>
    </row>
    <row r="1151" spans="1:83" customFormat="1" ht="39">
      <c r="A1151" s="411">
        <f t="shared" ref="A1151:A1160" si="262">IFERROR(INDEX((ID),MATCH(H1151,BARANG,0)),"…")</f>
        <v>317210</v>
      </c>
      <c r="B1151" s="818"/>
      <c r="C1151" s="819"/>
      <c r="D1151" s="820" t="s">
        <v>1787</v>
      </c>
      <c r="E1151" s="129" t="s">
        <v>1787</v>
      </c>
      <c r="F1151" s="821"/>
      <c r="G1151" s="822" t="str">
        <f t="shared" si="260"/>
        <v>ft</v>
      </c>
      <c r="H1151" s="469" t="str">
        <f>engsel1</f>
        <v>ENGSEL CLIP TOP  107 DEG INTEGRATED 75 B 1550 + 173 L 6100</v>
      </c>
      <c r="I1151" s="823"/>
      <c r="J1151" s="824"/>
      <c r="K1151" s="129"/>
      <c r="L1151" s="824"/>
      <c r="M1151" s="129"/>
      <c r="N1151" s="825"/>
      <c r="O1151" s="824" t="s">
        <v>1787</v>
      </c>
      <c r="P1151" s="826"/>
      <c r="Q1151" s="135">
        <f t="shared" ref="Q1151:Q1160" si="263">SUMIF(EI,H1151,E)</f>
        <v>8</v>
      </c>
      <c r="R1151" s="177"/>
      <c r="S1151" s="454"/>
      <c r="T1151" s="178"/>
      <c r="U1151" s="178"/>
      <c r="V1151" s="179"/>
      <c r="W1151" s="180"/>
      <c r="X1151" s="179"/>
      <c r="Y1151" s="180"/>
      <c r="Z1151" s="178"/>
      <c r="AA1151" s="178"/>
      <c r="AB1151" s="178"/>
      <c r="AC1151" s="178"/>
      <c r="AD1151" s="182"/>
      <c r="AE1151" s="182"/>
      <c r="AF1151" s="182"/>
      <c r="AG1151" s="182"/>
      <c r="AH1151" s="401"/>
      <c r="AI1151" s="401"/>
      <c r="AJ1151" s="401"/>
      <c r="AK1151" s="401"/>
      <c r="AL1151" s="401"/>
      <c r="AM1151" s="189"/>
      <c r="AN1151" s="829"/>
      <c r="AO1151" s="830"/>
      <c r="AP1151" s="401"/>
      <c r="AQ1151" s="401"/>
      <c r="AR1151" s="401"/>
      <c r="AS1151" s="401"/>
      <c r="AT1151" s="403"/>
      <c r="AU1151" s="403"/>
      <c r="AV1151" s="170"/>
      <c r="AW1151" s="166"/>
      <c r="AX1151" s="166"/>
      <c r="AY1151" s="189"/>
      <c r="AZ1151" s="189"/>
      <c r="BA1151" s="190"/>
      <c r="BB1151" s="629"/>
      <c r="BC1151" s="190"/>
      <c r="BD1151" s="510"/>
      <c r="BE1151" s="510"/>
      <c r="BF1151" s="177"/>
      <c r="BG1151" s="177"/>
      <c r="BH1151" s="166"/>
      <c r="BI1151" s="474"/>
      <c r="BJ1151" s="166"/>
      <c r="BK1151" s="474"/>
      <c r="BL1151" s="474"/>
      <c r="BM1151" s="474"/>
      <c r="BN1151" s="166"/>
      <c r="BO1151" s="166"/>
      <c r="BP1151" s="204"/>
      <c r="BQ1151" s="475"/>
      <c r="BR1151" s="205"/>
      <c r="BS1151" s="509"/>
      <c r="BT1151" s="509"/>
      <c r="BU1151" s="459"/>
      <c r="BV1151" s="459"/>
      <c r="BW1151" s="1"/>
      <c r="BX1151" s="1"/>
      <c r="BY1151" s="1"/>
      <c r="BZ1151" s="1"/>
      <c r="CA1151" s="1"/>
      <c r="CB1151" s="1"/>
      <c r="CC1151" s="728"/>
      <c r="CD1151" s="728"/>
      <c r="CE1151" s="1"/>
    </row>
    <row r="1152" spans="1:83" customFormat="1">
      <c r="A1152" s="411" t="str">
        <f t="shared" si="262"/>
        <v>307237</v>
      </c>
      <c r="B1152" s="818"/>
      <c r="C1152" s="819"/>
      <c r="D1152" s="820" t="s">
        <v>1787</v>
      </c>
      <c r="E1152" s="129" t="s">
        <v>1787</v>
      </c>
      <c r="F1152" s="821"/>
      <c r="G1152" s="822" t="str">
        <f t="shared" si="260"/>
        <v xml:space="preserve"> </v>
      </c>
      <c r="H1152" s="138" t="str">
        <f>engsel2</f>
        <v>ENGSEL SALICE PUSH.TIP ON FOR DOOR</v>
      </c>
      <c r="I1152" s="823"/>
      <c r="J1152" s="824"/>
      <c r="K1152" s="129"/>
      <c r="L1152" s="824"/>
      <c r="M1152" s="129"/>
      <c r="N1152" s="825"/>
      <c r="O1152" s="824" t="s">
        <v>1787</v>
      </c>
      <c r="P1152" s="826"/>
      <c r="Q1152" s="135">
        <f t="shared" si="263"/>
        <v>0</v>
      </c>
      <c r="R1152" s="177"/>
      <c r="S1152" s="454"/>
      <c r="T1152" s="178"/>
      <c r="U1152" s="178"/>
      <c r="V1152" s="179"/>
      <c r="W1152" s="180"/>
      <c r="X1152" s="179"/>
      <c r="Y1152" s="180"/>
      <c r="Z1152" s="178"/>
      <c r="AA1152" s="178"/>
      <c r="AB1152" s="178"/>
      <c r="AC1152" s="178"/>
      <c r="AD1152" s="182"/>
      <c r="AE1152" s="182"/>
      <c r="AF1152" s="182"/>
      <c r="AG1152" s="182"/>
      <c r="AH1152" s="401"/>
      <c r="AI1152" s="401"/>
      <c r="AJ1152" s="401"/>
      <c r="AK1152" s="401"/>
      <c r="AL1152" s="401"/>
      <c r="AM1152" s="189"/>
      <c r="AN1152" s="829"/>
      <c r="AO1152" s="830"/>
      <c r="AP1152" s="401"/>
      <c r="AQ1152" s="401"/>
      <c r="AR1152" s="401"/>
      <c r="AS1152" s="401"/>
      <c r="AT1152" s="403"/>
      <c r="AU1152" s="403"/>
      <c r="AV1152" s="170"/>
      <c r="AW1152" s="166"/>
      <c r="AX1152" s="166"/>
      <c r="AY1152" s="189"/>
      <c r="AZ1152" s="189"/>
      <c r="BA1152" s="190"/>
      <c r="BB1152" s="629"/>
      <c r="BC1152" s="190"/>
      <c r="BD1152" s="510"/>
      <c r="BE1152" s="510"/>
      <c r="BF1152" s="177"/>
      <c r="BG1152" s="177"/>
      <c r="BH1152" s="166"/>
      <c r="BI1152" s="474"/>
      <c r="BJ1152" s="166"/>
      <c r="BK1152" s="474"/>
      <c r="BL1152" s="474"/>
      <c r="BM1152" s="474"/>
      <c r="BN1152" s="166"/>
      <c r="BO1152" s="166"/>
      <c r="BP1152" s="204"/>
      <c r="BQ1152" s="475"/>
      <c r="BR1152" s="205"/>
      <c r="BS1152" s="509"/>
      <c r="BT1152" s="509"/>
      <c r="BU1152" s="459"/>
      <c r="BV1152" s="459"/>
      <c r="BW1152" s="1"/>
      <c r="BX1152" s="1"/>
      <c r="BY1152" s="1"/>
      <c r="BZ1152" s="1"/>
      <c r="CA1152" s="1"/>
      <c r="CB1152" s="1"/>
      <c r="CC1152" s="728"/>
      <c r="CD1152" s="728"/>
      <c r="CE1152" s="1"/>
    </row>
    <row r="1153" spans="1:83" customFormat="1">
      <c r="A1153" s="411">
        <f t="shared" si="262"/>
        <v>317778</v>
      </c>
      <c r="B1153" s="818"/>
      <c r="C1153" s="819"/>
      <c r="D1153" s="820" t="s">
        <v>1787</v>
      </c>
      <c r="E1153" s="129" t="s">
        <v>1787</v>
      </c>
      <c r="F1153" s="821"/>
      <c r="G1153" s="822" t="str">
        <f t="shared" si="260"/>
        <v xml:space="preserve"> </v>
      </c>
      <c r="H1153" s="138" t="str">
        <f>engsel3</f>
        <v xml:space="preserve">ENGSEL 155 DRAJAT  71 B 7550   </v>
      </c>
      <c r="I1153" s="823"/>
      <c r="J1153" s="824"/>
      <c r="K1153" s="129"/>
      <c r="L1153" s="824"/>
      <c r="M1153" s="129"/>
      <c r="N1153" s="825"/>
      <c r="O1153" s="824" t="s">
        <v>1787</v>
      </c>
      <c r="P1153" s="826"/>
      <c r="Q1153" s="135">
        <f t="shared" si="263"/>
        <v>0</v>
      </c>
      <c r="R1153" s="177"/>
      <c r="S1153" s="454"/>
      <c r="T1153" s="178"/>
      <c r="U1153" s="178"/>
      <c r="V1153" s="179"/>
      <c r="W1153" s="180"/>
      <c r="X1153" s="179"/>
      <c r="Y1153" s="180"/>
      <c r="Z1153" s="178"/>
      <c r="AA1153" s="178"/>
      <c r="AB1153" s="178"/>
      <c r="AC1153" s="178"/>
      <c r="AD1153" s="182"/>
      <c r="AE1153" s="182"/>
      <c r="AF1153" s="182"/>
      <c r="AG1153" s="182"/>
      <c r="AH1153" s="401"/>
      <c r="AI1153" s="401"/>
      <c r="AJ1153" s="401"/>
      <c r="AK1153" s="401"/>
      <c r="AL1153" s="401"/>
      <c r="AM1153" s="189"/>
      <c r="AN1153" s="829"/>
      <c r="AO1153" s="830"/>
      <c r="AP1153" s="401"/>
      <c r="AQ1153" s="401"/>
      <c r="AR1153" s="401"/>
      <c r="AS1153" s="401"/>
      <c r="AT1153" s="403"/>
      <c r="AU1153" s="403"/>
      <c r="AV1153" s="170"/>
      <c r="AW1153" s="166"/>
      <c r="AX1153" s="166"/>
      <c r="AY1153" s="189"/>
      <c r="AZ1153" s="189"/>
      <c r="BA1153" s="190"/>
      <c r="BB1153" s="629"/>
      <c r="BC1153" s="190"/>
      <c r="BD1153" s="510"/>
      <c r="BE1153" s="510"/>
      <c r="BF1153" s="177"/>
      <c r="BG1153" s="177"/>
      <c r="BH1153" s="166"/>
      <c r="BI1153" s="474"/>
      <c r="BJ1153" s="166"/>
      <c r="BK1153" s="474"/>
      <c r="BL1153" s="474"/>
      <c r="BM1153" s="474"/>
      <c r="BN1153" s="166"/>
      <c r="BO1153" s="166"/>
      <c r="BP1153" s="204"/>
      <c r="BQ1153" s="475"/>
      <c r="BR1153" s="205"/>
      <c r="BS1153" s="509"/>
      <c r="BT1153" s="509"/>
      <c r="BU1153" s="459"/>
      <c r="BV1153" s="459"/>
      <c r="BW1153" s="1"/>
      <c r="BX1153" s="1"/>
      <c r="BY1153" s="1"/>
      <c r="BZ1153" s="1"/>
      <c r="CA1153" s="1"/>
      <c r="CB1153" s="1"/>
      <c r="CC1153" s="728"/>
      <c r="CD1153" s="728"/>
      <c r="CE1153" s="1"/>
    </row>
    <row r="1154" spans="1:83" customFormat="1">
      <c r="A1154" s="411" t="str">
        <f t="shared" si="262"/>
        <v>307088</v>
      </c>
      <c r="B1154" s="818"/>
      <c r="C1154" s="819"/>
      <c r="D1154" s="820" t="s">
        <v>1787</v>
      </c>
      <c r="E1154" s="129" t="s">
        <v>1787</v>
      </c>
      <c r="F1154" s="821"/>
      <c r="G1154" s="822" t="str">
        <f t="shared" si="260"/>
        <v xml:space="preserve"> </v>
      </c>
      <c r="H1154" s="138" t="str">
        <f>engsel4</f>
        <v>ENGSEL BIFOLD</v>
      </c>
      <c r="I1154" s="823"/>
      <c r="J1154" s="824"/>
      <c r="K1154" s="129"/>
      <c r="L1154" s="824"/>
      <c r="M1154" s="129"/>
      <c r="N1154" s="825"/>
      <c r="O1154" s="824" t="s">
        <v>1787</v>
      </c>
      <c r="P1154" s="826"/>
      <c r="Q1154" s="135">
        <f t="shared" si="263"/>
        <v>0</v>
      </c>
      <c r="R1154" s="177"/>
      <c r="S1154" s="454"/>
      <c r="T1154" s="178"/>
      <c r="U1154" s="178"/>
      <c r="V1154" s="179"/>
      <c r="W1154" s="180"/>
      <c r="X1154" s="179"/>
      <c r="Y1154" s="180"/>
      <c r="Z1154" s="178"/>
      <c r="AA1154" s="178"/>
      <c r="AB1154" s="178"/>
      <c r="AC1154" s="178"/>
      <c r="AD1154" s="182"/>
      <c r="AE1154" s="182"/>
      <c r="AF1154" s="182"/>
      <c r="AG1154" s="182"/>
      <c r="AH1154" s="401"/>
      <c r="AI1154" s="401"/>
      <c r="AJ1154" s="401"/>
      <c r="AK1154" s="401"/>
      <c r="AL1154" s="401"/>
      <c r="AM1154" s="189"/>
      <c r="AN1154" s="829"/>
      <c r="AO1154" s="830"/>
      <c r="AP1154" s="401"/>
      <c r="AQ1154" s="401"/>
      <c r="AR1154" s="401"/>
      <c r="AS1154" s="401"/>
      <c r="AT1154" s="403"/>
      <c r="AU1154" s="403"/>
      <c r="AV1154" s="170"/>
      <c r="AW1154" s="166"/>
      <c r="AX1154" s="166"/>
      <c r="AY1154" s="189"/>
      <c r="AZ1154" s="189"/>
      <c r="BA1154" s="190"/>
      <c r="BB1154" s="629"/>
      <c r="BC1154" s="190"/>
      <c r="BD1154" s="510"/>
      <c r="BE1154" s="510"/>
      <c r="BF1154" s="177"/>
      <c r="BG1154" s="177"/>
      <c r="BH1154" s="166"/>
      <c r="BI1154" s="474"/>
      <c r="BJ1154" s="166"/>
      <c r="BK1154" s="474"/>
      <c r="BL1154" s="474"/>
      <c r="BM1154" s="474"/>
      <c r="BN1154" s="166"/>
      <c r="BO1154" s="166"/>
      <c r="BP1154" s="204"/>
      <c r="BQ1154" s="475"/>
      <c r="BR1154" s="205"/>
      <c r="BS1154" s="509"/>
      <c r="BT1154" s="509"/>
      <c r="BU1154" s="459"/>
      <c r="BV1154" s="459"/>
      <c r="BW1154" s="1"/>
      <c r="BX1154" s="1"/>
      <c r="BY1154" s="1"/>
      <c r="BZ1154" s="1"/>
      <c r="CA1154" s="1"/>
      <c r="CB1154" s="1"/>
      <c r="CC1154" s="728"/>
      <c r="CD1154" s="728"/>
      <c r="CE1154" s="1"/>
    </row>
    <row r="1155" spans="1:83" customFormat="1">
      <c r="A1155" s="411">
        <f t="shared" si="262"/>
        <v>307288</v>
      </c>
      <c r="B1155" s="818"/>
      <c r="C1155" s="819"/>
      <c r="D1155" s="820" t="s">
        <v>1787</v>
      </c>
      <c r="E1155" s="129" t="s">
        <v>1787</v>
      </c>
      <c r="F1155" s="821"/>
      <c r="G1155" s="822" t="str">
        <f t="shared" si="260"/>
        <v xml:space="preserve"> </v>
      </c>
      <c r="H1155" s="138" t="str">
        <f>engsel5</f>
        <v>ENGSEL 79M9550 BLIND CORNER</v>
      </c>
      <c r="I1155" s="823"/>
      <c r="J1155" s="824"/>
      <c r="K1155" s="129"/>
      <c r="L1155" s="824"/>
      <c r="M1155" s="129"/>
      <c r="N1155" s="825"/>
      <c r="O1155" s="824" t="s">
        <v>1787</v>
      </c>
      <c r="P1155" s="826"/>
      <c r="Q1155" s="135">
        <f t="shared" si="263"/>
        <v>0</v>
      </c>
      <c r="R1155" s="177"/>
      <c r="S1155" s="454"/>
      <c r="T1155" s="178"/>
      <c r="U1155" s="178"/>
      <c r="V1155" s="179"/>
      <c r="W1155" s="180"/>
      <c r="X1155" s="179"/>
      <c r="Y1155" s="180"/>
      <c r="Z1155" s="178"/>
      <c r="AA1155" s="178"/>
      <c r="AB1155" s="178"/>
      <c r="AC1155" s="178"/>
      <c r="AD1155" s="182"/>
      <c r="AE1155" s="182"/>
      <c r="AF1155" s="182"/>
      <c r="AG1155" s="182"/>
      <c r="AH1155" s="401"/>
      <c r="AI1155" s="401"/>
      <c r="AJ1155" s="401"/>
      <c r="AK1155" s="401"/>
      <c r="AL1155" s="401"/>
      <c r="AM1155" s="189"/>
      <c r="AN1155" s="829"/>
      <c r="AO1155" s="830"/>
      <c r="AP1155" s="401"/>
      <c r="AQ1155" s="401"/>
      <c r="AR1155" s="401"/>
      <c r="AS1155" s="401"/>
      <c r="AT1155" s="403"/>
      <c r="AU1155" s="403"/>
      <c r="AV1155" s="170"/>
      <c r="AW1155" s="166"/>
      <c r="AX1155" s="166"/>
      <c r="AY1155" s="189"/>
      <c r="AZ1155" s="189"/>
      <c r="BA1155" s="190"/>
      <c r="BB1155" s="629"/>
      <c r="BC1155" s="190"/>
      <c r="BD1155" s="510"/>
      <c r="BE1155" s="510"/>
      <c r="BF1155" s="177"/>
      <c r="BG1155" s="177"/>
      <c r="BH1155" s="166"/>
      <c r="BI1155" s="474"/>
      <c r="BJ1155" s="166"/>
      <c r="BK1155" s="474"/>
      <c r="BL1155" s="474"/>
      <c r="BM1155" s="474"/>
      <c r="BN1155" s="166"/>
      <c r="BO1155" s="166"/>
      <c r="BP1155" s="204"/>
      <c r="BQ1155" s="475"/>
      <c r="BR1155" s="205"/>
      <c r="BS1155" s="509"/>
      <c r="BT1155" s="509"/>
      <c r="BU1155" s="459"/>
      <c r="BV1155" s="459"/>
      <c r="BW1155" s="1"/>
      <c r="BX1155" s="1"/>
      <c r="BY1155" s="1"/>
      <c r="BZ1155" s="1"/>
      <c r="CA1155" s="1"/>
      <c r="CB1155" s="1"/>
      <c r="CC1155" s="728"/>
      <c r="CD1155" s="728"/>
      <c r="CE1155" s="1"/>
    </row>
    <row r="1156" spans="1:83" customFormat="1">
      <c r="A1156" s="411">
        <f t="shared" si="262"/>
        <v>317177</v>
      </c>
      <c r="B1156" s="818"/>
      <c r="C1156" s="819"/>
      <c r="D1156" s="820" t="s">
        <v>1787</v>
      </c>
      <c r="E1156" s="129" t="s">
        <v>1787</v>
      </c>
      <c r="F1156" s="821"/>
      <c r="G1156" s="822" t="str">
        <f t="shared" si="260"/>
        <v xml:space="preserve"> </v>
      </c>
      <c r="H1156" s="138" t="str">
        <f>engsel6</f>
        <v>ENGSEL  S 8657i B12 TH52</v>
      </c>
      <c r="I1156" s="823"/>
      <c r="J1156" s="824"/>
      <c r="K1156" s="129"/>
      <c r="L1156" s="824"/>
      <c r="M1156" s="129"/>
      <c r="N1156" s="825"/>
      <c r="O1156" s="824" t="s">
        <v>1787</v>
      </c>
      <c r="P1156" s="826"/>
      <c r="Q1156" s="135">
        <f t="shared" si="263"/>
        <v>0</v>
      </c>
      <c r="R1156" s="177"/>
      <c r="S1156" s="454"/>
      <c r="T1156" s="178"/>
      <c r="U1156" s="178"/>
      <c r="V1156" s="179"/>
      <c r="W1156" s="180"/>
      <c r="X1156" s="179"/>
      <c r="Y1156" s="180"/>
      <c r="Z1156" s="178"/>
      <c r="AA1156" s="178"/>
      <c r="AB1156" s="178"/>
      <c r="AC1156" s="178"/>
      <c r="AD1156" s="182"/>
      <c r="AE1156" s="182"/>
      <c r="AF1156" s="182"/>
      <c r="AG1156" s="182"/>
      <c r="AH1156" s="401"/>
      <c r="AI1156" s="401"/>
      <c r="AJ1156" s="401"/>
      <c r="AK1156" s="401"/>
      <c r="AL1156" s="401"/>
      <c r="AM1156" s="189"/>
      <c r="AN1156" s="829"/>
      <c r="AO1156" s="830"/>
      <c r="AP1156" s="401"/>
      <c r="AQ1156" s="401"/>
      <c r="AR1156" s="401"/>
      <c r="AS1156" s="401"/>
      <c r="AT1156" s="403"/>
      <c r="AU1156" s="403"/>
      <c r="AV1156" s="170"/>
      <c r="AW1156" s="166"/>
      <c r="AX1156" s="166"/>
      <c r="AY1156" s="189"/>
      <c r="AZ1156" s="189"/>
      <c r="BA1156" s="190"/>
      <c r="BB1156" s="629"/>
      <c r="BC1156" s="190"/>
      <c r="BD1156" s="510"/>
      <c r="BE1156" s="510"/>
      <c r="BF1156" s="177"/>
      <c r="BG1156" s="177"/>
      <c r="BH1156" s="166"/>
      <c r="BI1156" s="474"/>
      <c r="BJ1156" s="166"/>
      <c r="BK1156" s="474"/>
      <c r="BL1156" s="474"/>
      <c r="BM1156" s="474"/>
      <c r="BN1156" s="166"/>
      <c r="BO1156" s="166"/>
      <c r="BP1156" s="204"/>
      <c r="BQ1156" s="475"/>
      <c r="BR1156" s="205"/>
      <c r="BS1156" s="509"/>
      <c r="BT1156" s="509"/>
      <c r="BU1156" s="459"/>
      <c r="BV1156" s="459"/>
      <c r="BW1156" s="1"/>
      <c r="BX1156" s="1"/>
      <c r="BY1156" s="1"/>
      <c r="BZ1156" s="1"/>
      <c r="CA1156" s="1"/>
      <c r="CB1156" s="1"/>
      <c r="CC1156" s="728"/>
      <c r="CD1156" s="728"/>
      <c r="CE1156" s="1"/>
    </row>
    <row r="1157" spans="1:83" customFormat="1">
      <c r="A1157" s="411">
        <f t="shared" si="262"/>
        <v>307092</v>
      </c>
      <c r="B1157" s="818"/>
      <c r="C1157" s="819"/>
      <c r="D1157" s="820" t="s">
        <v>1787</v>
      </c>
      <c r="E1157" s="129" t="s">
        <v>1787</v>
      </c>
      <c r="F1157" s="821"/>
      <c r="G1157" s="822" t="str">
        <f t="shared" si="260"/>
        <v xml:space="preserve"> </v>
      </c>
      <c r="H1157" s="138" t="str">
        <f>engsel7</f>
        <v>ENGSEL 9936 W45 C6</v>
      </c>
      <c r="I1157" s="823"/>
      <c r="J1157" s="824"/>
      <c r="K1157" s="129"/>
      <c r="L1157" s="824"/>
      <c r="M1157" s="129"/>
      <c r="N1157" s="825"/>
      <c r="O1157" s="824" t="s">
        <v>1787</v>
      </c>
      <c r="P1157" s="826"/>
      <c r="Q1157" s="135">
        <f t="shared" si="263"/>
        <v>0</v>
      </c>
      <c r="R1157" s="177"/>
      <c r="S1157" s="454"/>
      <c r="T1157" s="178"/>
      <c r="U1157" s="178"/>
      <c r="V1157" s="179"/>
      <c r="W1157" s="180"/>
      <c r="X1157" s="179"/>
      <c r="Y1157" s="180"/>
      <c r="Z1157" s="178"/>
      <c r="AA1157" s="178"/>
      <c r="AB1157" s="178"/>
      <c r="AC1157" s="178"/>
      <c r="AD1157" s="182"/>
      <c r="AE1157" s="182"/>
      <c r="AF1157" s="182"/>
      <c r="AG1157" s="182"/>
      <c r="AH1157" s="401"/>
      <c r="AI1157" s="401"/>
      <c r="AJ1157" s="401"/>
      <c r="AK1157" s="401"/>
      <c r="AL1157" s="401"/>
      <c r="AM1157" s="189"/>
      <c r="AN1157" s="829"/>
      <c r="AO1157" s="830"/>
      <c r="AP1157" s="401"/>
      <c r="AQ1157" s="401"/>
      <c r="AR1157" s="401"/>
      <c r="AS1157" s="401"/>
      <c r="AT1157" s="403"/>
      <c r="AU1157" s="403"/>
      <c r="AV1157" s="170"/>
      <c r="AW1157" s="166"/>
      <c r="AX1157" s="166"/>
      <c r="AY1157" s="189"/>
      <c r="AZ1157" s="189"/>
      <c r="BA1157" s="190"/>
      <c r="BB1157" s="629"/>
      <c r="BC1157" s="190"/>
      <c r="BD1157" s="510"/>
      <c r="BE1157" s="510"/>
      <c r="BF1157" s="177"/>
      <c r="BG1157" s="177"/>
      <c r="BH1157" s="166"/>
      <c r="BI1157" s="474"/>
      <c r="BJ1157" s="166"/>
      <c r="BK1157" s="474"/>
      <c r="BL1157" s="474"/>
      <c r="BM1157" s="474"/>
      <c r="BN1157" s="166"/>
      <c r="BO1157" s="166"/>
      <c r="BP1157" s="204"/>
      <c r="BQ1157" s="475"/>
      <c r="BR1157" s="205"/>
      <c r="BS1157" s="509"/>
      <c r="BT1157" s="509"/>
      <c r="BU1157" s="459"/>
      <c r="BV1157" s="459"/>
      <c r="BW1157" s="1"/>
      <c r="BX1157" s="1"/>
      <c r="BY1157" s="1"/>
      <c r="BZ1157" s="1"/>
      <c r="CA1157" s="1"/>
      <c r="CB1157" s="1"/>
      <c r="CC1157" s="728"/>
      <c r="CD1157" s="728"/>
      <c r="CE1157" s="1"/>
    </row>
    <row r="1158" spans="1:83" customFormat="1" ht="26">
      <c r="A1158" s="411">
        <f t="shared" si="262"/>
        <v>317117</v>
      </c>
      <c r="B1158" s="818"/>
      <c r="C1158" s="819"/>
      <c r="D1158" s="820" t="s">
        <v>1787</v>
      </c>
      <c r="E1158" s="129" t="s">
        <v>1787</v>
      </c>
      <c r="F1158" s="821"/>
      <c r="G1158" s="822" t="str">
        <f t="shared" si="260"/>
        <v xml:space="preserve"> </v>
      </c>
      <c r="H1158" s="469" t="str">
        <f>engsel8</f>
        <v>Engsel Sensys Full Bengkok C 16-110 DERAJAT 907 1207</v>
      </c>
      <c r="I1158" s="823"/>
      <c r="J1158" s="824"/>
      <c r="K1158" s="129"/>
      <c r="L1158" s="824"/>
      <c r="M1158" s="129"/>
      <c r="N1158" s="825"/>
      <c r="O1158" s="824" t="s">
        <v>1787</v>
      </c>
      <c r="P1158" s="826"/>
      <c r="Q1158" s="135">
        <f t="shared" si="263"/>
        <v>0</v>
      </c>
      <c r="R1158" s="177"/>
      <c r="S1158" s="454"/>
      <c r="T1158" s="178"/>
      <c r="U1158" s="178"/>
      <c r="V1158" s="179"/>
      <c r="W1158" s="180"/>
      <c r="X1158" s="179"/>
      <c r="Y1158" s="180"/>
      <c r="Z1158" s="178"/>
      <c r="AA1158" s="178"/>
      <c r="AB1158" s="178"/>
      <c r="AC1158" s="178"/>
      <c r="AD1158" s="182"/>
      <c r="AE1158" s="182"/>
      <c r="AF1158" s="182"/>
      <c r="AG1158" s="182"/>
      <c r="AH1158" s="401"/>
      <c r="AI1158" s="401"/>
      <c r="AJ1158" s="401"/>
      <c r="AK1158" s="401"/>
      <c r="AL1158" s="401"/>
      <c r="AM1158" s="189"/>
      <c r="AN1158" s="829"/>
      <c r="AO1158" s="830"/>
      <c r="AP1158" s="401"/>
      <c r="AQ1158" s="401"/>
      <c r="AR1158" s="401"/>
      <c r="AS1158" s="401"/>
      <c r="AT1158" s="403"/>
      <c r="AU1158" s="403"/>
      <c r="AV1158" s="170"/>
      <c r="AW1158" s="166"/>
      <c r="AX1158" s="166"/>
      <c r="AY1158" s="189"/>
      <c r="AZ1158" s="189"/>
      <c r="BA1158" s="190"/>
      <c r="BB1158" s="629"/>
      <c r="BC1158" s="190"/>
      <c r="BD1158" s="510"/>
      <c r="BE1158" s="510"/>
      <c r="BF1158" s="177"/>
      <c r="BG1158" s="177"/>
      <c r="BH1158" s="166"/>
      <c r="BI1158" s="474"/>
      <c r="BJ1158" s="166"/>
      <c r="BK1158" s="474"/>
      <c r="BL1158" s="474"/>
      <c r="BM1158" s="474"/>
      <c r="BN1158" s="166"/>
      <c r="BO1158" s="166"/>
      <c r="BP1158" s="204"/>
      <c r="BQ1158" s="475"/>
      <c r="BR1158" s="205"/>
      <c r="BS1158" s="509"/>
      <c r="BT1158" s="509"/>
      <c r="BU1158" s="459"/>
      <c r="BV1158" s="459"/>
      <c r="BW1158" s="1"/>
      <c r="BX1158" s="1"/>
      <c r="BY1158" s="1"/>
      <c r="BZ1158" s="1"/>
      <c r="CA1158" s="1"/>
      <c r="CB1158" s="1"/>
      <c r="CC1158" s="728"/>
      <c r="CD1158" s="728"/>
      <c r="CE1158" s="1"/>
    </row>
    <row r="1159" spans="1:83" customFormat="1">
      <c r="A1159" s="411">
        <f t="shared" si="262"/>
        <v>307086</v>
      </c>
      <c r="B1159" s="818"/>
      <c r="C1159" s="819"/>
      <c r="D1159" s="820" t="s">
        <v>1787</v>
      </c>
      <c r="E1159" s="129" t="s">
        <v>1787</v>
      </c>
      <c r="F1159" s="821"/>
      <c r="G1159" s="822" t="str">
        <f t="shared" si="260"/>
        <v xml:space="preserve"> </v>
      </c>
      <c r="H1159" s="138" t="str">
        <f>engsel9</f>
        <v>ENGSEL MEPLA FLAP DOOR</v>
      </c>
      <c r="I1159" s="823"/>
      <c r="J1159" s="824"/>
      <c r="K1159" s="129"/>
      <c r="L1159" s="824"/>
      <c r="M1159" s="129"/>
      <c r="N1159" s="825"/>
      <c r="O1159" s="824" t="s">
        <v>1787</v>
      </c>
      <c r="P1159" s="826"/>
      <c r="Q1159" s="135">
        <f t="shared" si="263"/>
        <v>0</v>
      </c>
      <c r="R1159" s="177"/>
      <c r="S1159" s="454"/>
      <c r="T1159" s="178"/>
      <c r="U1159" s="178"/>
      <c r="V1159" s="179"/>
      <c r="W1159" s="180"/>
      <c r="X1159" s="179"/>
      <c r="Y1159" s="180"/>
      <c r="Z1159" s="178"/>
      <c r="AA1159" s="178"/>
      <c r="AB1159" s="178"/>
      <c r="AC1159" s="178"/>
      <c r="AD1159" s="182"/>
      <c r="AE1159" s="182"/>
      <c r="AF1159" s="182"/>
      <c r="AG1159" s="182"/>
      <c r="AH1159" s="401"/>
      <c r="AI1159" s="401"/>
      <c r="AJ1159" s="401"/>
      <c r="AK1159" s="401"/>
      <c r="AL1159" s="401"/>
      <c r="AM1159" s="189"/>
      <c r="AN1159" s="829"/>
      <c r="AO1159" s="830"/>
      <c r="AP1159" s="401"/>
      <c r="AQ1159" s="401"/>
      <c r="AR1159" s="401"/>
      <c r="AS1159" s="401"/>
      <c r="AT1159" s="403"/>
      <c r="AU1159" s="403"/>
      <c r="AV1159" s="170"/>
      <c r="AW1159" s="166"/>
      <c r="AX1159" s="166"/>
      <c r="AY1159" s="189"/>
      <c r="AZ1159" s="189"/>
      <c r="BA1159" s="190"/>
      <c r="BB1159" s="629"/>
      <c r="BC1159" s="190"/>
      <c r="BD1159" s="510"/>
      <c r="BE1159" s="510"/>
      <c r="BF1159" s="177"/>
      <c r="BG1159" s="177"/>
      <c r="BH1159" s="166"/>
      <c r="BI1159" s="474"/>
      <c r="BJ1159" s="166"/>
      <c r="BK1159" s="474"/>
      <c r="BL1159" s="474"/>
      <c r="BM1159" s="474"/>
      <c r="BN1159" s="166"/>
      <c r="BO1159" s="166"/>
      <c r="BP1159" s="204"/>
      <c r="BQ1159" s="475"/>
      <c r="BR1159" s="205"/>
      <c r="BS1159" s="509"/>
      <c r="BT1159" s="509"/>
      <c r="BU1159" s="459"/>
      <c r="BV1159" s="459"/>
      <c r="BW1159" s="1"/>
      <c r="BX1159" s="1"/>
      <c r="BY1159" s="1"/>
      <c r="BZ1159" s="1"/>
      <c r="CA1159" s="1"/>
      <c r="CB1159" s="1"/>
      <c r="CC1159" s="728"/>
      <c r="CD1159" s="728"/>
      <c r="CE1159" s="1"/>
    </row>
    <row r="1160" spans="1:83" customFormat="1">
      <c r="A1160" s="411">
        <f t="shared" si="262"/>
        <v>307367</v>
      </c>
      <c r="B1160" s="818"/>
      <c r="C1160" s="819"/>
      <c r="D1160" s="820" t="s">
        <v>1787</v>
      </c>
      <c r="E1160" s="129" t="s">
        <v>1787</v>
      </c>
      <c r="F1160" s="821"/>
      <c r="G1160" s="822" t="str">
        <f t="shared" si="260"/>
        <v xml:space="preserve"> </v>
      </c>
      <c r="H1160" s="138" t="str">
        <f>engsel10</f>
        <v>RDK-52A FOLDING HINGE</v>
      </c>
      <c r="I1160" s="823"/>
      <c r="J1160" s="824"/>
      <c r="K1160" s="129"/>
      <c r="L1160" s="824"/>
      <c r="M1160" s="129"/>
      <c r="N1160" s="825"/>
      <c r="O1160" s="824" t="s">
        <v>1787</v>
      </c>
      <c r="P1160" s="826"/>
      <c r="Q1160" s="135">
        <f t="shared" si="263"/>
        <v>0</v>
      </c>
      <c r="R1160" s="177"/>
      <c r="S1160" s="454"/>
      <c r="T1160" s="178"/>
      <c r="U1160" s="178"/>
      <c r="V1160" s="179"/>
      <c r="W1160" s="180"/>
      <c r="X1160" s="179"/>
      <c r="Y1160" s="180"/>
      <c r="Z1160" s="178"/>
      <c r="AA1160" s="178"/>
      <c r="AB1160" s="178"/>
      <c r="AC1160" s="178"/>
      <c r="AD1160" s="182"/>
      <c r="AE1160" s="182"/>
      <c r="AF1160" s="182"/>
      <c r="AG1160" s="182"/>
      <c r="AH1160" s="401"/>
      <c r="AI1160" s="401"/>
      <c r="AJ1160" s="401"/>
      <c r="AK1160" s="401"/>
      <c r="AL1160" s="401"/>
      <c r="AM1160" s="189"/>
      <c r="AN1160" s="829"/>
      <c r="AO1160" s="830"/>
      <c r="AP1160" s="401"/>
      <c r="AQ1160" s="401"/>
      <c r="AR1160" s="401"/>
      <c r="AS1160" s="401"/>
      <c r="AT1160" s="403"/>
      <c r="AU1160" s="403"/>
      <c r="AV1160" s="170"/>
      <c r="AW1160" s="166"/>
      <c r="AX1160" s="166"/>
      <c r="AY1160" s="189"/>
      <c r="AZ1160" s="189"/>
      <c r="BA1160" s="190"/>
      <c r="BB1160" s="629"/>
      <c r="BC1160" s="190"/>
      <c r="BD1160" s="510"/>
      <c r="BE1160" s="510"/>
      <c r="BF1160" s="177"/>
      <c r="BG1160" s="177"/>
      <c r="BH1160" s="166"/>
      <c r="BI1160" s="474"/>
      <c r="BJ1160" s="166"/>
      <c r="BK1160" s="474"/>
      <c r="BL1160" s="474"/>
      <c r="BM1160" s="474"/>
      <c r="BN1160" s="166"/>
      <c r="BO1160" s="166"/>
      <c r="BP1160" s="204"/>
      <c r="BQ1160" s="475"/>
      <c r="BR1160" s="205"/>
      <c r="BS1160" s="509"/>
      <c r="BT1160" s="509"/>
      <c r="BU1160" s="459"/>
      <c r="BV1160" s="459"/>
      <c r="BW1160" s="1"/>
      <c r="BX1160" s="1"/>
      <c r="BY1160" s="1"/>
      <c r="BZ1160" s="1"/>
      <c r="CA1160" s="1"/>
      <c r="CB1160" s="1"/>
      <c r="CC1160" s="728"/>
      <c r="CD1160" s="728"/>
      <c r="CE1160" s="1"/>
    </row>
    <row r="1161" spans="1:83" customFormat="1">
      <c r="A1161" s="86"/>
      <c r="B1161" s="818"/>
      <c r="C1161" s="819"/>
      <c r="D1161" s="820"/>
      <c r="E1161" s="129"/>
      <c r="F1161" s="821"/>
      <c r="G1161" s="822"/>
      <c r="H1161" s="129"/>
      <c r="I1161" s="823"/>
      <c r="J1161" s="824"/>
      <c r="K1161" s="129"/>
      <c r="L1161" s="824"/>
      <c r="M1161" s="129"/>
      <c r="N1161" s="825"/>
      <c r="O1161" s="824"/>
      <c r="P1161" s="826"/>
      <c r="Q1161" s="823"/>
      <c r="R1161" s="177"/>
      <c r="S1161" s="454"/>
      <c r="T1161" s="178"/>
      <c r="U1161" s="178"/>
      <c r="V1161" s="179"/>
      <c r="W1161" s="180"/>
      <c r="X1161" s="179"/>
      <c r="Y1161" s="180"/>
      <c r="Z1161" s="178"/>
      <c r="AA1161" s="178"/>
      <c r="AB1161" s="178"/>
      <c r="AC1161" s="178"/>
      <c r="AD1161" s="182"/>
      <c r="AE1161" s="182"/>
      <c r="AF1161" s="182"/>
      <c r="AG1161" s="182"/>
      <c r="AH1161" s="401"/>
      <c r="AI1161" s="401"/>
      <c r="AJ1161" s="401"/>
      <c r="AK1161" s="401"/>
      <c r="AL1161" s="401"/>
      <c r="AM1161" s="189"/>
      <c r="AN1161" s="829"/>
      <c r="AO1161" s="830"/>
      <c r="AP1161" s="401"/>
      <c r="AQ1161" s="401"/>
      <c r="AR1161" s="401"/>
      <c r="AS1161" s="401"/>
      <c r="AT1161" s="403"/>
      <c r="AU1161" s="403"/>
      <c r="AV1161" s="170"/>
      <c r="AW1161" s="166"/>
      <c r="AX1161" s="166"/>
      <c r="AY1161" s="189"/>
      <c r="AZ1161" s="189"/>
      <c r="BA1161" s="190"/>
      <c r="BB1161" s="629"/>
      <c r="BC1161" s="190"/>
      <c r="BD1161" s="510"/>
      <c r="BE1161" s="510"/>
      <c r="BF1161" s="177"/>
      <c r="BG1161" s="177"/>
      <c r="BH1161" s="166"/>
      <c r="BI1161" s="474"/>
      <c r="BJ1161" s="166"/>
      <c r="BK1161" s="474"/>
      <c r="BL1161" s="474"/>
      <c r="BM1161" s="474"/>
      <c r="BN1161" s="166"/>
      <c r="BO1161" s="166"/>
      <c r="BP1161" s="204"/>
      <c r="BQ1161" s="475"/>
      <c r="BR1161" s="205"/>
      <c r="BS1161" s="509"/>
      <c r="BT1161" s="509"/>
      <c r="BU1161" s="459"/>
      <c r="BV1161" s="459"/>
      <c r="BW1161" s="1"/>
      <c r="BX1161" s="1"/>
      <c r="BY1161" s="1"/>
      <c r="BZ1161" s="1"/>
      <c r="CA1161" s="1"/>
      <c r="CB1161" s="1"/>
      <c r="CC1161" s="728"/>
      <c r="CD1161" s="728"/>
      <c r="CE1161" s="1"/>
    </row>
    <row r="1162" spans="1:83" customFormat="1">
      <c r="A1162" s="701"/>
      <c r="B1162" s="447"/>
      <c r="C1162" s="161"/>
      <c r="D1162" s="162"/>
      <c r="E1162" s="1"/>
      <c r="F1162" s="811"/>
      <c r="G1162" s="440"/>
      <c r="H1162" s="1"/>
      <c r="I1162" s="55"/>
      <c r="J1162" s="170"/>
      <c r="K1162" s="1"/>
      <c r="L1162" s="170"/>
      <c r="M1162" s="1"/>
      <c r="N1162" s="458"/>
      <c r="O1162" s="170"/>
      <c r="P1162" s="441"/>
      <c r="Q1162" s="55"/>
      <c r="R1162" s="177"/>
      <c r="S1162" s="454"/>
      <c r="T1162" s="178"/>
      <c r="U1162" s="178"/>
      <c r="V1162" s="179"/>
      <c r="W1162" s="180"/>
      <c r="X1162" s="179"/>
      <c r="Y1162" s="180"/>
      <c r="Z1162" s="178"/>
      <c r="AA1162" s="178"/>
      <c r="AB1162" s="178"/>
      <c r="AC1162" s="178"/>
      <c r="AD1162" s="182"/>
      <c r="AE1162" s="182"/>
      <c r="AF1162" s="182"/>
      <c r="AG1162" s="182"/>
      <c r="AH1162" s="401"/>
      <c r="AI1162" s="401"/>
      <c r="AJ1162" s="401"/>
      <c r="AK1162" s="401"/>
      <c r="AL1162" s="401"/>
      <c r="AM1162" s="189"/>
      <c r="AN1162" s="829"/>
      <c r="AO1162" s="830"/>
      <c r="AP1162" s="401"/>
      <c r="AQ1162" s="401"/>
      <c r="AR1162" s="401"/>
      <c r="AS1162" s="401"/>
      <c r="AT1162" s="403"/>
      <c r="AU1162" s="403"/>
      <c r="AV1162" s="170"/>
      <c r="AW1162" s="166"/>
      <c r="AX1162" s="166"/>
      <c r="AY1162" s="189"/>
      <c r="AZ1162" s="189"/>
      <c r="BA1162" s="190"/>
      <c r="BB1162" s="629"/>
      <c r="BC1162" s="190"/>
      <c r="BD1162" s="510"/>
      <c r="BE1162" s="510"/>
      <c r="BF1162" s="177"/>
      <c r="BG1162" s="177"/>
      <c r="BH1162" s="166"/>
      <c r="BI1162" s="474"/>
      <c r="BJ1162" s="166"/>
      <c r="BK1162" s="474"/>
      <c r="BL1162" s="474"/>
      <c r="BM1162" s="474"/>
      <c r="BN1162" s="166"/>
      <c r="BO1162" s="166"/>
      <c r="BP1162" s="204"/>
      <c r="BQ1162" s="475"/>
      <c r="BR1162" s="205"/>
      <c r="BS1162" s="509"/>
      <c r="BT1162" s="509"/>
      <c r="BU1162" s="459"/>
      <c r="BV1162" s="459"/>
      <c r="BW1162" s="1"/>
      <c r="BX1162" s="1"/>
      <c r="BY1162" s="1"/>
      <c r="BZ1162" s="1"/>
      <c r="CA1162" s="1"/>
      <c r="CB1162" s="1"/>
      <c r="CC1162" s="728"/>
      <c r="CD1162" s="728"/>
      <c r="CE1162" s="1"/>
    </row>
    <row r="1163" spans="1:83" customFormat="1">
      <c r="A1163" s="701"/>
      <c r="B1163" s="447"/>
      <c r="C1163" s="161"/>
      <c r="D1163" s="162"/>
      <c r="E1163" s="1"/>
      <c r="F1163" s="811"/>
      <c r="G1163" s="440"/>
      <c r="H1163" s="1"/>
      <c r="I1163" s="55"/>
      <c r="J1163" s="170"/>
      <c r="K1163" s="1"/>
      <c r="L1163" s="170"/>
      <c r="M1163" s="1"/>
      <c r="N1163" s="458"/>
      <c r="O1163" s="170"/>
      <c r="P1163" s="441"/>
      <c r="Q1163" s="55"/>
      <c r="R1163" s="177"/>
      <c r="S1163" s="454"/>
      <c r="T1163" s="178"/>
      <c r="U1163" s="178"/>
      <c r="V1163" s="179"/>
      <c r="W1163" s="180"/>
      <c r="X1163" s="179"/>
      <c r="Y1163" s="180"/>
      <c r="Z1163" s="178"/>
      <c r="AA1163" s="178"/>
      <c r="AB1163" s="178"/>
      <c r="AC1163" s="178"/>
      <c r="AD1163" s="182"/>
      <c r="AE1163" s="182"/>
      <c r="AF1163" s="182"/>
      <c r="AG1163" s="182"/>
      <c r="AH1163" s="401"/>
      <c r="AI1163" s="401"/>
      <c r="AJ1163" s="401"/>
      <c r="AK1163" s="401"/>
      <c r="AL1163" s="401"/>
      <c r="AM1163" s="189"/>
      <c r="AN1163" s="829"/>
      <c r="AO1163" s="830"/>
      <c r="AP1163" s="401"/>
      <c r="AQ1163" s="401"/>
      <c r="AR1163" s="401"/>
      <c r="AS1163" s="401"/>
      <c r="AT1163" s="403"/>
      <c r="AU1163" s="403"/>
      <c r="AV1163" s="170"/>
      <c r="AW1163" s="166"/>
      <c r="AX1163" s="166"/>
      <c r="AY1163" s="189"/>
      <c r="AZ1163" s="189"/>
      <c r="BA1163" s="190"/>
      <c r="BB1163" s="629"/>
      <c r="BC1163" s="190"/>
      <c r="BD1163" s="510"/>
      <c r="BE1163" s="510"/>
      <c r="BF1163" s="177"/>
      <c r="BG1163" s="177"/>
      <c r="BH1163" s="166"/>
      <c r="BI1163" s="474"/>
      <c r="BJ1163" s="166"/>
      <c r="BK1163" s="474"/>
      <c r="BL1163" s="474"/>
      <c r="BM1163" s="474"/>
      <c r="BN1163" s="166"/>
      <c r="BO1163" s="166"/>
      <c r="BP1163" s="204"/>
      <c r="BQ1163" s="475"/>
      <c r="BR1163" s="205"/>
      <c r="BS1163" s="509"/>
      <c r="BT1163" s="509"/>
      <c r="BU1163" s="459"/>
      <c r="BV1163" s="459"/>
      <c r="BW1163" s="1"/>
      <c r="BX1163" s="1"/>
      <c r="BY1163" s="1"/>
      <c r="BZ1163" s="1"/>
      <c r="CA1163" s="1"/>
      <c r="CB1163" s="1"/>
      <c r="CC1163" s="728"/>
      <c r="CD1163" s="728"/>
      <c r="CE1163" s="1"/>
    </row>
    <row r="1164" spans="1:83" customFormat="1">
      <c r="A1164" s="701"/>
      <c r="B1164" s="447"/>
      <c r="C1164" s="161"/>
      <c r="D1164" s="162"/>
      <c r="E1164" s="1"/>
      <c r="F1164" s="811"/>
      <c r="G1164" s="440"/>
      <c r="H1164" s="1"/>
      <c r="I1164" s="55"/>
      <c r="J1164" s="170"/>
      <c r="K1164" s="1"/>
      <c r="L1164" s="170"/>
      <c r="M1164" s="1"/>
      <c r="N1164" s="458"/>
      <c r="O1164" s="170"/>
      <c r="P1164" s="441"/>
      <c r="Q1164" s="55"/>
      <c r="R1164" s="177"/>
      <c r="S1164" s="454"/>
      <c r="T1164" s="178"/>
      <c r="U1164" s="178"/>
      <c r="V1164" s="179"/>
      <c r="W1164" s="180"/>
      <c r="X1164" s="179"/>
      <c r="Y1164" s="180"/>
      <c r="Z1164" s="178"/>
      <c r="AA1164" s="178"/>
      <c r="AB1164" s="178"/>
      <c r="AC1164" s="178"/>
      <c r="AD1164" s="182"/>
      <c r="AE1164" s="182"/>
      <c r="AF1164" s="182"/>
      <c r="AG1164" s="182"/>
      <c r="AH1164" s="401"/>
      <c r="AI1164" s="401"/>
      <c r="AJ1164" s="401"/>
      <c r="AK1164" s="401"/>
      <c r="AL1164" s="401"/>
      <c r="AM1164" s="189"/>
      <c r="AN1164" s="829"/>
      <c r="AO1164" s="830"/>
      <c r="AP1164" s="401"/>
      <c r="AQ1164" s="401"/>
      <c r="AR1164" s="401"/>
      <c r="AS1164" s="401"/>
      <c r="AT1164" s="403"/>
      <c r="AU1164" s="403"/>
      <c r="AV1164" s="170"/>
      <c r="AW1164" s="166"/>
      <c r="AX1164" s="166"/>
      <c r="AY1164" s="189"/>
      <c r="AZ1164" s="189"/>
      <c r="BA1164" s="190"/>
      <c r="BB1164" s="629"/>
      <c r="BC1164" s="190"/>
      <c r="BD1164" s="510"/>
      <c r="BE1164" s="510"/>
      <c r="BF1164" s="177"/>
      <c r="BG1164" s="177"/>
      <c r="BH1164" s="166"/>
      <c r="BI1164" s="474"/>
      <c r="BJ1164" s="166"/>
      <c r="BK1164" s="474"/>
      <c r="BL1164" s="474"/>
      <c r="BM1164" s="474"/>
      <c r="BN1164" s="166"/>
      <c r="BO1164" s="166"/>
      <c r="BP1164" s="204"/>
      <c r="BQ1164" s="475"/>
      <c r="BR1164" s="205"/>
      <c r="BS1164" s="509"/>
      <c r="BT1164" s="509"/>
      <c r="BU1164" s="459"/>
      <c r="BV1164" s="459"/>
      <c r="BW1164" s="1"/>
      <c r="BX1164" s="1"/>
      <c r="BY1164" s="1"/>
      <c r="BZ1164" s="1"/>
      <c r="CA1164" s="1"/>
      <c r="CB1164" s="1"/>
      <c r="CC1164" s="728"/>
      <c r="CD1164" s="728"/>
      <c r="CE1164" s="1"/>
    </row>
    <row r="1165" spans="1:83" customFormat="1">
      <c r="A1165" s="701"/>
      <c r="B1165" s="447"/>
      <c r="C1165" s="161"/>
      <c r="D1165" s="162"/>
      <c r="E1165" s="1"/>
      <c r="F1165" s="811"/>
      <c r="G1165" s="440"/>
      <c r="H1165" s="1"/>
      <c r="I1165" s="55"/>
      <c r="J1165" s="170"/>
      <c r="K1165" s="1"/>
      <c r="L1165" s="170"/>
      <c r="M1165" s="1"/>
      <c r="N1165" s="458"/>
      <c r="O1165" s="170"/>
      <c r="P1165" s="441"/>
      <c r="Q1165" s="55"/>
      <c r="R1165" s="177"/>
      <c r="S1165" s="454"/>
      <c r="T1165" s="178"/>
      <c r="U1165" s="178"/>
      <c r="V1165" s="179"/>
      <c r="W1165" s="180"/>
      <c r="X1165" s="179"/>
      <c r="Y1165" s="180"/>
      <c r="Z1165" s="178"/>
      <c r="AA1165" s="178"/>
      <c r="AB1165" s="178"/>
      <c r="AC1165" s="178"/>
      <c r="AD1165" s="182"/>
      <c r="AE1165" s="182"/>
      <c r="AF1165" s="182"/>
      <c r="AG1165" s="182"/>
      <c r="AH1165" s="401"/>
      <c r="AI1165" s="401"/>
      <c r="AJ1165" s="401"/>
      <c r="AK1165" s="401"/>
      <c r="AL1165" s="401"/>
      <c r="AM1165" s="189"/>
      <c r="AN1165" s="829"/>
      <c r="AO1165" s="830"/>
      <c r="AP1165" s="401"/>
      <c r="AQ1165" s="401"/>
      <c r="AR1165" s="401"/>
      <c r="AS1165" s="401"/>
      <c r="AT1165" s="403"/>
      <c r="AU1165" s="403"/>
      <c r="AV1165" s="170"/>
      <c r="AW1165" s="166"/>
      <c r="AX1165" s="166"/>
      <c r="AY1165" s="189"/>
      <c r="AZ1165" s="189"/>
      <c r="BA1165" s="190"/>
      <c r="BB1165" s="629"/>
      <c r="BC1165" s="190"/>
      <c r="BD1165" s="510"/>
      <c r="BE1165" s="510"/>
      <c r="BF1165" s="177"/>
      <c r="BG1165" s="177"/>
      <c r="BH1165" s="166"/>
      <c r="BI1165" s="474"/>
      <c r="BJ1165" s="166"/>
      <c r="BK1165" s="474"/>
      <c r="BL1165" s="474"/>
      <c r="BM1165" s="474"/>
      <c r="BN1165" s="166"/>
      <c r="BO1165" s="166"/>
      <c r="BP1165" s="204"/>
      <c r="BQ1165" s="475"/>
      <c r="BR1165" s="205"/>
      <c r="BS1165" s="509"/>
      <c r="BT1165" s="509"/>
      <c r="BU1165" s="459"/>
      <c r="BV1165" s="459"/>
      <c r="BW1165" s="1"/>
      <c r="BX1165" s="1"/>
      <c r="BY1165" s="1"/>
      <c r="BZ1165" s="1"/>
      <c r="CA1165" s="1"/>
      <c r="CB1165" s="1"/>
      <c r="CC1165" s="728"/>
      <c r="CD1165" s="728"/>
      <c r="CE1165" s="1"/>
    </row>
    <row r="1166" spans="1:83" customFormat="1">
      <c r="A1166" s="701"/>
      <c r="B1166" s="447"/>
      <c r="C1166" s="161"/>
      <c r="D1166" s="162"/>
      <c r="E1166" s="1"/>
      <c r="F1166" s="811"/>
      <c r="G1166" s="440"/>
      <c r="H1166" s="1"/>
      <c r="I1166" s="55"/>
      <c r="J1166" s="170"/>
      <c r="K1166" s="1"/>
      <c r="L1166" s="170"/>
      <c r="M1166" s="1"/>
      <c r="N1166" s="458"/>
      <c r="O1166" s="170"/>
      <c r="P1166" s="441"/>
      <c r="Q1166" s="55"/>
      <c r="R1166" s="177"/>
      <c r="S1166" s="454"/>
      <c r="T1166" s="178"/>
      <c r="U1166" s="178"/>
      <c r="V1166" s="179"/>
      <c r="W1166" s="180"/>
      <c r="X1166" s="179"/>
      <c r="Y1166" s="180"/>
      <c r="Z1166" s="178"/>
      <c r="AA1166" s="178"/>
      <c r="AB1166" s="178"/>
      <c r="AC1166" s="178"/>
      <c r="AD1166" s="182"/>
      <c r="AE1166" s="182"/>
      <c r="AF1166" s="182"/>
      <c r="AG1166" s="182"/>
      <c r="AH1166" s="401"/>
      <c r="AI1166" s="401"/>
      <c r="AJ1166" s="401"/>
      <c r="AK1166" s="401"/>
      <c r="AL1166" s="401"/>
      <c r="AM1166" s="189"/>
      <c r="AN1166" s="829"/>
      <c r="AO1166" s="830"/>
      <c r="AP1166" s="401"/>
      <c r="AQ1166" s="401"/>
      <c r="AR1166" s="401"/>
      <c r="AS1166" s="401"/>
      <c r="AT1166" s="403"/>
      <c r="AU1166" s="403"/>
      <c r="AV1166" s="170"/>
      <c r="AW1166" s="166"/>
      <c r="AX1166" s="166"/>
      <c r="AY1166" s="189"/>
      <c r="AZ1166" s="189"/>
      <c r="BA1166" s="190"/>
      <c r="BB1166" s="629"/>
      <c r="BC1166" s="190"/>
      <c r="BD1166" s="510"/>
      <c r="BE1166" s="510"/>
      <c r="BF1166" s="177"/>
      <c r="BG1166" s="177"/>
      <c r="BH1166" s="166"/>
      <c r="BI1166" s="474"/>
      <c r="BJ1166" s="166"/>
      <c r="BK1166" s="474"/>
      <c r="BL1166" s="474"/>
      <c r="BM1166" s="474"/>
      <c r="BN1166" s="166"/>
      <c r="BO1166" s="166"/>
      <c r="BP1166" s="204"/>
      <c r="BQ1166" s="475"/>
      <c r="BR1166" s="205"/>
      <c r="BS1166" s="509"/>
      <c r="BT1166" s="509"/>
      <c r="BU1166" s="459"/>
      <c r="BV1166" s="459"/>
      <c r="BW1166" s="1"/>
      <c r="BX1166" s="1"/>
      <c r="BY1166" s="1"/>
      <c r="BZ1166" s="1"/>
      <c r="CA1166" s="1"/>
      <c r="CB1166" s="1"/>
      <c r="CC1166" s="728"/>
      <c r="CD1166" s="728"/>
      <c r="CE1166" s="1"/>
    </row>
    <row r="1167" spans="1:83" customFormat="1">
      <c r="A1167" s="701"/>
      <c r="B1167" s="447"/>
      <c r="C1167" s="161"/>
      <c r="D1167" s="162"/>
      <c r="E1167" s="1"/>
      <c r="F1167" s="811"/>
      <c r="G1167" s="440"/>
      <c r="H1167" s="1"/>
      <c r="I1167" s="55"/>
      <c r="J1167" s="170"/>
      <c r="K1167" s="1"/>
      <c r="L1167" s="170"/>
      <c r="M1167" s="1"/>
      <c r="N1167" s="458"/>
      <c r="O1167" s="170"/>
      <c r="P1167" s="441"/>
      <c r="Q1167" s="55"/>
      <c r="R1167" s="177"/>
      <c r="S1167" s="454"/>
      <c r="T1167" s="178"/>
      <c r="U1167" s="178"/>
      <c r="V1167" s="179"/>
      <c r="W1167" s="180"/>
      <c r="X1167" s="179"/>
      <c r="Y1167" s="180"/>
      <c r="Z1167" s="178"/>
      <c r="AA1167" s="178"/>
      <c r="AB1167" s="178"/>
      <c r="AC1167" s="178"/>
      <c r="AD1167" s="182"/>
      <c r="AE1167" s="182"/>
      <c r="AF1167" s="182"/>
      <c r="AG1167" s="182"/>
      <c r="AH1167" s="401"/>
      <c r="AI1167" s="401"/>
      <c r="AJ1167" s="401"/>
      <c r="AK1167" s="401"/>
      <c r="AL1167" s="401"/>
      <c r="AM1167" s="189"/>
      <c r="AN1167" s="829"/>
      <c r="AO1167" s="830"/>
      <c r="AP1167" s="401"/>
      <c r="AQ1167" s="401"/>
      <c r="AR1167" s="401"/>
      <c r="AS1167" s="401"/>
      <c r="AT1167" s="403"/>
      <c r="AU1167" s="403"/>
      <c r="AV1167" s="170"/>
      <c r="AW1167" s="166"/>
      <c r="AX1167" s="166"/>
      <c r="AY1167" s="189"/>
      <c r="AZ1167" s="189"/>
      <c r="BA1167" s="190"/>
      <c r="BB1167" s="629"/>
      <c r="BC1167" s="190"/>
      <c r="BD1167" s="510"/>
      <c r="BE1167" s="510"/>
      <c r="BF1167" s="177"/>
      <c r="BG1167" s="177"/>
      <c r="BH1167" s="166"/>
      <c r="BI1167" s="474"/>
      <c r="BJ1167" s="166"/>
      <c r="BK1167" s="474"/>
      <c r="BL1167" s="474"/>
      <c r="BM1167" s="474"/>
      <c r="BN1167" s="166"/>
      <c r="BO1167" s="166"/>
      <c r="BP1167" s="204"/>
      <c r="BQ1167" s="475"/>
      <c r="BR1167" s="205"/>
      <c r="BS1167" s="509"/>
      <c r="BT1167" s="509"/>
      <c r="BU1167" s="459"/>
      <c r="BV1167" s="459"/>
      <c r="BW1167" s="1"/>
      <c r="BX1167" s="1"/>
      <c r="BY1167" s="1"/>
      <c r="BZ1167" s="1"/>
      <c r="CA1167" s="1"/>
      <c r="CB1167" s="1"/>
      <c r="CC1167" s="728"/>
      <c r="CD1167" s="728"/>
      <c r="CE1167" s="1"/>
    </row>
    <row r="1168" spans="1:83" customFormat="1">
      <c r="A1168" s="701"/>
      <c r="B1168" s="447"/>
      <c r="C1168" s="161"/>
      <c r="D1168" s="162"/>
      <c r="E1168" s="1"/>
      <c r="F1168" s="811"/>
      <c r="G1168" s="440"/>
      <c r="H1168" s="1"/>
      <c r="I1168" s="55"/>
      <c r="J1168" s="170"/>
      <c r="K1168" s="1"/>
      <c r="L1168" s="170"/>
      <c r="M1168" s="1"/>
      <c r="N1168" s="458"/>
      <c r="O1168" s="170"/>
      <c r="P1168" s="441"/>
      <c r="Q1168" s="55"/>
      <c r="R1168" s="177"/>
      <c r="S1168" s="454"/>
      <c r="T1168" s="178"/>
      <c r="U1168" s="178"/>
      <c r="V1168" s="179"/>
      <c r="W1168" s="180"/>
      <c r="X1168" s="179"/>
      <c r="Y1168" s="180"/>
      <c r="Z1168" s="178"/>
      <c r="AA1168" s="178"/>
      <c r="AB1168" s="178"/>
      <c r="AC1168" s="178"/>
      <c r="AD1168" s="182"/>
      <c r="AE1168" s="182"/>
      <c r="AF1168" s="182"/>
      <c r="AG1168" s="182"/>
      <c r="AH1168" s="401"/>
      <c r="AI1168" s="401"/>
      <c r="AJ1168" s="401"/>
      <c r="AK1168" s="401"/>
      <c r="AL1168" s="401"/>
      <c r="AM1168" s="189"/>
      <c r="AN1168" s="829"/>
      <c r="AO1168" s="830"/>
      <c r="AP1168" s="401"/>
      <c r="AQ1168" s="401"/>
      <c r="AR1168" s="401"/>
      <c r="AS1168" s="401"/>
      <c r="AT1168" s="403"/>
      <c r="AU1168" s="403"/>
      <c r="AV1168" s="170"/>
      <c r="AW1168" s="166"/>
      <c r="AX1168" s="166"/>
      <c r="AY1168" s="189"/>
      <c r="AZ1168" s="189"/>
      <c r="BA1168" s="190"/>
      <c r="BB1168" s="629"/>
      <c r="BC1168" s="190"/>
      <c r="BD1168" s="510"/>
      <c r="BE1168" s="510"/>
      <c r="BF1168" s="177"/>
      <c r="BG1168" s="177"/>
      <c r="BH1168" s="166"/>
      <c r="BI1168" s="474"/>
      <c r="BJ1168" s="166"/>
      <c r="BK1168" s="474"/>
      <c r="BL1168" s="474"/>
      <c r="BM1168" s="474"/>
      <c r="BN1168" s="166"/>
      <c r="BO1168" s="166"/>
      <c r="BP1168" s="204"/>
      <c r="BQ1168" s="475"/>
      <c r="BR1168" s="205"/>
      <c r="BS1168" s="509"/>
      <c r="BT1168" s="509"/>
      <c r="BU1168" s="459"/>
      <c r="BV1168" s="459"/>
      <c r="BW1168" s="1"/>
      <c r="BX1168" s="1"/>
      <c r="BY1168" s="1"/>
      <c r="BZ1168" s="1"/>
      <c r="CA1168" s="1"/>
      <c r="CB1168" s="1"/>
      <c r="CC1168" s="728"/>
      <c r="CD1168" s="728"/>
      <c r="CE1168" s="1"/>
    </row>
    <row r="1169" spans="1:84" customFormat="1">
      <c r="A1169" s="701"/>
      <c r="B1169" s="447"/>
      <c r="C1169" s="161"/>
      <c r="D1169" s="162"/>
      <c r="E1169" s="1"/>
      <c r="F1169" s="811"/>
      <c r="G1169" s="440"/>
      <c r="H1169" s="1"/>
      <c r="I1169" s="55"/>
      <c r="J1169" s="170"/>
      <c r="K1169" s="1"/>
      <c r="L1169" s="170"/>
      <c r="M1169" s="1"/>
      <c r="N1169" s="458"/>
      <c r="O1169" s="170"/>
      <c r="P1169" s="441"/>
      <c r="Q1169" s="55"/>
      <c r="R1169" s="177"/>
      <c r="S1169" s="454"/>
      <c r="T1169" s="178"/>
      <c r="U1169" s="178"/>
      <c r="V1169" s="179"/>
      <c r="W1169" s="180"/>
      <c r="X1169" s="179"/>
      <c r="Y1169" s="180"/>
      <c r="Z1169" s="178"/>
      <c r="AA1169" s="178"/>
      <c r="AB1169" s="178"/>
      <c r="AC1169" s="178"/>
      <c r="AD1169" s="182"/>
      <c r="AE1169" s="182"/>
      <c r="AF1169" s="182"/>
      <c r="AG1169" s="182"/>
      <c r="AH1169" s="401"/>
      <c r="AI1169" s="401"/>
      <c r="AJ1169" s="401"/>
      <c r="AK1169" s="401"/>
      <c r="AL1169" s="401"/>
      <c r="AM1169" s="189"/>
      <c r="AN1169" s="829"/>
      <c r="AO1169" s="830"/>
      <c r="AP1169" s="401"/>
      <c r="AQ1169" s="401"/>
      <c r="AR1169" s="401"/>
      <c r="AS1169" s="401"/>
      <c r="AT1169" s="403"/>
      <c r="AU1169" s="403"/>
      <c r="AV1169" s="170"/>
      <c r="AW1169" s="166"/>
      <c r="AX1169" s="166"/>
      <c r="AY1169" s="189"/>
      <c r="AZ1169" s="189"/>
      <c r="BA1169" s="190"/>
      <c r="BB1169" s="629"/>
      <c r="BC1169" s="190"/>
      <c r="BD1169" s="510"/>
      <c r="BE1169" s="510"/>
      <c r="BF1169" s="177"/>
      <c r="BG1169" s="177"/>
      <c r="BH1169" s="166"/>
      <c r="BI1169" s="474"/>
      <c r="BJ1169" s="166"/>
      <c r="BK1169" s="474"/>
      <c r="BL1169" s="474"/>
      <c r="BM1169" s="474"/>
      <c r="BN1169" s="166"/>
      <c r="BO1169" s="166"/>
      <c r="BP1169" s="204"/>
      <c r="BQ1169" s="475"/>
      <c r="BR1169" s="205"/>
      <c r="BS1169" s="509"/>
      <c r="BT1169" s="509"/>
      <c r="BU1169" s="459"/>
      <c r="BV1169" s="459"/>
      <c r="BW1169" s="1"/>
      <c r="BX1169" s="1"/>
      <c r="BY1169" s="1"/>
      <c r="BZ1169" s="1"/>
      <c r="CA1169" s="1"/>
      <c r="CB1169" s="1"/>
      <c r="CC1169" s="728"/>
      <c r="CD1169" s="728"/>
      <c r="CE1169" s="1"/>
    </row>
    <row r="1170" spans="1:84" customFormat="1" ht="17" thickBot="1">
      <c r="A1170" s="701" t="str">
        <f t="shared" si="256"/>
        <v>…</v>
      </c>
      <c r="B1170" s="447" t="str">
        <f>IFERROR(INDEX((cprt),MATCH($H1170,Prt,0)),"…")</f>
        <v>…</v>
      </c>
      <c r="D1170" s="162" t="str">
        <f>IFERROR(INDEX((KS),MATCH($H1170,Prt,0)),"")</f>
        <v/>
      </c>
      <c r="E1170" s="206"/>
      <c r="F1170" s="811" t="str">
        <f t="shared" si="254"/>
        <v/>
      </c>
      <c r="G1170" s="440" t="str">
        <f>IFERROR(INDEX((no_ref),MATCH($H1170,ref,0)),"...")</f>
        <v>...</v>
      </c>
      <c r="H1170" s="64"/>
      <c r="I1170" s="64"/>
      <c r="J1170" s="207"/>
      <c r="K1170" s="64"/>
      <c r="L1170" s="207"/>
      <c r="M1170" s="64"/>
      <c r="N1170" s="64"/>
      <c r="O1170" s="208" t="str">
        <f>CONCATENATE(J1170," ",K1170," ",L1170," ",M1170," ",N1170)</f>
        <v xml:space="preserve">    </v>
      </c>
      <c r="P1170" s="207"/>
      <c r="Q1170" s="209"/>
      <c r="R1170" s="210"/>
      <c r="S1170" s="449"/>
      <c r="T1170" s="208"/>
      <c r="U1170" s="208"/>
      <c r="V1170" s="206"/>
      <c r="W1170" s="211"/>
      <c r="X1170" s="206"/>
      <c r="Y1170" s="212"/>
      <c r="Z1170" s="208"/>
      <c r="AA1170" s="208"/>
      <c r="AB1170" s="208"/>
      <c r="AC1170" s="208"/>
      <c r="AD1170" s="182" t="str">
        <f>IF($B1170="alu",(INDEX((Fr),MATCH(Z1170,cfr,0))),INDEX((te),MATCH(Z1170,cte,0)))</f>
        <v xml:space="preserve"> </v>
      </c>
      <c r="AE1170" s="182" t="str">
        <f>IF($B1170="alu",(INDEX((Fr),MATCH(AA1170,cfr,0))),INDEX((te),MATCH(AA1170,cte,0)))</f>
        <v xml:space="preserve"> </v>
      </c>
      <c r="AF1170" s="182" t="str">
        <f>IF($B1170="alu",(INDEX((Fr),MATCH(AB1170,cfr,0))),INDEX((te),MATCH(AB1170,cte,0)))</f>
        <v xml:space="preserve"> </v>
      </c>
      <c r="AG1170" s="182" t="str">
        <f>IF($B1170="alu",(INDEX((Fr),MATCH(AC1170,cfr,0))),INDEX((te),MATCH(AC1170,cte,0)))</f>
        <v xml:space="preserve"> </v>
      </c>
      <c r="AH1170" s="210"/>
      <c r="AI1170" s="210"/>
      <c r="AJ1170" s="210"/>
      <c r="AK1170" s="401" t="str">
        <f>IFERROR(INDEX((std_siku_prt),MATCH($H1170,Prt,0)),"")</f>
        <v/>
      </c>
      <c r="AL1170" s="401" t="str">
        <f>IFERROR(INDEX((std_screw_prt),MATCH($H1170,Prt,0)),"")</f>
        <v/>
      </c>
      <c r="AM1170" s="213"/>
      <c r="AN1170" s="831"/>
      <c r="AO1170" s="213"/>
      <c r="AP1170" s="401" t="str">
        <f>IFERROR(INDEX((std_anodizev_proses),MATCH($I1170,pk,0)),"")</f>
        <v/>
      </c>
      <c r="AQ1170" s="401" t="str">
        <f>IFERROR(INDEX((std_anodizev2_proses),MATCH($I1170,pk,0)),"")</f>
        <v/>
      </c>
      <c r="AR1170" s="401" t="str">
        <f>IFERROR(INDEX((std_anodizeh_proses),MATCH($I1170,pk,0)),"")</f>
        <v/>
      </c>
      <c r="AS1170" s="206"/>
      <c r="AT1170" s="206"/>
      <c r="AU1170" s="403" t="str">
        <f>IF($AS1170=0,"",Q1170*BR1170)</f>
        <v/>
      </c>
      <c r="AV1170" s="206"/>
      <c r="AW1170" s="212"/>
      <c r="AX1170" s="166" t="str">
        <f>IF($B1170="alu",(CONCATENATE(VLOOKUP($AD1170,tabfr,2,0),VLOOKUP($AE1170,tabfr,2,0),VLOOKUP($AF1170,tabfr,2,0),VLOOKUP($AG1170,tabfr,2,0))),(CONCATENATE(VLOOKUP($AD1170,tabte,2,0),VLOOKUP($AE1170,tabte,2,0),VLOOKUP($AF1170,tabte,2,0),VLOOKUP($AG1170,tabte,2,0))))</f>
        <v>3333</v>
      </c>
      <c r="AY1170" s="189" t="str">
        <f>IFERROR(VLOOKUP(AW1170,descf,2,0),"")</f>
        <v/>
      </c>
      <c r="AZ1170" s="189" t="str">
        <f>IF($B1170="alu",(VLOOKUP(AX1170,descfr,2,0)),(VLOOKUP(AX1170,desce,2,0)))</f>
        <v xml:space="preserve"> -</v>
      </c>
      <c r="BA1170" s="213"/>
      <c r="BB1170" s="629" t="str">
        <f>IF($B1170="…",CONCATENATE(0,$E1170,")"," ",$H1170),IF($B1170="kc",CONCATENATE(VLOOKUP(H1170,tabprt,2,0),")",$H1170," ",$R1170," ",$S1170,"mm"," ","-"," "," ",";"," ",$AZ1170,"  ",$I1170),IF($B1170="alu",CONCATENATE(VLOOKUP(H1170,tabprt,2,0),")",$H1170," ",$R1170," ",$S1170,"mm"," ","-"," "," ",";"," ",$AZ1170,"  ",$I1170),CONCATENATE(VLOOKUP(H1170,tabprt,2,0),")",$H1170," ",$R1170," ",$S1170,"mm"," ","-"," ",$AY1170," ",";"," ",$AZ1170,"  ",$I1170))))</f>
        <v xml:space="preserve">0) </v>
      </c>
      <c r="BC1170" s="214"/>
      <c r="BD1170" s="510" t="str">
        <f>IFERROR(INDEX((std_minifix_prt),MATCH($H1170,Prt,0)),"")</f>
        <v/>
      </c>
      <c r="BE1170" s="510" t="str">
        <f>IFERROR(INDEX((std_dowel_prt),MATCH($H1170,Prt,0)),"")</f>
        <v/>
      </c>
      <c r="BF1170" s="177"/>
      <c r="BG1170" s="177"/>
      <c r="BH1170" s="166"/>
      <c r="BI1170" s="474">
        <f>IF($AO1170=0,0,IF(J1170&lt;=fp,2,(ROUNDUP(J1170/fp,0))))*Q1170</f>
        <v>0</v>
      </c>
      <c r="BJ1170" s="1"/>
      <c r="BK1170" s="474">
        <f>(($J1170+tol_p)*$Q1170)/1000</f>
        <v>0</v>
      </c>
      <c r="BL1170" s="474">
        <f>(($L1170+tol_p)*$Q1170)/1000</f>
        <v>0</v>
      </c>
      <c r="BM1170" s="474">
        <f>IF(R1170=0,0,((2*((J1170+tol_p)+(L1170+tol_p))*Q1170)/1000))</f>
        <v>0</v>
      </c>
      <c r="BN1170" s="166"/>
      <c r="BO1170" s="166"/>
      <c r="BP1170" s="199"/>
      <c r="BQ1170" s="475">
        <f>((J1170*L1170*Q1170)/(2400*1200))+10%</f>
        <v>0.1</v>
      </c>
      <c r="BR1170" s="1"/>
      <c r="BS1170" s="509">
        <f>IF($BD1170=0,0,IF($L1170&lt;150,2,((ROUNDUP($L1170/fm,0)*2))))*$Q1170</f>
        <v>0</v>
      </c>
      <c r="BT1170" s="509">
        <f>IF($BE1170=0,0,IF($L1170&lt;150,2,((ROUNDUP($L1170/fd,0)*2))))*$Q1170</f>
        <v>0</v>
      </c>
      <c r="BU1170" s="459"/>
      <c r="BV1170" s="459"/>
      <c r="BW1170" s="1">
        <f t="shared" si="257"/>
        <v>0</v>
      </c>
      <c r="BX1170" s="1">
        <f t="shared" si="258"/>
        <v>0</v>
      </c>
      <c r="BY1170" s="1"/>
      <c r="BZ1170" s="1"/>
      <c r="CA1170" s="1"/>
      <c r="CB1170" s="1"/>
      <c r="CC1170" s="728"/>
      <c r="CD1170" s="728"/>
      <c r="CE1170" s="1"/>
      <c r="CF1170" t="str">
        <f t="shared" si="255"/>
        <v xml:space="preserve"> </v>
      </c>
    </row>
  </sheetData>
  <autoFilter ref="B11:BV1170" xr:uid="{00000000-0009-0000-0000-000003000000}"/>
  <dataConsolidate/>
  <mergeCells count="1">
    <mergeCell ref="AP9:AU9"/>
  </mergeCells>
  <conditionalFormatting sqref="I1:I1048576">
    <cfRule type="notContainsBlanks" dxfId="7882" priority="24">
      <formula>LEN(TRIM(I1))&gt;0</formula>
    </cfRule>
  </conditionalFormatting>
  <conditionalFormatting sqref="J1:J11 J819:J820 J875:J876 J846:J847 J853 J858:J859 J861 J863:J864 J887:J888 J898:J899 J909:J911 J917 J923:J924 J932:J933 J950:J951 J953 J956 J958 J962:J963 J975:J976 J989:J990 J1027:J1028 J1034:J1035 J1041 J1045 J1049:J1048576 J83:J85">
    <cfRule type="cellIs" dxfId="7881" priority="139033" operator="greaterThan">
      <formula>2430</formula>
    </cfRule>
  </conditionalFormatting>
  <conditionalFormatting sqref="J12">
    <cfRule type="cellIs" dxfId="7880" priority="129974" operator="greaterThan">
      <formula>2430</formula>
    </cfRule>
  </conditionalFormatting>
  <conditionalFormatting sqref="J13">
    <cfRule type="cellIs" dxfId="7879" priority="1859" operator="greaterThan">
      <formula>2430</formula>
    </cfRule>
  </conditionalFormatting>
  <conditionalFormatting sqref="J14:J16 J18">
    <cfRule type="cellIs" dxfId="7878" priority="1835" operator="greaterThan">
      <formula>2430</formula>
    </cfRule>
  </conditionalFormatting>
  <conditionalFormatting sqref="J17">
    <cfRule type="cellIs" dxfId="7877" priority="1811" operator="greaterThan">
      <formula>2430</formula>
    </cfRule>
  </conditionalFormatting>
  <conditionalFormatting sqref="J19">
    <cfRule type="cellIs" dxfId="7876" priority="7762" operator="greaterThan">
      <formula>2430</formula>
    </cfRule>
  </conditionalFormatting>
  <conditionalFormatting sqref="J20">
    <cfRule type="cellIs" dxfId="7875" priority="7738" operator="greaterThan">
      <formula>2430</formula>
    </cfRule>
  </conditionalFormatting>
  <conditionalFormatting sqref="J21:J23 J25">
    <cfRule type="cellIs" dxfId="7874" priority="1787" operator="greaterThan">
      <formula>2430</formula>
    </cfRule>
  </conditionalFormatting>
  <conditionalFormatting sqref="J24">
    <cfRule type="cellIs" dxfId="7873" priority="1763" operator="greaterThan">
      <formula>2430</formula>
    </cfRule>
  </conditionalFormatting>
  <conditionalFormatting sqref="J26:J27">
    <cfRule type="cellIs" dxfId="7872" priority="7546" operator="greaterThan">
      <formula>2430</formula>
    </cfRule>
  </conditionalFormatting>
  <conditionalFormatting sqref="J28:J30 J32">
    <cfRule type="cellIs" dxfId="7871" priority="1739" operator="greaterThan">
      <formula>2430</formula>
    </cfRule>
  </conditionalFormatting>
  <conditionalFormatting sqref="J31">
    <cfRule type="cellIs" dxfId="7870" priority="1715" operator="greaterThan">
      <formula>2430</formula>
    </cfRule>
  </conditionalFormatting>
  <conditionalFormatting sqref="J33">
    <cfRule type="cellIs" dxfId="7869" priority="7498" operator="greaterThan">
      <formula>2430</formula>
    </cfRule>
  </conditionalFormatting>
  <conditionalFormatting sqref="J34:J36 J38">
    <cfRule type="cellIs" dxfId="7868" priority="1691" operator="greaterThan">
      <formula>2430</formula>
    </cfRule>
  </conditionalFormatting>
  <conditionalFormatting sqref="J37">
    <cfRule type="cellIs" dxfId="7867" priority="1667" operator="greaterThan">
      <formula>2430</formula>
    </cfRule>
  </conditionalFormatting>
  <conditionalFormatting sqref="J39">
    <cfRule type="cellIs" dxfId="7866" priority="7234" operator="greaterThan">
      <formula>2430</formula>
    </cfRule>
  </conditionalFormatting>
  <conditionalFormatting sqref="J40">
    <cfRule type="cellIs" dxfId="7865" priority="7258" operator="greaterThan">
      <formula>2430</formula>
    </cfRule>
  </conditionalFormatting>
  <conditionalFormatting sqref="J41">
    <cfRule type="cellIs" dxfId="7864" priority="7210" operator="greaterThan">
      <formula>2430</formula>
    </cfRule>
  </conditionalFormatting>
  <conditionalFormatting sqref="J42:J43">
    <cfRule type="cellIs" dxfId="7863" priority="1594" operator="greaterThan">
      <formula>2430</formula>
    </cfRule>
  </conditionalFormatting>
  <conditionalFormatting sqref="J44">
    <cfRule type="cellIs" dxfId="7862" priority="15141" operator="greaterThan">
      <formula>2430</formula>
    </cfRule>
  </conditionalFormatting>
  <conditionalFormatting sqref="J45">
    <cfRule type="cellIs" dxfId="7861" priority="1570" operator="greaterThan">
      <formula>2430</formula>
    </cfRule>
  </conditionalFormatting>
  <conditionalFormatting sqref="J46">
    <cfRule type="cellIs" dxfId="7860" priority="1546" operator="greaterThan">
      <formula>2430</formula>
    </cfRule>
  </conditionalFormatting>
  <conditionalFormatting sqref="J47:J48">
    <cfRule type="cellIs" dxfId="7859" priority="7113" operator="greaterThan">
      <formula>2430</formula>
    </cfRule>
  </conditionalFormatting>
  <conditionalFormatting sqref="J49">
    <cfRule type="cellIs" dxfId="7858" priority="1512" operator="greaterThan">
      <formula>2430</formula>
    </cfRule>
  </conditionalFormatting>
  <conditionalFormatting sqref="J50:J51">
    <cfRule type="cellIs" dxfId="7857" priority="1383" operator="greaterThan">
      <formula>2430</formula>
    </cfRule>
  </conditionalFormatting>
  <conditionalFormatting sqref="J52">
    <cfRule type="cellIs" dxfId="7856" priority="1431" operator="greaterThan">
      <formula>2430</formula>
    </cfRule>
  </conditionalFormatting>
  <conditionalFormatting sqref="J53">
    <cfRule type="cellIs" dxfId="7855" priority="1334" operator="greaterThan">
      <formula>2430</formula>
    </cfRule>
  </conditionalFormatting>
  <conditionalFormatting sqref="J54:J55">
    <cfRule type="cellIs" dxfId="7854" priority="1310" operator="greaterThan">
      <formula>2430</formula>
    </cfRule>
  </conditionalFormatting>
  <conditionalFormatting sqref="J56">
    <cfRule type="cellIs" dxfId="7853" priority="9099" operator="greaterThan">
      <formula>2430</formula>
    </cfRule>
  </conditionalFormatting>
  <conditionalFormatting sqref="J57">
    <cfRule type="cellIs" dxfId="7852" priority="1261" operator="greaterThan">
      <formula>2430</formula>
    </cfRule>
  </conditionalFormatting>
  <conditionalFormatting sqref="J58:J59">
    <cfRule type="cellIs" dxfId="7851" priority="1213" operator="greaterThan">
      <formula>2430</formula>
    </cfRule>
  </conditionalFormatting>
  <conditionalFormatting sqref="J60">
    <cfRule type="cellIs" dxfId="7850" priority="1237" operator="greaterThan">
      <formula>2430</formula>
    </cfRule>
  </conditionalFormatting>
  <conditionalFormatting sqref="J61">
    <cfRule type="cellIs" dxfId="7849" priority="1164" operator="greaterThan">
      <formula>2430</formula>
    </cfRule>
  </conditionalFormatting>
  <conditionalFormatting sqref="J62:J63">
    <cfRule type="cellIs" dxfId="7848" priority="1140" operator="greaterThan">
      <formula>2430</formula>
    </cfRule>
  </conditionalFormatting>
  <conditionalFormatting sqref="J64">
    <cfRule type="cellIs" dxfId="7847" priority="6944" operator="greaterThan">
      <formula>2430</formula>
    </cfRule>
  </conditionalFormatting>
  <conditionalFormatting sqref="J65">
    <cfRule type="cellIs" dxfId="7846" priority="7909" operator="greaterThan">
      <formula>2430</formula>
    </cfRule>
  </conditionalFormatting>
  <conditionalFormatting sqref="J66">
    <cfRule type="cellIs" dxfId="7845" priority="1091" operator="greaterThan">
      <formula>2430</formula>
    </cfRule>
  </conditionalFormatting>
  <conditionalFormatting sqref="J67:J69">
    <cfRule type="cellIs" dxfId="7844" priority="1067" operator="greaterThan">
      <formula>2430</formula>
    </cfRule>
  </conditionalFormatting>
  <conditionalFormatting sqref="J70:J71">
    <cfRule type="cellIs" dxfId="7843" priority="6800" operator="greaterThan">
      <formula>2430</formula>
    </cfRule>
  </conditionalFormatting>
  <conditionalFormatting sqref="J72">
    <cfRule type="cellIs" dxfId="7842" priority="1033" operator="greaterThan">
      <formula>2430</formula>
    </cfRule>
  </conditionalFormatting>
  <conditionalFormatting sqref="J73:J74">
    <cfRule type="cellIs" dxfId="7841" priority="1009" operator="greaterThan">
      <formula>2430</formula>
    </cfRule>
  </conditionalFormatting>
  <conditionalFormatting sqref="J75">
    <cfRule type="cellIs" dxfId="7840" priority="6752" operator="greaterThan">
      <formula>2430</formula>
    </cfRule>
  </conditionalFormatting>
  <conditionalFormatting sqref="J76">
    <cfRule type="cellIs" dxfId="7839" priority="18568" operator="greaterThan">
      <formula>2430</formula>
    </cfRule>
  </conditionalFormatting>
  <conditionalFormatting sqref="J77">
    <cfRule type="cellIs" dxfId="7838" priority="6729" operator="greaterThan">
      <formula>2430</formula>
    </cfRule>
  </conditionalFormatting>
  <conditionalFormatting sqref="J78:J81">
    <cfRule type="cellIs" dxfId="7837" priority="957" operator="greaterThan">
      <formula>2430</formula>
    </cfRule>
  </conditionalFormatting>
  <conditionalFormatting sqref="J82">
    <cfRule type="cellIs" dxfId="7836" priority="6680" operator="greaterThan">
      <formula>2430</formula>
    </cfRule>
  </conditionalFormatting>
  <conditionalFormatting sqref="J86">
    <cfRule type="cellIs" dxfId="7835" priority="6656" operator="greaterThan">
      <formula>2430</formula>
    </cfRule>
  </conditionalFormatting>
  <conditionalFormatting sqref="J87">
    <cfRule type="cellIs" dxfId="7834" priority="909" operator="greaterThan">
      <formula>2430</formula>
    </cfRule>
  </conditionalFormatting>
  <conditionalFormatting sqref="J88">
    <cfRule type="cellIs" dxfId="7833" priority="885" operator="greaterThan">
      <formula>2430</formula>
    </cfRule>
  </conditionalFormatting>
  <conditionalFormatting sqref="J89">
    <cfRule type="cellIs" dxfId="7832" priority="861" operator="greaterThan">
      <formula>2430</formula>
    </cfRule>
  </conditionalFormatting>
  <conditionalFormatting sqref="J90:J92">
    <cfRule type="cellIs" dxfId="7831" priority="809" operator="greaterThan">
      <formula>2430</formula>
    </cfRule>
  </conditionalFormatting>
  <conditionalFormatting sqref="J93">
    <cfRule type="cellIs" dxfId="7830" priority="6584" operator="greaterThan">
      <formula>2430</formula>
    </cfRule>
  </conditionalFormatting>
  <conditionalFormatting sqref="J94">
    <cfRule type="cellIs" dxfId="7829" priority="775" operator="greaterThan">
      <formula>2430</formula>
    </cfRule>
  </conditionalFormatting>
  <conditionalFormatting sqref="J95">
    <cfRule type="cellIs" dxfId="7828" priority="751" operator="greaterThan">
      <formula>2430</formula>
    </cfRule>
  </conditionalFormatting>
  <conditionalFormatting sqref="J96:J98">
    <cfRule type="cellIs" dxfId="7827" priority="702" operator="greaterThan">
      <formula>2430</formula>
    </cfRule>
  </conditionalFormatting>
  <conditionalFormatting sqref="J99">
    <cfRule type="cellIs" dxfId="7826" priority="668" operator="greaterThan">
      <formula>2430</formula>
    </cfRule>
  </conditionalFormatting>
  <conditionalFormatting sqref="J100 J103 J107">
    <cfRule type="cellIs" dxfId="7825" priority="6416" operator="greaterThan">
      <formula>2430</formula>
    </cfRule>
  </conditionalFormatting>
  <conditionalFormatting sqref="J101:J102">
    <cfRule type="cellIs" dxfId="7824" priority="620" operator="greaterThan">
      <formula>2430</formula>
    </cfRule>
  </conditionalFormatting>
  <conditionalFormatting sqref="J104:J106">
    <cfRule type="cellIs" dxfId="7823" priority="596" operator="greaterThan">
      <formula>2430</formula>
    </cfRule>
  </conditionalFormatting>
  <conditionalFormatting sqref="J108:J110">
    <cfRule type="cellIs" dxfId="7822" priority="572" operator="greaterThan">
      <formula>2430</formula>
    </cfRule>
  </conditionalFormatting>
  <conditionalFormatting sqref="J111">
    <cfRule type="cellIs" dxfId="7821" priority="6367" operator="greaterThan">
      <formula>2430</formula>
    </cfRule>
  </conditionalFormatting>
  <conditionalFormatting sqref="J112:J114">
    <cfRule type="cellIs" dxfId="7820" priority="500" operator="greaterThan">
      <formula>2430</formula>
    </cfRule>
  </conditionalFormatting>
  <conditionalFormatting sqref="J115 J119 J122 J125:J126 J130">
    <cfRule type="cellIs" dxfId="7819" priority="6295" operator="greaterThan">
      <formula>2430</formula>
    </cfRule>
  </conditionalFormatting>
  <conditionalFormatting sqref="J116">
    <cfRule type="cellIs" dxfId="7818" priority="524" operator="greaterThan">
      <formula>2430</formula>
    </cfRule>
  </conditionalFormatting>
  <conditionalFormatting sqref="J117:J118">
    <cfRule type="cellIs" dxfId="7817" priority="476" operator="greaterThan">
      <formula>2430</formula>
    </cfRule>
  </conditionalFormatting>
  <conditionalFormatting sqref="J120:J121">
    <cfRule type="cellIs" dxfId="7816" priority="442" operator="greaterThan">
      <formula>2430</formula>
    </cfRule>
  </conditionalFormatting>
  <conditionalFormatting sqref="J123:J124">
    <cfRule type="cellIs" dxfId="7815" priority="408" operator="greaterThan">
      <formula>2430</formula>
    </cfRule>
  </conditionalFormatting>
  <conditionalFormatting sqref="J127:J128">
    <cfRule type="cellIs" dxfId="7814" priority="206" operator="greaterThan">
      <formula>2430</formula>
    </cfRule>
  </conditionalFormatting>
  <conditionalFormatting sqref="J129">
    <cfRule type="cellIs" dxfId="7813" priority="374" operator="greaterThan">
      <formula>2430</formula>
    </cfRule>
  </conditionalFormatting>
  <conditionalFormatting sqref="J131:J132">
    <cfRule type="cellIs" dxfId="7812" priority="182" operator="greaterThan">
      <formula>2430</formula>
    </cfRule>
  </conditionalFormatting>
  <conditionalFormatting sqref="J133">
    <cfRule type="cellIs" dxfId="7811" priority="158" operator="greaterThan">
      <formula>2430</formula>
    </cfRule>
  </conditionalFormatting>
  <conditionalFormatting sqref="J134">
    <cfRule type="cellIs" dxfId="7810" priority="12585" operator="greaterThan">
      <formula>2430</formula>
    </cfRule>
  </conditionalFormatting>
  <conditionalFormatting sqref="J135">
    <cfRule type="cellIs" dxfId="7809" priority="350" operator="greaterThan">
      <formula>2430</formula>
    </cfRule>
  </conditionalFormatting>
  <conditionalFormatting sqref="J136">
    <cfRule type="cellIs" dxfId="7808" priority="134" operator="greaterThan">
      <formula>2430</formula>
    </cfRule>
  </conditionalFormatting>
  <conditionalFormatting sqref="J137 J139">
    <cfRule type="cellIs" dxfId="7807" priority="6247" operator="greaterThan">
      <formula>2430</formula>
    </cfRule>
  </conditionalFormatting>
  <conditionalFormatting sqref="J138">
    <cfRule type="cellIs" dxfId="7806" priority="100" operator="greaterThan">
      <formula>2430</formula>
    </cfRule>
  </conditionalFormatting>
  <conditionalFormatting sqref="J140">
    <cfRule type="cellIs" dxfId="7805" priority="76" operator="greaterThan">
      <formula>2430</formula>
    </cfRule>
  </conditionalFormatting>
  <conditionalFormatting sqref="J141">
    <cfRule type="cellIs" dxfId="7804" priority="21043" operator="greaterThan">
      <formula>2430</formula>
    </cfRule>
  </conditionalFormatting>
  <conditionalFormatting sqref="J142">
    <cfRule type="cellIs" dxfId="7803" priority="42" operator="greaterThan">
      <formula>2430</formula>
    </cfRule>
  </conditionalFormatting>
  <conditionalFormatting sqref="J143">
    <cfRule type="cellIs" dxfId="7802" priority="5863" operator="greaterThan">
      <formula>2430</formula>
    </cfRule>
  </conditionalFormatting>
  <conditionalFormatting sqref="J144:J198">
    <cfRule type="cellIs" dxfId="7801" priority="8" operator="greaterThan">
      <formula>2430</formula>
    </cfRule>
  </conditionalFormatting>
  <conditionalFormatting sqref="J199:J200">
    <cfRule type="cellIs" dxfId="7800" priority="5162" operator="greaterThan">
      <formula>2430</formula>
    </cfRule>
  </conditionalFormatting>
  <conditionalFormatting sqref="J201">
    <cfRule type="cellIs" dxfId="7799" priority="12753" operator="greaterThan">
      <formula>2430</formula>
    </cfRule>
  </conditionalFormatting>
  <conditionalFormatting sqref="J202">
    <cfRule type="cellIs" dxfId="7798" priority="5083" operator="greaterThan">
      <formula>2430</formula>
    </cfRule>
  </conditionalFormatting>
  <conditionalFormatting sqref="J203">
    <cfRule type="cellIs" dxfId="7797" priority="5059" operator="greaterThan">
      <formula>2430</formula>
    </cfRule>
  </conditionalFormatting>
  <conditionalFormatting sqref="J204">
    <cfRule type="cellIs" dxfId="7796" priority="13354" operator="greaterThan">
      <formula>2430</formula>
    </cfRule>
  </conditionalFormatting>
  <conditionalFormatting sqref="J205">
    <cfRule type="cellIs" dxfId="7795" priority="4939" operator="greaterThan">
      <formula>2430</formula>
    </cfRule>
  </conditionalFormatting>
  <conditionalFormatting sqref="J206:J222">
    <cfRule type="cellIs" dxfId="7794" priority="4893" operator="greaterThan">
      <formula>2430</formula>
    </cfRule>
  </conditionalFormatting>
  <conditionalFormatting sqref="J223">
    <cfRule type="cellIs" dxfId="7793" priority="4914" operator="greaterThan">
      <formula>2430</formula>
    </cfRule>
  </conditionalFormatting>
  <conditionalFormatting sqref="J224 J226:J227">
    <cfRule type="cellIs" dxfId="7792" priority="4872" operator="greaterThan">
      <formula>2430</formula>
    </cfRule>
  </conditionalFormatting>
  <conditionalFormatting sqref="J225">
    <cfRule type="cellIs" dxfId="7791" priority="4866" operator="greaterThan">
      <formula>2430</formula>
    </cfRule>
  </conditionalFormatting>
  <conditionalFormatting sqref="J228">
    <cfRule type="cellIs" dxfId="7790" priority="12825" operator="greaterThan">
      <formula>2430</formula>
    </cfRule>
  </conditionalFormatting>
  <conditionalFormatting sqref="J229">
    <cfRule type="cellIs" dxfId="7789" priority="12849" operator="greaterThan">
      <formula>2430</formula>
    </cfRule>
  </conditionalFormatting>
  <conditionalFormatting sqref="J230">
    <cfRule type="cellIs" dxfId="7788" priority="4839" operator="greaterThan">
      <formula>2430</formula>
    </cfRule>
  </conditionalFormatting>
  <conditionalFormatting sqref="J231:J237">
    <cfRule type="cellIs" dxfId="7787" priority="4815" operator="greaterThan">
      <formula>2430</formula>
    </cfRule>
  </conditionalFormatting>
  <conditionalFormatting sqref="J238">
    <cfRule type="cellIs" dxfId="7786" priority="4790" operator="greaterThan">
      <formula>2430</formula>
    </cfRule>
  </conditionalFormatting>
  <conditionalFormatting sqref="J239">
    <cfRule type="cellIs" dxfId="7785" priority="16200" operator="greaterThan">
      <formula>2430</formula>
    </cfRule>
  </conditionalFormatting>
  <conditionalFormatting sqref="J240">
    <cfRule type="cellIs" dxfId="7784" priority="4694" operator="greaterThan">
      <formula>2430</formula>
    </cfRule>
  </conditionalFormatting>
  <conditionalFormatting sqref="J241">
    <cfRule type="cellIs" dxfId="7783" priority="4766" operator="greaterThan">
      <formula>2430</formula>
    </cfRule>
  </conditionalFormatting>
  <conditionalFormatting sqref="J242">
    <cfRule type="cellIs" dxfId="7782" priority="12945" operator="greaterThan">
      <formula>2430</formula>
    </cfRule>
  </conditionalFormatting>
  <conditionalFormatting sqref="J243">
    <cfRule type="cellIs" dxfId="7781" priority="4742" operator="greaterThan">
      <formula>2430</formula>
    </cfRule>
  </conditionalFormatting>
  <conditionalFormatting sqref="J244">
    <cfRule type="cellIs" dxfId="7780" priority="4670" operator="greaterThan">
      <formula>2430</formula>
    </cfRule>
  </conditionalFormatting>
  <conditionalFormatting sqref="J245:J251">
    <cfRule type="cellIs" dxfId="7779" priority="4622" operator="greaterThan">
      <formula>2430</formula>
    </cfRule>
  </conditionalFormatting>
  <conditionalFormatting sqref="J252">
    <cfRule type="cellIs" dxfId="7778" priority="4598" operator="greaterThan">
      <formula>2430</formula>
    </cfRule>
  </conditionalFormatting>
  <conditionalFormatting sqref="J253">
    <cfRule type="cellIs" dxfId="7777" priority="4646" operator="greaterThan">
      <formula>2430</formula>
    </cfRule>
  </conditionalFormatting>
  <conditionalFormatting sqref="J254">
    <cfRule type="cellIs" dxfId="7776" priority="4574" operator="greaterThan">
      <formula>2430</formula>
    </cfRule>
  </conditionalFormatting>
  <conditionalFormatting sqref="J255">
    <cfRule type="cellIs" dxfId="7775" priority="16050" operator="greaterThan">
      <formula>2430</formula>
    </cfRule>
  </conditionalFormatting>
  <conditionalFormatting sqref="J256">
    <cfRule type="cellIs" dxfId="7774" priority="4550" operator="greaterThan">
      <formula>2430</formula>
    </cfRule>
  </conditionalFormatting>
  <conditionalFormatting sqref="J257">
    <cfRule type="cellIs" dxfId="7773" priority="4428" operator="greaterThan">
      <formula>2430</formula>
    </cfRule>
  </conditionalFormatting>
  <conditionalFormatting sqref="J258:J261">
    <cfRule type="cellIs" dxfId="7772" priority="4404" operator="greaterThan">
      <formula>2430</formula>
    </cfRule>
  </conditionalFormatting>
  <conditionalFormatting sqref="J262">
    <cfRule type="cellIs" dxfId="7771" priority="4452" operator="greaterThan">
      <formula>2430</formula>
    </cfRule>
  </conditionalFormatting>
  <conditionalFormatting sqref="J263:J264">
    <cfRule type="cellIs" dxfId="7770" priority="4380" operator="greaterThan">
      <formula>2430</formula>
    </cfRule>
  </conditionalFormatting>
  <conditionalFormatting sqref="J265">
    <cfRule type="cellIs" dxfId="7769" priority="4321" operator="greaterThan">
      <formula>2430</formula>
    </cfRule>
  </conditionalFormatting>
  <conditionalFormatting sqref="J266">
    <cfRule type="cellIs" dxfId="7768" priority="4356" operator="greaterThan">
      <formula>2430</formula>
    </cfRule>
  </conditionalFormatting>
  <conditionalFormatting sqref="J267">
    <cfRule type="cellIs" dxfId="7767" priority="4250" operator="greaterThan">
      <formula>2430</formula>
    </cfRule>
  </conditionalFormatting>
  <conditionalFormatting sqref="J268:J274">
    <cfRule type="cellIs" dxfId="7766" priority="4226" operator="greaterThan">
      <formula>2430</formula>
    </cfRule>
  </conditionalFormatting>
  <conditionalFormatting sqref="J275">
    <cfRule type="cellIs" dxfId="7765" priority="19495" operator="greaterThan">
      <formula>2430</formula>
    </cfRule>
  </conditionalFormatting>
  <conditionalFormatting sqref="J276">
    <cfRule type="cellIs" dxfId="7764" priority="4154" operator="greaterThan">
      <formula>2430</formula>
    </cfRule>
  </conditionalFormatting>
  <conditionalFormatting sqref="J277:J278">
    <cfRule type="cellIs" dxfId="7763" priority="4202" operator="greaterThan">
      <formula>2430</formula>
    </cfRule>
  </conditionalFormatting>
  <conditionalFormatting sqref="J279:J281">
    <cfRule type="cellIs" dxfId="7762" priority="12177" operator="greaterThan">
      <formula>2430</formula>
    </cfRule>
  </conditionalFormatting>
  <conditionalFormatting sqref="J282">
    <cfRule type="cellIs" dxfId="7761" priority="4129" operator="greaterThan">
      <formula>2430</formula>
    </cfRule>
  </conditionalFormatting>
  <conditionalFormatting sqref="J283:J290">
    <cfRule type="cellIs" dxfId="7760" priority="4105" operator="greaterThan">
      <formula>2430</formula>
    </cfRule>
  </conditionalFormatting>
  <conditionalFormatting sqref="J291">
    <cfRule type="cellIs" dxfId="7759" priority="12080" operator="greaterThan">
      <formula>2430</formula>
    </cfRule>
  </conditionalFormatting>
  <conditionalFormatting sqref="J292">
    <cfRule type="cellIs" dxfId="7758" priority="11910" operator="greaterThan">
      <formula>2430</formula>
    </cfRule>
  </conditionalFormatting>
  <conditionalFormatting sqref="J293">
    <cfRule type="cellIs" dxfId="7757" priority="4081" operator="greaterThan">
      <formula>2430</formula>
    </cfRule>
  </conditionalFormatting>
  <conditionalFormatting sqref="J294:J298">
    <cfRule type="cellIs" dxfId="7756" priority="4057" operator="greaterThan">
      <formula>2430</formula>
    </cfRule>
  </conditionalFormatting>
  <conditionalFormatting sqref="J299">
    <cfRule type="cellIs" dxfId="7755" priority="4033" operator="greaterThan">
      <formula>2430</formula>
    </cfRule>
  </conditionalFormatting>
  <conditionalFormatting sqref="J300">
    <cfRule type="cellIs" dxfId="7754" priority="4008" operator="greaterThan">
      <formula>2430</formula>
    </cfRule>
  </conditionalFormatting>
  <conditionalFormatting sqref="J301:J302">
    <cfRule type="cellIs" dxfId="7753" priority="12032" operator="greaterThan">
      <formula>2430</formula>
    </cfRule>
  </conditionalFormatting>
  <conditionalFormatting sqref="J303">
    <cfRule type="cellIs" dxfId="7752" priority="3984" operator="greaterThan">
      <formula>2430</formula>
    </cfRule>
  </conditionalFormatting>
  <conditionalFormatting sqref="J304:J311">
    <cfRule type="cellIs" dxfId="7751" priority="3960" operator="greaterThan">
      <formula>2430</formula>
    </cfRule>
  </conditionalFormatting>
  <conditionalFormatting sqref="J312">
    <cfRule type="cellIs" dxfId="7750" priority="11935" operator="greaterThan">
      <formula>2430</formula>
    </cfRule>
  </conditionalFormatting>
  <conditionalFormatting sqref="J313">
    <cfRule type="cellIs" dxfId="7749" priority="11885" operator="greaterThan">
      <formula>2430</formula>
    </cfRule>
  </conditionalFormatting>
  <conditionalFormatting sqref="J314">
    <cfRule type="cellIs" dxfId="7748" priority="3936" operator="greaterThan">
      <formula>2430</formula>
    </cfRule>
  </conditionalFormatting>
  <conditionalFormatting sqref="J315:J319">
    <cfRule type="cellIs" dxfId="7747" priority="3912" operator="greaterThan">
      <formula>2430</formula>
    </cfRule>
  </conditionalFormatting>
  <conditionalFormatting sqref="J320">
    <cfRule type="cellIs" dxfId="7746" priority="3888" operator="greaterThan">
      <formula>2430</formula>
    </cfRule>
  </conditionalFormatting>
  <conditionalFormatting sqref="J321">
    <cfRule type="cellIs" dxfId="7745" priority="3863" operator="greaterThan">
      <formula>2430</formula>
    </cfRule>
  </conditionalFormatting>
  <conditionalFormatting sqref="J322">
    <cfRule type="cellIs" dxfId="7744" priority="3839" operator="greaterThan">
      <formula>2430</formula>
    </cfRule>
  </conditionalFormatting>
  <conditionalFormatting sqref="J323">
    <cfRule type="cellIs" dxfId="7743" priority="11810" operator="greaterThan">
      <formula>2430</formula>
    </cfRule>
  </conditionalFormatting>
  <conditionalFormatting sqref="J324">
    <cfRule type="cellIs" dxfId="7742" priority="3815" operator="greaterThan">
      <formula>2430</formula>
    </cfRule>
  </conditionalFormatting>
  <conditionalFormatting sqref="J325:J332">
    <cfRule type="cellIs" dxfId="7741" priority="3741" operator="greaterThan">
      <formula>2430</formula>
    </cfRule>
  </conditionalFormatting>
  <conditionalFormatting sqref="J333:J334">
    <cfRule type="cellIs" dxfId="7740" priority="11714" operator="greaterThan">
      <formula>2430</formula>
    </cfRule>
  </conditionalFormatting>
  <conditionalFormatting sqref="J335">
    <cfRule type="cellIs" dxfId="7739" priority="3667" operator="greaterThan">
      <formula>2430</formula>
    </cfRule>
  </conditionalFormatting>
  <conditionalFormatting sqref="J336:J342">
    <cfRule type="cellIs" dxfId="7738" priority="3643" operator="greaterThan">
      <formula>2430</formula>
    </cfRule>
  </conditionalFormatting>
  <conditionalFormatting sqref="J343:J344">
    <cfRule type="cellIs" dxfId="7737" priority="11641" operator="greaterThan">
      <formula>2430</formula>
    </cfRule>
  </conditionalFormatting>
  <conditionalFormatting sqref="J345">
    <cfRule type="cellIs" dxfId="7736" priority="3595" operator="greaterThan">
      <formula>2430</formula>
    </cfRule>
  </conditionalFormatting>
  <conditionalFormatting sqref="J346:J355">
    <cfRule type="cellIs" dxfId="7735" priority="3571" operator="greaterThan">
      <formula>2430</formula>
    </cfRule>
  </conditionalFormatting>
  <conditionalFormatting sqref="J356:J357">
    <cfRule type="cellIs" dxfId="7734" priority="11593" operator="greaterThan">
      <formula>2430</formula>
    </cfRule>
  </conditionalFormatting>
  <conditionalFormatting sqref="J358">
    <cfRule type="cellIs" dxfId="7733" priority="3547" operator="greaterThan">
      <formula>2430</formula>
    </cfRule>
  </conditionalFormatting>
  <conditionalFormatting sqref="J359:J375">
    <cfRule type="cellIs" dxfId="7732" priority="3501" operator="greaterThan">
      <formula>2430</formula>
    </cfRule>
  </conditionalFormatting>
  <conditionalFormatting sqref="J376">
    <cfRule type="cellIs" dxfId="7731" priority="3522" operator="greaterThan">
      <formula>2430</formula>
    </cfRule>
  </conditionalFormatting>
  <conditionalFormatting sqref="J377 J379:J380">
    <cfRule type="cellIs" dxfId="7730" priority="3480" operator="greaterThan">
      <formula>2430</formula>
    </cfRule>
  </conditionalFormatting>
  <conditionalFormatting sqref="J378">
    <cfRule type="cellIs" dxfId="7729" priority="3474" operator="greaterThan">
      <formula>2430</formula>
    </cfRule>
  </conditionalFormatting>
  <conditionalFormatting sqref="J381:J382 J391">
    <cfRule type="cellIs" dxfId="7728" priority="11353" operator="greaterThan">
      <formula>2430</formula>
    </cfRule>
  </conditionalFormatting>
  <conditionalFormatting sqref="J383">
    <cfRule type="cellIs" dxfId="7727" priority="3447" operator="greaterThan">
      <formula>2430</formula>
    </cfRule>
  </conditionalFormatting>
  <conditionalFormatting sqref="J384:J390">
    <cfRule type="cellIs" dxfId="7726" priority="3423" operator="greaterThan">
      <formula>2430</formula>
    </cfRule>
  </conditionalFormatting>
  <conditionalFormatting sqref="J392">
    <cfRule type="cellIs" dxfId="7725" priority="23190" operator="greaterThan">
      <formula>2430</formula>
    </cfRule>
  </conditionalFormatting>
  <conditionalFormatting sqref="J393">
    <cfRule type="cellIs" dxfId="7724" priority="3351" operator="greaterThan">
      <formula>2430</formula>
    </cfRule>
  </conditionalFormatting>
  <conditionalFormatting sqref="J394:J398 J400:J401">
    <cfRule type="cellIs" dxfId="7723" priority="3327" operator="greaterThan">
      <formula>2430</formula>
    </cfRule>
  </conditionalFormatting>
  <conditionalFormatting sqref="J399">
    <cfRule type="cellIs" dxfId="7722" priority="3303" operator="greaterThan">
      <formula>2430</formula>
    </cfRule>
  </conditionalFormatting>
  <conditionalFormatting sqref="J402">
    <cfRule type="cellIs" dxfId="7721" priority="23046" operator="greaterThan">
      <formula>2430</formula>
    </cfRule>
  </conditionalFormatting>
  <conditionalFormatting sqref="J403">
    <cfRule type="cellIs" dxfId="7720" priority="3279" operator="greaterThan">
      <formula>2430</formula>
    </cfRule>
  </conditionalFormatting>
  <conditionalFormatting sqref="J404">
    <cfRule type="cellIs" dxfId="7719" priority="3183" operator="greaterThan">
      <formula>2430</formula>
    </cfRule>
  </conditionalFormatting>
  <conditionalFormatting sqref="J405:J413">
    <cfRule type="cellIs" dxfId="7718" priority="3159" operator="greaterThan">
      <formula>2430</formula>
    </cfRule>
  </conditionalFormatting>
  <conditionalFormatting sqref="J414">
    <cfRule type="cellIs" dxfId="7717" priority="3207" operator="greaterThan">
      <formula>2430</formula>
    </cfRule>
  </conditionalFormatting>
  <conditionalFormatting sqref="J415">
    <cfRule type="cellIs" dxfId="7716" priority="11137" operator="greaterThan">
      <formula>2430</formula>
    </cfRule>
  </conditionalFormatting>
  <conditionalFormatting sqref="J416">
    <cfRule type="cellIs" dxfId="7715" priority="3135" operator="greaterThan">
      <formula>2430</formula>
    </cfRule>
  </conditionalFormatting>
  <conditionalFormatting sqref="J417:J426">
    <cfRule type="cellIs" dxfId="7714" priority="3111" operator="greaterThan">
      <formula>2430</formula>
    </cfRule>
  </conditionalFormatting>
  <conditionalFormatting sqref="J427 J429">
    <cfRule type="cellIs" dxfId="7713" priority="10786" operator="greaterThan">
      <formula>2430</formula>
    </cfRule>
  </conditionalFormatting>
  <conditionalFormatting sqref="J428">
    <cfRule type="cellIs" dxfId="7712" priority="10748" operator="greaterThan">
      <formula>2430</formula>
    </cfRule>
  </conditionalFormatting>
  <conditionalFormatting sqref="J430">
    <cfRule type="cellIs" dxfId="7711" priority="3087" operator="greaterThan">
      <formula>2430</formula>
    </cfRule>
  </conditionalFormatting>
  <conditionalFormatting sqref="J431:J440">
    <cfRule type="cellIs" dxfId="7710" priority="3063" operator="greaterThan">
      <formula>2430</formula>
    </cfRule>
  </conditionalFormatting>
  <conditionalFormatting sqref="J441">
    <cfRule type="cellIs" dxfId="7709" priority="10858" operator="greaterThan">
      <formula>2430</formula>
    </cfRule>
  </conditionalFormatting>
  <conditionalFormatting sqref="J442">
    <cfRule type="cellIs" dxfId="7708" priority="3049" operator="greaterThan">
      <formula>2430</formula>
    </cfRule>
  </conditionalFormatting>
  <conditionalFormatting sqref="J443">
    <cfRule type="cellIs" dxfId="7707" priority="3011" operator="greaterThan">
      <formula>2430</formula>
    </cfRule>
  </conditionalFormatting>
  <conditionalFormatting sqref="J444:J451">
    <cfRule type="cellIs" dxfId="7706" priority="2987" operator="greaterThan">
      <formula>2430</formula>
    </cfRule>
  </conditionalFormatting>
  <conditionalFormatting sqref="J452">
    <cfRule type="cellIs" dxfId="7705" priority="22781" operator="greaterThan">
      <formula>2430</formula>
    </cfRule>
  </conditionalFormatting>
  <conditionalFormatting sqref="J453">
    <cfRule type="cellIs" dxfId="7704" priority="10544" operator="greaterThan">
      <formula>2430</formula>
    </cfRule>
  </conditionalFormatting>
  <conditionalFormatting sqref="J454">
    <cfRule type="cellIs" dxfId="7703" priority="2963" operator="greaterThan">
      <formula>2430</formula>
    </cfRule>
  </conditionalFormatting>
  <conditionalFormatting sqref="J455:J462">
    <cfRule type="cellIs" dxfId="7702" priority="2939" operator="greaterThan">
      <formula>2430</formula>
    </cfRule>
  </conditionalFormatting>
  <conditionalFormatting sqref="J463:J464">
    <cfRule type="cellIs" dxfId="7701" priority="22661" operator="greaterThan">
      <formula>2430</formula>
    </cfRule>
  </conditionalFormatting>
  <conditionalFormatting sqref="J465">
    <cfRule type="cellIs" dxfId="7700" priority="2915" operator="greaterThan">
      <formula>2430</formula>
    </cfRule>
  </conditionalFormatting>
  <conditionalFormatting sqref="J466:J473">
    <cfRule type="cellIs" dxfId="7699" priority="2891" operator="greaterThan">
      <formula>2430</formula>
    </cfRule>
  </conditionalFormatting>
  <conditionalFormatting sqref="J474">
    <cfRule type="cellIs" dxfId="7698" priority="26684" operator="greaterThan">
      <formula>2430</formula>
    </cfRule>
  </conditionalFormatting>
  <conditionalFormatting sqref="J475">
    <cfRule type="cellIs" dxfId="7697" priority="2867" operator="greaterThan">
      <formula>2430</formula>
    </cfRule>
  </conditionalFormatting>
  <conditionalFormatting sqref="J476:J483">
    <cfRule type="cellIs" dxfId="7696" priority="2843" operator="greaterThan">
      <formula>2430</formula>
    </cfRule>
  </conditionalFormatting>
  <conditionalFormatting sqref="J484">
    <cfRule type="cellIs" dxfId="7695" priority="2819" operator="greaterThan">
      <formula>2430</formula>
    </cfRule>
  </conditionalFormatting>
  <conditionalFormatting sqref="J485">
    <cfRule type="cellIs" dxfId="7694" priority="22541" operator="greaterThan">
      <formula>2430</formula>
    </cfRule>
  </conditionalFormatting>
  <conditionalFormatting sqref="J486">
    <cfRule type="cellIs" dxfId="7693" priority="2747" operator="greaterThan">
      <formula>2430</formula>
    </cfRule>
  </conditionalFormatting>
  <conditionalFormatting sqref="J487:J496">
    <cfRule type="cellIs" dxfId="7692" priority="2723" operator="greaterThan">
      <formula>2430</formula>
    </cfRule>
  </conditionalFormatting>
  <conditionalFormatting sqref="J497">
    <cfRule type="cellIs" dxfId="7691" priority="42615" operator="greaterThan">
      <formula>2430</formula>
    </cfRule>
  </conditionalFormatting>
  <conditionalFormatting sqref="J498">
    <cfRule type="cellIs" dxfId="7690" priority="2699" operator="greaterThan">
      <formula>2430</formula>
    </cfRule>
  </conditionalFormatting>
  <conditionalFormatting sqref="J499">
    <cfRule type="cellIs" dxfId="7689" priority="2675" operator="greaterThan">
      <formula>2430</formula>
    </cfRule>
  </conditionalFormatting>
  <conditionalFormatting sqref="J500:J507">
    <cfRule type="cellIs" dxfId="7688" priority="2651" operator="greaterThan">
      <formula>2430</formula>
    </cfRule>
  </conditionalFormatting>
  <conditionalFormatting sqref="J508">
    <cfRule type="cellIs" dxfId="7687" priority="47813" operator="greaterThan">
      <formula>2430</formula>
    </cfRule>
  </conditionalFormatting>
  <conditionalFormatting sqref="J509">
    <cfRule type="cellIs" dxfId="7686" priority="2603" operator="greaterThan">
      <formula>2430</formula>
    </cfRule>
  </conditionalFormatting>
  <conditionalFormatting sqref="J510">
    <cfRule type="cellIs" dxfId="7685" priority="2627" operator="greaterThan">
      <formula>2430</formula>
    </cfRule>
  </conditionalFormatting>
  <conditionalFormatting sqref="J511:J518">
    <cfRule type="cellIs" dxfId="7684" priority="2555" operator="greaterThan">
      <formula>2430</formula>
    </cfRule>
  </conditionalFormatting>
  <conditionalFormatting sqref="J519">
    <cfRule type="cellIs" dxfId="7683" priority="47621" operator="greaterThan">
      <formula>2430</formula>
    </cfRule>
  </conditionalFormatting>
  <conditionalFormatting sqref="J520">
    <cfRule type="cellIs" dxfId="7682" priority="2531" operator="greaterThan">
      <formula>2430</formula>
    </cfRule>
  </conditionalFormatting>
  <conditionalFormatting sqref="J521">
    <cfRule type="cellIs" dxfId="7681" priority="2483" operator="greaterThan">
      <formula>2430</formula>
    </cfRule>
  </conditionalFormatting>
  <conditionalFormatting sqref="J522:J529">
    <cfRule type="cellIs" dxfId="7680" priority="2459" operator="greaterThan">
      <formula>2430</formula>
    </cfRule>
  </conditionalFormatting>
  <conditionalFormatting sqref="J530:J531">
    <cfRule type="cellIs" dxfId="7679" priority="52829" operator="greaterThan">
      <formula>2430</formula>
    </cfRule>
  </conditionalFormatting>
  <conditionalFormatting sqref="J532">
    <cfRule type="cellIs" dxfId="7678" priority="2435" operator="greaterThan">
      <formula>2430</formula>
    </cfRule>
  </conditionalFormatting>
  <conditionalFormatting sqref="J533:J540">
    <cfRule type="cellIs" dxfId="7677" priority="2411" operator="greaterThan">
      <formula>2430</formula>
    </cfRule>
  </conditionalFormatting>
  <conditionalFormatting sqref="J541">
    <cfRule type="cellIs" dxfId="7676" priority="2363" operator="greaterThan">
      <formula>2430</formula>
    </cfRule>
  </conditionalFormatting>
  <conditionalFormatting sqref="J542">
    <cfRule type="cellIs" dxfId="7675" priority="2387" operator="greaterThan">
      <formula>2430</formula>
    </cfRule>
  </conditionalFormatting>
  <conditionalFormatting sqref="J543">
    <cfRule type="cellIs" dxfId="7674" priority="2315" operator="greaterThan">
      <formula>2430</formula>
    </cfRule>
  </conditionalFormatting>
  <conditionalFormatting sqref="J544:J548 J550:J551">
    <cfRule type="cellIs" dxfId="7673" priority="2291" operator="greaterThan">
      <formula>2430</formula>
    </cfRule>
  </conditionalFormatting>
  <conditionalFormatting sqref="J549">
    <cfRule type="cellIs" dxfId="7672" priority="2267" operator="greaterThan">
      <formula>2430</formula>
    </cfRule>
  </conditionalFormatting>
  <conditionalFormatting sqref="J552:J553">
    <cfRule type="cellIs" dxfId="7671" priority="36592" operator="greaterThan">
      <formula>2430</formula>
    </cfRule>
  </conditionalFormatting>
  <conditionalFormatting sqref="J554">
    <cfRule type="cellIs" dxfId="7670" priority="2243" operator="greaterThan">
      <formula>2430</formula>
    </cfRule>
  </conditionalFormatting>
  <conditionalFormatting sqref="J555:J559">
    <cfRule type="cellIs" dxfId="7669" priority="2219" operator="greaterThan">
      <formula>2430</formula>
    </cfRule>
  </conditionalFormatting>
  <conditionalFormatting sqref="J560:J561">
    <cfRule type="cellIs" dxfId="7668" priority="52709" operator="greaterThan">
      <formula>2430</formula>
    </cfRule>
  </conditionalFormatting>
  <conditionalFormatting sqref="J562">
    <cfRule type="cellIs" dxfId="7667" priority="2123" operator="greaterThan">
      <formula>2430</formula>
    </cfRule>
  </conditionalFormatting>
  <conditionalFormatting sqref="J563">
    <cfRule type="cellIs" dxfId="7666" priority="60553" operator="greaterThan">
      <formula>2430</formula>
    </cfRule>
  </conditionalFormatting>
  <conditionalFormatting sqref="J564">
    <cfRule type="cellIs" dxfId="7665" priority="2099" operator="greaterThan">
      <formula>2430</formula>
    </cfRule>
  </conditionalFormatting>
  <conditionalFormatting sqref="J565">
    <cfRule type="cellIs" dxfId="7664" priority="2075" operator="greaterThan">
      <formula>2430</formula>
    </cfRule>
  </conditionalFormatting>
  <conditionalFormatting sqref="J566:J575">
    <cfRule type="cellIs" dxfId="7663" priority="2051" operator="greaterThan">
      <formula>2430</formula>
    </cfRule>
  </conditionalFormatting>
  <conditionalFormatting sqref="J576">
    <cfRule type="cellIs" dxfId="7662" priority="60505" operator="greaterThan">
      <formula>2430</formula>
    </cfRule>
  </conditionalFormatting>
  <conditionalFormatting sqref="J577 J595:J596 J613:J614 J622 J626 J639:J640 J654:J655 J662:J663 J668:J669 J672:J673 J682:J683 J697 J699:J700 J717:J718 J735:J736 J753:J754">
    <cfRule type="cellIs" dxfId="7661" priority="76863" operator="greaterThan">
      <formula>2430</formula>
    </cfRule>
  </conditionalFormatting>
  <conditionalFormatting sqref="J578">
    <cfRule type="cellIs" dxfId="7660" priority="1979" operator="greaterThan">
      <formula>2430</formula>
    </cfRule>
  </conditionalFormatting>
  <conditionalFormatting sqref="J579:J586">
    <cfRule type="cellIs" dxfId="7659" priority="1955" operator="greaterThan">
      <formula>2430</formula>
    </cfRule>
  </conditionalFormatting>
  <conditionalFormatting sqref="J587">
    <cfRule type="cellIs" dxfId="7658" priority="1931" operator="greaterThan">
      <formula>2430</formula>
    </cfRule>
  </conditionalFormatting>
  <conditionalFormatting sqref="J588:J590 J592 J594">
    <cfRule type="cellIs" dxfId="7657" priority="60408" operator="greaterThan">
      <formula>2430</formula>
    </cfRule>
  </conditionalFormatting>
  <conditionalFormatting sqref="J591">
    <cfRule type="cellIs" dxfId="7656" priority="1907" operator="greaterThan">
      <formula>2430</formula>
    </cfRule>
  </conditionalFormatting>
  <conditionalFormatting sqref="J593">
    <cfRule type="cellIs" dxfId="7655" priority="1883" operator="greaterThan">
      <formula>2430</formula>
    </cfRule>
  </conditionalFormatting>
  <conditionalFormatting sqref="J597">
    <cfRule type="cellIs" dxfId="7654" priority="60384" operator="greaterThan">
      <formula>2430</formula>
    </cfRule>
  </conditionalFormatting>
  <conditionalFormatting sqref="J598:J602">
    <cfRule type="cellIs" dxfId="7653" priority="60336" operator="greaterThan">
      <formula>2430</formula>
    </cfRule>
  </conditionalFormatting>
  <conditionalFormatting sqref="J603">
    <cfRule type="cellIs" dxfId="7652" priority="60288" operator="greaterThan">
      <formula>2430</formula>
    </cfRule>
  </conditionalFormatting>
  <conditionalFormatting sqref="J604">
    <cfRule type="cellIs" dxfId="7651" priority="60360" operator="greaterThan">
      <formula>2430</formula>
    </cfRule>
  </conditionalFormatting>
  <conditionalFormatting sqref="J605:J612">
    <cfRule type="cellIs" dxfId="7650" priority="60312" operator="greaterThan">
      <formula>2430</formula>
    </cfRule>
  </conditionalFormatting>
  <conditionalFormatting sqref="J615">
    <cfRule type="cellIs" dxfId="7649" priority="60264" operator="greaterThan">
      <formula>2430</formula>
    </cfRule>
  </conditionalFormatting>
  <conditionalFormatting sqref="J616:J621">
    <cfRule type="cellIs" dxfId="7648" priority="60240" operator="greaterThan">
      <formula>2430</formula>
    </cfRule>
  </conditionalFormatting>
  <conditionalFormatting sqref="J623:J625">
    <cfRule type="cellIs" dxfId="7647" priority="60216" operator="greaterThan">
      <formula>2430</formula>
    </cfRule>
  </conditionalFormatting>
  <conditionalFormatting sqref="J627">
    <cfRule type="cellIs" dxfId="7646" priority="60168" operator="greaterThan">
      <formula>2430</formula>
    </cfRule>
  </conditionalFormatting>
  <conditionalFormatting sqref="J628">
    <cfRule type="cellIs" dxfId="7645" priority="60144" operator="greaterThan">
      <formula>2430</formula>
    </cfRule>
  </conditionalFormatting>
  <conditionalFormatting sqref="J629:J634">
    <cfRule type="cellIs" dxfId="7644" priority="60096" operator="greaterThan">
      <formula>2430</formula>
    </cfRule>
  </conditionalFormatting>
  <conditionalFormatting sqref="J635">
    <cfRule type="cellIs" dxfId="7643" priority="60120" operator="greaterThan">
      <formula>2430</formula>
    </cfRule>
  </conditionalFormatting>
  <conditionalFormatting sqref="J636:J638">
    <cfRule type="cellIs" dxfId="7642" priority="60072" operator="greaterThan">
      <formula>2430</formula>
    </cfRule>
  </conditionalFormatting>
  <conditionalFormatting sqref="J641">
    <cfRule type="cellIs" dxfId="7641" priority="60048" operator="greaterThan">
      <formula>2430</formula>
    </cfRule>
  </conditionalFormatting>
  <conditionalFormatting sqref="J642:J653">
    <cfRule type="cellIs" dxfId="7640" priority="60024" operator="greaterThan">
      <formula>2430</formula>
    </cfRule>
  </conditionalFormatting>
  <conditionalFormatting sqref="J656">
    <cfRule type="cellIs" dxfId="7639" priority="60000" operator="greaterThan">
      <formula>2430</formula>
    </cfRule>
  </conditionalFormatting>
  <conditionalFormatting sqref="J657:J661">
    <cfRule type="cellIs" dxfId="7638" priority="59976" operator="greaterThan">
      <formula>2430</formula>
    </cfRule>
  </conditionalFormatting>
  <conditionalFormatting sqref="J664">
    <cfRule type="cellIs" dxfId="7637" priority="59952" operator="greaterThan">
      <formula>2430</formula>
    </cfRule>
  </conditionalFormatting>
  <conditionalFormatting sqref="J665:J667">
    <cfRule type="cellIs" dxfId="7636" priority="59928" operator="greaterThan">
      <formula>2430</formula>
    </cfRule>
  </conditionalFormatting>
  <conditionalFormatting sqref="J670:J671">
    <cfRule type="cellIs" dxfId="7635" priority="59904" operator="greaterThan">
      <formula>2430</formula>
    </cfRule>
  </conditionalFormatting>
  <conditionalFormatting sqref="J674">
    <cfRule type="cellIs" dxfId="7634" priority="59860" operator="greaterThan">
      <formula>2430</formula>
    </cfRule>
  </conditionalFormatting>
  <conditionalFormatting sqref="J675:J678">
    <cfRule type="cellIs" dxfId="7633" priority="59812" operator="greaterThan">
      <formula>2430</formula>
    </cfRule>
  </conditionalFormatting>
  <conditionalFormatting sqref="J679">
    <cfRule type="cellIs" dxfId="7632" priority="59836" operator="greaterThan">
      <formula>2430</formula>
    </cfRule>
  </conditionalFormatting>
  <conditionalFormatting sqref="J680:J681">
    <cfRule type="cellIs" dxfId="7631" priority="59788" operator="greaterThan">
      <formula>2430</formula>
    </cfRule>
  </conditionalFormatting>
  <conditionalFormatting sqref="J684">
    <cfRule type="cellIs" dxfId="7630" priority="59744" operator="greaterThan">
      <formula>2430</formula>
    </cfRule>
  </conditionalFormatting>
  <conditionalFormatting sqref="J685:J689 J693:J695 J691">
    <cfRule type="cellIs" dxfId="7629" priority="59720" operator="greaterThan">
      <formula>2430</formula>
    </cfRule>
  </conditionalFormatting>
  <conditionalFormatting sqref="J690">
    <cfRule type="cellIs" dxfId="7628" priority="59624" operator="greaterThan">
      <formula>2430</formula>
    </cfRule>
  </conditionalFormatting>
  <conditionalFormatting sqref="J692">
    <cfRule type="cellIs" dxfId="7627" priority="59648" operator="greaterThan">
      <formula>2430</formula>
    </cfRule>
  </conditionalFormatting>
  <conditionalFormatting sqref="J696">
    <cfRule type="cellIs" dxfId="7626" priority="59696" operator="greaterThan">
      <formula>2430</formula>
    </cfRule>
  </conditionalFormatting>
  <conditionalFormatting sqref="J698">
    <cfRule type="cellIs" dxfId="7625" priority="59672" operator="greaterThan">
      <formula>2430</formula>
    </cfRule>
  </conditionalFormatting>
  <conditionalFormatting sqref="J701">
    <cfRule type="cellIs" dxfId="7624" priority="59600" operator="greaterThan">
      <formula>2430</formula>
    </cfRule>
  </conditionalFormatting>
  <conditionalFormatting sqref="J702:J707">
    <cfRule type="cellIs" dxfId="7623" priority="59552" operator="greaterThan">
      <formula>2430</formula>
    </cfRule>
  </conditionalFormatting>
  <conditionalFormatting sqref="J708">
    <cfRule type="cellIs" dxfId="7622" priority="59576" operator="greaterThan">
      <formula>2430</formula>
    </cfRule>
  </conditionalFormatting>
  <conditionalFormatting sqref="J709:J716">
    <cfRule type="cellIs" dxfId="7621" priority="59528" operator="greaterThan">
      <formula>2430</formula>
    </cfRule>
  </conditionalFormatting>
  <conditionalFormatting sqref="J719">
    <cfRule type="cellIs" dxfId="7620" priority="59504" operator="greaterThan">
      <formula>2430</formula>
    </cfRule>
  </conditionalFormatting>
  <conditionalFormatting sqref="J720:J725">
    <cfRule type="cellIs" dxfId="7619" priority="59456" operator="greaterThan">
      <formula>2430</formula>
    </cfRule>
  </conditionalFormatting>
  <conditionalFormatting sqref="J726">
    <cfRule type="cellIs" dxfId="7618" priority="59480" operator="greaterThan">
      <formula>2430</formula>
    </cfRule>
  </conditionalFormatting>
  <conditionalFormatting sqref="J727:J734">
    <cfRule type="cellIs" dxfId="7617" priority="59432" operator="greaterThan">
      <formula>2430</formula>
    </cfRule>
  </conditionalFormatting>
  <conditionalFormatting sqref="J737">
    <cfRule type="cellIs" dxfId="7616" priority="59408" operator="greaterThan">
      <formula>2430</formula>
    </cfRule>
  </conditionalFormatting>
  <conditionalFormatting sqref="J738:J743">
    <cfRule type="cellIs" dxfId="7615" priority="59360" operator="greaterThan">
      <formula>2430</formula>
    </cfRule>
  </conditionalFormatting>
  <conditionalFormatting sqref="J744">
    <cfRule type="cellIs" dxfId="7614" priority="59384" operator="greaterThan">
      <formula>2430</formula>
    </cfRule>
  </conditionalFormatting>
  <conditionalFormatting sqref="J745:J752">
    <cfRule type="cellIs" dxfId="7613" priority="59336" operator="greaterThan">
      <formula>2430</formula>
    </cfRule>
  </conditionalFormatting>
  <conditionalFormatting sqref="J755">
    <cfRule type="cellIs" dxfId="7612" priority="59312" operator="greaterThan">
      <formula>2430</formula>
    </cfRule>
  </conditionalFormatting>
  <conditionalFormatting sqref="J756:J765">
    <cfRule type="cellIs" dxfId="7611" priority="59288" operator="greaterThan">
      <formula>2430</formula>
    </cfRule>
  </conditionalFormatting>
  <conditionalFormatting sqref="J766">
    <cfRule type="cellIs" dxfId="7610" priority="125144" operator="greaterThan">
      <formula>2430</formula>
    </cfRule>
  </conditionalFormatting>
  <conditionalFormatting sqref="J767:J769">
    <cfRule type="cellIs" dxfId="7609" priority="59264" operator="greaterThan">
      <formula>2430</formula>
    </cfRule>
  </conditionalFormatting>
  <conditionalFormatting sqref="J770:J771">
    <cfRule type="cellIs" dxfId="7608" priority="93049" operator="greaterThan">
      <formula>2430</formula>
    </cfRule>
  </conditionalFormatting>
  <conditionalFormatting sqref="J772">
    <cfRule type="cellIs" dxfId="7607" priority="59240" operator="greaterThan">
      <formula>2430</formula>
    </cfRule>
  </conditionalFormatting>
  <conditionalFormatting sqref="J773:J780">
    <cfRule type="cellIs" dxfId="7606" priority="59216" operator="greaterThan">
      <formula>2430</formula>
    </cfRule>
  </conditionalFormatting>
  <conditionalFormatting sqref="J781">
    <cfRule type="cellIs" dxfId="7605" priority="59191" operator="greaterThan">
      <formula>2430</formula>
    </cfRule>
  </conditionalFormatting>
  <conditionalFormatting sqref="J782:J784">
    <cfRule type="cellIs" dxfId="7604" priority="59167" operator="greaterThan">
      <formula>2430</formula>
    </cfRule>
  </conditionalFormatting>
  <conditionalFormatting sqref="J785:J786">
    <cfRule type="cellIs" dxfId="7603" priority="92925" operator="greaterThan">
      <formula>2430</formula>
    </cfRule>
  </conditionalFormatting>
  <conditionalFormatting sqref="J787">
    <cfRule type="cellIs" dxfId="7602" priority="59143" operator="greaterThan">
      <formula>2430</formula>
    </cfRule>
  </conditionalFormatting>
  <conditionalFormatting sqref="J788:J789">
    <cfRule type="cellIs" dxfId="7601" priority="59119" operator="greaterThan">
      <formula>2430</formula>
    </cfRule>
  </conditionalFormatting>
  <conditionalFormatting sqref="J790:J792">
    <cfRule type="cellIs" dxfId="7600" priority="59095" operator="greaterThan">
      <formula>2430</formula>
    </cfRule>
  </conditionalFormatting>
  <conditionalFormatting sqref="J793:J794">
    <cfRule type="cellIs" dxfId="7599" priority="59071" operator="greaterThan">
      <formula>2430</formula>
    </cfRule>
  </conditionalFormatting>
  <conditionalFormatting sqref="J795">
    <cfRule type="cellIs" dxfId="7598" priority="92852" operator="greaterThan">
      <formula>2430</formula>
    </cfRule>
  </conditionalFormatting>
  <conditionalFormatting sqref="J796:J803">
    <cfRule type="cellIs" dxfId="7597" priority="59047" operator="greaterThan">
      <formula>2430</formula>
    </cfRule>
  </conditionalFormatting>
  <conditionalFormatting sqref="J804">
    <cfRule type="cellIs" dxfId="7596" priority="92731" operator="greaterThan">
      <formula>2430</formula>
    </cfRule>
  </conditionalFormatting>
  <conditionalFormatting sqref="J805">
    <cfRule type="cellIs" dxfId="7595" priority="59022" operator="greaterThan">
      <formula>2430</formula>
    </cfRule>
  </conditionalFormatting>
  <conditionalFormatting sqref="J806">
    <cfRule type="cellIs" dxfId="7594" priority="58997" operator="greaterThan">
      <formula>2430</formula>
    </cfRule>
  </conditionalFormatting>
  <conditionalFormatting sqref="J807:J812">
    <cfRule type="cellIs" dxfId="7593" priority="58949" operator="greaterThan">
      <formula>2430</formula>
    </cfRule>
  </conditionalFormatting>
  <conditionalFormatting sqref="J813">
    <cfRule type="cellIs" dxfId="7592" priority="58973" operator="greaterThan">
      <formula>2430</formula>
    </cfRule>
  </conditionalFormatting>
  <conditionalFormatting sqref="J814:J816">
    <cfRule type="cellIs" dxfId="7591" priority="58925" operator="greaterThan">
      <formula>2430</formula>
    </cfRule>
  </conditionalFormatting>
  <conditionalFormatting sqref="J817:J818">
    <cfRule type="cellIs" dxfId="7590" priority="92586" operator="greaterThan">
      <formula>2430</formula>
    </cfRule>
  </conditionalFormatting>
  <conditionalFormatting sqref="J821">
    <cfRule type="cellIs" dxfId="7589" priority="92489" operator="greaterThan">
      <formula>2430</formula>
    </cfRule>
  </conditionalFormatting>
  <conditionalFormatting sqref="J822:J826">
    <cfRule type="cellIs" dxfId="7588" priority="92440" operator="greaterThan">
      <formula>2430</formula>
    </cfRule>
  </conditionalFormatting>
  <conditionalFormatting sqref="J827">
    <cfRule type="cellIs" dxfId="7587" priority="92465" operator="greaterThan">
      <formula>2430</formula>
    </cfRule>
  </conditionalFormatting>
  <conditionalFormatting sqref="J828">
    <cfRule type="cellIs" dxfId="7586" priority="92417" operator="greaterThan">
      <formula>2430</formula>
    </cfRule>
  </conditionalFormatting>
  <conditionalFormatting sqref="J829">
    <cfRule type="cellIs" dxfId="7585" priority="92293" operator="greaterThan">
      <formula>2430</formula>
    </cfRule>
  </conditionalFormatting>
  <conditionalFormatting sqref="J830">
    <cfRule type="cellIs" dxfId="7584" priority="92634" operator="greaterThan">
      <formula>2430</formula>
    </cfRule>
  </conditionalFormatting>
  <conditionalFormatting sqref="J831">
    <cfRule type="cellIs" dxfId="7583" priority="92391" operator="greaterThan">
      <formula>2430</formula>
    </cfRule>
  </conditionalFormatting>
  <conditionalFormatting sqref="J832:J836">
    <cfRule type="cellIs" dxfId="7582" priority="92342" operator="greaterThan">
      <formula>2430</formula>
    </cfRule>
  </conditionalFormatting>
  <conditionalFormatting sqref="J837">
    <cfRule type="cellIs" dxfId="7581" priority="92367" operator="greaterThan">
      <formula>2430</formula>
    </cfRule>
  </conditionalFormatting>
  <conditionalFormatting sqref="J838">
    <cfRule type="cellIs" dxfId="7580" priority="92319" operator="greaterThan">
      <formula>2430</formula>
    </cfRule>
  </conditionalFormatting>
  <conditionalFormatting sqref="J839">
    <cfRule type="cellIs" dxfId="7579" priority="92269" operator="greaterThan">
      <formula>2430</formula>
    </cfRule>
  </conditionalFormatting>
  <conditionalFormatting sqref="J840">
    <cfRule type="cellIs" dxfId="7578" priority="92245" operator="greaterThan">
      <formula>2430</formula>
    </cfRule>
  </conditionalFormatting>
  <conditionalFormatting sqref="J841">
    <cfRule type="cellIs" dxfId="7577" priority="92197" operator="greaterThan">
      <formula>2430</formula>
    </cfRule>
  </conditionalFormatting>
  <conditionalFormatting sqref="J842:J845">
    <cfRule type="cellIs" dxfId="7576" priority="92173" operator="greaterThan">
      <formula>2430</formula>
    </cfRule>
  </conditionalFormatting>
  <conditionalFormatting sqref="J848">
    <cfRule type="cellIs" dxfId="7575" priority="92101" operator="greaterThan">
      <formula>2430</formula>
    </cfRule>
  </conditionalFormatting>
  <conditionalFormatting sqref="J849:J852">
    <cfRule type="cellIs" dxfId="7574" priority="92077" operator="greaterThan">
      <formula>2430</formula>
    </cfRule>
  </conditionalFormatting>
  <conditionalFormatting sqref="J854:J855">
    <cfRule type="cellIs" dxfId="7573" priority="92054" operator="greaterThan">
      <formula>2430</formula>
    </cfRule>
  </conditionalFormatting>
  <conditionalFormatting sqref="J856:J857">
    <cfRule type="cellIs" dxfId="7572" priority="92025" operator="greaterThan">
      <formula>2430</formula>
    </cfRule>
  </conditionalFormatting>
  <conditionalFormatting sqref="J860">
    <cfRule type="cellIs" dxfId="7571" priority="91995" operator="greaterThan">
      <formula>2430</formula>
    </cfRule>
  </conditionalFormatting>
  <conditionalFormatting sqref="J862">
    <cfRule type="cellIs" dxfId="7570" priority="91971" operator="greaterThan">
      <formula>2430</formula>
    </cfRule>
  </conditionalFormatting>
  <conditionalFormatting sqref="J865">
    <cfRule type="cellIs" dxfId="7569" priority="92149" operator="greaterThan">
      <formula>2430</formula>
    </cfRule>
  </conditionalFormatting>
  <conditionalFormatting sqref="J866:J872">
    <cfRule type="cellIs" dxfId="7568" priority="92125" operator="greaterThan">
      <formula>2430</formula>
    </cfRule>
  </conditionalFormatting>
  <conditionalFormatting sqref="J873">
    <cfRule type="cellIs" dxfId="7567" priority="91942" operator="greaterThan">
      <formula>2430</formula>
    </cfRule>
  </conditionalFormatting>
  <conditionalFormatting sqref="J874">
    <cfRule type="cellIs" dxfId="7566" priority="91919" operator="greaterThan">
      <formula>2430</formula>
    </cfRule>
  </conditionalFormatting>
  <conditionalFormatting sqref="J877">
    <cfRule type="cellIs" dxfId="7565" priority="91893" operator="greaterThan">
      <formula>2430</formula>
    </cfRule>
  </conditionalFormatting>
  <conditionalFormatting sqref="J878:J884">
    <cfRule type="cellIs" dxfId="7564" priority="91869" operator="greaterThan">
      <formula>2430</formula>
    </cfRule>
  </conditionalFormatting>
  <conditionalFormatting sqref="J885">
    <cfRule type="cellIs" dxfId="7563" priority="91845" operator="greaterThan">
      <formula>2430</formula>
    </cfRule>
  </conditionalFormatting>
  <conditionalFormatting sqref="J886">
    <cfRule type="cellIs" dxfId="7562" priority="91822" operator="greaterThan">
      <formula>2430</formula>
    </cfRule>
  </conditionalFormatting>
  <conditionalFormatting sqref="J889">
    <cfRule type="cellIs" dxfId="7561" priority="91796" operator="greaterThan">
      <formula>2430</formula>
    </cfRule>
  </conditionalFormatting>
  <conditionalFormatting sqref="J890:J895">
    <cfRule type="cellIs" dxfId="7560" priority="91747" operator="greaterThan">
      <formula>2430</formula>
    </cfRule>
  </conditionalFormatting>
  <conditionalFormatting sqref="J896">
    <cfRule type="cellIs" dxfId="7559" priority="91673" operator="greaterThan">
      <formula>2430</formula>
    </cfRule>
  </conditionalFormatting>
  <conditionalFormatting sqref="J897">
    <cfRule type="cellIs" dxfId="7558" priority="91699" operator="greaterThan">
      <formula>2430</formula>
    </cfRule>
  </conditionalFormatting>
  <conditionalFormatting sqref="J900">
    <cfRule type="cellIs" dxfId="7557" priority="91649" operator="greaterThan">
      <formula>2430</formula>
    </cfRule>
  </conditionalFormatting>
  <conditionalFormatting sqref="J901:J906">
    <cfRule type="cellIs" dxfId="7556" priority="91624" operator="greaterThan">
      <formula>2430</formula>
    </cfRule>
  </conditionalFormatting>
  <conditionalFormatting sqref="J907">
    <cfRule type="cellIs" dxfId="7555" priority="91575" operator="greaterThan">
      <formula>2430</formula>
    </cfRule>
  </conditionalFormatting>
  <conditionalFormatting sqref="J908">
    <cfRule type="cellIs" dxfId="7554" priority="91601" operator="greaterThan">
      <formula>2430</formula>
    </cfRule>
  </conditionalFormatting>
  <conditionalFormatting sqref="J912">
    <cfRule type="cellIs" dxfId="7553" priority="91551" operator="greaterThan">
      <formula>2430</formula>
    </cfRule>
  </conditionalFormatting>
  <conditionalFormatting sqref="J913:J916">
    <cfRule type="cellIs" dxfId="7552" priority="91527" operator="greaterThan">
      <formula>2430</formula>
    </cfRule>
  </conditionalFormatting>
  <conditionalFormatting sqref="J918">
    <cfRule type="cellIs" dxfId="7551" priority="91503" operator="greaterThan">
      <formula>2430</formula>
    </cfRule>
  </conditionalFormatting>
  <conditionalFormatting sqref="J919:J922">
    <cfRule type="cellIs" dxfId="7550" priority="91479" operator="greaterThan">
      <formula>2430</formula>
    </cfRule>
  </conditionalFormatting>
  <conditionalFormatting sqref="J925">
    <cfRule type="cellIs" dxfId="7549" priority="91455" operator="greaterThan">
      <formula>2430</formula>
    </cfRule>
  </conditionalFormatting>
  <conditionalFormatting sqref="J926:J931">
    <cfRule type="cellIs" dxfId="7548" priority="91431" operator="greaterThan">
      <formula>2430</formula>
    </cfRule>
  </conditionalFormatting>
  <conditionalFormatting sqref="J934">
    <cfRule type="cellIs" dxfId="7547" priority="91407" operator="greaterThan">
      <formula>2430</formula>
    </cfRule>
  </conditionalFormatting>
  <conditionalFormatting sqref="J935:J949">
    <cfRule type="cellIs" dxfId="7546" priority="91383" operator="greaterThan">
      <formula>2430</formula>
    </cfRule>
  </conditionalFormatting>
  <conditionalFormatting sqref="J952">
    <cfRule type="cellIs" dxfId="7545" priority="91359" operator="greaterThan">
      <formula>2430</formula>
    </cfRule>
  </conditionalFormatting>
  <conditionalFormatting sqref="J954:J955">
    <cfRule type="cellIs" dxfId="7544" priority="91335" operator="greaterThan">
      <formula>2430</formula>
    </cfRule>
  </conditionalFormatting>
  <conditionalFormatting sqref="J957">
    <cfRule type="cellIs" dxfId="7543" priority="91311" operator="greaterThan">
      <formula>2430</formula>
    </cfRule>
  </conditionalFormatting>
  <conditionalFormatting sqref="J959:J961">
    <cfRule type="cellIs" dxfId="7542" priority="91287" operator="greaterThan">
      <formula>2430</formula>
    </cfRule>
  </conditionalFormatting>
  <conditionalFormatting sqref="J964">
    <cfRule type="cellIs" dxfId="7541" priority="91263" operator="greaterThan">
      <formula>2430</formula>
    </cfRule>
  </conditionalFormatting>
  <conditionalFormatting sqref="J965:J974">
    <cfRule type="cellIs" dxfId="7540" priority="91239" operator="greaterThan">
      <formula>2430</formula>
    </cfRule>
  </conditionalFormatting>
  <conditionalFormatting sqref="J977">
    <cfRule type="cellIs" dxfId="7539" priority="91215" operator="greaterThan">
      <formula>2430</formula>
    </cfRule>
  </conditionalFormatting>
  <conditionalFormatting sqref="J978:J982 J984:J988">
    <cfRule type="cellIs" dxfId="7538" priority="91191" operator="greaterThan">
      <formula>2430</formula>
    </cfRule>
  </conditionalFormatting>
  <conditionalFormatting sqref="J983">
    <cfRule type="cellIs" dxfId="7537" priority="91167" operator="greaterThan">
      <formula>2430</formula>
    </cfRule>
  </conditionalFormatting>
  <conditionalFormatting sqref="J991">
    <cfRule type="cellIs" dxfId="7536" priority="91143" operator="greaterThan">
      <formula>2430</formula>
    </cfRule>
  </conditionalFormatting>
  <conditionalFormatting sqref="J992:J996">
    <cfRule type="cellIs" dxfId="7535" priority="91047" operator="greaterThan">
      <formula>2430</formula>
    </cfRule>
  </conditionalFormatting>
  <conditionalFormatting sqref="J997:J998">
    <cfRule type="cellIs" dxfId="7534" priority="90805" operator="greaterThan">
      <formula>2430</formula>
    </cfRule>
  </conditionalFormatting>
  <conditionalFormatting sqref="J999:J1001">
    <cfRule type="cellIs" dxfId="7533" priority="90854" operator="greaterThan">
      <formula>2430</formula>
    </cfRule>
  </conditionalFormatting>
  <conditionalFormatting sqref="J1002:J1006">
    <cfRule type="cellIs" dxfId="7532" priority="91023" operator="greaterThan">
      <formula>2430</formula>
    </cfRule>
  </conditionalFormatting>
  <conditionalFormatting sqref="J1007">
    <cfRule type="cellIs" dxfId="7531" priority="91095" operator="greaterThan">
      <formula>2430</formula>
    </cfRule>
  </conditionalFormatting>
  <conditionalFormatting sqref="J1008:J1010">
    <cfRule type="cellIs" dxfId="7530" priority="90829" operator="greaterThan">
      <formula>2430</formula>
    </cfRule>
  </conditionalFormatting>
  <conditionalFormatting sqref="J1011:J1015">
    <cfRule type="cellIs" dxfId="7529" priority="90975" operator="greaterThan">
      <formula>2430</formula>
    </cfRule>
  </conditionalFormatting>
  <conditionalFormatting sqref="J1016">
    <cfRule type="cellIs" dxfId="7528" priority="90927" operator="greaterThan">
      <formula>2430</formula>
    </cfRule>
  </conditionalFormatting>
  <conditionalFormatting sqref="J1017:J1019">
    <cfRule type="cellIs" dxfId="7527" priority="90903" operator="greaterThan">
      <formula>2430</formula>
    </cfRule>
  </conditionalFormatting>
  <conditionalFormatting sqref="J1020">
    <cfRule type="cellIs" dxfId="7526" priority="91071" operator="greaterThan">
      <formula>2430</formula>
    </cfRule>
  </conditionalFormatting>
  <conditionalFormatting sqref="J1021:J1026">
    <cfRule type="cellIs" dxfId="7525" priority="90879" operator="greaterThan">
      <formula>2430</formula>
    </cfRule>
  </conditionalFormatting>
  <conditionalFormatting sqref="J1029">
    <cfRule type="cellIs" dxfId="7524" priority="90781" operator="greaterThan">
      <formula>2430</formula>
    </cfRule>
  </conditionalFormatting>
  <conditionalFormatting sqref="J1030:J1033">
    <cfRule type="cellIs" dxfId="7523" priority="90757" operator="greaterThan">
      <formula>2430</formula>
    </cfRule>
  </conditionalFormatting>
  <conditionalFormatting sqref="J1036">
    <cfRule type="cellIs" dxfId="7522" priority="90733" operator="greaterThan">
      <formula>2430</formula>
    </cfRule>
  </conditionalFormatting>
  <conditionalFormatting sqref="J1037:J1040">
    <cfRule type="cellIs" dxfId="7521" priority="90709" operator="greaterThan">
      <formula>2430</formula>
    </cfRule>
  </conditionalFormatting>
  <conditionalFormatting sqref="J1042:J1044">
    <cfRule type="cellIs" dxfId="7520" priority="90685" operator="greaterThan">
      <formula>2430</formula>
    </cfRule>
  </conditionalFormatting>
  <conditionalFormatting sqref="J1046">
    <cfRule type="cellIs" dxfId="7519" priority="90661" operator="greaterThan">
      <formula>2430</formula>
    </cfRule>
  </conditionalFormatting>
  <conditionalFormatting sqref="J1047:J1048">
    <cfRule type="cellIs" dxfId="7518" priority="90637" operator="greaterThan">
      <formula>2430</formula>
    </cfRule>
  </conditionalFormatting>
  <conditionalFormatting sqref="L1:L11 L819:L820 L875:L876 L846:L847 L853 L858:L859 L861 L863:L864 L887:L888 L898:L899 L909:L911 L917 L923:L924 L932:L933 L950:L951 L953 L956 L958 L962:L963 L975:L976 L989:L990 L1027:L1028 L1034:L1035 L1041 L1045 L1049:L1048576 L83:L85">
    <cfRule type="cellIs" dxfId="7517" priority="139034" operator="greaterThan">
      <formula>1210</formula>
    </cfRule>
  </conditionalFormatting>
  <conditionalFormatting sqref="L12">
    <cfRule type="cellIs" dxfId="7516" priority="129975" operator="greaterThan">
      <formula>1210</formula>
    </cfRule>
  </conditionalFormatting>
  <conditionalFormatting sqref="L13">
    <cfRule type="cellIs" dxfId="7515" priority="1860" operator="greaterThan">
      <formula>1210</formula>
    </cfRule>
  </conditionalFormatting>
  <conditionalFormatting sqref="L14:L16 L18">
    <cfRule type="cellIs" dxfId="7514" priority="1836" operator="greaterThan">
      <formula>1210</formula>
    </cfRule>
  </conditionalFormatting>
  <conditionalFormatting sqref="L17">
    <cfRule type="cellIs" dxfId="7513" priority="1812" operator="greaterThan">
      <formula>1210</formula>
    </cfRule>
  </conditionalFormatting>
  <conditionalFormatting sqref="L19">
    <cfRule type="cellIs" dxfId="7512" priority="7763" operator="greaterThan">
      <formula>1210</formula>
    </cfRule>
  </conditionalFormatting>
  <conditionalFormatting sqref="L20">
    <cfRule type="cellIs" dxfId="7511" priority="7739" operator="greaterThan">
      <formula>1210</formula>
    </cfRule>
  </conditionalFormatting>
  <conditionalFormatting sqref="L21:L23 L25">
    <cfRule type="cellIs" dxfId="7510" priority="1788" operator="greaterThan">
      <formula>1210</formula>
    </cfRule>
  </conditionalFormatting>
  <conditionalFormatting sqref="L24">
    <cfRule type="cellIs" dxfId="7509" priority="1764" operator="greaterThan">
      <formula>1210</formula>
    </cfRule>
  </conditionalFormatting>
  <conditionalFormatting sqref="L26:L27">
    <cfRule type="cellIs" dxfId="7508" priority="7547" operator="greaterThan">
      <formula>1210</formula>
    </cfRule>
  </conditionalFormatting>
  <conditionalFormatting sqref="L28:L30 L32">
    <cfRule type="cellIs" dxfId="7507" priority="1740" operator="greaterThan">
      <formula>1210</formula>
    </cfRule>
  </conditionalFormatting>
  <conditionalFormatting sqref="L31">
    <cfRule type="cellIs" dxfId="7506" priority="1716" operator="greaterThan">
      <formula>1210</formula>
    </cfRule>
  </conditionalFormatting>
  <conditionalFormatting sqref="L33">
    <cfRule type="cellIs" dxfId="7505" priority="7499" operator="greaterThan">
      <formula>1210</formula>
    </cfRule>
  </conditionalFormatting>
  <conditionalFormatting sqref="L34:L36 L38">
    <cfRule type="cellIs" dxfId="7504" priority="1692" operator="greaterThan">
      <formula>1210</formula>
    </cfRule>
  </conditionalFormatting>
  <conditionalFormatting sqref="L37">
    <cfRule type="cellIs" dxfId="7503" priority="1668" operator="greaterThan">
      <formula>1210</formula>
    </cfRule>
  </conditionalFormatting>
  <conditionalFormatting sqref="L39">
    <cfRule type="cellIs" dxfId="7502" priority="7235" operator="greaterThan">
      <formula>1210</formula>
    </cfRule>
  </conditionalFormatting>
  <conditionalFormatting sqref="L40">
    <cfRule type="cellIs" dxfId="7501" priority="7259" operator="greaterThan">
      <formula>1210</formula>
    </cfRule>
  </conditionalFormatting>
  <conditionalFormatting sqref="L41">
    <cfRule type="cellIs" dxfId="7500" priority="7211" operator="greaterThan">
      <formula>1210</formula>
    </cfRule>
  </conditionalFormatting>
  <conditionalFormatting sqref="L42:L43">
    <cfRule type="cellIs" dxfId="7499" priority="1595" operator="greaterThan">
      <formula>1210</formula>
    </cfRule>
  </conditionalFormatting>
  <conditionalFormatting sqref="L44">
    <cfRule type="cellIs" dxfId="7498" priority="15142" operator="greaterThan">
      <formula>1210</formula>
    </cfRule>
  </conditionalFormatting>
  <conditionalFormatting sqref="L45">
    <cfRule type="cellIs" dxfId="7497" priority="1571" operator="greaterThan">
      <formula>1210</formula>
    </cfRule>
  </conditionalFormatting>
  <conditionalFormatting sqref="L46">
    <cfRule type="cellIs" dxfId="7496" priority="1547" operator="greaterThan">
      <formula>1210</formula>
    </cfRule>
  </conditionalFormatting>
  <conditionalFormatting sqref="L47:L48">
    <cfRule type="cellIs" dxfId="7495" priority="7114" operator="greaterThan">
      <formula>1210</formula>
    </cfRule>
  </conditionalFormatting>
  <conditionalFormatting sqref="L49">
    <cfRule type="cellIs" dxfId="7494" priority="1513" operator="greaterThan">
      <formula>1210</formula>
    </cfRule>
  </conditionalFormatting>
  <conditionalFormatting sqref="L50:L51">
    <cfRule type="cellIs" dxfId="7493" priority="1384" operator="greaterThan">
      <formula>1210</formula>
    </cfRule>
  </conditionalFormatting>
  <conditionalFormatting sqref="L52">
    <cfRule type="cellIs" dxfId="7492" priority="1432" operator="greaterThan">
      <formula>1210</formula>
    </cfRule>
  </conditionalFormatting>
  <conditionalFormatting sqref="L53">
    <cfRule type="cellIs" dxfId="7491" priority="1335" operator="greaterThan">
      <formula>1210</formula>
    </cfRule>
  </conditionalFormatting>
  <conditionalFormatting sqref="L54:L55">
    <cfRule type="cellIs" dxfId="7490" priority="1311" operator="greaterThan">
      <formula>1210</formula>
    </cfRule>
  </conditionalFormatting>
  <conditionalFormatting sqref="L56">
    <cfRule type="cellIs" dxfId="7489" priority="9100" operator="greaterThan">
      <formula>1210</formula>
    </cfRule>
  </conditionalFormatting>
  <conditionalFormatting sqref="L57">
    <cfRule type="cellIs" dxfId="7488" priority="1262" operator="greaterThan">
      <formula>1210</formula>
    </cfRule>
  </conditionalFormatting>
  <conditionalFormatting sqref="L58:L59">
    <cfRule type="cellIs" dxfId="7487" priority="1214" operator="greaterThan">
      <formula>1210</formula>
    </cfRule>
  </conditionalFormatting>
  <conditionalFormatting sqref="L60">
    <cfRule type="cellIs" dxfId="7486" priority="1238" operator="greaterThan">
      <formula>1210</formula>
    </cfRule>
  </conditionalFormatting>
  <conditionalFormatting sqref="L61">
    <cfRule type="cellIs" dxfId="7485" priority="1165" operator="greaterThan">
      <formula>1210</formula>
    </cfRule>
  </conditionalFormatting>
  <conditionalFormatting sqref="L62:L63">
    <cfRule type="cellIs" dxfId="7484" priority="1141" operator="greaterThan">
      <formula>1210</formula>
    </cfRule>
  </conditionalFormatting>
  <conditionalFormatting sqref="L64">
    <cfRule type="cellIs" dxfId="7483" priority="6945" operator="greaterThan">
      <formula>1210</formula>
    </cfRule>
  </conditionalFormatting>
  <conditionalFormatting sqref="L65">
    <cfRule type="cellIs" dxfId="7482" priority="7910" operator="greaterThan">
      <formula>1210</formula>
    </cfRule>
  </conditionalFormatting>
  <conditionalFormatting sqref="L66">
    <cfRule type="cellIs" dxfId="7481" priority="1092" operator="greaterThan">
      <formula>1210</formula>
    </cfRule>
  </conditionalFormatting>
  <conditionalFormatting sqref="L67:L69">
    <cfRule type="cellIs" dxfId="7480" priority="1068" operator="greaterThan">
      <formula>1210</formula>
    </cfRule>
  </conditionalFormatting>
  <conditionalFormatting sqref="L70:L71">
    <cfRule type="cellIs" dxfId="7479" priority="6801" operator="greaterThan">
      <formula>1210</formula>
    </cfRule>
  </conditionalFormatting>
  <conditionalFormatting sqref="L72">
    <cfRule type="cellIs" dxfId="7478" priority="1034" operator="greaterThan">
      <formula>1210</formula>
    </cfRule>
  </conditionalFormatting>
  <conditionalFormatting sqref="L73:L74">
    <cfRule type="cellIs" dxfId="7477" priority="1010" operator="greaterThan">
      <formula>1210</formula>
    </cfRule>
  </conditionalFormatting>
  <conditionalFormatting sqref="L75">
    <cfRule type="cellIs" dxfId="7476" priority="6753" operator="greaterThan">
      <formula>1210</formula>
    </cfRule>
  </conditionalFormatting>
  <conditionalFormatting sqref="L76">
    <cfRule type="cellIs" dxfId="7475" priority="18569" operator="greaterThan">
      <formula>1210</formula>
    </cfRule>
  </conditionalFormatting>
  <conditionalFormatting sqref="L77">
    <cfRule type="cellIs" dxfId="7474" priority="6730" operator="greaterThan">
      <formula>1210</formula>
    </cfRule>
  </conditionalFormatting>
  <conditionalFormatting sqref="L78:L81">
    <cfRule type="cellIs" dxfId="7473" priority="958" operator="greaterThan">
      <formula>1210</formula>
    </cfRule>
  </conditionalFormatting>
  <conditionalFormatting sqref="L82">
    <cfRule type="cellIs" dxfId="7472" priority="6681" operator="greaterThan">
      <formula>1210</formula>
    </cfRule>
  </conditionalFormatting>
  <conditionalFormatting sqref="L86">
    <cfRule type="cellIs" dxfId="7471" priority="6657" operator="greaterThan">
      <formula>1210</formula>
    </cfRule>
  </conditionalFormatting>
  <conditionalFormatting sqref="L87">
    <cfRule type="cellIs" dxfId="7470" priority="910" operator="greaterThan">
      <formula>1210</formula>
    </cfRule>
  </conditionalFormatting>
  <conditionalFormatting sqref="L88">
    <cfRule type="cellIs" dxfId="7469" priority="886" operator="greaterThan">
      <formula>1210</formula>
    </cfRule>
  </conditionalFormatting>
  <conditionalFormatting sqref="L89">
    <cfRule type="cellIs" dxfId="7468" priority="862" operator="greaterThan">
      <formula>1210</formula>
    </cfRule>
  </conditionalFormatting>
  <conditionalFormatting sqref="L90:L92">
    <cfRule type="cellIs" dxfId="7467" priority="810" operator="greaterThan">
      <formula>1210</formula>
    </cfRule>
  </conditionalFormatting>
  <conditionalFormatting sqref="L93">
    <cfRule type="cellIs" dxfId="7466" priority="6585" operator="greaterThan">
      <formula>1210</formula>
    </cfRule>
  </conditionalFormatting>
  <conditionalFormatting sqref="L94">
    <cfRule type="cellIs" dxfId="7465" priority="776" operator="greaterThan">
      <formula>1210</formula>
    </cfRule>
  </conditionalFormatting>
  <conditionalFormatting sqref="L95">
    <cfRule type="cellIs" dxfId="7464" priority="752" operator="greaterThan">
      <formula>1210</formula>
    </cfRule>
  </conditionalFormatting>
  <conditionalFormatting sqref="L96:L98">
    <cfRule type="cellIs" dxfId="7463" priority="703" operator="greaterThan">
      <formula>1210</formula>
    </cfRule>
  </conditionalFormatting>
  <conditionalFormatting sqref="L99">
    <cfRule type="cellIs" dxfId="7462" priority="669" operator="greaterThan">
      <formula>1210</formula>
    </cfRule>
  </conditionalFormatting>
  <conditionalFormatting sqref="L100 L103 L107">
    <cfRule type="cellIs" dxfId="7461" priority="6417" operator="greaterThan">
      <formula>1210</formula>
    </cfRule>
  </conditionalFormatting>
  <conditionalFormatting sqref="L101:L102">
    <cfRule type="cellIs" dxfId="7460" priority="621" operator="greaterThan">
      <formula>1210</formula>
    </cfRule>
  </conditionalFormatting>
  <conditionalFormatting sqref="L104:L106">
    <cfRule type="cellIs" dxfId="7459" priority="597" operator="greaterThan">
      <formula>1210</formula>
    </cfRule>
  </conditionalFormatting>
  <conditionalFormatting sqref="L108:L110">
    <cfRule type="cellIs" dxfId="7458" priority="573" operator="greaterThan">
      <formula>1210</formula>
    </cfRule>
  </conditionalFormatting>
  <conditionalFormatting sqref="L111">
    <cfRule type="cellIs" dxfId="7457" priority="6368" operator="greaterThan">
      <formula>1210</formula>
    </cfRule>
  </conditionalFormatting>
  <conditionalFormatting sqref="L112:L114">
    <cfRule type="cellIs" dxfId="7456" priority="501" operator="greaterThan">
      <formula>1210</formula>
    </cfRule>
  </conditionalFormatting>
  <conditionalFormatting sqref="L115 L119 L122 L125:L126 L130">
    <cfRule type="cellIs" dxfId="7455" priority="6296" operator="greaterThan">
      <formula>1210</formula>
    </cfRule>
  </conditionalFormatting>
  <conditionalFormatting sqref="L116">
    <cfRule type="cellIs" dxfId="7454" priority="525" operator="greaterThan">
      <formula>1210</formula>
    </cfRule>
  </conditionalFormatting>
  <conditionalFormatting sqref="L117:L118">
    <cfRule type="cellIs" dxfId="7453" priority="477" operator="greaterThan">
      <formula>1210</formula>
    </cfRule>
  </conditionalFormatting>
  <conditionalFormatting sqref="L120:L121">
    <cfRule type="cellIs" dxfId="7452" priority="443" operator="greaterThan">
      <formula>1210</formula>
    </cfRule>
  </conditionalFormatting>
  <conditionalFormatting sqref="L123:L124">
    <cfRule type="cellIs" dxfId="7451" priority="409" operator="greaterThan">
      <formula>1210</formula>
    </cfRule>
  </conditionalFormatting>
  <conditionalFormatting sqref="L127:L128">
    <cfRule type="cellIs" dxfId="7450" priority="207" operator="greaterThan">
      <formula>1210</formula>
    </cfRule>
  </conditionalFormatting>
  <conditionalFormatting sqref="L129">
    <cfRule type="cellIs" dxfId="7449" priority="375" operator="greaterThan">
      <formula>1210</formula>
    </cfRule>
  </conditionalFormatting>
  <conditionalFormatting sqref="L131:L132">
    <cfRule type="cellIs" dxfId="7448" priority="183" operator="greaterThan">
      <formula>1210</formula>
    </cfRule>
  </conditionalFormatting>
  <conditionalFormatting sqref="L133">
    <cfRule type="cellIs" dxfId="7447" priority="159" operator="greaterThan">
      <formula>1210</formula>
    </cfRule>
  </conditionalFormatting>
  <conditionalFormatting sqref="L134">
    <cfRule type="cellIs" dxfId="7446" priority="12586" operator="greaterThan">
      <formula>1210</formula>
    </cfRule>
  </conditionalFormatting>
  <conditionalFormatting sqref="L135">
    <cfRule type="cellIs" dxfId="7445" priority="351" operator="greaterThan">
      <formula>1210</formula>
    </cfRule>
  </conditionalFormatting>
  <conditionalFormatting sqref="L136">
    <cfRule type="cellIs" dxfId="7444" priority="135" operator="greaterThan">
      <formula>1210</formula>
    </cfRule>
  </conditionalFormatting>
  <conditionalFormatting sqref="L137 L139">
    <cfRule type="cellIs" dxfId="7443" priority="6248" operator="greaterThan">
      <formula>1210</formula>
    </cfRule>
  </conditionalFormatting>
  <conditionalFormatting sqref="L138">
    <cfRule type="cellIs" dxfId="7442" priority="101" operator="greaterThan">
      <formula>1210</formula>
    </cfRule>
  </conditionalFormatting>
  <conditionalFormatting sqref="L140">
    <cfRule type="cellIs" dxfId="7441" priority="77" operator="greaterThan">
      <formula>1210</formula>
    </cfRule>
  </conditionalFormatting>
  <conditionalFormatting sqref="L141">
    <cfRule type="cellIs" dxfId="7440" priority="21044" operator="greaterThan">
      <formula>1210</formula>
    </cfRule>
  </conditionalFormatting>
  <conditionalFormatting sqref="L142">
    <cfRule type="cellIs" dxfId="7439" priority="43" operator="greaterThan">
      <formula>1210</formula>
    </cfRule>
  </conditionalFormatting>
  <conditionalFormatting sqref="L143">
    <cfRule type="cellIs" dxfId="7438" priority="5864" operator="greaterThan">
      <formula>1210</formula>
    </cfRule>
  </conditionalFormatting>
  <conditionalFormatting sqref="L144:L198">
    <cfRule type="cellIs" dxfId="7437" priority="9" operator="greaterThan">
      <formula>1210</formula>
    </cfRule>
  </conditionalFormatting>
  <conditionalFormatting sqref="L199:L200">
    <cfRule type="cellIs" dxfId="7436" priority="5163" operator="greaterThan">
      <formula>1210</formula>
    </cfRule>
  </conditionalFormatting>
  <conditionalFormatting sqref="L201">
    <cfRule type="cellIs" dxfId="7435" priority="12754" operator="greaterThan">
      <formula>1210</formula>
    </cfRule>
  </conditionalFormatting>
  <conditionalFormatting sqref="L202">
    <cfRule type="cellIs" dxfId="7434" priority="5084" operator="greaterThan">
      <formula>1210</formula>
    </cfRule>
  </conditionalFormatting>
  <conditionalFormatting sqref="L203">
    <cfRule type="cellIs" dxfId="7433" priority="5060" operator="greaterThan">
      <formula>1210</formula>
    </cfRule>
  </conditionalFormatting>
  <conditionalFormatting sqref="L204">
    <cfRule type="cellIs" dxfId="7432" priority="13355" operator="greaterThan">
      <formula>1210</formula>
    </cfRule>
  </conditionalFormatting>
  <conditionalFormatting sqref="L205">
    <cfRule type="cellIs" dxfId="7431" priority="4940" operator="greaterThan">
      <formula>1210</formula>
    </cfRule>
  </conditionalFormatting>
  <conditionalFormatting sqref="L206:L222">
    <cfRule type="cellIs" dxfId="7430" priority="4894" operator="greaterThan">
      <formula>1210</formula>
    </cfRule>
  </conditionalFormatting>
  <conditionalFormatting sqref="L223">
    <cfRule type="cellIs" dxfId="7429" priority="4915" operator="greaterThan">
      <formula>1210</formula>
    </cfRule>
  </conditionalFormatting>
  <conditionalFormatting sqref="L224:L227">
    <cfRule type="cellIs" dxfId="7428" priority="4873" operator="greaterThan">
      <formula>1210</formula>
    </cfRule>
  </conditionalFormatting>
  <conditionalFormatting sqref="L228">
    <cfRule type="cellIs" dxfId="7427" priority="12826" operator="greaterThan">
      <formula>1210</formula>
    </cfRule>
  </conditionalFormatting>
  <conditionalFormatting sqref="L229">
    <cfRule type="cellIs" dxfId="7426" priority="12850" operator="greaterThan">
      <formula>1210</formula>
    </cfRule>
  </conditionalFormatting>
  <conditionalFormatting sqref="L230">
    <cfRule type="cellIs" dxfId="7425" priority="4840" operator="greaterThan">
      <formula>1210</formula>
    </cfRule>
  </conditionalFormatting>
  <conditionalFormatting sqref="L231:L237">
    <cfRule type="cellIs" dxfId="7424" priority="4816" operator="greaterThan">
      <formula>1210</formula>
    </cfRule>
  </conditionalFormatting>
  <conditionalFormatting sqref="L238">
    <cfRule type="cellIs" dxfId="7423" priority="4791" operator="greaterThan">
      <formula>1210</formula>
    </cfRule>
  </conditionalFormatting>
  <conditionalFormatting sqref="L239">
    <cfRule type="cellIs" dxfId="7422" priority="16201" operator="greaterThan">
      <formula>1210</formula>
    </cfRule>
  </conditionalFormatting>
  <conditionalFormatting sqref="L240">
    <cfRule type="cellIs" dxfId="7421" priority="4695" operator="greaterThan">
      <formula>1210</formula>
    </cfRule>
  </conditionalFormatting>
  <conditionalFormatting sqref="L241">
    <cfRule type="cellIs" dxfId="7420" priority="4767" operator="greaterThan">
      <formula>1210</formula>
    </cfRule>
  </conditionalFormatting>
  <conditionalFormatting sqref="L242">
    <cfRule type="cellIs" dxfId="7419" priority="12946" operator="greaterThan">
      <formula>1210</formula>
    </cfRule>
  </conditionalFormatting>
  <conditionalFormatting sqref="L243">
    <cfRule type="cellIs" dxfId="7418" priority="4743" operator="greaterThan">
      <formula>1210</formula>
    </cfRule>
  </conditionalFormatting>
  <conditionalFormatting sqref="L244">
    <cfRule type="cellIs" dxfId="7417" priority="4671" operator="greaterThan">
      <formula>1210</formula>
    </cfRule>
  </conditionalFormatting>
  <conditionalFormatting sqref="L245:L251">
    <cfRule type="cellIs" dxfId="7416" priority="4623" operator="greaterThan">
      <formula>1210</formula>
    </cfRule>
  </conditionalFormatting>
  <conditionalFormatting sqref="L252">
    <cfRule type="cellIs" dxfId="7415" priority="4599" operator="greaterThan">
      <formula>1210</formula>
    </cfRule>
  </conditionalFormatting>
  <conditionalFormatting sqref="L253">
    <cfRule type="cellIs" dxfId="7414" priority="4647" operator="greaterThan">
      <formula>1210</formula>
    </cfRule>
  </conditionalFormatting>
  <conditionalFormatting sqref="L254">
    <cfRule type="cellIs" dxfId="7413" priority="4575" operator="greaterThan">
      <formula>1210</formula>
    </cfRule>
  </conditionalFormatting>
  <conditionalFormatting sqref="L255">
    <cfRule type="cellIs" dxfId="7412" priority="16051" operator="greaterThan">
      <formula>1210</formula>
    </cfRule>
  </conditionalFormatting>
  <conditionalFormatting sqref="L256">
    <cfRule type="cellIs" dxfId="7411" priority="4551" operator="greaterThan">
      <formula>1210</formula>
    </cfRule>
  </conditionalFormatting>
  <conditionalFormatting sqref="L257">
    <cfRule type="cellIs" dxfId="7410" priority="4429" operator="greaterThan">
      <formula>1210</formula>
    </cfRule>
  </conditionalFormatting>
  <conditionalFormatting sqref="L258:L261">
    <cfRule type="cellIs" dxfId="7409" priority="4405" operator="greaterThan">
      <formula>1210</formula>
    </cfRule>
  </conditionalFormatting>
  <conditionalFormatting sqref="L262">
    <cfRule type="cellIs" dxfId="7408" priority="4453" operator="greaterThan">
      <formula>1210</formula>
    </cfRule>
  </conditionalFormatting>
  <conditionalFormatting sqref="L263:L264">
    <cfRule type="cellIs" dxfId="7407" priority="4381" operator="greaterThan">
      <formula>1210</formula>
    </cfRule>
  </conditionalFormatting>
  <conditionalFormatting sqref="L265">
    <cfRule type="cellIs" dxfId="7406" priority="4322" operator="greaterThan">
      <formula>1210</formula>
    </cfRule>
  </conditionalFormatting>
  <conditionalFormatting sqref="L266">
    <cfRule type="cellIs" dxfId="7405" priority="4357" operator="greaterThan">
      <formula>1210</formula>
    </cfRule>
  </conditionalFormatting>
  <conditionalFormatting sqref="L267">
    <cfRule type="cellIs" dxfId="7404" priority="4251" operator="greaterThan">
      <formula>1210</formula>
    </cfRule>
  </conditionalFormatting>
  <conditionalFormatting sqref="L268:L274">
    <cfRule type="cellIs" dxfId="7403" priority="4227" operator="greaterThan">
      <formula>1210</formula>
    </cfRule>
  </conditionalFormatting>
  <conditionalFormatting sqref="L275">
    <cfRule type="cellIs" dxfId="7402" priority="19496" operator="greaterThan">
      <formula>1210</formula>
    </cfRule>
  </conditionalFormatting>
  <conditionalFormatting sqref="L276">
    <cfRule type="cellIs" dxfId="7401" priority="4155" operator="greaterThan">
      <formula>1210</formula>
    </cfRule>
  </conditionalFormatting>
  <conditionalFormatting sqref="L277:L278">
    <cfRule type="cellIs" dxfId="7400" priority="4203" operator="greaterThan">
      <formula>1210</formula>
    </cfRule>
  </conditionalFormatting>
  <conditionalFormatting sqref="L279:L281">
    <cfRule type="cellIs" dxfId="7399" priority="12178" operator="greaterThan">
      <formula>1210</formula>
    </cfRule>
  </conditionalFormatting>
  <conditionalFormatting sqref="L282">
    <cfRule type="cellIs" dxfId="7398" priority="4130" operator="greaterThan">
      <formula>1210</formula>
    </cfRule>
  </conditionalFormatting>
  <conditionalFormatting sqref="L283:L290">
    <cfRule type="cellIs" dxfId="7397" priority="4106" operator="greaterThan">
      <formula>1210</formula>
    </cfRule>
  </conditionalFormatting>
  <conditionalFormatting sqref="L291">
    <cfRule type="cellIs" dxfId="7396" priority="12081" operator="greaterThan">
      <formula>1210</formula>
    </cfRule>
  </conditionalFormatting>
  <conditionalFormatting sqref="L292">
    <cfRule type="cellIs" dxfId="7395" priority="11911" operator="greaterThan">
      <formula>1210</formula>
    </cfRule>
  </conditionalFormatting>
  <conditionalFormatting sqref="L293">
    <cfRule type="cellIs" dxfId="7394" priority="4082" operator="greaterThan">
      <formula>1210</formula>
    </cfRule>
  </conditionalFormatting>
  <conditionalFormatting sqref="L294:L298">
    <cfRule type="cellIs" dxfId="7393" priority="4058" operator="greaterThan">
      <formula>1210</formula>
    </cfRule>
  </conditionalFormatting>
  <conditionalFormatting sqref="L299">
    <cfRule type="cellIs" dxfId="7392" priority="4034" operator="greaterThan">
      <formula>1210</formula>
    </cfRule>
  </conditionalFormatting>
  <conditionalFormatting sqref="L300">
    <cfRule type="cellIs" dxfId="7391" priority="4009" operator="greaterThan">
      <formula>1210</formula>
    </cfRule>
  </conditionalFormatting>
  <conditionalFormatting sqref="L301:L302">
    <cfRule type="cellIs" dxfId="7390" priority="12033" operator="greaterThan">
      <formula>1210</formula>
    </cfRule>
  </conditionalFormatting>
  <conditionalFormatting sqref="L303">
    <cfRule type="cellIs" dxfId="7389" priority="3985" operator="greaterThan">
      <formula>1210</formula>
    </cfRule>
  </conditionalFormatting>
  <conditionalFormatting sqref="L304:L311">
    <cfRule type="cellIs" dxfId="7388" priority="3961" operator="greaterThan">
      <formula>1210</formula>
    </cfRule>
  </conditionalFormatting>
  <conditionalFormatting sqref="L312">
    <cfRule type="cellIs" dxfId="7387" priority="11936" operator="greaterThan">
      <formula>1210</formula>
    </cfRule>
  </conditionalFormatting>
  <conditionalFormatting sqref="L313">
    <cfRule type="cellIs" dxfId="7386" priority="11886" operator="greaterThan">
      <formula>1210</formula>
    </cfRule>
  </conditionalFormatting>
  <conditionalFormatting sqref="L314">
    <cfRule type="cellIs" dxfId="7385" priority="3937" operator="greaterThan">
      <formula>1210</formula>
    </cfRule>
  </conditionalFormatting>
  <conditionalFormatting sqref="L315:L319">
    <cfRule type="cellIs" dxfId="7384" priority="3913" operator="greaterThan">
      <formula>1210</formula>
    </cfRule>
  </conditionalFormatting>
  <conditionalFormatting sqref="L320">
    <cfRule type="cellIs" dxfId="7383" priority="3889" operator="greaterThan">
      <formula>1210</formula>
    </cfRule>
  </conditionalFormatting>
  <conditionalFormatting sqref="L321">
    <cfRule type="cellIs" dxfId="7382" priority="3864" operator="greaterThan">
      <formula>1210</formula>
    </cfRule>
  </conditionalFormatting>
  <conditionalFormatting sqref="L322">
    <cfRule type="cellIs" dxfId="7381" priority="3840" operator="greaterThan">
      <formula>1210</formula>
    </cfRule>
  </conditionalFormatting>
  <conditionalFormatting sqref="L323">
    <cfRule type="cellIs" dxfId="7380" priority="11811" operator="greaterThan">
      <formula>1210</formula>
    </cfRule>
  </conditionalFormatting>
  <conditionalFormatting sqref="L324">
    <cfRule type="cellIs" dxfId="7379" priority="3816" operator="greaterThan">
      <formula>1210</formula>
    </cfRule>
  </conditionalFormatting>
  <conditionalFormatting sqref="L325:L332">
    <cfRule type="cellIs" dxfId="7378" priority="3742" operator="greaterThan">
      <formula>1210</formula>
    </cfRule>
  </conditionalFormatting>
  <conditionalFormatting sqref="L333:L334">
    <cfRule type="cellIs" dxfId="7377" priority="11715" operator="greaterThan">
      <formula>1210</formula>
    </cfRule>
  </conditionalFormatting>
  <conditionalFormatting sqref="L335">
    <cfRule type="cellIs" dxfId="7376" priority="3668" operator="greaterThan">
      <formula>1210</formula>
    </cfRule>
  </conditionalFormatting>
  <conditionalFormatting sqref="L336:L342">
    <cfRule type="cellIs" dxfId="7375" priority="3644" operator="greaterThan">
      <formula>1210</formula>
    </cfRule>
  </conditionalFormatting>
  <conditionalFormatting sqref="L343:L344">
    <cfRule type="cellIs" dxfId="7374" priority="11642" operator="greaterThan">
      <formula>1210</formula>
    </cfRule>
  </conditionalFormatting>
  <conditionalFormatting sqref="L345">
    <cfRule type="cellIs" dxfId="7373" priority="3596" operator="greaterThan">
      <formula>1210</formula>
    </cfRule>
  </conditionalFormatting>
  <conditionalFormatting sqref="L346:L355">
    <cfRule type="cellIs" dxfId="7372" priority="3572" operator="greaterThan">
      <formula>1210</formula>
    </cfRule>
  </conditionalFormatting>
  <conditionalFormatting sqref="L356:L357">
    <cfRule type="cellIs" dxfId="7371" priority="11594" operator="greaterThan">
      <formula>1210</formula>
    </cfRule>
  </conditionalFormatting>
  <conditionalFormatting sqref="L358">
    <cfRule type="cellIs" dxfId="7370" priority="3548" operator="greaterThan">
      <formula>1210</formula>
    </cfRule>
  </conditionalFormatting>
  <conditionalFormatting sqref="L359:L375">
    <cfRule type="cellIs" dxfId="7369" priority="3502" operator="greaterThan">
      <formula>1210</formula>
    </cfRule>
  </conditionalFormatting>
  <conditionalFormatting sqref="L376">
    <cfRule type="cellIs" dxfId="7368" priority="3523" operator="greaterThan">
      <formula>1210</formula>
    </cfRule>
  </conditionalFormatting>
  <conditionalFormatting sqref="L377:L380">
    <cfRule type="cellIs" dxfId="7367" priority="3481" operator="greaterThan">
      <formula>1210</formula>
    </cfRule>
  </conditionalFormatting>
  <conditionalFormatting sqref="L381:L382 L391">
    <cfRule type="cellIs" dxfId="7366" priority="11354" operator="greaterThan">
      <formula>1210</formula>
    </cfRule>
  </conditionalFormatting>
  <conditionalFormatting sqref="L383">
    <cfRule type="cellIs" dxfId="7365" priority="3448" operator="greaterThan">
      <formula>1210</formula>
    </cfRule>
  </conditionalFormatting>
  <conditionalFormatting sqref="L384:L390">
    <cfRule type="cellIs" dxfId="7364" priority="3424" operator="greaterThan">
      <formula>1210</formula>
    </cfRule>
  </conditionalFormatting>
  <conditionalFormatting sqref="L392">
    <cfRule type="cellIs" dxfId="7363" priority="23191" operator="greaterThan">
      <formula>1210</formula>
    </cfRule>
  </conditionalFormatting>
  <conditionalFormatting sqref="L393">
    <cfRule type="cellIs" dxfId="7362" priority="3352" operator="greaterThan">
      <formula>1210</formula>
    </cfRule>
  </conditionalFormatting>
  <conditionalFormatting sqref="L394:L398 L400:L401">
    <cfRule type="cellIs" dxfId="7361" priority="3328" operator="greaterThan">
      <formula>1210</formula>
    </cfRule>
  </conditionalFormatting>
  <conditionalFormatting sqref="L399">
    <cfRule type="cellIs" dxfId="7360" priority="3304" operator="greaterThan">
      <formula>1210</formula>
    </cfRule>
  </conditionalFormatting>
  <conditionalFormatting sqref="L402">
    <cfRule type="cellIs" dxfId="7359" priority="23047" operator="greaterThan">
      <formula>1210</formula>
    </cfRule>
  </conditionalFormatting>
  <conditionalFormatting sqref="L403">
    <cfRule type="cellIs" dxfId="7358" priority="3280" operator="greaterThan">
      <formula>1210</formula>
    </cfRule>
  </conditionalFormatting>
  <conditionalFormatting sqref="L404">
    <cfRule type="cellIs" dxfId="7357" priority="3184" operator="greaterThan">
      <formula>1210</formula>
    </cfRule>
  </conditionalFormatting>
  <conditionalFormatting sqref="L405:L413">
    <cfRule type="cellIs" dxfId="7356" priority="3160" operator="greaterThan">
      <formula>1210</formula>
    </cfRule>
  </conditionalFormatting>
  <conditionalFormatting sqref="L414">
    <cfRule type="cellIs" dxfId="7355" priority="3208" operator="greaterThan">
      <formula>1210</formula>
    </cfRule>
  </conditionalFormatting>
  <conditionalFormatting sqref="L415">
    <cfRule type="cellIs" dxfId="7354" priority="11138" operator="greaterThan">
      <formula>1210</formula>
    </cfRule>
  </conditionalFormatting>
  <conditionalFormatting sqref="L416">
    <cfRule type="cellIs" dxfId="7353" priority="3136" operator="greaterThan">
      <formula>1210</formula>
    </cfRule>
  </conditionalFormatting>
  <conditionalFormatting sqref="L417:L426">
    <cfRule type="cellIs" dxfId="7352" priority="3112" operator="greaterThan">
      <formula>1210</formula>
    </cfRule>
  </conditionalFormatting>
  <conditionalFormatting sqref="L427 L429">
    <cfRule type="cellIs" dxfId="7351" priority="10787" operator="greaterThan">
      <formula>1210</formula>
    </cfRule>
  </conditionalFormatting>
  <conditionalFormatting sqref="L428">
    <cfRule type="cellIs" dxfId="7350" priority="10749" operator="greaterThan">
      <formula>1210</formula>
    </cfRule>
  </conditionalFormatting>
  <conditionalFormatting sqref="L430">
    <cfRule type="cellIs" dxfId="7349" priority="3088" operator="greaterThan">
      <formula>1210</formula>
    </cfRule>
  </conditionalFormatting>
  <conditionalFormatting sqref="L431:L440">
    <cfRule type="cellIs" dxfId="7348" priority="3064" operator="greaterThan">
      <formula>1210</formula>
    </cfRule>
  </conditionalFormatting>
  <conditionalFormatting sqref="L441">
    <cfRule type="cellIs" dxfId="7347" priority="10859" operator="greaterThan">
      <formula>1210</formula>
    </cfRule>
  </conditionalFormatting>
  <conditionalFormatting sqref="L442">
    <cfRule type="cellIs" dxfId="7346" priority="3050" operator="greaterThan">
      <formula>1210</formula>
    </cfRule>
  </conditionalFormatting>
  <conditionalFormatting sqref="L443">
    <cfRule type="cellIs" dxfId="7345" priority="3012" operator="greaterThan">
      <formula>1210</formula>
    </cfRule>
  </conditionalFormatting>
  <conditionalFormatting sqref="L444:L451">
    <cfRule type="cellIs" dxfId="7344" priority="2988" operator="greaterThan">
      <formula>1210</formula>
    </cfRule>
  </conditionalFormatting>
  <conditionalFormatting sqref="L452">
    <cfRule type="cellIs" dxfId="7343" priority="22782" operator="greaterThan">
      <formula>1210</formula>
    </cfRule>
  </conditionalFormatting>
  <conditionalFormatting sqref="L453">
    <cfRule type="cellIs" dxfId="7342" priority="10545" operator="greaterThan">
      <formula>1210</formula>
    </cfRule>
  </conditionalFormatting>
  <conditionalFormatting sqref="L454">
    <cfRule type="cellIs" dxfId="7341" priority="2964" operator="greaterThan">
      <formula>1210</formula>
    </cfRule>
  </conditionalFormatting>
  <conditionalFormatting sqref="L455:L462">
    <cfRule type="cellIs" dxfId="7340" priority="2940" operator="greaterThan">
      <formula>1210</formula>
    </cfRule>
  </conditionalFormatting>
  <conditionalFormatting sqref="L463:L464">
    <cfRule type="cellIs" dxfId="7339" priority="22662" operator="greaterThan">
      <formula>1210</formula>
    </cfRule>
  </conditionalFormatting>
  <conditionalFormatting sqref="L465">
    <cfRule type="cellIs" dxfId="7338" priority="2916" operator="greaterThan">
      <formula>1210</formula>
    </cfRule>
  </conditionalFormatting>
  <conditionalFormatting sqref="L466:L473">
    <cfRule type="cellIs" dxfId="7337" priority="2892" operator="greaterThan">
      <formula>1210</formula>
    </cfRule>
  </conditionalFormatting>
  <conditionalFormatting sqref="L474">
    <cfRule type="cellIs" dxfId="7336" priority="26685" operator="greaterThan">
      <formula>1210</formula>
    </cfRule>
  </conditionalFormatting>
  <conditionalFormatting sqref="L475">
    <cfRule type="cellIs" dxfId="7335" priority="2868" operator="greaterThan">
      <formula>1210</formula>
    </cfRule>
  </conditionalFormatting>
  <conditionalFormatting sqref="L476:L483">
    <cfRule type="cellIs" dxfId="7334" priority="2844" operator="greaterThan">
      <formula>1210</formula>
    </cfRule>
  </conditionalFormatting>
  <conditionalFormatting sqref="L484">
    <cfRule type="cellIs" dxfId="7333" priority="2820" operator="greaterThan">
      <formula>1210</formula>
    </cfRule>
  </conditionalFormatting>
  <conditionalFormatting sqref="L485">
    <cfRule type="cellIs" dxfId="7332" priority="22542" operator="greaterThan">
      <formula>1210</formula>
    </cfRule>
  </conditionalFormatting>
  <conditionalFormatting sqref="L486">
    <cfRule type="cellIs" dxfId="7331" priority="2748" operator="greaterThan">
      <formula>1210</formula>
    </cfRule>
  </conditionalFormatting>
  <conditionalFormatting sqref="L487:L496">
    <cfRule type="cellIs" dxfId="7330" priority="2724" operator="greaterThan">
      <formula>1210</formula>
    </cfRule>
  </conditionalFormatting>
  <conditionalFormatting sqref="L497">
    <cfRule type="cellIs" dxfId="7329" priority="42616" operator="greaterThan">
      <formula>1210</formula>
    </cfRule>
  </conditionalFormatting>
  <conditionalFormatting sqref="L498">
    <cfRule type="cellIs" dxfId="7328" priority="2700" operator="greaterThan">
      <formula>1210</formula>
    </cfRule>
  </conditionalFormatting>
  <conditionalFormatting sqref="L499">
    <cfRule type="cellIs" dxfId="7327" priority="2676" operator="greaterThan">
      <formula>1210</formula>
    </cfRule>
  </conditionalFormatting>
  <conditionalFormatting sqref="L500:L507">
    <cfRule type="cellIs" dxfId="7326" priority="2652" operator="greaterThan">
      <formula>1210</formula>
    </cfRule>
  </conditionalFormatting>
  <conditionalFormatting sqref="L508">
    <cfRule type="cellIs" dxfId="7325" priority="47814" operator="greaterThan">
      <formula>1210</formula>
    </cfRule>
  </conditionalFormatting>
  <conditionalFormatting sqref="L509">
    <cfRule type="cellIs" dxfId="7324" priority="2604" operator="greaterThan">
      <formula>1210</formula>
    </cfRule>
  </conditionalFormatting>
  <conditionalFormatting sqref="L510">
    <cfRule type="cellIs" dxfId="7323" priority="2628" operator="greaterThan">
      <formula>1210</formula>
    </cfRule>
  </conditionalFormatting>
  <conditionalFormatting sqref="L511:L518">
    <cfRule type="cellIs" dxfId="7322" priority="2556" operator="greaterThan">
      <formula>1210</formula>
    </cfRule>
  </conditionalFormatting>
  <conditionalFormatting sqref="L519">
    <cfRule type="cellIs" dxfId="7321" priority="47622" operator="greaterThan">
      <formula>1210</formula>
    </cfRule>
  </conditionalFormatting>
  <conditionalFormatting sqref="L520">
    <cfRule type="cellIs" dxfId="7320" priority="2532" operator="greaterThan">
      <formula>1210</formula>
    </cfRule>
  </conditionalFormatting>
  <conditionalFormatting sqref="L521">
    <cfRule type="cellIs" dxfId="7319" priority="2484" operator="greaterThan">
      <formula>1210</formula>
    </cfRule>
  </conditionalFormatting>
  <conditionalFormatting sqref="L522:L529">
    <cfRule type="cellIs" dxfId="7318" priority="2460" operator="greaterThan">
      <formula>1210</formula>
    </cfRule>
  </conditionalFormatting>
  <conditionalFormatting sqref="L530:L531">
    <cfRule type="cellIs" dxfId="7317" priority="52830" operator="greaterThan">
      <formula>1210</formula>
    </cfRule>
  </conditionalFormatting>
  <conditionalFormatting sqref="L532">
    <cfRule type="cellIs" dxfId="7316" priority="2436" operator="greaterThan">
      <formula>1210</formula>
    </cfRule>
  </conditionalFormatting>
  <conditionalFormatting sqref="L533:L540">
    <cfRule type="cellIs" dxfId="7315" priority="2412" operator="greaterThan">
      <formula>1210</formula>
    </cfRule>
  </conditionalFormatting>
  <conditionalFormatting sqref="L541">
    <cfRule type="cellIs" dxfId="7314" priority="2364" operator="greaterThan">
      <formula>1210</formula>
    </cfRule>
  </conditionalFormatting>
  <conditionalFormatting sqref="L542">
    <cfRule type="cellIs" dxfId="7313" priority="2388" operator="greaterThan">
      <formula>1210</formula>
    </cfRule>
  </conditionalFormatting>
  <conditionalFormatting sqref="L543">
    <cfRule type="cellIs" dxfId="7312" priority="2316" operator="greaterThan">
      <formula>1210</formula>
    </cfRule>
  </conditionalFormatting>
  <conditionalFormatting sqref="L544:L548 L550:L551">
    <cfRule type="cellIs" dxfId="7311" priority="2292" operator="greaterThan">
      <formula>1210</formula>
    </cfRule>
  </conditionalFormatting>
  <conditionalFormatting sqref="L549">
    <cfRule type="cellIs" dxfId="7310" priority="2268" operator="greaterThan">
      <formula>1210</formula>
    </cfRule>
  </conditionalFormatting>
  <conditionalFormatting sqref="L552:L553">
    <cfRule type="cellIs" dxfId="7309" priority="36593" operator="greaterThan">
      <formula>1210</formula>
    </cfRule>
  </conditionalFormatting>
  <conditionalFormatting sqref="L554">
    <cfRule type="cellIs" dxfId="7308" priority="2244" operator="greaterThan">
      <formula>1210</formula>
    </cfRule>
  </conditionalFormatting>
  <conditionalFormatting sqref="L555:L559">
    <cfRule type="cellIs" dxfId="7307" priority="2220" operator="greaterThan">
      <formula>1210</formula>
    </cfRule>
  </conditionalFormatting>
  <conditionalFormatting sqref="L560:L561">
    <cfRule type="cellIs" dxfId="7306" priority="52710" operator="greaterThan">
      <formula>1210</formula>
    </cfRule>
  </conditionalFormatting>
  <conditionalFormatting sqref="L562">
    <cfRule type="cellIs" dxfId="7305" priority="2124" operator="greaterThan">
      <formula>1210</formula>
    </cfRule>
  </conditionalFormatting>
  <conditionalFormatting sqref="L563">
    <cfRule type="cellIs" dxfId="7304" priority="60554" operator="greaterThan">
      <formula>1210</formula>
    </cfRule>
  </conditionalFormatting>
  <conditionalFormatting sqref="L564">
    <cfRule type="cellIs" dxfId="7303" priority="2100" operator="greaterThan">
      <formula>1210</formula>
    </cfRule>
  </conditionalFormatting>
  <conditionalFormatting sqref="L565">
    <cfRule type="cellIs" dxfId="7302" priority="2076" operator="greaterThan">
      <formula>1210</formula>
    </cfRule>
  </conditionalFormatting>
  <conditionalFormatting sqref="L566:L575">
    <cfRule type="cellIs" dxfId="7301" priority="2052" operator="greaterThan">
      <formula>1210</formula>
    </cfRule>
  </conditionalFormatting>
  <conditionalFormatting sqref="L576">
    <cfRule type="cellIs" dxfId="7300" priority="60506" operator="greaterThan">
      <formula>1210</formula>
    </cfRule>
  </conditionalFormatting>
  <conditionalFormatting sqref="L577 L595:L596 L613:L614 L622 L626 L639:L640 L654:L655 L662:L663 L668:L669 L672:L673 L682:L683 L697 L699:L700 L717:L718 L735:L736 L753:L754">
    <cfRule type="cellIs" dxfId="7299" priority="76864" operator="greaterThan">
      <formula>1210</formula>
    </cfRule>
  </conditionalFormatting>
  <conditionalFormatting sqref="L578">
    <cfRule type="cellIs" dxfId="7298" priority="1980" operator="greaterThan">
      <formula>1210</formula>
    </cfRule>
  </conditionalFormatting>
  <conditionalFormatting sqref="L579:L586">
    <cfRule type="cellIs" dxfId="7297" priority="1956" operator="greaterThan">
      <formula>1210</formula>
    </cfRule>
  </conditionalFormatting>
  <conditionalFormatting sqref="L587">
    <cfRule type="cellIs" dxfId="7296" priority="1932" operator="greaterThan">
      <formula>1210</formula>
    </cfRule>
  </conditionalFormatting>
  <conditionalFormatting sqref="L588:L590 L592 L594">
    <cfRule type="cellIs" dxfId="7295" priority="60409" operator="greaterThan">
      <formula>1210</formula>
    </cfRule>
  </conditionalFormatting>
  <conditionalFormatting sqref="L591">
    <cfRule type="cellIs" dxfId="7294" priority="1908" operator="greaterThan">
      <formula>1210</formula>
    </cfRule>
  </conditionalFormatting>
  <conditionalFormatting sqref="L593">
    <cfRule type="cellIs" dxfId="7293" priority="1884" operator="greaterThan">
      <formula>1210</formula>
    </cfRule>
  </conditionalFormatting>
  <conditionalFormatting sqref="L597">
    <cfRule type="cellIs" dxfId="7292" priority="60385" operator="greaterThan">
      <formula>1210</formula>
    </cfRule>
  </conditionalFormatting>
  <conditionalFormatting sqref="L598:L602">
    <cfRule type="cellIs" dxfId="7291" priority="60337" operator="greaterThan">
      <formula>1210</formula>
    </cfRule>
  </conditionalFormatting>
  <conditionalFormatting sqref="L603">
    <cfRule type="cellIs" dxfId="7290" priority="60289" operator="greaterThan">
      <formula>1210</formula>
    </cfRule>
  </conditionalFormatting>
  <conditionalFormatting sqref="L604">
    <cfRule type="cellIs" dxfId="7289" priority="60361" operator="greaterThan">
      <formula>1210</formula>
    </cfRule>
  </conditionalFormatting>
  <conditionalFormatting sqref="L605:L612">
    <cfRule type="cellIs" dxfId="7288" priority="60313" operator="greaterThan">
      <formula>1210</formula>
    </cfRule>
  </conditionalFormatting>
  <conditionalFormatting sqref="L615">
    <cfRule type="cellIs" dxfId="7287" priority="60265" operator="greaterThan">
      <formula>1210</formula>
    </cfRule>
  </conditionalFormatting>
  <conditionalFormatting sqref="L616:L621">
    <cfRule type="cellIs" dxfId="7286" priority="60241" operator="greaterThan">
      <formula>1210</formula>
    </cfRule>
  </conditionalFormatting>
  <conditionalFormatting sqref="L623:L625">
    <cfRule type="cellIs" dxfId="7285" priority="60217" operator="greaterThan">
      <formula>1210</formula>
    </cfRule>
  </conditionalFormatting>
  <conditionalFormatting sqref="L627">
    <cfRule type="cellIs" dxfId="7284" priority="60169" operator="greaterThan">
      <formula>1210</formula>
    </cfRule>
  </conditionalFormatting>
  <conditionalFormatting sqref="L628">
    <cfRule type="cellIs" dxfId="7283" priority="60145" operator="greaterThan">
      <formula>1210</formula>
    </cfRule>
  </conditionalFormatting>
  <conditionalFormatting sqref="L629:L634">
    <cfRule type="cellIs" dxfId="7282" priority="60097" operator="greaterThan">
      <formula>1210</formula>
    </cfRule>
  </conditionalFormatting>
  <conditionalFormatting sqref="L635">
    <cfRule type="cellIs" dxfId="7281" priority="60121" operator="greaterThan">
      <formula>1210</formula>
    </cfRule>
  </conditionalFormatting>
  <conditionalFormatting sqref="L636:L638">
    <cfRule type="cellIs" dxfId="7280" priority="60073" operator="greaterThan">
      <formula>1210</formula>
    </cfRule>
  </conditionalFormatting>
  <conditionalFormatting sqref="L641">
    <cfRule type="cellIs" dxfId="7279" priority="60049" operator="greaterThan">
      <formula>1210</formula>
    </cfRule>
  </conditionalFormatting>
  <conditionalFormatting sqref="L642:L653">
    <cfRule type="cellIs" dxfId="7278" priority="60025" operator="greaterThan">
      <formula>1210</formula>
    </cfRule>
  </conditionalFormatting>
  <conditionalFormatting sqref="L656">
    <cfRule type="cellIs" dxfId="7277" priority="60001" operator="greaterThan">
      <formula>1210</formula>
    </cfRule>
  </conditionalFormatting>
  <conditionalFormatting sqref="L657:L661">
    <cfRule type="cellIs" dxfId="7276" priority="59977" operator="greaterThan">
      <formula>1210</formula>
    </cfRule>
  </conditionalFormatting>
  <conditionalFormatting sqref="L664">
    <cfRule type="cellIs" dxfId="7275" priority="59953" operator="greaterThan">
      <formula>1210</formula>
    </cfRule>
  </conditionalFormatting>
  <conditionalFormatting sqref="L665:L667">
    <cfRule type="cellIs" dxfId="7274" priority="59929" operator="greaterThan">
      <formula>1210</formula>
    </cfRule>
  </conditionalFormatting>
  <conditionalFormatting sqref="L670:L671">
    <cfRule type="cellIs" dxfId="7273" priority="59905" operator="greaterThan">
      <formula>1210</formula>
    </cfRule>
  </conditionalFormatting>
  <conditionalFormatting sqref="L674">
    <cfRule type="cellIs" dxfId="7272" priority="59861" operator="greaterThan">
      <formula>1210</formula>
    </cfRule>
  </conditionalFormatting>
  <conditionalFormatting sqref="L675:L678">
    <cfRule type="cellIs" dxfId="7271" priority="59813" operator="greaterThan">
      <formula>1210</formula>
    </cfRule>
  </conditionalFormatting>
  <conditionalFormatting sqref="L679">
    <cfRule type="cellIs" dxfId="7270" priority="59837" operator="greaterThan">
      <formula>1210</formula>
    </cfRule>
  </conditionalFormatting>
  <conditionalFormatting sqref="L680:L681">
    <cfRule type="cellIs" dxfId="7269" priority="59789" operator="greaterThan">
      <formula>1210</formula>
    </cfRule>
  </conditionalFormatting>
  <conditionalFormatting sqref="L684">
    <cfRule type="cellIs" dxfId="7268" priority="59745" operator="greaterThan">
      <formula>1210</formula>
    </cfRule>
  </conditionalFormatting>
  <conditionalFormatting sqref="L685:L689 L693:L695 L691">
    <cfRule type="cellIs" dxfId="7267" priority="59721" operator="greaterThan">
      <formula>1210</formula>
    </cfRule>
  </conditionalFormatting>
  <conditionalFormatting sqref="L690">
    <cfRule type="cellIs" dxfId="7266" priority="59625" operator="greaterThan">
      <formula>1210</formula>
    </cfRule>
  </conditionalFormatting>
  <conditionalFormatting sqref="L692">
    <cfRule type="cellIs" dxfId="7265" priority="59649" operator="greaterThan">
      <formula>1210</formula>
    </cfRule>
  </conditionalFormatting>
  <conditionalFormatting sqref="L696">
    <cfRule type="cellIs" dxfId="7264" priority="59697" operator="greaterThan">
      <formula>1210</formula>
    </cfRule>
  </conditionalFormatting>
  <conditionalFormatting sqref="L698">
    <cfRule type="cellIs" dxfId="7263" priority="59673" operator="greaterThan">
      <formula>1210</formula>
    </cfRule>
  </conditionalFormatting>
  <conditionalFormatting sqref="L701">
    <cfRule type="cellIs" dxfId="7262" priority="59601" operator="greaterThan">
      <formula>1210</formula>
    </cfRule>
  </conditionalFormatting>
  <conditionalFormatting sqref="L702:L707">
    <cfRule type="cellIs" dxfId="7261" priority="59553" operator="greaterThan">
      <formula>1210</formula>
    </cfRule>
  </conditionalFormatting>
  <conditionalFormatting sqref="L708">
    <cfRule type="cellIs" dxfId="7260" priority="59577" operator="greaterThan">
      <formula>1210</formula>
    </cfRule>
  </conditionalFormatting>
  <conditionalFormatting sqref="L709:L716">
    <cfRule type="cellIs" dxfId="7259" priority="59529" operator="greaterThan">
      <formula>1210</formula>
    </cfRule>
  </conditionalFormatting>
  <conditionalFormatting sqref="L719">
    <cfRule type="cellIs" dxfId="7258" priority="59505" operator="greaterThan">
      <formula>1210</formula>
    </cfRule>
  </conditionalFormatting>
  <conditionalFormatting sqref="L720:L725">
    <cfRule type="cellIs" dxfId="7257" priority="59457" operator="greaterThan">
      <formula>1210</formula>
    </cfRule>
  </conditionalFormatting>
  <conditionalFormatting sqref="L726">
    <cfRule type="cellIs" dxfId="7256" priority="59481" operator="greaterThan">
      <formula>1210</formula>
    </cfRule>
  </conditionalFormatting>
  <conditionalFormatting sqref="L727:L734">
    <cfRule type="cellIs" dxfId="7255" priority="59433" operator="greaterThan">
      <formula>1210</formula>
    </cfRule>
  </conditionalFormatting>
  <conditionalFormatting sqref="L737">
    <cfRule type="cellIs" dxfId="7254" priority="59409" operator="greaterThan">
      <formula>1210</formula>
    </cfRule>
  </conditionalFormatting>
  <conditionalFormatting sqref="L738:L743">
    <cfRule type="cellIs" dxfId="7253" priority="59361" operator="greaterThan">
      <formula>1210</formula>
    </cfRule>
  </conditionalFormatting>
  <conditionalFormatting sqref="L744">
    <cfRule type="cellIs" dxfId="7252" priority="59385" operator="greaterThan">
      <formula>1210</formula>
    </cfRule>
  </conditionalFormatting>
  <conditionalFormatting sqref="L745:L752">
    <cfRule type="cellIs" dxfId="7251" priority="59337" operator="greaterThan">
      <formula>1210</formula>
    </cfRule>
  </conditionalFormatting>
  <conditionalFormatting sqref="L755">
    <cfRule type="cellIs" dxfId="7250" priority="59313" operator="greaterThan">
      <formula>1210</formula>
    </cfRule>
  </conditionalFormatting>
  <conditionalFormatting sqref="L756:L765">
    <cfRule type="cellIs" dxfId="7249" priority="59289" operator="greaterThan">
      <formula>1210</formula>
    </cfRule>
  </conditionalFormatting>
  <conditionalFormatting sqref="L766">
    <cfRule type="cellIs" dxfId="7248" priority="125145" operator="greaterThan">
      <formula>1210</formula>
    </cfRule>
  </conditionalFormatting>
  <conditionalFormatting sqref="L767:L769">
    <cfRule type="cellIs" dxfId="7247" priority="59265" operator="greaterThan">
      <formula>1210</formula>
    </cfRule>
  </conditionalFormatting>
  <conditionalFormatting sqref="L770:L771">
    <cfRule type="cellIs" dxfId="7246" priority="93050" operator="greaterThan">
      <formula>1210</formula>
    </cfRule>
  </conditionalFormatting>
  <conditionalFormatting sqref="L772">
    <cfRule type="cellIs" dxfId="7245" priority="59241" operator="greaterThan">
      <formula>1210</formula>
    </cfRule>
  </conditionalFormatting>
  <conditionalFormatting sqref="L773:L780">
    <cfRule type="cellIs" dxfId="7244" priority="59217" operator="greaterThan">
      <formula>1210</formula>
    </cfRule>
  </conditionalFormatting>
  <conditionalFormatting sqref="L781">
    <cfRule type="cellIs" dxfId="7243" priority="59192" operator="greaterThan">
      <formula>1210</formula>
    </cfRule>
  </conditionalFormatting>
  <conditionalFormatting sqref="L782:L784">
    <cfRule type="cellIs" dxfId="7242" priority="59168" operator="greaterThan">
      <formula>1210</formula>
    </cfRule>
  </conditionalFormatting>
  <conditionalFormatting sqref="L785:L786">
    <cfRule type="cellIs" dxfId="7241" priority="92926" operator="greaterThan">
      <formula>1210</formula>
    </cfRule>
  </conditionalFormatting>
  <conditionalFormatting sqref="L787">
    <cfRule type="cellIs" dxfId="7240" priority="59144" operator="greaterThan">
      <formula>1210</formula>
    </cfRule>
  </conditionalFormatting>
  <conditionalFormatting sqref="L788:L789">
    <cfRule type="cellIs" dxfId="7239" priority="59120" operator="greaterThan">
      <formula>1210</formula>
    </cfRule>
  </conditionalFormatting>
  <conditionalFormatting sqref="L790:L792">
    <cfRule type="cellIs" dxfId="7238" priority="59096" operator="greaterThan">
      <formula>1210</formula>
    </cfRule>
  </conditionalFormatting>
  <conditionalFormatting sqref="L793:L794">
    <cfRule type="cellIs" dxfId="7237" priority="59072" operator="greaterThan">
      <formula>1210</formula>
    </cfRule>
  </conditionalFormatting>
  <conditionalFormatting sqref="L795">
    <cfRule type="cellIs" dxfId="7236" priority="92853" operator="greaterThan">
      <formula>1210</formula>
    </cfRule>
  </conditionalFormatting>
  <conditionalFormatting sqref="L796:L803">
    <cfRule type="cellIs" dxfId="7235" priority="59048" operator="greaterThan">
      <formula>1210</formula>
    </cfRule>
  </conditionalFormatting>
  <conditionalFormatting sqref="L804">
    <cfRule type="cellIs" dxfId="7234" priority="92732" operator="greaterThan">
      <formula>1210</formula>
    </cfRule>
  </conditionalFormatting>
  <conditionalFormatting sqref="L805">
    <cfRule type="cellIs" dxfId="7233" priority="59023" operator="greaterThan">
      <formula>1210</formula>
    </cfRule>
  </conditionalFormatting>
  <conditionalFormatting sqref="L806">
    <cfRule type="cellIs" dxfId="7232" priority="58998" operator="greaterThan">
      <formula>1210</formula>
    </cfRule>
  </conditionalFormatting>
  <conditionalFormatting sqref="L807:L812">
    <cfRule type="cellIs" dxfId="7231" priority="58950" operator="greaterThan">
      <formula>1210</formula>
    </cfRule>
  </conditionalFormatting>
  <conditionalFormatting sqref="L813">
    <cfRule type="cellIs" dxfId="7230" priority="58974" operator="greaterThan">
      <formula>1210</formula>
    </cfRule>
  </conditionalFormatting>
  <conditionalFormatting sqref="L814:L816">
    <cfRule type="cellIs" dxfId="7229" priority="58926" operator="greaterThan">
      <formula>1210</formula>
    </cfRule>
  </conditionalFormatting>
  <conditionalFormatting sqref="L817:L818">
    <cfRule type="cellIs" dxfId="7228" priority="92587" operator="greaterThan">
      <formula>1210</formula>
    </cfRule>
  </conditionalFormatting>
  <conditionalFormatting sqref="L821">
    <cfRule type="cellIs" dxfId="7227" priority="92490" operator="greaterThan">
      <formula>1210</formula>
    </cfRule>
  </conditionalFormatting>
  <conditionalFormatting sqref="L822:L826">
    <cfRule type="cellIs" dxfId="7226" priority="92441" operator="greaterThan">
      <formula>1210</formula>
    </cfRule>
  </conditionalFormatting>
  <conditionalFormatting sqref="L827">
    <cfRule type="cellIs" dxfId="7225" priority="92466" operator="greaterThan">
      <formula>1210</formula>
    </cfRule>
  </conditionalFormatting>
  <conditionalFormatting sqref="L828">
    <cfRule type="cellIs" dxfId="7224" priority="92418" operator="greaterThan">
      <formula>1210</formula>
    </cfRule>
  </conditionalFormatting>
  <conditionalFormatting sqref="L829">
    <cfRule type="cellIs" dxfId="7223" priority="92294" operator="greaterThan">
      <formula>1210</formula>
    </cfRule>
  </conditionalFormatting>
  <conditionalFormatting sqref="L830">
    <cfRule type="cellIs" dxfId="7222" priority="92635" operator="greaterThan">
      <formula>1210</formula>
    </cfRule>
  </conditionalFormatting>
  <conditionalFormatting sqref="L831">
    <cfRule type="cellIs" dxfId="7221" priority="92392" operator="greaterThan">
      <formula>1210</formula>
    </cfRule>
  </conditionalFormatting>
  <conditionalFormatting sqref="L832:L836">
    <cfRule type="cellIs" dxfId="7220" priority="92343" operator="greaterThan">
      <formula>1210</formula>
    </cfRule>
  </conditionalFormatting>
  <conditionalFormatting sqref="L837">
    <cfRule type="cellIs" dxfId="7219" priority="92368" operator="greaterThan">
      <formula>1210</formula>
    </cfRule>
  </conditionalFormatting>
  <conditionalFormatting sqref="L838">
    <cfRule type="cellIs" dxfId="7218" priority="92320" operator="greaterThan">
      <formula>1210</formula>
    </cfRule>
  </conditionalFormatting>
  <conditionalFormatting sqref="L839">
    <cfRule type="cellIs" dxfId="7217" priority="92270" operator="greaterThan">
      <formula>1210</formula>
    </cfRule>
  </conditionalFormatting>
  <conditionalFormatting sqref="L840">
    <cfRule type="cellIs" dxfId="7216" priority="92246" operator="greaterThan">
      <formula>1210</formula>
    </cfRule>
  </conditionalFormatting>
  <conditionalFormatting sqref="L841">
    <cfRule type="cellIs" dxfId="7215" priority="92198" operator="greaterThan">
      <formula>1210</formula>
    </cfRule>
  </conditionalFormatting>
  <conditionalFormatting sqref="L842:L845">
    <cfRule type="cellIs" dxfId="7214" priority="92174" operator="greaterThan">
      <formula>1210</formula>
    </cfRule>
  </conditionalFormatting>
  <conditionalFormatting sqref="L848">
    <cfRule type="cellIs" dxfId="7213" priority="92102" operator="greaterThan">
      <formula>1210</formula>
    </cfRule>
  </conditionalFormatting>
  <conditionalFormatting sqref="L849:L852">
    <cfRule type="cellIs" dxfId="7212" priority="92078" operator="greaterThan">
      <formula>1210</formula>
    </cfRule>
  </conditionalFormatting>
  <conditionalFormatting sqref="L854:L855">
    <cfRule type="cellIs" dxfId="7211" priority="92055" operator="greaterThan">
      <formula>1210</formula>
    </cfRule>
  </conditionalFormatting>
  <conditionalFormatting sqref="L856:L857">
    <cfRule type="cellIs" dxfId="7210" priority="92026" operator="greaterThan">
      <formula>1210</formula>
    </cfRule>
  </conditionalFormatting>
  <conditionalFormatting sqref="L860">
    <cfRule type="cellIs" dxfId="7209" priority="91996" operator="greaterThan">
      <formula>1210</formula>
    </cfRule>
  </conditionalFormatting>
  <conditionalFormatting sqref="L862">
    <cfRule type="cellIs" dxfId="7208" priority="91972" operator="greaterThan">
      <formula>1210</formula>
    </cfRule>
  </conditionalFormatting>
  <conditionalFormatting sqref="L865">
    <cfRule type="cellIs" dxfId="7207" priority="92150" operator="greaterThan">
      <formula>1210</formula>
    </cfRule>
  </conditionalFormatting>
  <conditionalFormatting sqref="L866:L872">
    <cfRule type="cellIs" dxfId="7206" priority="92126" operator="greaterThan">
      <formula>1210</formula>
    </cfRule>
  </conditionalFormatting>
  <conditionalFormatting sqref="L873">
    <cfRule type="cellIs" dxfId="7205" priority="91943" operator="greaterThan">
      <formula>1210</formula>
    </cfRule>
  </conditionalFormatting>
  <conditionalFormatting sqref="L874">
    <cfRule type="cellIs" dxfId="7204" priority="91920" operator="greaterThan">
      <formula>1210</formula>
    </cfRule>
  </conditionalFormatting>
  <conditionalFormatting sqref="L877">
    <cfRule type="cellIs" dxfId="7203" priority="91894" operator="greaterThan">
      <formula>1210</formula>
    </cfRule>
  </conditionalFormatting>
  <conditionalFormatting sqref="L878:L884">
    <cfRule type="cellIs" dxfId="7202" priority="91870" operator="greaterThan">
      <formula>1210</formula>
    </cfRule>
  </conditionalFormatting>
  <conditionalFormatting sqref="L885">
    <cfRule type="cellIs" dxfId="7201" priority="91846" operator="greaterThan">
      <formula>1210</formula>
    </cfRule>
  </conditionalFormatting>
  <conditionalFormatting sqref="L886">
    <cfRule type="cellIs" dxfId="7200" priority="91823" operator="greaterThan">
      <formula>1210</formula>
    </cfRule>
  </conditionalFormatting>
  <conditionalFormatting sqref="L889">
    <cfRule type="cellIs" dxfId="7199" priority="91797" operator="greaterThan">
      <formula>1210</formula>
    </cfRule>
  </conditionalFormatting>
  <conditionalFormatting sqref="L890:L895">
    <cfRule type="cellIs" dxfId="7198" priority="91748" operator="greaterThan">
      <formula>1210</formula>
    </cfRule>
  </conditionalFormatting>
  <conditionalFormatting sqref="L896">
    <cfRule type="cellIs" dxfId="7197" priority="91674" operator="greaterThan">
      <formula>1210</formula>
    </cfRule>
  </conditionalFormatting>
  <conditionalFormatting sqref="L897">
    <cfRule type="cellIs" dxfId="7196" priority="91700" operator="greaterThan">
      <formula>1210</formula>
    </cfRule>
  </conditionalFormatting>
  <conditionalFormatting sqref="L900">
    <cfRule type="cellIs" dxfId="7195" priority="91650" operator="greaterThan">
      <formula>1210</formula>
    </cfRule>
  </conditionalFormatting>
  <conditionalFormatting sqref="L901:L906">
    <cfRule type="cellIs" dxfId="7194" priority="91625" operator="greaterThan">
      <formula>1210</formula>
    </cfRule>
  </conditionalFormatting>
  <conditionalFormatting sqref="L907">
    <cfRule type="cellIs" dxfId="7193" priority="91576" operator="greaterThan">
      <formula>1210</formula>
    </cfRule>
  </conditionalFormatting>
  <conditionalFormatting sqref="L908">
    <cfRule type="cellIs" dxfId="7192" priority="91602" operator="greaterThan">
      <formula>1210</formula>
    </cfRule>
  </conditionalFormatting>
  <conditionalFormatting sqref="L912">
    <cfRule type="cellIs" dxfId="7191" priority="91552" operator="greaterThan">
      <formula>1210</formula>
    </cfRule>
  </conditionalFormatting>
  <conditionalFormatting sqref="L913:L916">
    <cfRule type="cellIs" dxfId="7190" priority="91528" operator="greaterThan">
      <formula>1210</formula>
    </cfRule>
  </conditionalFormatting>
  <conditionalFormatting sqref="L918">
    <cfRule type="cellIs" dxfId="7189" priority="91504" operator="greaterThan">
      <formula>1210</formula>
    </cfRule>
  </conditionalFormatting>
  <conditionalFormatting sqref="L919:L922">
    <cfRule type="cellIs" dxfId="7188" priority="91480" operator="greaterThan">
      <formula>1210</formula>
    </cfRule>
  </conditionalFormatting>
  <conditionalFormatting sqref="L925">
    <cfRule type="cellIs" dxfId="7187" priority="91456" operator="greaterThan">
      <formula>1210</formula>
    </cfRule>
  </conditionalFormatting>
  <conditionalFormatting sqref="L926:L931">
    <cfRule type="cellIs" dxfId="7186" priority="91432" operator="greaterThan">
      <formula>1210</formula>
    </cfRule>
  </conditionalFormatting>
  <conditionalFormatting sqref="L934">
    <cfRule type="cellIs" dxfId="7185" priority="91408" operator="greaterThan">
      <formula>1210</formula>
    </cfRule>
  </conditionalFormatting>
  <conditionalFormatting sqref="L935:L949">
    <cfRule type="cellIs" dxfId="7184" priority="91384" operator="greaterThan">
      <formula>1210</formula>
    </cfRule>
  </conditionalFormatting>
  <conditionalFormatting sqref="L952">
    <cfRule type="cellIs" dxfId="7183" priority="91360" operator="greaterThan">
      <formula>1210</formula>
    </cfRule>
  </conditionalFormatting>
  <conditionalFormatting sqref="L954:L955">
    <cfRule type="cellIs" dxfId="7182" priority="91336" operator="greaterThan">
      <formula>1210</formula>
    </cfRule>
  </conditionalFormatting>
  <conditionalFormatting sqref="L957">
    <cfRule type="cellIs" dxfId="7181" priority="91312" operator="greaterThan">
      <formula>1210</formula>
    </cfRule>
  </conditionalFormatting>
  <conditionalFormatting sqref="L959:L961">
    <cfRule type="cellIs" dxfId="7180" priority="91288" operator="greaterThan">
      <formula>1210</formula>
    </cfRule>
  </conditionalFormatting>
  <conditionalFormatting sqref="L964">
    <cfRule type="cellIs" dxfId="7179" priority="91264" operator="greaterThan">
      <formula>1210</formula>
    </cfRule>
  </conditionalFormatting>
  <conditionalFormatting sqref="L965:L974">
    <cfRule type="cellIs" dxfId="7178" priority="91240" operator="greaterThan">
      <formula>1210</formula>
    </cfRule>
  </conditionalFormatting>
  <conditionalFormatting sqref="L977">
    <cfRule type="cellIs" dxfId="7177" priority="91216" operator="greaterThan">
      <formula>1210</formula>
    </cfRule>
  </conditionalFormatting>
  <conditionalFormatting sqref="L978:L982 L984:L988">
    <cfRule type="cellIs" dxfId="7176" priority="91192" operator="greaterThan">
      <formula>1210</formula>
    </cfRule>
  </conditionalFormatting>
  <conditionalFormatting sqref="L983">
    <cfRule type="cellIs" dxfId="7175" priority="91168" operator="greaterThan">
      <formula>1210</formula>
    </cfRule>
  </conditionalFormatting>
  <conditionalFormatting sqref="L991">
    <cfRule type="cellIs" dxfId="7174" priority="91144" operator="greaterThan">
      <formula>1210</formula>
    </cfRule>
  </conditionalFormatting>
  <conditionalFormatting sqref="L992:L996">
    <cfRule type="cellIs" dxfId="7173" priority="91048" operator="greaterThan">
      <formula>1210</formula>
    </cfRule>
  </conditionalFormatting>
  <conditionalFormatting sqref="L997:L998">
    <cfRule type="cellIs" dxfId="7172" priority="90806" operator="greaterThan">
      <formula>1210</formula>
    </cfRule>
  </conditionalFormatting>
  <conditionalFormatting sqref="L999:L1001">
    <cfRule type="cellIs" dxfId="7171" priority="90855" operator="greaterThan">
      <formula>1210</formula>
    </cfRule>
  </conditionalFormatting>
  <conditionalFormatting sqref="L1002:L1006">
    <cfRule type="cellIs" dxfId="7170" priority="91024" operator="greaterThan">
      <formula>1210</formula>
    </cfRule>
  </conditionalFormatting>
  <conditionalFormatting sqref="L1007">
    <cfRule type="cellIs" dxfId="7169" priority="91096" operator="greaterThan">
      <formula>1210</formula>
    </cfRule>
  </conditionalFormatting>
  <conditionalFormatting sqref="L1008:L1010">
    <cfRule type="cellIs" dxfId="7168" priority="90830" operator="greaterThan">
      <formula>1210</formula>
    </cfRule>
  </conditionalFormatting>
  <conditionalFormatting sqref="L1011:L1015">
    <cfRule type="cellIs" dxfId="7167" priority="90976" operator="greaterThan">
      <formula>1210</formula>
    </cfRule>
  </conditionalFormatting>
  <conditionalFormatting sqref="L1016">
    <cfRule type="cellIs" dxfId="7166" priority="90928" operator="greaterThan">
      <formula>1210</formula>
    </cfRule>
  </conditionalFormatting>
  <conditionalFormatting sqref="L1017:L1019">
    <cfRule type="cellIs" dxfId="7165" priority="90904" operator="greaterThan">
      <formula>1210</formula>
    </cfRule>
  </conditionalFormatting>
  <conditionalFormatting sqref="L1020">
    <cfRule type="cellIs" dxfId="7164" priority="91072" operator="greaterThan">
      <formula>1210</formula>
    </cfRule>
  </conditionalFormatting>
  <conditionalFormatting sqref="L1021:L1026">
    <cfRule type="cellIs" dxfId="7163" priority="90880" operator="greaterThan">
      <formula>1210</formula>
    </cfRule>
  </conditionalFormatting>
  <conditionalFormatting sqref="L1029">
    <cfRule type="cellIs" dxfId="7162" priority="90782" operator="greaterThan">
      <formula>1210</formula>
    </cfRule>
  </conditionalFormatting>
  <conditionalFormatting sqref="L1030:L1033">
    <cfRule type="cellIs" dxfId="7161" priority="90758" operator="greaterThan">
      <formula>1210</formula>
    </cfRule>
  </conditionalFormatting>
  <conditionalFormatting sqref="L1036">
    <cfRule type="cellIs" dxfId="7160" priority="90734" operator="greaterThan">
      <formula>1210</formula>
    </cfRule>
  </conditionalFormatting>
  <conditionalFormatting sqref="L1037:L1040">
    <cfRule type="cellIs" dxfId="7159" priority="90710" operator="greaterThan">
      <formula>1210</formula>
    </cfRule>
  </conditionalFormatting>
  <conditionalFormatting sqref="L1042:L1044">
    <cfRule type="cellIs" dxfId="7158" priority="90686" operator="greaterThan">
      <formula>1210</formula>
    </cfRule>
  </conditionalFormatting>
  <conditionalFormatting sqref="L1046">
    <cfRule type="cellIs" dxfId="7157" priority="90662" operator="greaterThan">
      <formula>1210</formula>
    </cfRule>
  </conditionalFormatting>
  <conditionalFormatting sqref="L1047:L1048">
    <cfRule type="cellIs" dxfId="7156" priority="90638" operator="greaterThan">
      <formula>1210</formula>
    </cfRule>
  </conditionalFormatting>
  <conditionalFormatting sqref="N1:N11 S1:S11 S819:S820 N819:N820 S875:S876 N875:N876 S846:S847 N846:N847 N853 S853 S858:S859 N858:N859 N861 S861 S863:S864 N863:N864 N887:N888 S887:S888 S898:S899 N898:N899 N909:N911 S909:S911 S917 N917 N923:N924 S923:S924 S932:S933 N932:N933 N950:N951 S950:S951 S953 N953 N956 S956 S958 N958 N962:N963 S962:S963 S975:S976 N975:N976 N989:N990 S989:S990 S1027:S1028 N1027:N1028 N1034:N1035 S1034:S1035 S1041 N1041 N1045 S1045 S1049:S1048576 N1049:N1048576 S83:S85 N83:N85">
    <cfRule type="cellIs" dxfId="7155" priority="139037" operator="between">
      <formula>12</formula>
      <formula>18</formula>
    </cfRule>
    <cfRule type="cellIs" dxfId="7154" priority="139036" operator="greaterThanOrEqual">
      <formula>20</formula>
    </cfRule>
    <cfRule type="containsBlanks" priority="139035">
      <formula>LEN(TRIM(N1))=0</formula>
    </cfRule>
    <cfRule type="cellIs" dxfId="7153" priority="139038" operator="between">
      <formula>11</formula>
      <formula>0</formula>
    </cfRule>
  </conditionalFormatting>
  <conditionalFormatting sqref="N17 S17">
    <cfRule type="cellIs" dxfId="7152" priority="1815" operator="between">
      <formula>12</formula>
      <formula>18</formula>
    </cfRule>
    <cfRule type="containsBlanks" priority="1813">
      <formula>LEN(TRIM(N17))=0</formula>
    </cfRule>
    <cfRule type="cellIs" dxfId="7151" priority="1814" operator="greaterThanOrEqual">
      <formula>20</formula>
    </cfRule>
    <cfRule type="cellIs" dxfId="7150" priority="1816" operator="between">
      <formula>11</formula>
      <formula>0</formula>
    </cfRule>
  </conditionalFormatting>
  <conditionalFormatting sqref="N20 S20">
    <cfRule type="containsBlanks" priority="7740">
      <formula>LEN(TRIM(N20))=0</formula>
    </cfRule>
    <cfRule type="cellIs" dxfId="7149" priority="7741" operator="greaterThanOrEqual">
      <formula>20</formula>
    </cfRule>
    <cfRule type="cellIs" dxfId="7148" priority="7742" operator="between">
      <formula>12</formula>
      <formula>18</formula>
    </cfRule>
    <cfRule type="cellIs" dxfId="7147" priority="7743" operator="between">
      <formula>11</formula>
      <formula>0</formula>
    </cfRule>
  </conditionalFormatting>
  <conditionalFormatting sqref="N24 S24">
    <cfRule type="cellIs" dxfId="7146" priority="1768" operator="between">
      <formula>11</formula>
      <formula>0</formula>
    </cfRule>
    <cfRule type="cellIs" dxfId="7145" priority="1766" operator="greaterThanOrEqual">
      <formula>20</formula>
    </cfRule>
    <cfRule type="cellIs" dxfId="7144" priority="1767" operator="between">
      <formula>12</formula>
      <formula>18</formula>
    </cfRule>
    <cfRule type="containsBlanks" priority="1765">
      <formula>LEN(TRIM(N24))=0</formula>
    </cfRule>
  </conditionalFormatting>
  <conditionalFormatting sqref="N31 S31">
    <cfRule type="cellIs" dxfId="7143" priority="1720" operator="between">
      <formula>11</formula>
      <formula>0</formula>
    </cfRule>
    <cfRule type="containsBlanks" priority="1717">
      <formula>LEN(TRIM(N31))=0</formula>
    </cfRule>
    <cfRule type="cellIs" dxfId="7142" priority="1719" operator="between">
      <formula>12</formula>
      <formula>18</formula>
    </cfRule>
    <cfRule type="cellIs" dxfId="7141" priority="1718" operator="greaterThanOrEqual">
      <formula>20</formula>
    </cfRule>
  </conditionalFormatting>
  <conditionalFormatting sqref="N37 S37">
    <cfRule type="cellIs" dxfId="7140" priority="1670" operator="greaterThanOrEqual">
      <formula>20</formula>
    </cfRule>
    <cfRule type="cellIs" dxfId="7139" priority="1671" operator="between">
      <formula>12</formula>
      <formula>18</formula>
    </cfRule>
    <cfRule type="cellIs" dxfId="7138" priority="1672" operator="between">
      <formula>11</formula>
      <formula>0</formula>
    </cfRule>
    <cfRule type="containsBlanks" priority="1669">
      <formula>LEN(TRIM(N37))=0</formula>
    </cfRule>
  </conditionalFormatting>
  <conditionalFormatting sqref="N40 S40">
    <cfRule type="cellIs" dxfId="7137" priority="7262" operator="between">
      <formula>12</formula>
      <formula>18</formula>
    </cfRule>
    <cfRule type="containsBlanks" priority="7260">
      <formula>LEN(TRIM(N40))=0</formula>
    </cfRule>
    <cfRule type="cellIs" dxfId="7136" priority="7261" operator="greaterThanOrEqual">
      <formula>20</formula>
    </cfRule>
    <cfRule type="cellIs" dxfId="7135" priority="7263" operator="between">
      <formula>11</formula>
      <formula>0</formula>
    </cfRule>
  </conditionalFormatting>
  <conditionalFormatting sqref="N44 S44">
    <cfRule type="cellIs" dxfId="7134" priority="15144" operator="greaterThanOrEqual">
      <formula>20</formula>
    </cfRule>
    <cfRule type="cellIs" dxfId="7133" priority="15145" operator="between">
      <formula>12</formula>
      <formula>18</formula>
    </cfRule>
    <cfRule type="containsBlanks" priority="15143">
      <formula>LEN(TRIM(N44))=0</formula>
    </cfRule>
    <cfRule type="cellIs" dxfId="7132" priority="15146" operator="between">
      <formula>11</formula>
      <formula>0</formula>
    </cfRule>
  </conditionalFormatting>
  <conditionalFormatting sqref="N56 S56">
    <cfRule type="cellIs" dxfId="7131" priority="9104" operator="between">
      <formula>11</formula>
      <formula>0</formula>
    </cfRule>
    <cfRule type="cellIs" dxfId="7130" priority="9102" operator="greaterThanOrEqual">
      <formula>20</formula>
    </cfRule>
    <cfRule type="cellIs" dxfId="7129" priority="9103" operator="between">
      <formula>12</formula>
      <formula>18</formula>
    </cfRule>
    <cfRule type="containsBlanks" priority="9101">
      <formula>LEN(TRIM(N56))=0</formula>
    </cfRule>
  </conditionalFormatting>
  <conditionalFormatting sqref="N65 S65">
    <cfRule type="cellIs" dxfId="7128" priority="7912" operator="greaterThanOrEqual">
      <formula>20</formula>
    </cfRule>
    <cfRule type="cellIs" dxfId="7127" priority="7913" operator="between">
      <formula>12</formula>
      <formula>18</formula>
    </cfRule>
    <cfRule type="cellIs" dxfId="7126" priority="7914" operator="between">
      <formula>11</formula>
      <formula>0</formula>
    </cfRule>
    <cfRule type="containsBlanks" priority="7911">
      <formula>LEN(TRIM(N65))=0</formula>
    </cfRule>
  </conditionalFormatting>
  <conditionalFormatting sqref="N73:N74">
    <cfRule type="cellIs" dxfId="7125" priority="1012" operator="greaterThanOrEqual">
      <formula>20</formula>
    </cfRule>
    <cfRule type="containsBlanks" priority="1011">
      <formula>LEN(TRIM(N73))=0</formula>
    </cfRule>
    <cfRule type="cellIs" dxfId="7124" priority="1013" operator="between">
      <formula>12</formula>
      <formula>18</formula>
    </cfRule>
    <cfRule type="cellIs" dxfId="7123" priority="1014" operator="between">
      <formula>11</formula>
      <formula>0</formula>
    </cfRule>
  </conditionalFormatting>
  <conditionalFormatting sqref="N76 S76">
    <cfRule type="cellIs" dxfId="7122" priority="18571" operator="greaterThanOrEqual">
      <formula>20</formula>
    </cfRule>
    <cfRule type="cellIs" dxfId="7121" priority="18572" operator="between">
      <formula>12</formula>
      <formula>18</formula>
    </cfRule>
    <cfRule type="containsBlanks" priority="18570">
      <formula>LEN(TRIM(N76))=0</formula>
    </cfRule>
    <cfRule type="cellIs" dxfId="7120" priority="18573" operator="between">
      <formula>11</formula>
      <formula>0</formula>
    </cfRule>
  </conditionalFormatting>
  <conditionalFormatting sqref="N86 S86">
    <cfRule type="cellIs" dxfId="7119" priority="6660" operator="between">
      <formula>12</formula>
      <formula>18</formula>
    </cfRule>
    <cfRule type="cellIs" dxfId="7118" priority="6659" operator="greaterThanOrEqual">
      <formula>20</formula>
    </cfRule>
    <cfRule type="containsBlanks" priority="6658">
      <formula>LEN(TRIM(N86))=0</formula>
    </cfRule>
    <cfRule type="cellIs" dxfId="7117" priority="6661" operator="between">
      <formula>11</formula>
      <formula>0</formula>
    </cfRule>
  </conditionalFormatting>
  <conditionalFormatting sqref="N89">
    <cfRule type="cellIs" dxfId="7116" priority="865" operator="between">
      <formula>12</formula>
      <formula>18</formula>
    </cfRule>
    <cfRule type="containsBlanks" priority="863">
      <formula>LEN(TRIM(N89))=0</formula>
    </cfRule>
    <cfRule type="cellIs" dxfId="7115" priority="866" operator="between">
      <formula>11</formula>
      <formula>0</formula>
    </cfRule>
    <cfRule type="cellIs" dxfId="7114" priority="864" operator="greaterThanOrEqual">
      <formula>20</formula>
    </cfRule>
  </conditionalFormatting>
  <conditionalFormatting sqref="N95">
    <cfRule type="containsBlanks" priority="753">
      <formula>LEN(TRIM(N95))=0</formula>
    </cfRule>
    <cfRule type="cellIs" dxfId="7113" priority="755" operator="between">
      <formula>12</formula>
      <formula>18</formula>
    </cfRule>
    <cfRule type="cellIs" dxfId="7112" priority="754" operator="greaterThanOrEqual">
      <formula>20</formula>
    </cfRule>
    <cfRule type="cellIs" dxfId="7111" priority="756" operator="between">
      <formula>11</formula>
      <formula>0</formula>
    </cfRule>
  </conditionalFormatting>
  <conditionalFormatting sqref="N99 S99">
    <cfRule type="containsBlanks" priority="670">
      <formula>LEN(TRIM(N99))=0</formula>
    </cfRule>
    <cfRule type="cellIs" dxfId="7110" priority="672" operator="between">
      <formula>12</formula>
      <formula>18</formula>
    </cfRule>
    <cfRule type="cellIs" dxfId="7109" priority="671" operator="greaterThanOrEqual">
      <formula>20</formula>
    </cfRule>
    <cfRule type="cellIs" dxfId="7108" priority="673" operator="between">
      <formula>11</formula>
      <formula>0</formula>
    </cfRule>
  </conditionalFormatting>
  <conditionalFormatting sqref="N100 S100 S103 N103 N107 S107">
    <cfRule type="containsBlanks" priority="6418">
      <formula>LEN(TRIM(N100))=0</formula>
    </cfRule>
    <cfRule type="cellIs" dxfId="7107" priority="6419" operator="greaterThanOrEqual">
      <formula>20</formula>
    </cfRule>
    <cfRule type="cellIs" dxfId="7106" priority="6421" operator="between">
      <formula>11</formula>
      <formula>0</formula>
    </cfRule>
    <cfRule type="cellIs" dxfId="7105" priority="6420" operator="between">
      <formula>12</formula>
      <formula>18</formula>
    </cfRule>
  </conditionalFormatting>
  <conditionalFormatting sqref="N111 S111">
    <cfRule type="cellIs" dxfId="7104" priority="6372" operator="between">
      <formula>11</formula>
      <formula>0</formula>
    </cfRule>
    <cfRule type="cellIs" dxfId="7103" priority="6371" operator="between">
      <formula>12</formula>
      <formula>18</formula>
    </cfRule>
    <cfRule type="cellIs" dxfId="7102" priority="6370" operator="greaterThanOrEqual">
      <formula>20</formula>
    </cfRule>
    <cfRule type="containsBlanks" priority="6369">
      <formula>LEN(TRIM(N111))=0</formula>
    </cfRule>
  </conditionalFormatting>
  <conditionalFormatting sqref="N115 S115 S119 N119 N122 S122 S125:S126 N125:N126 N130 S130">
    <cfRule type="cellIs" dxfId="7101" priority="6298" operator="greaterThanOrEqual">
      <formula>20</formula>
    </cfRule>
    <cfRule type="cellIs" dxfId="7100" priority="6299" operator="between">
      <formula>12</formula>
      <formula>18</formula>
    </cfRule>
    <cfRule type="containsBlanks" priority="6297">
      <formula>LEN(TRIM(N115))=0</formula>
    </cfRule>
    <cfRule type="cellIs" dxfId="7099" priority="6300" operator="between">
      <formula>11</formula>
      <formula>0</formula>
    </cfRule>
  </conditionalFormatting>
  <conditionalFormatting sqref="N116 S116">
    <cfRule type="cellIs" dxfId="7098" priority="527" operator="greaterThanOrEqual">
      <formula>20</formula>
    </cfRule>
    <cfRule type="cellIs" dxfId="7097" priority="528" operator="between">
      <formula>12</formula>
      <formula>18</formula>
    </cfRule>
    <cfRule type="cellIs" dxfId="7096" priority="529" operator="between">
      <formula>11</formula>
      <formula>0</formula>
    </cfRule>
    <cfRule type="containsBlanks" priority="526">
      <formula>LEN(TRIM(N116))=0</formula>
    </cfRule>
  </conditionalFormatting>
  <conditionalFormatting sqref="N129 S129">
    <cfRule type="cellIs" dxfId="7095" priority="377" operator="greaterThanOrEqual">
      <formula>20</formula>
    </cfRule>
    <cfRule type="cellIs" dxfId="7094" priority="379" operator="between">
      <formula>11</formula>
      <formula>0</formula>
    </cfRule>
    <cfRule type="containsBlanks" priority="376">
      <formula>LEN(TRIM(N129))=0</formula>
    </cfRule>
    <cfRule type="cellIs" dxfId="7093" priority="378" operator="between">
      <formula>12</formula>
      <formula>18</formula>
    </cfRule>
  </conditionalFormatting>
  <conditionalFormatting sqref="N134 S134">
    <cfRule type="containsBlanks" priority="12587">
      <formula>LEN(TRIM(N134))=0</formula>
    </cfRule>
    <cfRule type="cellIs" dxfId="7092" priority="12590" operator="between">
      <formula>11</formula>
      <formula>0</formula>
    </cfRule>
    <cfRule type="cellIs" dxfId="7091" priority="12588" operator="greaterThanOrEqual">
      <formula>20</formula>
    </cfRule>
    <cfRule type="cellIs" dxfId="7090" priority="12589" operator="between">
      <formula>12</formula>
      <formula>18</formula>
    </cfRule>
  </conditionalFormatting>
  <conditionalFormatting sqref="N135 S135">
    <cfRule type="containsBlanks" priority="352">
      <formula>LEN(TRIM(N135))=0</formula>
    </cfRule>
    <cfRule type="cellIs" dxfId="7089" priority="355" operator="between">
      <formula>11</formula>
      <formula>0</formula>
    </cfRule>
    <cfRule type="cellIs" dxfId="7088" priority="354" operator="between">
      <formula>12</formula>
      <formula>18</formula>
    </cfRule>
    <cfRule type="cellIs" dxfId="7087" priority="353" operator="greaterThanOrEqual">
      <formula>20</formula>
    </cfRule>
  </conditionalFormatting>
  <conditionalFormatting sqref="N137 S137 S139 N139">
    <cfRule type="cellIs" dxfId="7086" priority="6251" operator="between">
      <formula>12</formula>
      <formula>18</formula>
    </cfRule>
    <cfRule type="cellIs" dxfId="7085" priority="6250" operator="greaterThanOrEqual">
      <formula>20</formula>
    </cfRule>
    <cfRule type="cellIs" dxfId="7084" priority="6252" operator="between">
      <formula>11</formula>
      <formula>0</formula>
    </cfRule>
    <cfRule type="containsBlanks" priority="6249">
      <formula>LEN(TRIM(N137))=0</formula>
    </cfRule>
  </conditionalFormatting>
  <conditionalFormatting sqref="N141 S141">
    <cfRule type="cellIs" dxfId="7083" priority="21048" operator="between">
      <formula>11</formula>
      <formula>0</formula>
    </cfRule>
    <cfRule type="cellIs" dxfId="7082" priority="21047" operator="between">
      <formula>12</formula>
      <formula>18</formula>
    </cfRule>
    <cfRule type="cellIs" dxfId="7081" priority="21046" operator="greaterThanOrEqual">
      <formula>20</formula>
    </cfRule>
    <cfRule type="containsBlanks" priority="21045">
      <formula>LEN(TRIM(N141))=0</formula>
    </cfRule>
  </conditionalFormatting>
  <conditionalFormatting sqref="N143 S143">
    <cfRule type="cellIs" dxfId="7080" priority="5868" operator="between">
      <formula>11</formula>
      <formula>0</formula>
    </cfRule>
    <cfRule type="cellIs" dxfId="7079" priority="5866" operator="greaterThanOrEqual">
      <formula>20</formula>
    </cfRule>
    <cfRule type="cellIs" dxfId="7078" priority="5867" operator="between">
      <formula>12</formula>
      <formula>18</formula>
    </cfRule>
    <cfRule type="containsBlanks" priority="5865">
      <formula>LEN(TRIM(N143))=0</formula>
    </cfRule>
  </conditionalFormatting>
  <conditionalFormatting sqref="N199:N200 S199:S200">
    <cfRule type="cellIs" dxfId="7077" priority="5167" operator="between">
      <formula>11</formula>
      <formula>0</formula>
    </cfRule>
    <cfRule type="cellIs" dxfId="7076" priority="5166" operator="between">
      <formula>12</formula>
      <formula>18</formula>
    </cfRule>
    <cfRule type="containsBlanks" priority="5164">
      <formula>LEN(TRIM(N199))=0</formula>
    </cfRule>
    <cfRule type="cellIs" dxfId="7075" priority="5165" operator="greaterThanOrEqual">
      <formula>20</formula>
    </cfRule>
  </conditionalFormatting>
  <conditionalFormatting sqref="N201 S201">
    <cfRule type="containsBlanks" priority="12755">
      <formula>LEN(TRIM(N201))=0</formula>
    </cfRule>
    <cfRule type="cellIs" dxfId="7074" priority="12756" operator="greaterThanOrEqual">
      <formula>20</formula>
    </cfRule>
    <cfRule type="cellIs" dxfId="7073" priority="12757" operator="between">
      <formula>12</formula>
      <formula>18</formula>
    </cfRule>
    <cfRule type="cellIs" dxfId="7072" priority="12758" operator="between">
      <formula>11</formula>
      <formula>0</formula>
    </cfRule>
  </conditionalFormatting>
  <conditionalFormatting sqref="N202 S202">
    <cfRule type="cellIs" dxfId="7071" priority="5086" operator="greaterThanOrEqual">
      <formula>20</formula>
    </cfRule>
    <cfRule type="containsBlanks" priority="5085">
      <formula>LEN(TRIM(N202))=0</formula>
    </cfRule>
    <cfRule type="cellIs" dxfId="7070" priority="5088" operator="between">
      <formula>11</formula>
      <formula>0</formula>
    </cfRule>
    <cfRule type="cellIs" dxfId="7069" priority="5087" operator="between">
      <formula>12</formula>
      <formula>18</formula>
    </cfRule>
  </conditionalFormatting>
  <conditionalFormatting sqref="N206:N222 S206:S222">
    <cfRule type="cellIs" dxfId="7068" priority="4898" operator="between">
      <formula>11</formula>
      <formula>0</formula>
    </cfRule>
    <cfRule type="cellIs" dxfId="7067" priority="4897" operator="between">
      <formula>12</formula>
      <formula>18</formula>
    </cfRule>
    <cfRule type="cellIs" dxfId="7066" priority="4896" operator="greaterThanOrEqual">
      <formula>20</formula>
    </cfRule>
    <cfRule type="containsBlanks" priority="4895">
      <formula>LEN(TRIM(N206))=0</formula>
    </cfRule>
  </conditionalFormatting>
  <conditionalFormatting sqref="N223 S223">
    <cfRule type="cellIs" dxfId="7065" priority="4917" operator="greaterThanOrEqual">
      <formula>20</formula>
    </cfRule>
    <cfRule type="cellIs" dxfId="7064" priority="4919" operator="between">
      <formula>11</formula>
      <formula>0</formula>
    </cfRule>
    <cfRule type="containsBlanks" priority="4916">
      <formula>LEN(TRIM(N223))=0</formula>
    </cfRule>
    <cfRule type="cellIs" dxfId="7063" priority="4918" operator="between">
      <formula>12</formula>
      <formula>18</formula>
    </cfRule>
  </conditionalFormatting>
  <conditionalFormatting sqref="N224:N227 S224:S227">
    <cfRule type="cellIs" dxfId="7062" priority="4875" operator="greaterThanOrEqual">
      <formula>20</formula>
    </cfRule>
    <cfRule type="containsBlanks" priority="4874">
      <formula>LEN(TRIM(N224))=0</formula>
    </cfRule>
    <cfRule type="cellIs" dxfId="7061" priority="4876" operator="between">
      <formula>12</formula>
      <formula>18</formula>
    </cfRule>
    <cfRule type="cellIs" dxfId="7060" priority="4877" operator="between">
      <formula>11</formula>
      <formula>0</formula>
    </cfRule>
  </conditionalFormatting>
  <conditionalFormatting sqref="N228 S228">
    <cfRule type="cellIs" dxfId="7059" priority="12829" operator="between">
      <formula>12</formula>
      <formula>18</formula>
    </cfRule>
    <cfRule type="containsBlanks" priority="12827">
      <formula>LEN(TRIM(N228))=0</formula>
    </cfRule>
    <cfRule type="cellIs" dxfId="7058" priority="12830" operator="between">
      <formula>11</formula>
      <formula>0</formula>
    </cfRule>
    <cfRule type="cellIs" dxfId="7057" priority="12828" operator="greaterThanOrEqual">
      <formula>20</formula>
    </cfRule>
  </conditionalFormatting>
  <conditionalFormatting sqref="N229 S229">
    <cfRule type="cellIs" dxfId="7056" priority="12853" operator="between">
      <formula>12</formula>
      <formula>18</formula>
    </cfRule>
    <cfRule type="containsBlanks" priority="12851">
      <formula>LEN(TRIM(N229))=0</formula>
    </cfRule>
    <cfRule type="cellIs" dxfId="7055" priority="12854" operator="between">
      <formula>11</formula>
      <formula>0</formula>
    </cfRule>
    <cfRule type="cellIs" dxfId="7054" priority="12852" operator="greaterThanOrEqual">
      <formula>20</formula>
    </cfRule>
  </conditionalFormatting>
  <conditionalFormatting sqref="N239 S239">
    <cfRule type="containsBlanks" priority="16202">
      <formula>LEN(TRIM(N239))=0</formula>
    </cfRule>
    <cfRule type="cellIs" dxfId="7053" priority="16203" operator="greaterThanOrEqual">
      <formula>20</formula>
    </cfRule>
    <cfRule type="cellIs" dxfId="7052" priority="16204" operator="between">
      <formula>12</formula>
      <formula>18</formula>
    </cfRule>
    <cfRule type="cellIs" dxfId="7051" priority="16205" operator="between">
      <formula>11</formula>
      <formula>0</formula>
    </cfRule>
  </conditionalFormatting>
  <conditionalFormatting sqref="N241 S241">
    <cfRule type="cellIs" dxfId="7050" priority="4771" operator="between">
      <formula>11</formula>
      <formula>0</formula>
    </cfRule>
    <cfRule type="cellIs" dxfId="7049" priority="4770" operator="between">
      <formula>12</formula>
      <formula>18</formula>
    </cfRule>
    <cfRule type="cellIs" dxfId="7048" priority="4769" operator="greaterThanOrEqual">
      <formula>20</formula>
    </cfRule>
    <cfRule type="containsBlanks" priority="4768">
      <formula>LEN(TRIM(N241))=0</formula>
    </cfRule>
  </conditionalFormatting>
  <conditionalFormatting sqref="N242 S242">
    <cfRule type="cellIs" dxfId="7047" priority="12948" operator="greaterThanOrEqual">
      <formula>20</formula>
    </cfRule>
    <cfRule type="cellIs" dxfId="7046" priority="12949" operator="between">
      <formula>12</formula>
      <formula>18</formula>
    </cfRule>
    <cfRule type="cellIs" dxfId="7045" priority="12950" operator="between">
      <formula>11</formula>
      <formula>0</formula>
    </cfRule>
    <cfRule type="containsBlanks" priority="12947">
      <formula>LEN(TRIM(N242))=0</formula>
    </cfRule>
  </conditionalFormatting>
  <conditionalFormatting sqref="N243 S243">
    <cfRule type="cellIs" dxfId="7044" priority="4745" operator="greaterThanOrEqual">
      <formula>20</formula>
    </cfRule>
    <cfRule type="containsBlanks" priority="4744">
      <formula>LEN(TRIM(N243))=0</formula>
    </cfRule>
    <cfRule type="cellIs" dxfId="7043" priority="4746" operator="between">
      <formula>12</formula>
      <formula>18</formula>
    </cfRule>
    <cfRule type="cellIs" dxfId="7042" priority="4747" operator="between">
      <formula>11</formula>
      <formula>0</formula>
    </cfRule>
  </conditionalFormatting>
  <conditionalFormatting sqref="N253 S253">
    <cfRule type="cellIs" dxfId="7041" priority="4651" operator="between">
      <formula>11</formula>
      <formula>0</formula>
    </cfRule>
    <cfRule type="cellIs" dxfId="7040" priority="4649" operator="greaterThanOrEqual">
      <formula>20</formula>
    </cfRule>
    <cfRule type="containsBlanks" priority="4648">
      <formula>LEN(TRIM(N253))=0</formula>
    </cfRule>
    <cfRule type="cellIs" dxfId="7039" priority="4650" operator="between">
      <formula>12</formula>
      <formula>18</formula>
    </cfRule>
  </conditionalFormatting>
  <conditionalFormatting sqref="N262 S262">
    <cfRule type="containsBlanks" priority="4454">
      <formula>LEN(TRIM(N262))=0</formula>
    </cfRule>
    <cfRule type="cellIs" dxfId="7038" priority="4456" operator="between">
      <formula>12</formula>
      <formula>18</formula>
    </cfRule>
    <cfRule type="cellIs" dxfId="7037" priority="4455" operator="greaterThanOrEqual">
      <formula>20</formula>
    </cfRule>
    <cfRule type="cellIs" dxfId="7036" priority="4457" operator="between">
      <formula>11</formula>
      <formula>0</formula>
    </cfRule>
  </conditionalFormatting>
  <conditionalFormatting sqref="N265 S265">
    <cfRule type="cellIs" dxfId="7035" priority="4324" operator="greaterThanOrEqual">
      <formula>20</formula>
    </cfRule>
    <cfRule type="containsBlanks" priority="4323">
      <formula>LEN(TRIM(N265))=0</formula>
    </cfRule>
    <cfRule type="cellIs" dxfId="7034" priority="4325" operator="between">
      <formula>12</formula>
      <formula>18</formula>
    </cfRule>
    <cfRule type="cellIs" dxfId="7033" priority="4326" operator="between">
      <formula>11</formula>
      <formula>0</formula>
    </cfRule>
  </conditionalFormatting>
  <conditionalFormatting sqref="N266 S266">
    <cfRule type="cellIs" dxfId="7032" priority="4359" operator="greaterThanOrEqual">
      <formula>20</formula>
    </cfRule>
    <cfRule type="cellIs" dxfId="7031" priority="4360" operator="between">
      <formula>12</formula>
      <formula>18</formula>
    </cfRule>
    <cfRule type="cellIs" dxfId="7030" priority="4361" operator="between">
      <formula>11</formula>
      <formula>0</formula>
    </cfRule>
    <cfRule type="containsBlanks" priority="4358">
      <formula>LEN(TRIM(N266))=0</formula>
    </cfRule>
  </conditionalFormatting>
  <conditionalFormatting sqref="N268:N274 S268:S274">
    <cfRule type="cellIs" dxfId="7029" priority="4231" operator="between">
      <formula>11</formula>
      <formula>0</formula>
    </cfRule>
    <cfRule type="containsBlanks" priority="4228">
      <formula>LEN(TRIM(N268))=0</formula>
    </cfRule>
    <cfRule type="cellIs" dxfId="7028" priority="4230" operator="between">
      <formula>12</formula>
      <formula>18</formula>
    </cfRule>
    <cfRule type="cellIs" dxfId="7027" priority="4229" operator="greaterThanOrEqual">
      <formula>20</formula>
    </cfRule>
  </conditionalFormatting>
  <conditionalFormatting sqref="N276 S276">
    <cfRule type="cellIs" dxfId="7026" priority="4158" operator="between">
      <formula>12</formula>
      <formula>18</formula>
    </cfRule>
    <cfRule type="containsBlanks" priority="4156">
      <formula>LEN(TRIM(N276))=0</formula>
    </cfRule>
    <cfRule type="cellIs" dxfId="7025" priority="4159" operator="between">
      <formula>11</formula>
      <formula>0</formula>
    </cfRule>
    <cfRule type="cellIs" dxfId="7024" priority="4157" operator="greaterThanOrEqual">
      <formula>20</formula>
    </cfRule>
  </conditionalFormatting>
  <conditionalFormatting sqref="N279:N281 S279:S281">
    <cfRule type="cellIs" dxfId="7023" priority="12180" operator="greaterThanOrEqual">
      <formula>20</formula>
    </cfRule>
    <cfRule type="cellIs" dxfId="7022" priority="12181" operator="between">
      <formula>12</formula>
      <formula>18</formula>
    </cfRule>
    <cfRule type="containsBlanks" priority="12179">
      <formula>LEN(TRIM(N279))=0</formula>
    </cfRule>
    <cfRule type="cellIs" dxfId="7021" priority="12182" operator="between">
      <formula>11</formula>
      <formula>0</formula>
    </cfRule>
  </conditionalFormatting>
  <conditionalFormatting sqref="N283:N290 S283:S290">
    <cfRule type="cellIs" dxfId="7020" priority="4109" operator="between">
      <formula>12</formula>
      <formula>18</formula>
    </cfRule>
    <cfRule type="cellIs" dxfId="7019" priority="4110" operator="between">
      <formula>11</formula>
      <formula>0</formula>
    </cfRule>
    <cfRule type="containsBlanks" priority="4107">
      <formula>LEN(TRIM(N283))=0</formula>
    </cfRule>
    <cfRule type="cellIs" dxfId="7018" priority="4108" operator="greaterThanOrEqual">
      <formula>20</formula>
    </cfRule>
  </conditionalFormatting>
  <conditionalFormatting sqref="N291 S291">
    <cfRule type="cellIs" dxfId="7017" priority="12085" operator="between">
      <formula>11</formula>
      <formula>0</formula>
    </cfRule>
    <cfRule type="cellIs" dxfId="7016" priority="12084" operator="between">
      <formula>12</formula>
      <formula>18</formula>
    </cfRule>
    <cfRule type="containsBlanks" priority="12082">
      <formula>LEN(TRIM(N291))=0</formula>
    </cfRule>
    <cfRule type="cellIs" dxfId="7015" priority="12083" operator="greaterThanOrEqual">
      <formula>20</formula>
    </cfRule>
  </conditionalFormatting>
  <conditionalFormatting sqref="N294:N298 S294:S298">
    <cfRule type="cellIs" dxfId="7014" priority="4060" operator="greaterThanOrEqual">
      <formula>20</formula>
    </cfRule>
    <cfRule type="cellIs" dxfId="7013" priority="4062" operator="between">
      <formula>11</formula>
      <formula>0</formula>
    </cfRule>
    <cfRule type="cellIs" dxfId="7012" priority="4061" operator="between">
      <formula>12</formula>
      <formula>18</formula>
    </cfRule>
    <cfRule type="containsBlanks" priority="4059">
      <formula>LEN(TRIM(N294))=0</formula>
    </cfRule>
  </conditionalFormatting>
  <conditionalFormatting sqref="N300 S300">
    <cfRule type="cellIs" dxfId="7011" priority="4013" operator="between">
      <formula>11</formula>
      <formula>0</formula>
    </cfRule>
    <cfRule type="containsBlanks" priority="4010">
      <formula>LEN(TRIM(N300))=0</formula>
    </cfRule>
    <cfRule type="cellIs" dxfId="7010" priority="4011" operator="greaterThanOrEqual">
      <formula>20</formula>
    </cfRule>
    <cfRule type="cellIs" dxfId="7009" priority="4012" operator="between">
      <formula>12</formula>
      <formula>18</formula>
    </cfRule>
  </conditionalFormatting>
  <conditionalFormatting sqref="N304:N311 S304:S311">
    <cfRule type="cellIs" dxfId="7008" priority="3965" operator="between">
      <formula>11</formula>
      <formula>0</formula>
    </cfRule>
    <cfRule type="containsBlanks" priority="3962">
      <formula>LEN(TRIM(N304))=0</formula>
    </cfRule>
    <cfRule type="cellIs" dxfId="7007" priority="3964" operator="between">
      <formula>12</formula>
      <formula>18</formula>
    </cfRule>
    <cfRule type="cellIs" dxfId="7006" priority="3963" operator="greaterThanOrEqual">
      <formula>20</formula>
    </cfRule>
  </conditionalFormatting>
  <conditionalFormatting sqref="N315:N319 S315:S319">
    <cfRule type="cellIs" dxfId="7005" priority="3916" operator="between">
      <formula>12</formula>
      <formula>18</formula>
    </cfRule>
    <cfRule type="cellIs" dxfId="7004" priority="3915" operator="greaterThanOrEqual">
      <formula>20</formula>
    </cfRule>
    <cfRule type="cellIs" dxfId="7003" priority="3917" operator="between">
      <formula>11</formula>
      <formula>0</formula>
    </cfRule>
    <cfRule type="containsBlanks" priority="3914">
      <formula>LEN(TRIM(N315))=0</formula>
    </cfRule>
  </conditionalFormatting>
  <conditionalFormatting sqref="N321 S321">
    <cfRule type="cellIs" dxfId="7002" priority="3867" operator="between">
      <formula>12</formula>
      <formula>18</formula>
    </cfRule>
    <cfRule type="containsBlanks" priority="3865">
      <formula>LEN(TRIM(N321))=0</formula>
    </cfRule>
    <cfRule type="cellIs" dxfId="7001" priority="3866" operator="greaterThanOrEqual">
      <formula>20</formula>
    </cfRule>
    <cfRule type="cellIs" dxfId="7000" priority="3868" operator="between">
      <formula>11</formula>
      <formula>0</formula>
    </cfRule>
  </conditionalFormatting>
  <conditionalFormatting sqref="N325:N332 S325:S332">
    <cfRule type="containsBlanks" priority="3743">
      <formula>LEN(TRIM(N325))=0</formula>
    </cfRule>
    <cfRule type="cellIs" dxfId="6999" priority="3744" operator="greaterThanOrEqual">
      <formula>20</formula>
    </cfRule>
    <cfRule type="cellIs" dxfId="6998" priority="3746" operator="between">
      <formula>11</formula>
      <formula>0</formula>
    </cfRule>
    <cfRule type="cellIs" dxfId="6997" priority="3745" operator="between">
      <formula>12</formula>
      <formula>18</formula>
    </cfRule>
  </conditionalFormatting>
  <conditionalFormatting sqref="N333:N334 S333:S334">
    <cfRule type="cellIs" dxfId="6996" priority="11717" operator="greaterThanOrEqual">
      <formula>20</formula>
    </cfRule>
    <cfRule type="cellIs" dxfId="6995" priority="11718" operator="between">
      <formula>12</formula>
      <formula>18</formula>
    </cfRule>
    <cfRule type="cellIs" dxfId="6994" priority="11719" operator="between">
      <formula>11</formula>
      <formula>0</formula>
    </cfRule>
    <cfRule type="containsBlanks" priority="11716">
      <formula>LEN(TRIM(N333))=0</formula>
    </cfRule>
  </conditionalFormatting>
  <conditionalFormatting sqref="N336:N342 S336:S342">
    <cfRule type="cellIs" dxfId="6993" priority="3648" operator="between">
      <formula>11</formula>
      <formula>0</formula>
    </cfRule>
    <cfRule type="containsBlanks" priority="3645">
      <formula>LEN(TRIM(N336))=0</formula>
    </cfRule>
    <cfRule type="cellIs" dxfId="6992" priority="3646" operator="greaterThanOrEqual">
      <formula>20</formula>
    </cfRule>
    <cfRule type="cellIs" dxfId="6991" priority="3647" operator="between">
      <formula>12</formula>
      <formula>18</formula>
    </cfRule>
  </conditionalFormatting>
  <conditionalFormatting sqref="N346:N355 S346:S355">
    <cfRule type="cellIs" dxfId="6990" priority="3576" operator="between">
      <formula>11</formula>
      <formula>0</formula>
    </cfRule>
    <cfRule type="containsBlanks" priority="3573">
      <formula>LEN(TRIM(N346))=0</formula>
    </cfRule>
    <cfRule type="cellIs" dxfId="6989" priority="3574" operator="greaterThanOrEqual">
      <formula>20</formula>
    </cfRule>
    <cfRule type="cellIs" dxfId="6988" priority="3575" operator="between">
      <formula>12</formula>
      <formula>18</formula>
    </cfRule>
  </conditionalFormatting>
  <conditionalFormatting sqref="N359:N375 S359:S375">
    <cfRule type="containsBlanks" priority="3503">
      <formula>LEN(TRIM(N359))=0</formula>
    </cfRule>
    <cfRule type="cellIs" dxfId="6987" priority="3506" operator="between">
      <formula>11</formula>
      <formula>0</formula>
    </cfRule>
    <cfRule type="cellIs" dxfId="6986" priority="3505" operator="between">
      <formula>12</formula>
      <formula>18</formula>
    </cfRule>
    <cfRule type="cellIs" dxfId="6985" priority="3504" operator="greaterThanOrEqual">
      <formula>20</formula>
    </cfRule>
  </conditionalFormatting>
  <conditionalFormatting sqref="N376 S376">
    <cfRule type="containsBlanks" priority="3524">
      <formula>LEN(TRIM(N376))=0</formula>
    </cfRule>
    <cfRule type="cellIs" dxfId="6984" priority="3525" operator="greaterThanOrEqual">
      <formula>20</formula>
    </cfRule>
    <cfRule type="cellIs" dxfId="6983" priority="3526" operator="between">
      <formula>12</formula>
      <formula>18</formula>
    </cfRule>
    <cfRule type="cellIs" dxfId="6982" priority="3527" operator="between">
      <formula>11</formula>
      <formula>0</formula>
    </cfRule>
  </conditionalFormatting>
  <conditionalFormatting sqref="N377:N380 S377:S380">
    <cfRule type="containsBlanks" priority="3482">
      <formula>LEN(TRIM(N377))=0</formula>
    </cfRule>
    <cfRule type="cellIs" dxfId="6981" priority="3485" operator="between">
      <formula>11</formula>
      <formula>0</formula>
    </cfRule>
    <cfRule type="cellIs" dxfId="6980" priority="3484" operator="between">
      <formula>12</formula>
      <formula>18</formula>
    </cfRule>
    <cfRule type="cellIs" dxfId="6979" priority="3483" operator="greaterThanOrEqual">
      <formula>20</formula>
    </cfRule>
  </conditionalFormatting>
  <conditionalFormatting sqref="N384:N390 S384:S390">
    <cfRule type="cellIs" dxfId="6978" priority="3427" operator="between">
      <formula>12</formula>
      <formula>18</formula>
    </cfRule>
    <cfRule type="cellIs" dxfId="6977" priority="3428" operator="between">
      <formula>11</formula>
      <formula>0</formula>
    </cfRule>
    <cfRule type="containsBlanks" priority="3425">
      <formula>LEN(TRIM(N384))=0</formula>
    </cfRule>
    <cfRule type="cellIs" dxfId="6976" priority="3426" operator="greaterThanOrEqual">
      <formula>20</formula>
    </cfRule>
  </conditionalFormatting>
  <conditionalFormatting sqref="N394:N398 S394:S398 S400:S401 N400:N401">
    <cfRule type="cellIs" dxfId="6975" priority="3331" operator="between">
      <formula>12</formula>
      <formula>18</formula>
    </cfRule>
    <cfRule type="cellIs" dxfId="6974" priority="3332" operator="between">
      <formula>11</formula>
      <formula>0</formula>
    </cfRule>
    <cfRule type="containsBlanks" priority="3329">
      <formula>LEN(TRIM(N394))=0</formula>
    </cfRule>
    <cfRule type="cellIs" dxfId="6973" priority="3330" operator="greaterThanOrEqual">
      <formula>20</formula>
    </cfRule>
  </conditionalFormatting>
  <conditionalFormatting sqref="N405:N413 S405:S413">
    <cfRule type="containsBlanks" priority="3161">
      <formula>LEN(TRIM(N405))=0</formula>
    </cfRule>
    <cfRule type="cellIs" dxfId="6972" priority="3164" operator="between">
      <formula>11</formula>
      <formula>0</formula>
    </cfRule>
    <cfRule type="cellIs" dxfId="6971" priority="3163" operator="between">
      <formula>12</formula>
      <formula>18</formula>
    </cfRule>
    <cfRule type="cellIs" dxfId="6970" priority="3162" operator="greaterThanOrEqual">
      <formula>20</formula>
    </cfRule>
  </conditionalFormatting>
  <conditionalFormatting sqref="N417:N426 S417:S426">
    <cfRule type="cellIs" dxfId="6969" priority="3115" operator="between">
      <formula>12</formula>
      <formula>18</formula>
    </cfRule>
    <cfRule type="cellIs" dxfId="6968" priority="3116" operator="between">
      <formula>11</formula>
      <formula>0</formula>
    </cfRule>
    <cfRule type="containsBlanks" priority="3113">
      <formula>LEN(TRIM(N417))=0</formula>
    </cfRule>
    <cfRule type="cellIs" dxfId="6967" priority="3114" operator="greaterThanOrEqual">
      <formula>20</formula>
    </cfRule>
  </conditionalFormatting>
  <conditionalFormatting sqref="N427 N429">
    <cfRule type="containsBlanks" priority="10788">
      <formula>LEN(TRIM(N427))=0</formula>
    </cfRule>
    <cfRule type="cellIs" dxfId="6966" priority="10789" operator="greaterThanOrEqual">
      <formula>20</formula>
    </cfRule>
    <cfRule type="cellIs" dxfId="6965" priority="10791" operator="between">
      <formula>11</formula>
      <formula>0</formula>
    </cfRule>
    <cfRule type="cellIs" dxfId="6964" priority="10790" operator="between">
      <formula>12</formula>
      <formula>18</formula>
    </cfRule>
  </conditionalFormatting>
  <conditionalFormatting sqref="N428 S428">
    <cfRule type="containsBlanks" priority="10750">
      <formula>LEN(TRIM(N428))=0</formula>
    </cfRule>
    <cfRule type="cellIs" dxfId="6963" priority="10751" operator="greaterThanOrEqual">
      <formula>20</formula>
    </cfRule>
    <cfRule type="cellIs" dxfId="6962" priority="10752" operator="between">
      <formula>12</formula>
      <formula>18</formula>
    </cfRule>
    <cfRule type="cellIs" dxfId="6961" priority="10753" operator="between">
      <formula>11</formula>
      <formula>0</formula>
    </cfRule>
  </conditionalFormatting>
  <conditionalFormatting sqref="N431:N440 S431:S440">
    <cfRule type="containsBlanks" priority="3065">
      <formula>LEN(TRIM(N431))=0</formula>
    </cfRule>
    <cfRule type="cellIs" dxfId="6960" priority="3066" operator="greaterThanOrEqual">
      <formula>20</formula>
    </cfRule>
    <cfRule type="cellIs" dxfId="6959" priority="3067" operator="between">
      <formula>12</formula>
      <formula>18</formula>
    </cfRule>
    <cfRule type="cellIs" dxfId="6958" priority="3068" operator="between">
      <formula>11</formula>
      <formula>0</formula>
    </cfRule>
  </conditionalFormatting>
  <conditionalFormatting sqref="N441 S441">
    <cfRule type="cellIs" dxfId="6957" priority="10863" operator="between">
      <formula>11</formula>
      <formula>0</formula>
    </cfRule>
    <cfRule type="cellIs" dxfId="6956" priority="10862" operator="between">
      <formula>12</formula>
      <formula>18</formula>
    </cfRule>
    <cfRule type="containsBlanks" priority="10860">
      <formula>LEN(TRIM(N441))=0</formula>
    </cfRule>
    <cfRule type="cellIs" dxfId="6955" priority="10861" operator="greaterThanOrEqual">
      <formula>20</formula>
    </cfRule>
  </conditionalFormatting>
  <conditionalFormatting sqref="N442">
    <cfRule type="cellIs" dxfId="6954" priority="3053" operator="between">
      <formula>12</formula>
      <formula>18</formula>
    </cfRule>
    <cfRule type="cellIs" dxfId="6953" priority="3052" operator="greaterThanOrEqual">
      <formula>20</formula>
    </cfRule>
    <cfRule type="containsBlanks" priority="3051">
      <formula>LEN(TRIM(N442))=0</formula>
    </cfRule>
    <cfRule type="cellIs" dxfId="6952" priority="3054" operator="between">
      <formula>11</formula>
      <formula>0</formula>
    </cfRule>
  </conditionalFormatting>
  <conditionalFormatting sqref="N444:N451 S444:S451">
    <cfRule type="containsBlanks" priority="2989">
      <formula>LEN(TRIM(N444))=0</formula>
    </cfRule>
    <cfRule type="cellIs" dxfId="6951" priority="2990" operator="greaterThanOrEqual">
      <formula>20</formula>
    </cfRule>
    <cfRule type="cellIs" dxfId="6950" priority="2992" operator="between">
      <formula>11</formula>
      <formula>0</formula>
    </cfRule>
    <cfRule type="cellIs" dxfId="6949" priority="2991" operator="between">
      <formula>12</formula>
      <formula>18</formula>
    </cfRule>
  </conditionalFormatting>
  <conditionalFormatting sqref="N452 S452">
    <cfRule type="cellIs" dxfId="6948" priority="22784" operator="greaterThanOrEqual">
      <formula>20</formula>
    </cfRule>
    <cfRule type="cellIs" dxfId="6947" priority="22786" operator="between">
      <formula>11</formula>
      <formula>0</formula>
    </cfRule>
    <cfRule type="containsBlanks" priority="22783">
      <formula>LEN(TRIM(N452))=0</formula>
    </cfRule>
    <cfRule type="cellIs" dxfId="6946" priority="22785" operator="between">
      <formula>12</formula>
      <formula>18</formula>
    </cfRule>
  </conditionalFormatting>
  <conditionalFormatting sqref="N453 S453">
    <cfRule type="cellIs" dxfId="6945" priority="10547" operator="greaterThanOrEqual">
      <formula>20</formula>
    </cfRule>
    <cfRule type="cellIs" dxfId="6944" priority="10548" operator="between">
      <formula>12</formula>
      <formula>18</formula>
    </cfRule>
    <cfRule type="cellIs" dxfId="6943" priority="10549" operator="between">
      <formula>11</formula>
      <formula>0</formula>
    </cfRule>
    <cfRule type="containsBlanks" priority="10546">
      <formula>LEN(TRIM(N453))=0</formula>
    </cfRule>
  </conditionalFormatting>
  <conditionalFormatting sqref="N455:N462 S455:S462">
    <cfRule type="cellIs" dxfId="6942" priority="2943" operator="between">
      <formula>12</formula>
      <formula>18</formula>
    </cfRule>
    <cfRule type="cellIs" dxfId="6941" priority="2944" operator="between">
      <formula>11</formula>
      <formula>0</formula>
    </cfRule>
    <cfRule type="containsBlanks" priority="2941">
      <formula>LEN(TRIM(N455))=0</formula>
    </cfRule>
    <cfRule type="cellIs" dxfId="6940" priority="2942" operator="greaterThanOrEqual">
      <formula>20</formula>
    </cfRule>
  </conditionalFormatting>
  <conditionalFormatting sqref="N466:N473 S466:S473">
    <cfRule type="cellIs" dxfId="6939" priority="2894" operator="greaterThanOrEqual">
      <formula>20</formula>
    </cfRule>
    <cfRule type="cellIs" dxfId="6938" priority="2895" operator="between">
      <formula>12</formula>
      <formula>18</formula>
    </cfRule>
    <cfRule type="containsBlanks" priority="2893">
      <formula>LEN(TRIM(N466))=0</formula>
    </cfRule>
    <cfRule type="cellIs" dxfId="6937" priority="2896" operator="between">
      <formula>11</formula>
      <formula>0</formula>
    </cfRule>
  </conditionalFormatting>
  <conditionalFormatting sqref="N474 S474">
    <cfRule type="cellIs" dxfId="6936" priority="26689" operator="between">
      <formula>11</formula>
      <formula>0</formula>
    </cfRule>
    <cfRule type="cellIs" dxfId="6935" priority="26687" operator="greaterThanOrEqual">
      <formula>20</formula>
    </cfRule>
    <cfRule type="containsBlanks" priority="26686">
      <formula>LEN(TRIM(N474))=0</formula>
    </cfRule>
    <cfRule type="cellIs" dxfId="6934" priority="26688" operator="between">
      <formula>12</formula>
      <formula>18</formula>
    </cfRule>
  </conditionalFormatting>
  <conditionalFormatting sqref="N476:N483 S476:S483">
    <cfRule type="containsBlanks" priority="2845">
      <formula>LEN(TRIM(N476))=0</formula>
    </cfRule>
    <cfRule type="cellIs" dxfId="6933" priority="2847" operator="between">
      <formula>12</formula>
      <formula>18</formula>
    </cfRule>
    <cfRule type="cellIs" dxfId="6932" priority="2848" operator="between">
      <formula>11</formula>
      <formula>0</formula>
    </cfRule>
    <cfRule type="cellIs" dxfId="6931" priority="2846" operator="greaterThanOrEqual">
      <formula>20</formula>
    </cfRule>
  </conditionalFormatting>
  <conditionalFormatting sqref="N487:N496 S487:S496">
    <cfRule type="cellIs" dxfId="6930" priority="2726" operator="greaterThanOrEqual">
      <formula>20</formula>
    </cfRule>
    <cfRule type="containsBlanks" priority="2725">
      <formula>LEN(TRIM(N487))=0</formula>
    </cfRule>
    <cfRule type="cellIs" dxfId="6929" priority="2728" operator="between">
      <formula>11</formula>
      <formula>0</formula>
    </cfRule>
    <cfRule type="cellIs" dxfId="6928" priority="2727" operator="between">
      <formula>12</formula>
      <formula>18</formula>
    </cfRule>
  </conditionalFormatting>
  <conditionalFormatting sqref="N497 S497">
    <cfRule type="cellIs" dxfId="6927" priority="42620" operator="between">
      <formula>11</formula>
      <formula>0</formula>
    </cfRule>
    <cfRule type="cellIs" dxfId="6926" priority="42618" operator="greaterThanOrEqual">
      <formula>20</formula>
    </cfRule>
    <cfRule type="containsBlanks" priority="42617">
      <formula>LEN(TRIM(N497))=0</formula>
    </cfRule>
    <cfRule type="cellIs" dxfId="6925" priority="42619" operator="between">
      <formula>12</formula>
      <formula>18</formula>
    </cfRule>
  </conditionalFormatting>
  <conditionalFormatting sqref="N500:N507 S500:S507">
    <cfRule type="cellIs" dxfId="6924" priority="2656" operator="between">
      <formula>11</formula>
      <formula>0</formula>
    </cfRule>
    <cfRule type="cellIs" dxfId="6923" priority="2655" operator="between">
      <formula>12</formula>
      <formula>18</formula>
    </cfRule>
    <cfRule type="containsBlanks" priority="2653">
      <formula>LEN(TRIM(N500))=0</formula>
    </cfRule>
    <cfRule type="cellIs" dxfId="6922" priority="2654" operator="greaterThanOrEqual">
      <formula>20</formula>
    </cfRule>
  </conditionalFormatting>
  <conditionalFormatting sqref="N511:N518 S511:S518">
    <cfRule type="cellIs" dxfId="6921" priority="2559" operator="between">
      <formula>12</formula>
      <formula>18</formula>
    </cfRule>
    <cfRule type="containsBlanks" priority="2557">
      <formula>LEN(TRIM(N511))=0</formula>
    </cfRule>
    <cfRule type="cellIs" dxfId="6920" priority="2558" operator="greaterThanOrEqual">
      <formula>20</formula>
    </cfRule>
    <cfRule type="cellIs" dxfId="6919" priority="2560" operator="between">
      <formula>11</formula>
      <formula>0</formula>
    </cfRule>
  </conditionalFormatting>
  <conditionalFormatting sqref="N522:N529 S522:S529">
    <cfRule type="cellIs" dxfId="6918" priority="2464" operator="between">
      <formula>11</formula>
      <formula>0</formula>
    </cfRule>
    <cfRule type="cellIs" dxfId="6917" priority="2462" operator="greaterThanOrEqual">
      <formula>20</formula>
    </cfRule>
    <cfRule type="containsBlanks" priority="2461">
      <formula>LEN(TRIM(N522))=0</formula>
    </cfRule>
    <cfRule type="cellIs" dxfId="6916" priority="2463" operator="between">
      <formula>12</formula>
      <formula>18</formula>
    </cfRule>
  </conditionalFormatting>
  <conditionalFormatting sqref="N533:N540 S533:S540">
    <cfRule type="containsBlanks" priority="2413">
      <formula>LEN(TRIM(N533))=0</formula>
    </cfRule>
    <cfRule type="cellIs" dxfId="6915" priority="2414" operator="greaterThanOrEqual">
      <formula>20</formula>
    </cfRule>
    <cfRule type="cellIs" dxfId="6914" priority="2415" operator="between">
      <formula>12</formula>
      <formula>18</formula>
    </cfRule>
    <cfRule type="cellIs" dxfId="6913" priority="2416" operator="between">
      <formula>11</formula>
      <formula>0</formula>
    </cfRule>
  </conditionalFormatting>
  <conditionalFormatting sqref="N544:N548 S544:S548 S550:S551 N550:N551">
    <cfRule type="containsBlanks" priority="2293">
      <formula>LEN(TRIM(N544))=0</formula>
    </cfRule>
    <cfRule type="cellIs" dxfId="6912" priority="2294" operator="greaterThanOrEqual">
      <formula>20</formula>
    </cfRule>
    <cfRule type="cellIs" dxfId="6911" priority="2296" operator="between">
      <formula>11</formula>
      <formula>0</formula>
    </cfRule>
    <cfRule type="cellIs" dxfId="6910" priority="2295" operator="between">
      <formula>12</formula>
      <formula>18</formula>
    </cfRule>
  </conditionalFormatting>
  <conditionalFormatting sqref="N552:N553 S552:S553">
    <cfRule type="cellIs" dxfId="6909" priority="36596" operator="between">
      <formula>12</formula>
      <formula>18</formula>
    </cfRule>
    <cfRule type="cellIs" dxfId="6908" priority="36597" operator="between">
      <formula>11</formula>
      <formula>0</formula>
    </cfRule>
    <cfRule type="containsBlanks" priority="36594">
      <formula>LEN(TRIM(N552))=0</formula>
    </cfRule>
    <cfRule type="cellIs" dxfId="6907" priority="36595" operator="greaterThanOrEqual">
      <formula>20</formula>
    </cfRule>
  </conditionalFormatting>
  <conditionalFormatting sqref="N555:N559 S555:S559">
    <cfRule type="cellIs" dxfId="6906" priority="2223" operator="between">
      <formula>12</formula>
      <formula>18</formula>
    </cfRule>
    <cfRule type="cellIs" dxfId="6905" priority="2222" operator="greaterThanOrEqual">
      <formula>20</formula>
    </cfRule>
    <cfRule type="cellIs" dxfId="6904" priority="2224" operator="between">
      <formula>11</formula>
      <formula>0</formula>
    </cfRule>
    <cfRule type="containsBlanks" priority="2221">
      <formula>LEN(TRIM(N555))=0</formula>
    </cfRule>
  </conditionalFormatting>
  <conditionalFormatting sqref="N560:N561 S560:S561">
    <cfRule type="cellIs" dxfId="6903" priority="52712" operator="greaterThanOrEqual">
      <formula>20</formula>
    </cfRule>
    <cfRule type="cellIs" dxfId="6902" priority="52713" operator="between">
      <formula>12</formula>
      <formula>18</formula>
    </cfRule>
    <cfRule type="containsBlanks" priority="52711">
      <formula>LEN(TRIM(N560))=0</formula>
    </cfRule>
    <cfRule type="cellIs" dxfId="6901" priority="52714" operator="between">
      <formula>11</formula>
      <formula>0</formula>
    </cfRule>
  </conditionalFormatting>
  <conditionalFormatting sqref="N564 S564">
    <cfRule type="cellIs" dxfId="6900" priority="2104" operator="between">
      <formula>11</formula>
      <formula>0</formula>
    </cfRule>
    <cfRule type="cellIs" dxfId="6899" priority="2102" operator="greaterThanOrEqual">
      <formula>20</formula>
    </cfRule>
    <cfRule type="cellIs" dxfId="6898" priority="2103" operator="between">
      <formula>12</formula>
      <formula>18</formula>
    </cfRule>
    <cfRule type="containsBlanks" priority="2101">
      <formula>LEN(TRIM(N564))=0</formula>
    </cfRule>
  </conditionalFormatting>
  <conditionalFormatting sqref="N566:N575 S566:S575">
    <cfRule type="containsBlanks" priority="2053">
      <formula>LEN(TRIM(N566))=0</formula>
    </cfRule>
    <cfRule type="cellIs" dxfId="6897" priority="2054" operator="greaterThanOrEqual">
      <formula>20</formula>
    </cfRule>
    <cfRule type="cellIs" dxfId="6896" priority="2056" operator="between">
      <formula>11</formula>
      <formula>0</formula>
    </cfRule>
    <cfRule type="cellIs" dxfId="6895" priority="2055" operator="between">
      <formula>12</formula>
      <formula>18</formula>
    </cfRule>
  </conditionalFormatting>
  <conditionalFormatting sqref="N577 S577 S595:S596 N595:N596 N613:N614 S613:S614 S622 N622 N626 S626 S639:S640 N639:N640 N654:N655 S654:S655 S662:S663 N662:N663 N668:N669 S668:S669 S672:S673 N672:N673 N682:N683 S682:S683 S697 N697 N699:N700 S699:S700 S717:S718 N717:N718 N735:N736 S735:S736 S753:S754 N753:N754">
    <cfRule type="containsBlanks" priority="76865">
      <formula>LEN(TRIM(N577))=0</formula>
    </cfRule>
    <cfRule type="cellIs" dxfId="6894" priority="76868" operator="between">
      <formula>11</formula>
      <formula>0</formula>
    </cfRule>
    <cfRule type="cellIs" dxfId="6893" priority="76867" operator="between">
      <formula>12</formula>
      <formula>18</formula>
    </cfRule>
    <cfRule type="cellIs" dxfId="6892" priority="76866" operator="greaterThanOrEqual">
      <formula>20</formula>
    </cfRule>
  </conditionalFormatting>
  <conditionalFormatting sqref="N579:N586 S579:S586">
    <cfRule type="containsBlanks" priority="1957">
      <formula>LEN(TRIM(N579))=0</formula>
    </cfRule>
    <cfRule type="cellIs" dxfId="6891" priority="1958" operator="greaterThanOrEqual">
      <formula>20</formula>
    </cfRule>
    <cfRule type="cellIs" dxfId="6890" priority="1960" operator="between">
      <formula>11</formula>
      <formula>0</formula>
    </cfRule>
    <cfRule type="cellIs" dxfId="6889" priority="1959" operator="between">
      <formula>12</formula>
      <formula>18</formula>
    </cfRule>
  </conditionalFormatting>
  <conditionalFormatting sqref="N591 S591">
    <cfRule type="cellIs" dxfId="6888" priority="1912" operator="between">
      <formula>11</formula>
      <formula>0</formula>
    </cfRule>
    <cfRule type="cellIs" dxfId="6887" priority="1910" operator="greaterThanOrEqual">
      <formula>20</formula>
    </cfRule>
    <cfRule type="containsBlanks" priority="1909">
      <formula>LEN(TRIM(N591))=0</formula>
    </cfRule>
    <cfRule type="cellIs" dxfId="6886" priority="1911" operator="between">
      <formula>12</formula>
      <formula>18</formula>
    </cfRule>
  </conditionalFormatting>
  <conditionalFormatting sqref="N593 S593">
    <cfRule type="cellIs" dxfId="6885" priority="1886" operator="greaterThanOrEqual">
      <formula>20</formula>
    </cfRule>
    <cfRule type="containsBlanks" priority="1885">
      <formula>LEN(TRIM(N593))=0</formula>
    </cfRule>
    <cfRule type="cellIs" dxfId="6884" priority="1888" operator="between">
      <formula>11</formula>
      <formula>0</formula>
    </cfRule>
    <cfRule type="cellIs" dxfId="6883" priority="1887" operator="between">
      <formula>12</formula>
      <formula>18</formula>
    </cfRule>
  </conditionalFormatting>
  <conditionalFormatting sqref="N597 S597">
    <cfRule type="cellIs" dxfId="6882" priority="60387" operator="greaterThanOrEqual">
      <formula>20</formula>
    </cfRule>
    <cfRule type="containsBlanks" priority="60386">
      <formula>LEN(TRIM(N597))=0</formula>
    </cfRule>
    <cfRule type="cellIs" dxfId="6881" priority="60389" operator="between">
      <formula>11</formula>
      <formula>0</formula>
    </cfRule>
    <cfRule type="cellIs" dxfId="6880" priority="60388" operator="between">
      <formula>12</formula>
      <formula>18</formula>
    </cfRule>
  </conditionalFormatting>
  <conditionalFormatting sqref="N598:N602 S598:S602">
    <cfRule type="cellIs" dxfId="6879" priority="60339" operator="greaterThanOrEqual">
      <formula>20</formula>
    </cfRule>
    <cfRule type="cellIs" dxfId="6878" priority="60340" operator="between">
      <formula>12</formula>
      <formula>18</formula>
    </cfRule>
    <cfRule type="cellIs" dxfId="6877" priority="60341" operator="between">
      <formula>11</formula>
      <formula>0</formula>
    </cfRule>
    <cfRule type="containsBlanks" priority="60338">
      <formula>LEN(TRIM(N598))=0</formula>
    </cfRule>
  </conditionalFormatting>
  <conditionalFormatting sqref="N603 S603">
    <cfRule type="cellIs" dxfId="6876" priority="60291" operator="greaterThanOrEqual">
      <formula>20</formula>
    </cfRule>
    <cfRule type="cellIs" dxfId="6875" priority="60292" operator="between">
      <formula>12</formula>
      <formula>18</formula>
    </cfRule>
    <cfRule type="containsBlanks" priority="60290">
      <formula>LEN(TRIM(N603))=0</formula>
    </cfRule>
    <cfRule type="cellIs" dxfId="6874" priority="60293" operator="between">
      <formula>11</formula>
      <formula>0</formula>
    </cfRule>
  </conditionalFormatting>
  <conditionalFormatting sqref="N615 S615">
    <cfRule type="cellIs" dxfId="6873" priority="60267" operator="greaterThanOrEqual">
      <formula>20</formula>
    </cfRule>
    <cfRule type="containsBlanks" priority="60266">
      <formula>LEN(TRIM(N615))=0</formula>
    </cfRule>
    <cfRule type="cellIs" dxfId="6872" priority="60268" operator="between">
      <formula>12</formula>
      <formula>18</formula>
    </cfRule>
    <cfRule type="cellIs" dxfId="6871" priority="60269" operator="between">
      <formula>11</formula>
      <formula>0</formula>
    </cfRule>
  </conditionalFormatting>
  <conditionalFormatting sqref="N628 S628">
    <cfRule type="containsBlanks" priority="60146">
      <formula>LEN(TRIM(N628))=0</formula>
    </cfRule>
    <cfRule type="cellIs" dxfId="6870" priority="60148" operator="between">
      <formula>12</formula>
      <formula>18</formula>
    </cfRule>
    <cfRule type="cellIs" dxfId="6869" priority="60147" operator="greaterThanOrEqual">
      <formula>20</formula>
    </cfRule>
    <cfRule type="cellIs" dxfId="6868" priority="60149" operator="between">
      <formula>11</formula>
      <formula>0</formula>
    </cfRule>
  </conditionalFormatting>
  <conditionalFormatting sqref="N641 S641">
    <cfRule type="cellIs" dxfId="6867" priority="60051" operator="greaterThanOrEqual">
      <formula>20</formula>
    </cfRule>
    <cfRule type="cellIs" dxfId="6866" priority="60052" operator="between">
      <formula>12</formula>
      <formula>18</formula>
    </cfRule>
    <cfRule type="containsBlanks" priority="60050">
      <formula>LEN(TRIM(N641))=0</formula>
    </cfRule>
    <cfRule type="cellIs" dxfId="6865" priority="60053" operator="between">
      <formula>11</formula>
      <formula>0</formula>
    </cfRule>
  </conditionalFormatting>
  <conditionalFormatting sqref="N656 S656">
    <cfRule type="containsBlanks" priority="60002">
      <formula>LEN(TRIM(N656))=0</formula>
    </cfRule>
    <cfRule type="cellIs" dxfId="6864" priority="60005" operator="between">
      <formula>11</formula>
      <formula>0</formula>
    </cfRule>
    <cfRule type="cellIs" dxfId="6863" priority="60003" operator="greaterThanOrEqual">
      <formula>20</formula>
    </cfRule>
    <cfRule type="cellIs" dxfId="6862" priority="60004" operator="between">
      <formula>12</formula>
      <formula>18</formula>
    </cfRule>
  </conditionalFormatting>
  <conditionalFormatting sqref="N664 S664">
    <cfRule type="cellIs" dxfId="6861" priority="59956" operator="between">
      <formula>12</formula>
      <formula>18</formula>
    </cfRule>
    <cfRule type="containsBlanks" priority="59954">
      <formula>LEN(TRIM(N664))=0</formula>
    </cfRule>
    <cfRule type="cellIs" dxfId="6860" priority="59957" operator="between">
      <formula>11</formula>
      <formula>0</formula>
    </cfRule>
    <cfRule type="cellIs" dxfId="6859" priority="59955" operator="greaterThanOrEqual">
      <formula>20</formula>
    </cfRule>
  </conditionalFormatting>
  <conditionalFormatting sqref="N674 S674">
    <cfRule type="cellIs" dxfId="6858" priority="59865" operator="between">
      <formula>11</formula>
      <formula>0</formula>
    </cfRule>
    <cfRule type="containsBlanks" priority="59862">
      <formula>LEN(TRIM(N674))=0</formula>
    </cfRule>
    <cfRule type="cellIs" dxfId="6857" priority="59863" operator="greaterThanOrEqual">
      <formula>20</formula>
    </cfRule>
    <cfRule type="cellIs" dxfId="6856" priority="59864" operator="between">
      <formula>12</formula>
      <formula>18</formula>
    </cfRule>
  </conditionalFormatting>
  <conditionalFormatting sqref="N679 S679">
    <cfRule type="containsBlanks" priority="59838">
      <formula>LEN(TRIM(N679))=0</formula>
    </cfRule>
    <cfRule type="cellIs" dxfId="6855" priority="59840" operator="between">
      <formula>12</formula>
      <formula>18</formula>
    </cfRule>
    <cfRule type="cellIs" dxfId="6854" priority="59839" operator="greaterThanOrEqual">
      <formula>20</formula>
    </cfRule>
    <cfRule type="cellIs" dxfId="6853" priority="59841" operator="between">
      <formula>11</formula>
      <formula>0</formula>
    </cfRule>
  </conditionalFormatting>
  <conditionalFormatting sqref="N684 S684">
    <cfRule type="cellIs" dxfId="6852" priority="59748" operator="between">
      <formula>12</formula>
      <formula>18</formula>
    </cfRule>
    <cfRule type="cellIs" dxfId="6851" priority="59749" operator="between">
      <formula>11</formula>
      <formula>0</formula>
    </cfRule>
    <cfRule type="cellIs" dxfId="6850" priority="59747" operator="greaterThanOrEqual">
      <formula>20</formula>
    </cfRule>
    <cfRule type="containsBlanks" priority="59746">
      <formula>LEN(TRIM(N684))=0</formula>
    </cfRule>
  </conditionalFormatting>
  <conditionalFormatting sqref="N701 S701">
    <cfRule type="cellIs" dxfId="6849" priority="59604" operator="between">
      <formula>12</formula>
      <formula>18</formula>
    </cfRule>
    <cfRule type="cellIs" dxfId="6848" priority="59605" operator="between">
      <formula>11</formula>
      <formula>0</formula>
    </cfRule>
    <cfRule type="containsBlanks" priority="59602">
      <formula>LEN(TRIM(N701))=0</formula>
    </cfRule>
    <cfRule type="cellIs" dxfId="6847" priority="59603" operator="greaterThanOrEqual">
      <formula>20</formula>
    </cfRule>
  </conditionalFormatting>
  <conditionalFormatting sqref="N702:N707 S702:S707">
    <cfRule type="cellIs" dxfId="6846" priority="59556" operator="between">
      <formula>12</formula>
      <formula>18</formula>
    </cfRule>
    <cfRule type="cellIs" dxfId="6845" priority="59555" operator="greaterThanOrEqual">
      <formula>20</formula>
    </cfRule>
    <cfRule type="cellIs" dxfId="6844" priority="59557" operator="between">
      <formula>11</formula>
      <formula>0</formula>
    </cfRule>
    <cfRule type="containsBlanks" priority="59554">
      <formula>LEN(TRIM(N702))=0</formula>
    </cfRule>
  </conditionalFormatting>
  <conditionalFormatting sqref="N719 S719">
    <cfRule type="cellIs" dxfId="6843" priority="59509" operator="between">
      <formula>11</formula>
      <formula>0</formula>
    </cfRule>
    <cfRule type="cellIs" dxfId="6842" priority="59508" operator="between">
      <formula>12</formula>
      <formula>18</formula>
    </cfRule>
    <cfRule type="cellIs" dxfId="6841" priority="59507" operator="greaterThanOrEqual">
      <formula>20</formula>
    </cfRule>
    <cfRule type="containsBlanks" priority="59506">
      <formula>LEN(TRIM(N719))=0</formula>
    </cfRule>
  </conditionalFormatting>
  <conditionalFormatting sqref="N720:N725 S720:S725">
    <cfRule type="cellIs" dxfId="6840" priority="59461" operator="between">
      <formula>11</formula>
      <formula>0</formula>
    </cfRule>
    <cfRule type="containsBlanks" priority="59458">
      <formula>LEN(TRIM(N720))=0</formula>
    </cfRule>
    <cfRule type="cellIs" dxfId="6839" priority="59460" operator="between">
      <formula>12</formula>
      <formula>18</formula>
    </cfRule>
    <cfRule type="cellIs" dxfId="6838" priority="59459" operator="greaterThanOrEqual">
      <formula>20</formula>
    </cfRule>
  </conditionalFormatting>
  <conditionalFormatting sqref="N737 S737">
    <cfRule type="containsBlanks" priority="59410">
      <formula>LEN(TRIM(N737))=0</formula>
    </cfRule>
    <cfRule type="cellIs" dxfId="6837" priority="59411" operator="greaterThanOrEqual">
      <formula>20</formula>
    </cfRule>
    <cfRule type="cellIs" dxfId="6836" priority="59413" operator="between">
      <formula>11</formula>
      <formula>0</formula>
    </cfRule>
    <cfRule type="cellIs" dxfId="6835" priority="59412" operator="between">
      <formula>12</formula>
      <formula>18</formula>
    </cfRule>
  </conditionalFormatting>
  <conditionalFormatting sqref="N738:N743 S738:S743">
    <cfRule type="cellIs" dxfId="6834" priority="59363" operator="greaterThanOrEqual">
      <formula>20</formula>
    </cfRule>
    <cfRule type="cellIs" dxfId="6833" priority="59364" operator="between">
      <formula>12</formula>
      <formula>18</formula>
    </cfRule>
    <cfRule type="cellIs" dxfId="6832" priority="59365" operator="between">
      <formula>11</formula>
      <formula>0</formula>
    </cfRule>
    <cfRule type="containsBlanks" priority="59362">
      <formula>LEN(TRIM(N738))=0</formula>
    </cfRule>
  </conditionalFormatting>
  <conditionalFormatting sqref="N755 S755">
    <cfRule type="cellIs" dxfId="6831" priority="59316" operator="between">
      <formula>12</formula>
      <formula>18</formula>
    </cfRule>
    <cfRule type="containsBlanks" priority="59314">
      <formula>LEN(TRIM(N755))=0</formula>
    </cfRule>
    <cfRule type="cellIs" dxfId="6830" priority="59317" operator="between">
      <formula>11</formula>
      <formula>0</formula>
    </cfRule>
    <cfRule type="cellIs" dxfId="6829" priority="59315" operator="greaterThanOrEqual">
      <formula>20</formula>
    </cfRule>
  </conditionalFormatting>
  <conditionalFormatting sqref="N756:N765 S756:S765">
    <cfRule type="cellIs" dxfId="6828" priority="59292" operator="between">
      <formula>12</formula>
      <formula>18</formula>
    </cfRule>
    <cfRule type="cellIs" dxfId="6827" priority="59291" operator="greaterThanOrEqual">
      <formula>20</formula>
    </cfRule>
    <cfRule type="cellIs" dxfId="6826" priority="59293" operator="between">
      <formula>11</formula>
      <formula>0</formula>
    </cfRule>
    <cfRule type="containsBlanks" priority="59290">
      <formula>LEN(TRIM(N756))=0</formula>
    </cfRule>
  </conditionalFormatting>
  <conditionalFormatting sqref="N766 S766">
    <cfRule type="cellIs" dxfId="6825" priority="125147" operator="greaterThanOrEqual">
      <formula>20</formula>
    </cfRule>
    <cfRule type="cellIs" dxfId="6824" priority="125149" operator="between">
      <formula>11</formula>
      <formula>0</formula>
    </cfRule>
    <cfRule type="cellIs" dxfId="6823" priority="125148" operator="between">
      <formula>12</formula>
      <formula>18</formula>
    </cfRule>
    <cfRule type="containsBlanks" priority="125146">
      <formula>LEN(TRIM(N766))=0</formula>
    </cfRule>
  </conditionalFormatting>
  <conditionalFormatting sqref="N772 S772">
    <cfRule type="cellIs" dxfId="6822" priority="59243" operator="greaterThanOrEqual">
      <formula>20</formula>
    </cfRule>
    <cfRule type="cellIs" dxfId="6821" priority="59245" operator="between">
      <formula>11</formula>
      <formula>0</formula>
    </cfRule>
    <cfRule type="containsBlanks" priority="59242">
      <formula>LEN(TRIM(N772))=0</formula>
    </cfRule>
    <cfRule type="cellIs" dxfId="6820" priority="59244" operator="between">
      <formula>12</formula>
      <formula>18</formula>
    </cfRule>
  </conditionalFormatting>
  <conditionalFormatting sqref="N773:N780 S773:S780">
    <cfRule type="containsBlanks" priority="59218">
      <formula>LEN(TRIM(N773))=0</formula>
    </cfRule>
    <cfRule type="cellIs" dxfId="6819" priority="59220" operator="between">
      <formula>12</formula>
      <formula>18</formula>
    </cfRule>
    <cfRule type="cellIs" dxfId="6818" priority="59219" operator="greaterThanOrEqual">
      <formula>20</formula>
    </cfRule>
    <cfRule type="cellIs" dxfId="6817" priority="59221" operator="between">
      <formula>11</formula>
      <formula>0</formula>
    </cfRule>
  </conditionalFormatting>
  <conditionalFormatting sqref="N787 S787">
    <cfRule type="cellIs" dxfId="6816" priority="59146" operator="greaterThanOrEqual">
      <formula>20</formula>
    </cfRule>
    <cfRule type="cellIs" dxfId="6815" priority="59148" operator="between">
      <formula>11</formula>
      <formula>0</formula>
    </cfRule>
    <cfRule type="containsBlanks" priority="59145">
      <formula>LEN(TRIM(N787))=0</formula>
    </cfRule>
    <cfRule type="cellIs" dxfId="6814" priority="59147" operator="between">
      <formula>12</formula>
      <formula>18</formula>
    </cfRule>
  </conditionalFormatting>
  <conditionalFormatting sqref="N788:N789 S788:S789">
    <cfRule type="cellIs" dxfId="6813" priority="59122" operator="greaterThanOrEqual">
      <formula>20</formula>
    </cfRule>
    <cfRule type="cellIs" dxfId="6812" priority="59124" operator="between">
      <formula>11</formula>
      <formula>0</formula>
    </cfRule>
    <cfRule type="containsBlanks" priority="59121">
      <formula>LEN(TRIM(N788))=0</formula>
    </cfRule>
    <cfRule type="cellIs" dxfId="6811" priority="59123" operator="between">
      <formula>12</formula>
      <formula>18</formula>
    </cfRule>
  </conditionalFormatting>
  <conditionalFormatting sqref="N790:N792 S790:S792">
    <cfRule type="cellIs" dxfId="6810" priority="59099" operator="between">
      <formula>12</formula>
      <formula>18</formula>
    </cfRule>
    <cfRule type="containsBlanks" priority="59097">
      <formula>LEN(TRIM(N790))=0</formula>
    </cfRule>
    <cfRule type="cellIs" dxfId="6809" priority="59098" operator="greaterThanOrEqual">
      <formula>20</formula>
    </cfRule>
    <cfRule type="cellIs" dxfId="6808" priority="59100" operator="between">
      <formula>11</formula>
      <formula>0</formula>
    </cfRule>
  </conditionalFormatting>
  <conditionalFormatting sqref="N793:N794 S793:S794">
    <cfRule type="containsBlanks" priority="59073">
      <formula>LEN(TRIM(N793))=0</formula>
    </cfRule>
    <cfRule type="cellIs" dxfId="6807" priority="59076" operator="between">
      <formula>11</formula>
      <formula>0</formula>
    </cfRule>
    <cfRule type="cellIs" dxfId="6806" priority="59074" operator="greaterThanOrEqual">
      <formula>20</formula>
    </cfRule>
    <cfRule type="cellIs" dxfId="6805" priority="59075" operator="between">
      <formula>12</formula>
      <formula>18</formula>
    </cfRule>
  </conditionalFormatting>
  <conditionalFormatting sqref="N805 S805">
    <cfRule type="cellIs" dxfId="6804" priority="59027" operator="between">
      <formula>11</formula>
      <formula>0</formula>
    </cfRule>
    <cfRule type="containsBlanks" priority="59024">
      <formula>LEN(TRIM(N805))=0</formula>
    </cfRule>
    <cfRule type="cellIs" dxfId="6803" priority="59025" operator="greaterThanOrEqual">
      <formula>20</formula>
    </cfRule>
    <cfRule type="cellIs" dxfId="6802" priority="59026" operator="between">
      <formula>12</formula>
      <formula>18</formula>
    </cfRule>
  </conditionalFormatting>
  <conditionalFormatting sqref="N806 S806">
    <cfRule type="containsBlanks" priority="58999">
      <formula>LEN(TRIM(N806))=0</formula>
    </cfRule>
    <cfRule type="cellIs" dxfId="6801" priority="59001" operator="between">
      <formula>12</formula>
      <formula>18</formula>
    </cfRule>
    <cfRule type="cellIs" dxfId="6800" priority="59000" operator="greaterThanOrEqual">
      <formula>20</formula>
    </cfRule>
    <cfRule type="cellIs" dxfId="6799" priority="59002" operator="between">
      <formula>11</formula>
      <formula>0</formula>
    </cfRule>
  </conditionalFormatting>
  <conditionalFormatting sqref="N821 S821">
    <cfRule type="cellIs" dxfId="6798" priority="92492" operator="greaterThanOrEqual">
      <formula>20</formula>
    </cfRule>
    <cfRule type="cellIs" dxfId="6797" priority="92493" operator="between">
      <formula>12</formula>
      <formula>18</formula>
    </cfRule>
    <cfRule type="containsBlanks" priority="92491">
      <formula>LEN(TRIM(N821))=0</formula>
    </cfRule>
    <cfRule type="cellIs" dxfId="6796" priority="92494" operator="between">
      <formula>11</formula>
      <formula>0</formula>
    </cfRule>
  </conditionalFormatting>
  <conditionalFormatting sqref="N829 S829">
    <cfRule type="containsBlanks" priority="92295">
      <formula>LEN(TRIM(N829))=0</formula>
    </cfRule>
    <cfRule type="cellIs" dxfId="6795" priority="92297" operator="between">
      <formula>12</formula>
      <formula>18</formula>
    </cfRule>
    <cfRule type="cellIs" dxfId="6794" priority="92296" operator="greaterThanOrEqual">
      <formula>20</formula>
    </cfRule>
    <cfRule type="cellIs" dxfId="6793" priority="92298" operator="between">
      <formula>11</formula>
      <formula>0</formula>
    </cfRule>
  </conditionalFormatting>
  <conditionalFormatting sqref="N830 S830">
    <cfRule type="cellIs" dxfId="6792" priority="92638" operator="between">
      <formula>12</formula>
      <formula>18</formula>
    </cfRule>
    <cfRule type="cellIs" dxfId="6791" priority="92637" operator="greaterThanOrEqual">
      <formula>20</formula>
    </cfRule>
    <cfRule type="cellIs" dxfId="6790" priority="92639" operator="between">
      <formula>11</formula>
      <formula>0</formula>
    </cfRule>
    <cfRule type="containsBlanks" priority="92636">
      <formula>LEN(TRIM(N830))=0</formula>
    </cfRule>
  </conditionalFormatting>
  <conditionalFormatting sqref="N831 S831">
    <cfRule type="cellIs" dxfId="6789" priority="92396" operator="between">
      <formula>11</formula>
      <formula>0</formula>
    </cfRule>
    <cfRule type="cellIs" dxfId="6788" priority="92395" operator="between">
      <formula>12</formula>
      <formula>18</formula>
    </cfRule>
    <cfRule type="containsBlanks" priority="92393">
      <formula>LEN(TRIM(N831))=0</formula>
    </cfRule>
    <cfRule type="cellIs" dxfId="6787" priority="92394" operator="greaterThanOrEqual">
      <formula>20</formula>
    </cfRule>
  </conditionalFormatting>
  <conditionalFormatting sqref="N839 S839">
    <cfRule type="cellIs" dxfId="6786" priority="92274" operator="between">
      <formula>11</formula>
      <formula>0</formula>
    </cfRule>
    <cfRule type="cellIs" dxfId="6785" priority="92273" operator="between">
      <formula>12</formula>
      <formula>18</formula>
    </cfRule>
    <cfRule type="containsBlanks" priority="92271">
      <formula>LEN(TRIM(N839))=0</formula>
    </cfRule>
    <cfRule type="cellIs" dxfId="6784" priority="92272" operator="greaterThanOrEqual">
      <formula>20</formula>
    </cfRule>
  </conditionalFormatting>
  <conditionalFormatting sqref="N840 S840">
    <cfRule type="containsBlanks" priority="92247">
      <formula>LEN(TRIM(N840))=0</formula>
    </cfRule>
    <cfRule type="cellIs" dxfId="6783" priority="92248" operator="greaterThanOrEqual">
      <formula>20</formula>
    </cfRule>
    <cfRule type="cellIs" dxfId="6782" priority="92249" operator="between">
      <formula>12</formula>
      <formula>18</formula>
    </cfRule>
    <cfRule type="cellIs" dxfId="6781" priority="92250" operator="between">
      <formula>11</formula>
      <formula>0</formula>
    </cfRule>
  </conditionalFormatting>
  <conditionalFormatting sqref="N841 S841">
    <cfRule type="cellIs" dxfId="6780" priority="92202" operator="between">
      <formula>11</formula>
      <formula>0</formula>
    </cfRule>
    <cfRule type="cellIs" dxfId="6779" priority="92200" operator="greaterThanOrEqual">
      <formula>20</formula>
    </cfRule>
    <cfRule type="cellIs" dxfId="6778" priority="92201" operator="between">
      <formula>12</formula>
      <formula>18</formula>
    </cfRule>
    <cfRule type="containsBlanks" priority="92199">
      <formula>LEN(TRIM(N841))=0</formula>
    </cfRule>
  </conditionalFormatting>
  <conditionalFormatting sqref="N848 S848">
    <cfRule type="cellIs" dxfId="6777" priority="92106" operator="between">
      <formula>11</formula>
      <formula>0</formula>
    </cfRule>
    <cfRule type="containsBlanks" priority="92103">
      <formula>LEN(TRIM(N848))=0</formula>
    </cfRule>
    <cfRule type="cellIs" dxfId="6776" priority="92105" operator="between">
      <formula>12</formula>
      <formula>18</formula>
    </cfRule>
    <cfRule type="cellIs" dxfId="6775" priority="92104" operator="greaterThanOrEqual">
      <formula>20</formula>
    </cfRule>
  </conditionalFormatting>
  <conditionalFormatting sqref="N854:N855">
    <cfRule type="containsBlanks" priority="92056">
      <formula>LEN(TRIM(N854))=0</formula>
    </cfRule>
    <cfRule type="cellIs" dxfId="6774" priority="92059" operator="between">
      <formula>11</formula>
      <formula>0</formula>
    </cfRule>
    <cfRule type="cellIs" dxfId="6773" priority="92058" operator="between">
      <formula>12</formula>
      <formula>18</formula>
    </cfRule>
    <cfRule type="cellIs" dxfId="6772" priority="92057" operator="greaterThanOrEqual">
      <formula>20</formula>
    </cfRule>
  </conditionalFormatting>
  <conditionalFormatting sqref="N856:N857">
    <cfRule type="cellIs" dxfId="6771" priority="92029" operator="between">
      <formula>12</formula>
      <formula>18</formula>
    </cfRule>
    <cfRule type="cellIs" dxfId="6770" priority="92028" operator="greaterThanOrEqual">
      <formula>20</formula>
    </cfRule>
    <cfRule type="containsBlanks" priority="92027">
      <formula>LEN(TRIM(N856))=0</formula>
    </cfRule>
    <cfRule type="cellIs" dxfId="6769" priority="92030" operator="between">
      <formula>11</formula>
      <formula>0</formula>
    </cfRule>
  </conditionalFormatting>
  <conditionalFormatting sqref="N860 S860">
    <cfRule type="containsBlanks" priority="91997">
      <formula>LEN(TRIM(N860))=0</formula>
    </cfRule>
    <cfRule type="cellIs" dxfId="6768" priority="91999" operator="between">
      <formula>12</formula>
      <formula>18</formula>
    </cfRule>
    <cfRule type="cellIs" dxfId="6767" priority="91998" operator="greaterThanOrEqual">
      <formula>20</formula>
    </cfRule>
    <cfRule type="cellIs" dxfId="6766" priority="92000" operator="between">
      <formula>11</formula>
      <formula>0</formula>
    </cfRule>
  </conditionalFormatting>
  <conditionalFormatting sqref="N862">
    <cfRule type="cellIs" dxfId="6765" priority="91974" operator="greaterThanOrEqual">
      <formula>20</formula>
    </cfRule>
    <cfRule type="cellIs" dxfId="6764" priority="91975" operator="between">
      <formula>12</formula>
      <formula>18</formula>
    </cfRule>
    <cfRule type="cellIs" dxfId="6763" priority="91976" operator="between">
      <formula>11</formula>
      <formula>0</formula>
    </cfRule>
    <cfRule type="containsBlanks" priority="91973">
      <formula>LEN(TRIM(N862))=0</formula>
    </cfRule>
  </conditionalFormatting>
  <conditionalFormatting sqref="N865 S865">
    <cfRule type="cellIs" dxfId="6762" priority="92152" operator="greaterThanOrEqual">
      <formula>20</formula>
    </cfRule>
    <cfRule type="cellIs" dxfId="6761" priority="92154" operator="between">
      <formula>11</formula>
      <formula>0</formula>
    </cfRule>
    <cfRule type="cellIs" dxfId="6760" priority="92153" operator="between">
      <formula>12</formula>
      <formula>18</formula>
    </cfRule>
    <cfRule type="containsBlanks" priority="92151">
      <formula>LEN(TRIM(N865))=0</formula>
    </cfRule>
  </conditionalFormatting>
  <conditionalFormatting sqref="N866:N872 S866:S872">
    <cfRule type="cellIs" dxfId="6759" priority="92129" operator="between">
      <formula>12</formula>
      <formula>18</formula>
    </cfRule>
    <cfRule type="cellIs" dxfId="6758" priority="92130" operator="between">
      <formula>11</formula>
      <formula>0</formula>
    </cfRule>
    <cfRule type="containsBlanks" priority="92127">
      <formula>LEN(TRIM(N866))=0</formula>
    </cfRule>
    <cfRule type="cellIs" dxfId="6757" priority="92128" operator="greaterThanOrEqual">
      <formula>20</formula>
    </cfRule>
  </conditionalFormatting>
  <conditionalFormatting sqref="N877 S877">
    <cfRule type="cellIs" dxfId="6756" priority="91896" operator="greaterThanOrEqual">
      <formula>20</formula>
    </cfRule>
    <cfRule type="cellIs" dxfId="6755" priority="91898" operator="between">
      <formula>11</formula>
      <formula>0</formula>
    </cfRule>
    <cfRule type="cellIs" dxfId="6754" priority="91897" operator="between">
      <formula>12</formula>
      <formula>18</formula>
    </cfRule>
    <cfRule type="containsBlanks" priority="91895">
      <formula>LEN(TRIM(N877))=0</formula>
    </cfRule>
  </conditionalFormatting>
  <conditionalFormatting sqref="N878:N884 S878:S884">
    <cfRule type="cellIs" dxfId="6753" priority="91874" operator="between">
      <formula>11</formula>
      <formula>0</formula>
    </cfRule>
    <cfRule type="cellIs" dxfId="6752" priority="91873" operator="between">
      <formula>12</formula>
      <formula>18</formula>
    </cfRule>
    <cfRule type="cellIs" dxfId="6751" priority="91872" operator="greaterThanOrEqual">
      <formula>20</formula>
    </cfRule>
    <cfRule type="containsBlanks" priority="91871">
      <formula>LEN(TRIM(N878))=0</formula>
    </cfRule>
  </conditionalFormatting>
  <conditionalFormatting sqref="N889 S889">
    <cfRule type="cellIs" dxfId="6750" priority="91801" operator="between">
      <formula>11</formula>
      <formula>0</formula>
    </cfRule>
    <cfRule type="cellIs" dxfId="6749" priority="91800" operator="between">
      <formula>12</formula>
      <formula>18</formula>
    </cfRule>
    <cfRule type="cellIs" dxfId="6748" priority="91799" operator="greaterThanOrEqual">
      <formula>20</formula>
    </cfRule>
    <cfRule type="containsBlanks" priority="91798">
      <formula>LEN(TRIM(N889))=0</formula>
    </cfRule>
  </conditionalFormatting>
  <conditionalFormatting sqref="N900 S900">
    <cfRule type="containsBlanks" priority="91651">
      <formula>LEN(TRIM(N900))=0</formula>
    </cfRule>
    <cfRule type="cellIs" dxfId="6747" priority="91652" operator="greaterThanOrEqual">
      <formula>20</formula>
    </cfRule>
    <cfRule type="cellIs" dxfId="6746" priority="91653" operator="between">
      <formula>12</formula>
      <formula>18</formula>
    </cfRule>
    <cfRule type="cellIs" dxfId="6745" priority="91654" operator="between">
      <formula>11</formula>
      <formula>0</formula>
    </cfRule>
  </conditionalFormatting>
  <conditionalFormatting sqref="N912 S912">
    <cfRule type="cellIs" dxfId="6744" priority="91554" operator="greaterThanOrEqual">
      <formula>20</formula>
    </cfRule>
    <cfRule type="cellIs" dxfId="6743" priority="91555" operator="between">
      <formula>12</formula>
      <formula>18</formula>
    </cfRule>
    <cfRule type="containsBlanks" priority="91553">
      <formula>LEN(TRIM(N912))=0</formula>
    </cfRule>
    <cfRule type="cellIs" dxfId="6742" priority="91556" operator="between">
      <formula>11</formula>
      <formula>0</formula>
    </cfRule>
  </conditionalFormatting>
  <conditionalFormatting sqref="N918 S918">
    <cfRule type="containsBlanks" priority="91505">
      <formula>LEN(TRIM(N918))=0</formula>
    </cfRule>
    <cfRule type="cellIs" dxfId="6741" priority="91508" operator="between">
      <formula>11</formula>
      <formula>0</formula>
    </cfRule>
    <cfRule type="cellIs" dxfId="6740" priority="91507" operator="between">
      <formula>12</formula>
      <formula>18</formula>
    </cfRule>
    <cfRule type="cellIs" dxfId="6739" priority="91506" operator="greaterThanOrEqual">
      <formula>20</formula>
    </cfRule>
  </conditionalFormatting>
  <conditionalFormatting sqref="N925 S925">
    <cfRule type="containsBlanks" priority="91457">
      <formula>LEN(TRIM(N925))=0</formula>
    </cfRule>
    <cfRule type="cellIs" dxfId="6738" priority="91458" operator="greaterThanOrEqual">
      <formula>20</formula>
    </cfRule>
    <cfRule type="cellIs" dxfId="6737" priority="91460" operator="between">
      <formula>11</formula>
      <formula>0</formula>
    </cfRule>
    <cfRule type="cellIs" dxfId="6736" priority="91459" operator="between">
      <formula>12</formula>
      <formula>18</formula>
    </cfRule>
  </conditionalFormatting>
  <conditionalFormatting sqref="N926:N931 S926:S931">
    <cfRule type="cellIs" dxfId="6735" priority="91436" operator="between">
      <formula>11</formula>
      <formula>0</formula>
    </cfRule>
    <cfRule type="cellIs" dxfId="6734" priority="91434" operator="greaterThanOrEqual">
      <formula>20</formula>
    </cfRule>
    <cfRule type="cellIs" dxfId="6733" priority="91435" operator="between">
      <formula>12</formula>
      <formula>18</formula>
    </cfRule>
    <cfRule type="containsBlanks" priority="91433">
      <formula>LEN(TRIM(N926))=0</formula>
    </cfRule>
  </conditionalFormatting>
  <conditionalFormatting sqref="N934 S934">
    <cfRule type="cellIs" dxfId="6732" priority="91411" operator="between">
      <formula>12</formula>
      <formula>18</formula>
    </cfRule>
    <cfRule type="containsBlanks" priority="91409">
      <formula>LEN(TRIM(N934))=0</formula>
    </cfRule>
    <cfRule type="cellIs" dxfId="6731" priority="91410" operator="greaterThanOrEqual">
      <formula>20</formula>
    </cfRule>
    <cfRule type="cellIs" dxfId="6730" priority="91412" operator="between">
      <formula>11</formula>
      <formula>0</formula>
    </cfRule>
  </conditionalFormatting>
  <conditionalFormatting sqref="N935:N949 S935:S949">
    <cfRule type="containsBlanks" priority="91385">
      <formula>LEN(TRIM(N935))=0</formula>
    </cfRule>
    <cfRule type="cellIs" dxfId="6729" priority="91388" operator="between">
      <formula>11</formula>
      <formula>0</formula>
    </cfRule>
    <cfRule type="cellIs" dxfId="6728" priority="91386" operator="greaterThanOrEqual">
      <formula>20</formula>
    </cfRule>
    <cfRule type="cellIs" dxfId="6727" priority="91387" operator="between">
      <formula>12</formula>
      <formula>18</formula>
    </cfRule>
  </conditionalFormatting>
  <conditionalFormatting sqref="N952 S952">
    <cfRule type="cellIs" dxfId="6726" priority="91363" operator="between">
      <formula>12</formula>
      <formula>18</formula>
    </cfRule>
    <cfRule type="cellIs" dxfId="6725" priority="91362" operator="greaterThanOrEqual">
      <formula>20</formula>
    </cfRule>
    <cfRule type="containsBlanks" priority="91361">
      <formula>LEN(TRIM(N952))=0</formula>
    </cfRule>
    <cfRule type="cellIs" dxfId="6724" priority="91364" operator="between">
      <formula>11</formula>
      <formula>0</formula>
    </cfRule>
  </conditionalFormatting>
  <conditionalFormatting sqref="N954:N955 S954:S955">
    <cfRule type="cellIs" dxfId="6723" priority="91339" operator="between">
      <formula>12</formula>
      <formula>18</formula>
    </cfRule>
    <cfRule type="containsBlanks" priority="91337">
      <formula>LEN(TRIM(N954))=0</formula>
    </cfRule>
    <cfRule type="cellIs" dxfId="6722" priority="91340" operator="between">
      <formula>11</formula>
      <formula>0</formula>
    </cfRule>
    <cfRule type="cellIs" dxfId="6721" priority="91338" operator="greaterThanOrEqual">
      <formula>20</formula>
    </cfRule>
  </conditionalFormatting>
  <conditionalFormatting sqref="N957 S957">
    <cfRule type="containsBlanks" priority="91313">
      <formula>LEN(TRIM(N957))=0</formula>
    </cfRule>
    <cfRule type="cellIs" dxfId="6720" priority="91316" operator="between">
      <formula>11</formula>
      <formula>0</formula>
    </cfRule>
    <cfRule type="cellIs" dxfId="6719" priority="91315" operator="between">
      <formula>12</formula>
      <formula>18</formula>
    </cfRule>
    <cfRule type="cellIs" dxfId="6718" priority="91314" operator="greaterThanOrEqual">
      <formula>20</formula>
    </cfRule>
  </conditionalFormatting>
  <conditionalFormatting sqref="N959:N961 S959:S961">
    <cfRule type="cellIs" dxfId="6717" priority="91291" operator="between">
      <formula>12</formula>
      <formula>18</formula>
    </cfRule>
    <cfRule type="containsBlanks" priority="91289">
      <formula>LEN(TRIM(N959))=0</formula>
    </cfRule>
    <cfRule type="cellIs" dxfId="6716" priority="91292" operator="between">
      <formula>11</formula>
      <formula>0</formula>
    </cfRule>
    <cfRule type="cellIs" dxfId="6715" priority="91290" operator="greaterThanOrEqual">
      <formula>20</formula>
    </cfRule>
  </conditionalFormatting>
  <conditionalFormatting sqref="N964 S964">
    <cfRule type="cellIs" dxfId="6714" priority="91266" operator="greaterThanOrEqual">
      <formula>20</formula>
    </cfRule>
    <cfRule type="cellIs" dxfId="6713" priority="91267" operator="between">
      <formula>12</formula>
      <formula>18</formula>
    </cfRule>
    <cfRule type="cellIs" dxfId="6712" priority="91268" operator="between">
      <formula>11</formula>
      <formula>0</formula>
    </cfRule>
    <cfRule type="containsBlanks" priority="91265">
      <formula>LEN(TRIM(N964))=0</formula>
    </cfRule>
  </conditionalFormatting>
  <conditionalFormatting sqref="N977 S977">
    <cfRule type="cellIs" dxfId="6711" priority="91219" operator="between">
      <formula>12</formula>
      <formula>18</formula>
    </cfRule>
    <cfRule type="containsBlanks" priority="91217">
      <formula>LEN(TRIM(N977))=0</formula>
    </cfRule>
    <cfRule type="cellIs" dxfId="6710" priority="91220" operator="between">
      <formula>11</formula>
      <formula>0</formula>
    </cfRule>
    <cfRule type="cellIs" dxfId="6709" priority="91218" operator="greaterThanOrEqual">
      <formula>20</formula>
    </cfRule>
  </conditionalFormatting>
  <conditionalFormatting sqref="N978:N982 S978:S982 S984:S988 N984:N988">
    <cfRule type="cellIs" dxfId="6708" priority="91194" operator="greaterThanOrEqual">
      <formula>20</formula>
    </cfRule>
    <cfRule type="cellIs" dxfId="6707" priority="91196" operator="between">
      <formula>11</formula>
      <formula>0</formula>
    </cfRule>
    <cfRule type="cellIs" dxfId="6706" priority="91195" operator="between">
      <formula>12</formula>
      <formula>18</formula>
    </cfRule>
    <cfRule type="containsBlanks" priority="91193">
      <formula>LEN(TRIM(N978))=0</formula>
    </cfRule>
  </conditionalFormatting>
  <conditionalFormatting sqref="N983 S983">
    <cfRule type="cellIs" dxfId="6705" priority="91170" operator="greaterThanOrEqual">
      <formula>20</formula>
    </cfRule>
    <cfRule type="cellIs" dxfId="6704" priority="91172" operator="between">
      <formula>11</formula>
      <formula>0</formula>
    </cfRule>
    <cfRule type="containsBlanks" priority="91169">
      <formula>LEN(TRIM(N983))=0</formula>
    </cfRule>
    <cfRule type="cellIs" dxfId="6703" priority="91171" operator="between">
      <formula>12</formula>
      <formula>18</formula>
    </cfRule>
  </conditionalFormatting>
  <conditionalFormatting sqref="N991 S991">
    <cfRule type="cellIs" dxfId="6702" priority="91147" operator="between">
      <formula>12</formula>
      <formula>18</formula>
    </cfRule>
    <cfRule type="cellIs" dxfId="6701" priority="91148" operator="between">
      <formula>11</formula>
      <formula>0</formula>
    </cfRule>
    <cfRule type="cellIs" dxfId="6700" priority="91146" operator="greaterThanOrEqual">
      <formula>20</formula>
    </cfRule>
    <cfRule type="containsBlanks" priority="91145">
      <formula>LEN(TRIM(N991))=0</formula>
    </cfRule>
  </conditionalFormatting>
  <conditionalFormatting sqref="N997:N998 S997:S998">
    <cfRule type="cellIs" dxfId="6699" priority="90809" operator="between">
      <formula>12</formula>
      <formula>18</formula>
    </cfRule>
    <cfRule type="cellIs" dxfId="6698" priority="90810" operator="between">
      <formula>11</formula>
      <formula>0</formula>
    </cfRule>
    <cfRule type="containsBlanks" priority="90807">
      <formula>LEN(TRIM(N997))=0</formula>
    </cfRule>
    <cfRule type="cellIs" dxfId="6697" priority="90808" operator="greaterThanOrEqual">
      <formula>20</formula>
    </cfRule>
  </conditionalFormatting>
  <conditionalFormatting sqref="N999:N1001 S999:S1001">
    <cfRule type="cellIs" dxfId="6696" priority="90858" operator="between">
      <formula>12</formula>
      <formula>18</formula>
    </cfRule>
    <cfRule type="cellIs" dxfId="6695" priority="90857" operator="greaterThanOrEqual">
      <formula>20</formula>
    </cfRule>
    <cfRule type="containsBlanks" priority="90856">
      <formula>LEN(TRIM(N999))=0</formula>
    </cfRule>
    <cfRule type="cellIs" dxfId="6694" priority="90859" operator="between">
      <formula>11</formula>
      <formula>0</formula>
    </cfRule>
  </conditionalFormatting>
  <conditionalFormatting sqref="N1002:N1006 S1002:S1006">
    <cfRule type="cellIs" dxfId="6693" priority="91028" operator="between">
      <formula>11</formula>
      <formula>0</formula>
    </cfRule>
    <cfRule type="cellIs" dxfId="6692" priority="91026" operator="greaterThanOrEqual">
      <formula>20</formula>
    </cfRule>
    <cfRule type="containsBlanks" priority="91025">
      <formula>LEN(TRIM(N1002))=0</formula>
    </cfRule>
    <cfRule type="cellIs" dxfId="6691" priority="91027" operator="between">
      <formula>12</formula>
      <formula>18</formula>
    </cfRule>
  </conditionalFormatting>
  <conditionalFormatting sqref="N1007 S1007">
    <cfRule type="cellIs" dxfId="6690" priority="91098" operator="greaterThanOrEqual">
      <formula>20</formula>
    </cfRule>
    <cfRule type="containsBlanks" priority="91097">
      <formula>LEN(TRIM(N1007))=0</formula>
    </cfRule>
    <cfRule type="cellIs" dxfId="6689" priority="91100" operator="between">
      <formula>11</formula>
      <formula>0</formula>
    </cfRule>
    <cfRule type="cellIs" dxfId="6688" priority="91099" operator="between">
      <formula>12</formula>
      <formula>18</formula>
    </cfRule>
  </conditionalFormatting>
  <conditionalFormatting sqref="N1008:N1010 S1008:S1010">
    <cfRule type="cellIs" dxfId="6687" priority="90834" operator="between">
      <formula>11</formula>
      <formula>0</formula>
    </cfRule>
    <cfRule type="containsBlanks" priority="90831">
      <formula>LEN(TRIM(N1008))=0</formula>
    </cfRule>
    <cfRule type="cellIs" dxfId="6686" priority="90832" operator="greaterThanOrEqual">
      <formula>20</formula>
    </cfRule>
    <cfRule type="cellIs" dxfId="6685" priority="90833" operator="between">
      <formula>12</formula>
      <formula>18</formula>
    </cfRule>
  </conditionalFormatting>
  <conditionalFormatting sqref="N1011:N1015 S1011:S1015">
    <cfRule type="cellIs" dxfId="6684" priority="90980" operator="between">
      <formula>11</formula>
      <formula>0</formula>
    </cfRule>
    <cfRule type="containsBlanks" priority="90977">
      <formula>LEN(TRIM(N1011))=0</formula>
    </cfRule>
    <cfRule type="cellIs" dxfId="6683" priority="90979" operator="between">
      <formula>12</formula>
      <formula>18</formula>
    </cfRule>
    <cfRule type="cellIs" dxfId="6682" priority="90978" operator="greaterThanOrEqual">
      <formula>20</formula>
    </cfRule>
  </conditionalFormatting>
  <conditionalFormatting sqref="N1016 S1016">
    <cfRule type="cellIs" dxfId="6681" priority="90932" operator="between">
      <formula>11</formula>
      <formula>0</formula>
    </cfRule>
    <cfRule type="cellIs" dxfId="6680" priority="90931" operator="between">
      <formula>12</formula>
      <formula>18</formula>
    </cfRule>
    <cfRule type="containsBlanks" priority="90929">
      <formula>LEN(TRIM(N1016))=0</formula>
    </cfRule>
    <cfRule type="cellIs" dxfId="6679" priority="90930" operator="greaterThanOrEqual">
      <formula>20</formula>
    </cfRule>
  </conditionalFormatting>
  <conditionalFormatting sqref="N1020 S1020">
    <cfRule type="cellIs" dxfId="6678" priority="91076" operator="between">
      <formula>11</formula>
      <formula>0</formula>
    </cfRule>
    <cfRule type="cellIs" dxfId="6677" priority="91074" operator="greaterThanOrEqual">
      <formula>20</formula>
    </cfRule>
    <cfRule type="containsBlanks" priority="91073">
      <formula>LEN(TRIM(N1020))=0</formula>
    </cfRule>
    <cfRule type="cellIs" dxfId="6676" priority="91075" operator="between">
      <formula>12</formula>
      <formula>18</formula>
    </cfRule>
  </conditionalFormatting>
  <conditionalFormatting sqref="N1029 S1029">
    <cfRule type="cellIs" dxfId="6675" priority="90785" operator="between">
      <formula>12</formula>
      <formula>18</formula>
    </cfRule>
    <cfRule type="cellIs" dxfId="6674" priority="90784" operator="greaterThanOrEqual">
      <formula>20</formula>
    </cfRule>
    <cfRule type="containsBlanks" priority="90783">
      <formula>LEN(TRIM(N1029))=0</formula>
    </cfRule>
    <cfRule type="cellIs" dxfId="6673" priority="90786" operator="between">
      <formula>11</formula>
      <formula>0</formula>
    </cfRule>
  </conditionalFormatting>
  <conditionalFormatting sqref="N1036 S1036">
    <cfRule type="cellIs" dxfId="6672" priority="90736" operator="greaterThanOrEqual">
      <formula>20</formula>
    </cfRule>
    <cfRule type="containsBlanks" priority="90735">
      <formula>LEN(TRIM(N1036))=0</formula>
    </cfRule>
    <cfRule type="cellIs" dxfId="6671" priority="90737" operator="between">
      <formula>12</formula>
      <formula>18</formula>
    </cfRule>
    <cfRule type="cellIs" dxfId="6670" priority="90738" operator="between">
      <formula>11</formula>
      <formula>0</formula>
    </cfRule>
  </conditionalFormatting>
  <conditionalFormatting sqref="N1042:N1044 S1042:S1044">
    <cfRule type="cellIs" dxfId="6669" priority="90690" operator="between">
      <formula>11</formula>
      <formula>0</formula>
    </cfRule>
    <cfRule type="containsBlanks" priority="90687">
      <formula>LEN(TRIM(N1042))=0</formula>
    </cfRule>
    <cfRule type="cellIs" dxfId="6668" priority="90689" operator="between">
      <formula>12</formula>
      <formula>18</formula>
    </cfRule>
    <cfRule type="cellIs" dxfId="6667" priority="90688" operator="greaterThanOrEqual">
      <formula>20</formula>
    </cfRule>
  </conditionalFormatting>
  <conditionalFormatting sqref="N1046 S1046">
    <cfRule type="cellIs" dxfId="6666" priority="90665" operator="between">
      <formula>12</formula>
      <formula>18</formula>
    </cfRule>
    <cfRule type="cellIs" dxfId="6665" priority="90666" operator="between">
      <formula>11</formula>
      <formula>0</formula>
    </cfRule>
    <cfRule type="cellIs" dxfId="6664" priority="90664" operator="greaterThanOrEqual">
      <formula>20</formula>
    </cfRule>
    <cfRule type="containsBlanks" priority="90663">
      <formula>LEN(TRIM(N1046))=0</formula>
    </cfRule>
  </conditionalFormatting>
  <conditionalFormatting sqref="N1047:N1048 S1047:S1048">
    <cfRule type="cellIs" dxfId="6663" priority="90641" operator="between">
      <formula>12</formula>
      <formula>18</formula>
    </cfRule>
    <cfRule type="cellIs" dxfId="6662" priority="90642" operator="between">
      <formula>11</formula>
      <formula>0</formula>
    </cfRule>
    <cfRule type="containsBlanks" priority="90639">
      <formula>LEN(TRIM(N1047))=0</formula>
    </cfRule>
    <cfRule type="cellIs" dxfId="6661" priority="90640" operator="greaterThanOrEqual">
      <formula>20</formula>
    </cfRule>
  </conditionalFormatting>
  <conditionalFormatting sqref="P1:P11 P819:P820 P875:P876 P846:P847 P853 P858:P859 P861 P863:P864 P887:P888 P898:P899 P909:P911 P917 P923:P924 P932:P933 P950:P951 P953 P956 P958 P962:P963 P975:P976 P989:P990 P1027:P1028 P1034:P1035 P1041 P1045 P1049:P1134 P1149:P1048576 P83:P85">
    <cfRule type="cellIs" dxfId="6660" priority="137684" operator="greaterThan">
      <formula>2</formula>
    </cfRule>
    <cfRule type="cellIs" dxfId="6659" priority="137685" operator="equal">
      <formula>2</formula>
    </cfRule>
    <cfRule type="cellIs" dxfId="6658" priority="137686" operator="equal">
      <formula>1</formula>
    </cfRule>
  </conditionalFormatting>
  <conditionalFormatting sqref="P12">
    <cfRule type="cellIs" dxfId="6657" priority="129971" operator="equal">
      <formula>2</formula>
    </cfRule>
    <cfRule type="cellIs" dxfId="6656" priority="129970" operator="greaterThan">
      <formula>2</formula>
    </cfRule>
    <cfRule type="cellIs" dxfId="6655" priority="129972" operator="equal">
      <formula>1</formula>
    </cfRule>
  </conditionalFormatting>
  <conditionalFormatting sqref="P13">
    <cfRule type="cellIs" dxfId="6654" priority="1855" operator="greaterThan">
      <formula>2</formula>
    </cfRule>
    <cfRule type="cellIs" dxfId="6653" priority="1857" operator="equal">
      <formula>1</formula>
    </cfRule>
    <cfRule type="cellIs" dxfId="6652" priority="1856" operator="equal">
      <formula>2</formula>
    </cfRule>
  </conditionalFormatting>
  <conditionalFormatting sqref="P14:P16 P18">
    <cfRule type="cellIs" dxfId="6651" priority="1831" operator="greaterThan">
      <formula>2</formula>
    </cfRule>
    <cfRule type="cellIs" dxfId="6650" priority="1832" operator="equal">
      <formula>2</formula>
    </cfRule>
    <cfRule type="cellIs" dxfId="6649" priority="1833" operator="equal">
      <formula>1</formula>
    </cfRule>
  </conditionalFormatting>
  <conditionalFormatting sqref="P17">
    <cfRule type="cellIs" dxfId="6648" priority="1809" operator="equal">
      <formula>1</formula>
    </cfRule>
    <cfRule type="cellIs" dxfId="6647" priority="1808" operator="equal">
      <formula>2</formula>
    </cfRule>
    <cfRule type="cellIs" dxfId="6646" priority="1807" operator="greaterThan">
      <formula>2</formula>
    </cfRule>
  </conditionalFormatting>
  <conditionalFormatting sqref="P19">
    <cfRule type="cellIs" dxfId="6645" priority="7760" operator="equal">
      <formula>1</formula>
    </cfRule>
    <cfRule type="cellIs" dxfId="6644" priority="7759" operator="equal">
      <formula>2</formula>
    </cfRule>
    <cfRule type="cellIs" dxfId="6643" priority="7758" operator="greaterThan">
      <formula>2</formula>
    </cfRule>
  </conditionalFormatting>
  <conditionalFormatting sqref="P20">
    <cfRule type="cellIs" dxfId="6642" priority="7734" operator="greaterThan">
      <formula>2</formula>
    </cfRule>
    <cfRule type="cellIs" dxfId="6641" priority="7735" operator="equal">
      <formula>2</formula>
    </cfRule>
    <cfRule type="cellIs" dxfId="6640" priority="7736" operator="equal">
      <formula>1</formula>
    </cfRule>
  </conditionalFormatting>
  <conditionalFormatting sqref="P21:P23 P25">
    <cfRule type="cellIs" dxfId="6639" priority="1783" operator="greaterThan">
      <formula>2</formula>
    </cfRule>
    <cfRule type="cellIs" dxfId="6638" priority="1784" operator="equal">
      <formula>2</formula>
    </cfRule>
    <cfRule type="cellIs" dxfId="6637" priority="1785" operator="equal">
      <formula>1</formula>
    </cfRule>
  </conditionalFormatting>
  <conditionalFormatting sqref="P24">
    <cfRule type="cellIs" dxfId="6636" priority="1761" operator="equal">
      <formula>1</formula>
    </cfRule>
    <cfRule type="cellIs" dxfId="6635" priority="1759" operator="greaterThan">
      <formula>2</formula>
    </cfRule>
    <cfRule type="cellIs" dxfId="6634" priority="1760" operator="equal">
      <formula>2</formula>
    </cfRule>
  </conditionalFormatting>
  <conditionalFormatting sqref="P26:P27">
    <cfRule type="cellIs" dxfId="6633" priority="7544" operator="equal">
      <formula>1</formula>
    </cfRule>
    <cfRule type="cellIs" dxfId="6632" priority="7542" operator="greaterThan">
      <formula>2</formula>
    </cfRule>
    <cfRule type="cellIs" dxfId="6631" priority="7543" operator="equal">
      <formula>2</formula>
    </cfRule>
  </conditionalFormatting>
  <conditionalFormatting sqref="P28:P30 P32">
    <cfRule type="cellIs" dxfId="6630" priority="1736" operator="equal">
      <formula>2</formula>
    </cfRule>
    <cfRule type="cellIs" dxfId="6629" priority="1737" operator="equal">
      <formula>1</formula>
    </cfRule>
    <cfRule type="cellIs" dxfId="6628" priority="1735" operator="greaterThan">
      <formula>2</formula>
    </cfRule>
  </conditionalFormatting>
  <conditionalFormatting sqref="P31">
    <cfRule type="cellIs" dxfId="6627" priority="1711" operator="greaterThan">
      <formula>2</formula>
    </cfRule>
    <cfRule type="cellIs" dxfId="6626" priority="1712" operator="equal">
      <formula>2</formula>
    </cfRule>
    <cfRule type="cellIs" dxfId="6625" priority="1713" operator="equal">
      <formula>1</formula>
    </cfRule>
  </conditionalFormatting>
  <conditionalFormatting sqref="P33">
    <cfRule type="cellIs" dxfId="6624" priority="7495" operator="equal">
      <formula>2</formula>
    </cfRule>
    <cfRule type="cellIs" dxfId="6623" priority="7494" operator="greaterThan">
      <formula>2</formula>
    </cfRule>
    <cfRule type="cellIs" dxfId="6622" priority="7496" operator="equal">
      <formula>1</formula>
    </cfRule>
  </conditionalFormatting>
  <conditionalFormatting sqref="P34:P36 P38">
    <cfRule type="cellIs" dxfId="6621" priority="1687" operator="greaterThan">
      <formula>2</formula>
    </cfRule>
    <cfRule type="cellIs" dxfId="6620" priority="1688" operator="equal">
      <formula>2</formula>
    </cfRule>
    <cfRule type="cellIs" dxfId="6619" priority="1689" operator="equal">
      <formula>1</formula>
    </cfRule>
  </conditionalFormatting>
  <conditionalFormatting sqref="P37">
    <cfRule type="cellIs" dxfId="6618" priority="1663" operator="greaterThan">
      <formula>2</formula>
    </cfRule>
    <cfRule type="cellIs" dxfId="6617" priority="1664" operator="equal">
      <formula>2</formula>
    </cfRule>
    <cfRule type="cellIs" dxfId="6616" priority="1665" operator="equal">
      <formula>1</formula>
    </cfRule>
  </conditionalFormatting>
  <conditionalFormatting sqref="P39">
    <cfRule type="cellIs" dxfId="6615" priority="7230" operator="greaterThan">
      <formula>2</formula>
    </cfRule>
    <cfRule type="cellIs" dxfId="6614" priority="7231" operator="equal">
      <formula>2</formula>
    </cfRule>
    <cfRule type="cellIs" dxfId="6613" priority="7232" operator="equal">
      <formula>1</formula>
    </cfRule>
  </conditionalFormatting>
  <conditionalFormatting sqref="P40">
    <cfRule type="cellIs" dxfId="6612" priority="7256" operator="equal">
      <formula>1</formula>
    </cfRule>
    <cfRule type="cellIs" dxfId="6611" priority="7255" operator="equal">
      <formula>2</formula>
    </cfRule>
    <cfRule type="cellIs" dxfId="6610" priority="7254" operator="greaterThan">
      <formula>2</formula>
    </cfRule>
  </conditionalFormatting>
  <conditionalFormatting sqref="P41">
    <cfRule type="cellIs" dxfId="6609" priority="7208" operator="equal">
      <formula>1</formula>
    </cfRule>
    <cfRule type="cellIs" dxfId="6608" priority="7206" operator="greaterThan">
      <formula>2</formula>
    </cfRule>
    <cfRule type="cellIs" dxfId="6607" priority="7207" operator="equal">
      <formula>2</formula>
    </cfRule>
  </conditionalFormatting>
  <conditionalFormatting sqref="P42:P43">
    <cfRule type="cellIs" dxfId="6606" priority="1591" operator="equal">
      <formula>2</formula>
    </cfRule>
    <cfRule type="cellIs" dxfId="6605" priority="1590" operator="greaterThan">
      <formula>2</formula>
    </cfRule>
    <cfRule type="cellIs" dxfId="6604" priority="1592" operator="equal">
      <formula>1</formula>
    </cfRule>
  </conditionalFormatting>
  <conditionalFormatting sqref="P44">
    <cfRule type="cellIs" dxfId="6603" priority="15138" operator="equal">
      <formula>2</formula>
    </cfRule>
    <cfRule type="cellIs" dxfId="6602" priority="15139" operator="equal">
      <formula>1</formula>
    </cfRule>
    <cfRule type="cellIs" dxfId="6601" priority="15137" operator="greaterThan">
      <formula>2</formula>
    </cfRule>
  </conditionalFormatting>
  <conditionalFormatting sqref="P45">
    <cfRule type="cellIs" dxfId="6600" priority="1567" operator="equal">
      <formula>2</formula>
    </cfRule>
    <cfRule type="cellIs" dxfId="6599" priority="1568" operator="equal">
      <formula>1</formula>
    </cfRule>
    <cfRule type="cellIs" dxfId="6598" priority="1566" operator="greaterThan">
      <formula>2</formula>
    </cfRule>
  </conditionalFormatting>
  <conditionalFormatting sqref="P46">
    <cfRule type="cellIs" dxfId="6597" priority="1542" operator="greaterThan">
      <formula>2</formula>
    </cfRule>
    <cfRule type="cellIs" dxfId="6596" priority="1543" operator="equal">
      <formula>2</formula>
    </cfRule>
    <cfRule type="cellIs" dxfId="6595" priority="1544" operator="equal">
      <formula>1</formula>
    </cfRule>
  </conditionalFormatting>
  <conditionalFormatting sqref="P47:P48">
    <cfRule type="cellIs" dxfId="6594" priority="7109" operator="greaterThan">
      <formula>2</formula>
    </cfRule>
    <cfRule type="cellIs" dxfId="6593" priority="7111" operator="equal">
      <formula>1</formula>
    </cfRule>
    <cfRule type="cellIs" dxfId="6592" priority="7110" operator="equal">
      <formula>2</formula>
    </cfRule>
  </conditionalFormatting>
  <conditionalFormatting sqref="P49">
    <cfRule type="cellIs" dxfId="6591" priority="1503" operator="equal">
      <formula>2</formula>
    </cfRule>
    <cfRule type="cellIs" dxfId="6590" priority="1504" operator="equal">
      <formula>1</formula>
    </cfRule>
    <cfRule type="cellIs" dxfId="6589" priority="1502" operator="greaterThan">
      <formula>2</formula>
    </cfRule>
  </conditionalFormatting>
  <conditionalFormatting sqref="P50:P51">
    <cfRule type="cellIs" dxfId="6588" priority="1380" operator="equal">
      <formula>2</formula>
    </cfRule>
    <cfRule type="cellIs" dxfId="6587" priority="1379" operator="greaterThan">
      <formula>2</formula>
    </cfRule>
    <cfRule type="cellIs" dxfId="6586" priority="1381" operator="equal">
      <formula>1</formula>
    </cfRule>
  </conditionalFormatting>
  <conditionalFormatting sqref="P52">
    <cfRule type="cellIs" dxfId="6585" priority="1428" operator="equal">
      <formula>2</formula>
    </cfRule>
    <cfRule type="cellIs" dxfId="6584" priority="1427" operator="greaterThan">
      <formula>2</formula>
    </cfRule>
    <cfRule type="cellIs" dxfId="6583" priority="1429" operator="equal">
      <formula>1</formula>
    </cfRule>
  </conditionalFormatting>
  <conditionalFormatting sqref="P53">
    <cfRule type="cellIs" dxfId="6582" priority="1328" operator="equal">
      <formula>2</formula>
    </cfRule>
    <cfRule type="cellIs" dxfId="6581" priority="1329" operator="equal">
      <formula>1</formula>
    </cfRule>
    <cfRule type="cellIs" dxfId="6580" priority="1327" operator="greaterThan">
      <formula>2</formula>
    </cfRule>
  </conditionalFormatting>
  <conditionalFormatting sqref="P54:P55">
    <cfRule type="cellIs" dxfId="6579" priority="1307" operator="equal">
      <formula>2</formula>
    </cfRule>
    <cfRule type="cellIs" dxfId="6578" priority="1308" operator="equal">
      <formula>1</formula>
    </cfRule>
    <cfRule type="cellIs" dxfId="6577" priority="1306" operator="greaterThan">
      <formula>2</formula>
    </cfRule>
  </conditionalFormatting>
  <conditionalFormatting sqref="P56">
    <cfRule type="cellIs" dxfId="6576" priority="9097" operator="equal">
      <formula>1</formula>
    </cfRule>
    <cfRule type="cellIs" dxfId="6575" priority="9096" operator="equal">
      <formula>2</formula>
    </cfRule>
    <cfRule type="cellIs" dxfId="6574" priority="9095" operator="greaterThan">
      <formula>2</formula>
    </cfRule>
  </conditionalFormatting>
  <conditionalFormatting sqref="P57">
    <cfRule type="cellIs" dxfId="6573" priority="1256" operator="equal">
      <formula>1</formula>
    </cfRule>
    <cfRule type="cellIs" dxfId="6572" priority="1254" operator="greaterThan">
      <formula>2</formula>
    </cfRule>
    <cfRule type="cellIs" dxfId="6571" priority="1255" operator="equal">
      <formula>2</formula>
    </cfRule>
  </conditionalFormatting>
  <conditionalFormatting sqref="P58:P59">
    <cfRule type="cellIs" dxfId="6570" priority="1211" operator="equal">
      <formula>1</formula>
    </cfRule>
    <cfRule type="cellIs" dxfId="6569" priority="1209" operator="greaterThan">
      <formula>2</formula>
    </cfRule>
    <cfRule type="cellIs" dxfId="6568" priority="1210" operator="equal">
      <formula>2</formula>
    </cfRule>
  </conditionalFormatting>
  <conditionalFormatting sqref="P60">
    <cfRule type="cellIs" dxfId="6567" priority="1233" operator="greaterThan">
      <formula>2</formula>
    </cfRule>
    <cfRule type="cellIs" dxfId="6566" priority="1234" operator="equal">
      <formula>2</formula>
    </cfRule>
    <cfRule type="cellIs" dxfId="6565" priority="1235" operator="equal">
      <formula>1</formula>
    </cfRule>
  </conditionalFormatting>
  <conditionalFormatting sqref="P61">
    <cfRule type="cellIs" dxfId="6564" priority="1158" operator="equal">
      <formula>2</formula>
    </cfRule>
    <cfRule type="cellIs" dxfId="6563" priority="1157" operator="greaterThan">
      <formula>2</formula>
    </cfRule>
    <cfRule type="cellIs" dxfId="6562" priority="1159" operator="equal">
      <formula>1</formula>
    </cfRule>
  </conditionalFormatting>
  <conditionalFormatting sqref="P62:P63">
    <cfRule type="cellIs" dxfId="6561" priority="1136" operator="greaterThan">
      <formula>2</formula>
    </cfRule>
    <cfRule type="cellIs" dxfId="6560" priority="1138" operator="equal">
      <formula>1</formula>
    </cfRule>
    <cfRule type="cellIs" dxfId="6559" priority="1137" operator="equal">
      <formula>2</formula>
    </cfRule>
  </conditionalFormatting>
  <conditionalFormatting sqref="P64">
    <cfRule type="cellIs" dxfId="6558" priority="6942" operator="equal">
      <formula>1</formula>
    </cfRule>
    <cfRule type="cellIs" dxfId="6557" priority="6941" operator="equal">
      <formula>2</formula>
    </cfRule>
    <cfRule type="cellIs" dxfId="6556" priority="6940" operator="greaterThan">
      <formula>2</formula>
    </cfRule>
  </conditionalFormatting>
  <conditionalFormatting sqref="P65">
    <cfRule type="cellIs" dxfId="6555" priority="7907" operator="equal">
      <formula>1</formula>
    </cfRule>
    <cfRule type="cellIs" dxfId="6554" priority="7905" operator="greaterThan">
      <formula>2</formula>
    </cfRule>
    <cfRule type="cellIs" dxfId="6553" priority="7906" operator="equal">
      <formula>2</formula>
    </cfRule>
  </conditionalFormatting>
  <conditionalFormatting sqref="P66">
    <cfRule type="cellIs" dxfId="6552" priority="1084" operator="greaterThan">
      <formula>2</formula>
    </cfRule>
    <cfRule type="cellIs" dxfId="6551" priority="1085" operator="equal">
      <formula>2</formula>
    </cfRule>
    <cfRule type="cellIs" dxfId="6550" priority="1086" operator="equal">
      <formula>1</formula>
    </cfRule>
  </conditionalFormatting>
  <conditionalFormatting sqref="P67:P69">
    <cfRule type="cellIs" dxfId="6549" priority="1064" operator="equal">
      <formula>2</formula>
    </cfRule>
    <cfRule type="cellIs" dxfId="6548" priority="1063" operator="greaterThan">
      <formula>2</formula>
    </cfRule>
    <cfRule type="cellIs" dxfId="6547" priority="1065" operator="equal">
      <formula>1</formula>
    </cfRule>
  </conditionalFormatting>
  <conditionalFormatting sqref="P70:P71">
    <cfRule type="cellIs" dxfId="6546" priority="6796" operator="greaterThan">
      <formula>2</formula>
    </cfRule>
    <cfRule type="cellIs" dxfId="6545" priority="6798" operator="equal">
      <formula>1</formula>
    </cfRule>
    <cfRule type="cellIs" dxfId="6544" priority="6797" operator="equal">
      <formula>2</formula>
    </cfRule>
  </conditionalFormatting>
  <conditionalFormatting sqref="P72">
    <cfRule type="cellIs" dxfId="6543" priority="1027" operator="equal">
      <formula>2</formula>
    </cfRule>
    <cfRule type="cellIs" dxfId="6542" priority="1026" operator="greaterThan">
      <formula>2</formula>
    </cfRule>
    <cfRule type="cellIs" dxfId="6541" priority="1028" operator="equal">
      <formula>1</formula>
    </cfRule>
  </conditionalFormatting>
  <conditionalFormatting sqref="P73">
    <cfRule type="cellIs" dxfId="6540" priority="1007" operator="equal">
      <formula>1</formula>
    </cfRule>
    <cfRule type="cellIs" dxfId="6539" priority="1006" operator="equal">
      <formula>2</formula>
    </cfRule>
    <cfRule type="cellIs" dxfId="6538" priority="1005" operator="greaterThan">
      <formula>2</formula>
    </cfRule>
  </conditionalFormatting>
  <conditionalFormatting sqref="P74">
    <cfRule type="cellIs" dxfId="6537" priority="976" operator="equal">
      <formula>1</formula>
    </cfRule>
    <cfRule type="cellIs" dxfId="6536" priority="974" operator="greaterThan">
      <formula>2</formula>
    </cfRule>
    <cfRule type="cellIs" dxfId="6535" priority="975" operator="equal">
      <formula>2</formula>
    </cfRule>
  </conditionalFormatting>
  <conditionalFormatting sqref="P75">
    <cfRule type="cellIs" dxfId="6534" priority="6750" operator="equal">
      <formula>1</formula>
    </cfRule>
    <cfRule type="cellIs" dxfId="6533" priority="6749" operator="equal">
      <formula>2</formula>
    </cfRule>
    <cfRule type="cellIs" dxfId="6532" priority="6748" operator="greaterThan">
      <formula>2</formula>
    </cfRule>
  </conditionalFormatting>
  <conditionalFormatting sqref="P76">
    <cfRule type="cellIs" dxfId="6531" priority="18566" operator="equal">
      <formula>1</formula>
    </cfRule>
    <cfRule type="cellIs" dxfId="6530" priority="18564" operator="greaterThan">
      <formula>2</formula>
    </cfRule>
    <cfRule type="cellIs" dxfId="6529" priority="18565" operator="equal">
      <formula>2</formula>
    </cfRule>
  </conditionalFormatting>
  <conditionalFormatting sqref="P77">
    <cfRule type="cellIs" dxfId="6528" priority="6725" operator="greaterThan">
      <formula>2</formula>
    </cfRule>
    <cfRule type="cellIs" dxfId="6527" priority="6726" operator="equal">
      <formula>2</formula>
    </cfRule>
    <cfRule type="cellIs" dxfId="6526" priority="6727" operator="equal">
      <formula>1</formula>
    </cfRule>
  </conditionalFormatting>
  <conditionalFormatting sqref="P78:P81">
    <cfRule type="cellIs" dxfId="6525" priority="953" operator="greaterThan">
      <formula>2</formula>
    </cfRule>
    <cfRule type="cellIs" dxfId="6524" priority="954" operator="equal">
      <formula>2</formula>
    </cfRule>
    <cfRule type="cellIs" dxfId="6523" priority="955" operator="equal">
      <formula>1</formula>
    </cfRule>
  </conditionalFormatting>
  <conditionalFormatting sqref="P82">
    <cfRule type="cellIs" dxfId="6522" priority="6678" operator="equal">
      <formula>1</formula>
    </cfRule>
    <cfRule type="cellIs" dxfId="6521" priority="6677" operator="equal">
      <formula>2</formula>
    </cfRule>
    <cfRule type="cellIs" dxfId="6520" priority="6676" operator="greaterThan">
      <formula>2</formula>
    </cfRule>
  </conditionalFormatting>
  <conditionalFormatting sqref="P86">
    <cfRule type="cellIs" dxfId="6519" priority="6652" operator="greaterThan">
      <formula>2</formula>
    </cfRule>
    <cfRule type="cellIs" dxfId="6518" priority="6653" operator="equal">
      <formula>2</formula>
    </cfRule>
    <cfRule type="cellIs" dxfId="6517" priority="6654" operator="equal">
      <formula>1</formula>
    </cfRule>
  </conditionalFormatting>
  <conditionalFormatting sqref="P87">
    <cfRule type="cellIs" dxfId="6516" priority="905" operator="greaterThan">
      <formula>2</formula>
    </cfRule>
    <cfRule type="cellIs" dxfId="6515" priority="907" operator="equal">
      <formula>1</formula>
    </cfRule>
    <cfRule type="cellIs" dxfId="6514" priority="906" operator="equal">
      <formula>2</formula>
    </cfRule>
  </conditionalFormatting>
  <conditionalFormatting sqref="P88">
    <cfRule type="cellIs" dxfId="6513" priority="882" operator="equal">
      <formula>2</formula>
    </cfRule>
    <cfRule type="cellIs" dxfId="6512" priority="883" operator="equal">
      <formula>1</formula>
    </cfRule>
    <cfRule type="cellIs" dxfId="6511" priority="881" operator="greaterThan">
      <formula>2</formula>
    </cfRule>
  </conditionalFormatting>
  <conditionalFormatting sqref="P89">
    <cfRule type="cellIs" dxfId="6510" priority="859" operator="equal">
      <formula>1</formula>
    </cfRule>
    <cfRule type="cellIs" dxfId="6509" priority="858" operator="equal">
      <formula>2</formula>
    </cfRule>
    <cfRule type="cellIs" dxfId="6508" priority="857" operator="greaterThan">
      <formula>2</formula>
    </cfRule>
  </conditionalFormatting>
  <conditionalFormatting sqref="P90:P92">
    <cfRule type="cellIs" dxfId="6507" priority="805" operator="greaterThan">
      <formula>2</formula>
    </cfRule>
    <cfRule type="cellIs" dxfId="6506" priority="807" operator="equal">
      <formula>1</formula>
    </cfRule>
    <cfRule type="cellIs" dxfId="6505" priority="806" operator="equal">
      <formula>2</formula>
    </cfRule>
  </conditionalFormatting>
  <conditionalFormatting sqref="P93">
    <cfRule type="cellIs" dxfId="6504" priority="6581" operator="equal">
      <formula>2</formula>
    </cfRule>
    <cfRule type="cellIs" dxfId="6503" priority="6582" operator="equal">
      <formula>1</formula>
    </cfRule>
    <cfRule type="cellIs" dxfId="6502" priority="6580" operator="greaterThan">
      <formula>2</formula>
    </cfRule>
  </conditionalFormatting>
  <conditionalFormatting sqref="P94">
    <cfRule type="cellIs" dxfId="6501" priority="773" operator="equal">
      <formula>1</formula>
    </cfRule>
    <cfRule type="cellIs" dxfId="6500" priority="772" operator="equal">
      <formula>2</formula>
    </cfRule>
    <cfRule type="cellIs" dxfId="6499" priority="771" operator="greaterThan">
      <formula>2</formula>
    </cfRule>
  </conditionalFormatting>
  <conditionalFormatting sqref="P95">
    <cfRule type="cellIs" dxfId="6498" priority="747" operator="greaterThan">
      <formula>2</formula>
    </cfRule>
    <cfRule type="cellIs" dxfId="6497" priority="749" operator="equal">
      <formula>1</formula>
    </cfRule>
    <cfRule type="cellIs" dxfId="6496" priority="748" operator="equal">
      <formula>2</formula>
    </cfRule>
  </conditionalFormatting>
  <conditionalFormatting sqref="P96:P98">
    <cfRule type="cellIs" dxfId="6495" priority="700" operator="equal">
      <formula>1</formula>
    </cfRule>
    <cfRule type="cellIs" dxfId="6494" priority="698" operator="greaterThan">
      <formula>2</formula>
    </cfRule>
    <cfRule type="cellIs" dxfId="6493" priority="699" operator="equal">
      <formula>2</formula>
    </cfRule>
  </conditionalFormatting>
  <conditionalFormatting sqref="P99">
    <cfRule type="cellIs" dxfId="6492" priority="664" operator="greaterThan">
      <formula>2</formula>
    </cfRule>
    <cfRule type="cellIs" dxfId="6491" priority="665" operator="equal">
      <formula>2</formula>
    </cfRule>
    <cfRule type="cellIs" dxfId="6490" priority="666" operator="equal">
      <formula>1</formula>
    </cfRule>
  </conditionalFormatting>
  <conditionalFormatting sqref="P100 P103 P107">
    <cfRule type="cellIs" dxfId="6489" priority="6412" operator="greaterThan">
      <formula>2</formula>
    </cfRule>
    <cfRule type="cellIs" dxfId="6488" priority="6413" operator="equal">
      <formula>2</formula>
    </cfRule>
    <cfRule type="cellIs" dxfId="6487" priority="6414" operator="equal">
      <formula>1</formula>
    </cfRule>
  </conditionalFormatting>
  <conditionalFormatting sqref="P101:P102">
    <cfRule type="cellIs" dxfId="6486" priority="617" operator="equal">
      <formula>2</formula>
    </cfRule>
    <cfRule type="cellIs" dxfId="6485" priority="616" operator="greaterThan">
      <formula>2</formula>
    </cfRule>
    <cfRule type="cellIs" dxfId="6484" priority="618" operator="equal">
      <formula>1</formula>
    </cfRule>
  </conditionalFormatting>
  <conditionalFormatting sqref="P104:P106">
    <cfRule type="cellIs" dxfId="6483" priority="592" operator="greaterThan">
      <formula>2</formula>
    </cfRule>
    <cfRule type="cellIs" dxfId="6482" priority="594" operator="equal">
      <formula>1</formula>
    </cfRule>
    <cfRule type="cellIs" dxfId="6481" priority="593" operator="equal">
      <formula>2</formula>
    </cfRule>
  </conditionalFormatting>
  <conditionalFormatting sqref="P108:P110">
    <cfRule type="cellIs" dxfId="6480" priority="570" operator="equal">
      <formula>1</formula>
    </cfRule>
    <cfRule type="cellIs" dxfId="6479" priority="568" operator="greaterThan">
      <formula>2</formula>
    </cfRule>
    <cfRule type="cellIs" dxfId="6478" priority="569" operator="equal">
      <formula>2</formula>
    </cfRule>
  </conditionalFormatting>
  <conditionalFormatting sqref="P111">
    <cfRule type="cellIs" dxfId="6477" priority="6363" operator="greaterThan">
      <formula>2</formula>
    </cfRule>
    <cfRule type="cellIs" dxfId="6476" priority="6365" operator="equal">
      <formula>1</formula>
    </cfRule>
    <cfRule type="cellIs" dxfId="6475" priority="6364" operator="equal">
      <formula>2</formula>
    </cfRule>
  </conditionalFormatting>
  <conditionalFormatting sqref="P112:P114">
    <cfRule type="cellIs" dxfId="6474" priority="496" operator="greaterThan">
      <formula>2</formula>
    </cfRule>
    <cfRule type="cellIs" dxfId="6473" priority="498" operator="equal">
      <formula>1</formula>
    </cfRule>
    <cfRule type="cellIs" dxfId="6472" priority="497" operator="equal">
      <formula>2</formula>
    </cfRule>
  </conditionalFormatting>
  <conditionalFormatting sqref="P115 P119 P122 P125:P126 P130">
    <cfRule type="cellIs" dxfId="6471" priority="6293" operator="equal">
      <formula>1</formula>
    </cfRule>
    <cfRule type="cellIs" dxfId="6470" priority="6292" operator="equal">
      <formula>2</formula>
    </cfRule>
    <cfRule type="cellIs" dxfId="6469" priority="6291" operator="greaterThan">
      <formula>2</formula>
    </cfRule>
  </conditionalFormatting>
  <conditionalFormatting sqref="P116">
    <cfRule type="cellIs" dxfId="6468" priority="520" operator="greaterThan">
      <formula>2</formula>
    </cfRule>
    <cfRule type="cellIs" dxfId="6467" priority="521" operator="equal">
      <formula>2</formula>
    </cfRule>
    <cfRule type="cellIs" dxfId="6466" priority="522" operator="equal">
      <formula>1</formula>
    </cfRule>
  </conditionalFormatting>
  <conditionalFormatting sqref="P117:P118">
    <cfRule type="cellIs" dxfId="6465" priority="472" operator="greaterThan">
      <formula>2</formula>
    </cfRule>
    <cfRule type="cellIs" dxfId="6464" priority="474" operator="equal">
      <formula>1</formula>
    </cfRule>
    <cfRule type="cellIs" dxfId="6463" priority="473" operator="equal">
      <formula>2</formula>
    </cfRule>
  </conditionalFormatting>
  <conditionalFormatting sqref="P120:P121">
    <cfRule type="cellIs" dxfId="6462" priority="440" operator="equal">
      <formula>1</formula>
    </cfRule>
    <cfRule type="cellIs" dxfId="6461" priority="438" operator="greaterThan">
      <formula>2</formula>
    </cfRule>
    <cfRule type="cellIs" dxfId="6460" priority="439" operator="equal">
      <formula>2</formula>
    </cfRule>
  </conditionalFormatting>
  <conditionalFormatting sqref="P123:P124">
    <cfRule type="cellIs" dxfId="6459" priority="405" operator="equal">
      <formula>2</formula>
    </cfRule>
    <cfRule type="cellIs" dxfId="6458" priority="406" operator="equal">
      <formula>1</formula>
    </cfRule>
    <cfRule type="cellIs" dxfId="6457" priority="404" operator="greaterThan">
      <formula>2</formula>
    </cfRule>
  </conditionalFormatting>
  <conditionalFormatting sqref="P127:P128">
    <cfRule type="cellIs" dxfId="6456" priority="202" operator="greaterThan">
      <formula>2</formula>
    </cfRule>
    <cfRule type="cellIs" dxfId="6455" priority="203" operator="equal">
      <formula>2</formula>
    </cfRule>
    <cfRule type="cellIs" dxfId="6454" priority="204" operator="equal">
      <formula>1</formula>
    </cfRule>
  </conditionalFormatting>
  <conditionalFormatting sqref="P129">
    <cfRule type="cellIs" dxfId="6453" priority="370" operator="greaterThan">
      <formula>2</formula>
    </cfRule>
    <cfRule type="cellIs" dxfId="6452" priority="371" operator="equal">
      <formula>2</formula>
    </cfRule>
    <cfRule type="cellIs" dxfId="6451" priority="372" operator="equal">
      <formula>1</formula>
    </cfRule>
  </conditionalFormatting>
  <conditionalFormatting sqref="P131:P132">
    <cfRule type="cellIs" dxfId="6450" priority="180" operator="equal">
      <formula>1</formula>
    </cfRule>
    <cfRule type="cellIs" dxfId="6449" priority="179" operator="equal">
      <formula>2</formula>
    </cfRule>
    <cfRule type="cellIs" dxfId="6448" priority="178" operator="greaterThan">
      <formula>2</formula>
    </cfRule>
  </conditionalFormatting>
  <conditionalFormatting sqref="P133">
    <cfRule type="cellIs" dxfId="6447" priority="155" operator="equal">
      <formula>2</formula>
    </cfRule>
    <cfRule type="cellIs" dxfId="6446" priority="156" operator="equal">
      <formula>1</formula>
    </cfRule>
    <cfRule type="cellIs" dxfId="6445" priority="154" operator="greaterThan">
      <formula>2</formula>
    </cfRule>
  </conditionalFormatting>
  <conditionalFormatting sqref="P134">
    <cfRule type="cellIs" dxfId="6444" priority="12582" operator="equal">
      <formula>2</formula>
    </cfRule>
    <cfRule type="cellIs" dxfId="6443" priority="12583" operator="equal">
      <formula>1</formula>
    </cfRule>
    <cfRule type="cellIs" dxfId="6442" priority="12581" operator="greaterThan">
      <formula>2</formula>
    </cfRule>
  </conditionalFormatting>
  <conditionalFormatting sqref="P135">
    <cfRule type="cellIs" dxfId="6441" priority="346" operator="greaterThan">
      <formula>2</formula>
    </cfRule>
    <cfRule type="cellIs" dxfId="6440" priority="348" operator="equal">
      <formula>1</formula>
    </cfRule>
    <cfRule type="cellIs" dxfId="6439" priority="347" operator="equal">
      <formula>2</formula>
    </cfRule>
  </conditionalFormatting>
  <conditionalFormatting sqref="P136">
    <cfRule type="cellIs" dxfId="6438" priority="132" operator="equal">
      <formula>1</formula>
    </cfRule>
    <cfRule type="cellIs" dxfId="6437" priority="131" operator="equal">
      <formula>2</formula>
    </cfRule>
    <cfRule type="cellIs" dxfId="6436" priority="130" operator="greaterThan">
      <formula>2</formula>
    </cfRule>
  </conditionalFormatting>
  <conditionalFormatting sqref="P137 P139">
    <cfRule type="cellIs" dxfId="6435" priority="6244" operator="equal">
      <formula>2</formula>
    </cfRule>
    <cfRule type="cellIs" dxfId="6434" priority="6245" operator="equal">
      <formula>1</formula>
    </cfRule>
    <cfRule type="cellIs" dxfId="6433" priority="6243" operator="greaterThan">
      <formula>2</formula>
    </cfRule>
  </conditionalFormatting>
  <conditionalFormatting sqref="P138">
    <cfRule type="cellIs" dxfId="6432" priority="97" operator="equal">
      <formula>2</formula>
    </cfRule>
    <cfRule type="cellIs" dxfId="6431" priority="98" operator="equal">
      <formula>1</formula>
    </cfRule>
    <cfRule type="cellIs" dxfId="6430" priority="96" operator="greaterThan">
      <formula>2</formula>
    </cfRule>
  </conditionalFormatting>
  <conditionalFormatting sqref="P140">
    <cfRule type="cellIs" dxfId="6429" priority="72" operator="greaterThan">
      <formula>2</formula>
    </cfRule>
    <cfRule type="cellIs" dxfId="6428" priority="74" operator="equal">
      <formula>1</formula>
    </cfRule>
    <cfRule type="cellIs" dxfId="6427" priority="73" operator="equal">
      <formula>2</formula>
    </cfRule>
  </conditionalFormatting>
  <conditionalFormatting sqref="P141">
    <cfRule type="cellIs" dxfId="6426" priority="21039" operator="greaterThan">
      <formula>2</formula>
    </cfRule>
    <cfRule type="cellIs" dxfId="6425" priority="21041" operator="equal">
      <formula>1</formula>
    </cfRule>
    <cfRule type="cellIs" dxfId="6424" priority="21040" operator="equal">
      <formula>2</formula>
    </cfRule>
  </conditionalFormatting>
  <conditionalFormatting sqref="P142">
    <cfRule type="cellIs" dxfId="6423" priority="39" operator="equal">
      <formula>2</formula>
    </cfRule>
    <cfRule type="cellIs" dxfId="6422" priority="38" operator="greaterThan">
      <formula>2</formula>
    </cfRule>
    <cfRule type="cellIs" dxfId="6421" priority="40" operator="equal">
      <formula>1</formula>
    </cfRule>
  </conditionalFormatting>
  <conditionalFormatting sqref="P143">
    <cfRule type="cellIs" dxfId="6420" priority="5861" operator="equal">
      <formula>1</formula>
    </cfRule>
    <cfRule type="cellIs" dxfId="6419" priority="5860" operator="equal">
      <formula>2</formula>
    </cfRule>
    <cfRule type="cellIs" dxfId="6418" priority="5859" operator="greaterThan">
      <formula>2</formula>
    </cfRule>
  </conditionalFormatting>
  <conditionalFormatting sqref="P144:P198">
    <cfRule type="cellIs" dxfId="6417" priority="5" operator="equal">
      <formula>2</formula>
    </cfRule>
    <cfRule type="cellIs" dxfId="6416" priority="4" operator="greaterThan">
      <formula>2</formula>
    </cfRule>
    <cfRule type="cellIs" dxfId="6415" priority="6" operator="equal">
      <formula>1</formula>
    </cfRule>
  </conditionalFormatting>
  <conditionalFormatting sqref="P199:P200">
    <cfRule type="cellIs" dxfId="6414" priority="5159" operator="equal">
      <formula>2</formula>
    </cfRule>
    <cfRule type="cellIs" dxfId="6413" priority="5160" operator="equal">
      <formula>1</formula>
    </cfRule>
    <cfRule type="cellIs" dxfId="6412" priority="5158" operator="greaterThan">
      <formula>2</formula>
    </cfRule>
  </conditionalFormatting>
  <conditionalFormatting sqref="P201">
    <cfRule type="cellIs" dxfId="6411" priority="12751" operator="equal">
      <formula>1</formula>
    </cfRule>
    <cfRule type="cellIs" dxfId="6410" priority="12750" operator="equal">
      <formula>2</formula>
    </cfRule>
    <cfRule type="cellIs" dxfId="6409" priority="12749" operator="greaterThan">
      <formula>2</formula>
    </cfRule>
  </conditionalFormatting>
  <conditionalFormatting sqref="P202">
    <cfRule type="cellIs" dxfId="6408" priority="5081" operator="equal">
      <formula>1</formula>
    </cfRule>
    <cfRule type="cellIs" dxfId="6407" priority="5080" operator="equal">
      <formula>2</formula>
    </cfRule>
    <cfRule type="cellIs" dxfId="6406" priority="5079" operator="greaterThan">
      <formula>2</formula>
    </cfRule>
  </conditionalFormatting>
  <conditionalFormatting sqref="P203">
    <cfRule type="cellIs" dxfId="6405" priority="5057" operator="equal">
      <formula>1</formula>
    </cfRule>
    <cfRule type="cellIs" dxfId="6404" priority="5055" operator="greaterThan">
      <formula>2</formula>
    </cfRule>
    <cfRule type="cellIs" dxfId="6403" priority="5056" operator="equal">
      <formula>2</formula>
    </cfRule>
  </conditionalFormatting>
  <conditionalFormatting sqref="P204">
    <cfRule type="cellIs" dxfId="6402" priority="13351" operator="equal">
      <formula>2</formula>
    </cfRule>
    <cfRule type="cellIs" dxfId="6401" priority="13350" operator="greaterThan">
      <formula>2</formula>
    </cfRule>
    <cfRule type="cellIs" dxfId="6400" priority="13352" operator="equal">
      <formula>1</formula>
    </cfRule>
  </conditionalFormatting>
  <conditionalFormatting sqref="P205">
    <cfRule type="cellIs" dxfId="6399" priority="4935" operator="greaterThan">
      <formula>2</formula>
    </cfRule>
    <cfRule type="cellIs" dxfId="6398" priority="4937" operator="equal">
      <formula>1</formula>
    </cfRule>
    <cfRule type="cellIs" dxfId="6397" priority="4936" operator="equal">
      <formula>2</formula>
    </cfRule>
  </conditionalFormatting>
  <conditionalFormatting sqref="P206:P222">
    <cfRule type="cellIs" dxfId="6396" priority="4889" operator="greaterThan">
      <formula>2</formula>
    </cfRule>
    <cfRule type="cellIs" dxfId="6395" priority="4890" operator="equal">
      <formula>2</formula>
    </cfRule>
    <cfRule type="cellIs" dxfId="6394" priority="4891" operator="equal">
      <formula>1</formula>
    </cfRule>
  </conditionalFormatting>
  <conditionalFormatting sqref="P223">
    <cfRule type="cellIs" dxfId="6393" priority="4912" operator="equal">
      <formula>1</formula>
    </cfRule>
    <cfRule type="cellIs" dxfId="6392" priority="4911" operator="equal">
      <formula>2</formula>
    </cfRule>
    <cfRule type="cellIs" dxfId="6391" priority="4910" operator="greaterThan">
      <formula>2</formula>
    </cfRule>
  </conditionalFormatting>
  <conditionalFormatting sqref="P224:P227">
    <cfRule type="cellIs" dxfId="6390" priority="4868" operator="greaterThan">
      <formula>2</formula>
    </cfRule>
    <cfRule type="cellIs" dxfId="6389" priority="4870" operator="equal">
      <formula>1</formula>
    </cfRule>
    <cfRule type="cellIs" dxfId="6388" priority="4869" operator="equal">
      <formula>2</formula>
    </cfRule>
  </conditionalFormatting>
  <conditionalFormatting sqref="P228">
    <cfRule type="cellIs" dxfId="6387" priority="12823" operator="equal">
      <formula>1</formula>
    </cfRule>
    <cfRule type="cellIs" dxfId="6386" priority="12822" operator="equal">
      <formula>2</formula>
    </cfRule>
    <cfRule type="cellIs" dxfId="6385" priority="12821" operator="greaterThan">
      <formula>2</formula>
    </cfRule>
  </conditionalFormatting>
  <conditionalFormatting sqref="P229">
    <cfRule type="cellIs" dxfId="6384" priority="12847" operator="equal">
      <formula>1</formula>
    </cfRule>
    <cfRule type="cellIs" dxfId="6383" priority="12846" operator="equal">
      <formula>2</formula>
    </cfRule>
    <cfRule type="cellIs" dxfId="6382" priority="12845" operator="greaterThan">
      <formula>2</formula>
    </cfRule>
  </conditionalFormatting>
  <conditionalFormatting sqref="P230">
    <cfRule type="cellIs" dxfId="6381" priority="4837" operator="equal">
      <formula>1</formula>
    </cfRule>
    <cfRule type="cellIs" dxfId="6380" priority="4835" operator="greaterThan">
      <formula>2</formula>
    </cfRule>
    <cfRule type="cellIs" dxfId="6379" priority="4836" operator="equal">
      <formula>2</formula>
    </cfRule>
  </conditionalFormatting>
  <conditionalFormatting sqref="P231:P237">
    <cfRule type="cellIs" dxfId="6378" priority="4811" operator="greaterThan">
      <formula>2</formula>
    </cfRule>
    <cfRule type="cellIs" dxfId="6377" priority="4812" operator="equal">
      <formula>2</formula>
    </cfRule>
    <cfRule type="cellIs" dxfId="6376" priority="4813" operator="equal">
      <formula>1</formula>
    </cfRule>
  </conditionalFormatting>
  <conditionalFormatting sqref="P238">
    <cfRule type="cellIs" dxfId="6375" priority="4787" operator="equal">
      <formula>2</formula>
    </cfRule>
    <cfRule type="cellIs" dxfId="6374" priority="4786" operator="greaterThan">
      <formula>2</formula>
    </cfRule>
    <cfRule type="cellIs" dxfId="6373" priority="4788" operator="equal">
      <formula>1</formula>
    </cfRule>
  </conditionalFormatting>
  <conditionalFormatting sqref="P239">
    <cfRule type="cellIs" dxfId="6372" priority="16198" operator="equal">
      <formula>1</formula>
    </cfRule>
    <cfRule type="cellIs" dxfId="6371" priority="16197" operator="equal">
      <formula>2</formula>
    </cfRule>
    <cfRule type="cellIs" dxfId="6370" priority="16196" operator="greaterThan">
      <formula>2</formula>
    </cfRule>
  </conditionalFormatting>
  <conditionalFormatting sqref="P240">
    <cfRule type="cellIs" dxfId="6369" priority="4692" operator="equal">
      <formula>1</formula>
    </cfRule>
    <cfRule type="cellIs" dxfId="6368" priority="4691" operator="equal">
      <formula>2</formula>
    </cfRule>
    <cfRule type="cellIs" dxfId="6367" priority="4690" operator="greaterThan">
      <formula>2</formula>
    </cfRule>
  </conditionalFormatting>
  <conditionalFormatting sqref="P241">
    <cfRule type="cellIs" dxfId="6366" priority="4762" operator="greaterThan">
      <formula>2</formula>
    </cfRule>
    <cfRule type="cellIs" dxfId="6365" priority="4763" operator="equal">
      <formula>2</formula>
    </cfRule>
    <cfRule type="cellIs" dxfId="6364" priority="4764" operator="equal">
      <formula>1</formula>
    </cfRule>
  </conditionalFormatting>
  <conditionalFormatting sqref="P242">
    <cfRule type="cellIs" dxfId="6363" priority="12941" operator="greaterThan">
      <formula>2</formula>
    </cfRule>
    <cfRule type="cellIs" dxfId="6362" priority="12942" operator="equal">
      <formula>2</formula>
    </cfRule>
    <cfRule type="cellIs" dxfId="6361" priority="12943" operator="equal">
      <formula>1</formula>
    </cfRule>
  </conditionalFormatting>
  <conditionalFormatting sqref="P243">
    <cfRule type="cellIs" dxfId="6360" priority="4740" operator="equal">
      <formula>1</formula>
    </cfRule>
    <cfRule type="cellIs" dxfId="6359" priority="4739" operator="equal">
      <formula>2</formula>
    </cfRule>
    <cfRule type="cellIs" dxfId="6358" priority="4738" operator="greaterThan">
      <formula>2</formula>
    </cfRule>
  </conditionalFormatting>
  <conditionalFormatting sqref="P244">
    <cfRule type="cellIs" dxfId="6357" priority="4667" operator="equal">
      <formula>2</formula>
    </cfRule>
    <cfRule type="cellIs" dxfId="6356" priority="4668" operator="equal">
      <formula>1</formula>
    </cfRule>
    <cfRule type="cellIs" dxfId="6355" priority="4666" operator="greaterThan">
      <formula>2</formula>
    </cfRule>
  </conditionalFormatting>
  <conditionalFormatting sqref="P245:P251">
    <cfRule type="cellIs" dxfId="6354" priority="4620" operator="equal">
      <formula>1</formula>
    </cfRule>
    <cfRule type="cellIs" dxfId="6353" priority="4619" operator="equal">
      <formula>2</formula>
    </cfRule>
    <cfRule type="cellIs" dxfId="6352" priority="4618" operator="greaterThan">
      <formula>2</formula>
    </cfRule>
  </conditionalFormatting>
  <conditionalFormatting sqref="P252">
    <cfRule type="cellIs" dxfId="6351" priority="4594" operator="greaterThan">
      <formula>2</formula>
    </cfRule>
    <cfRule type="cellIs" dxfId="6350" priority="4596" operator="equal">
      <formula>1</formula>
    </cfRule>
    <cfRule type="cellIs" dxfId="6349" priority="4595" operator="equal">
      <formula>2</formula>
    </cfRule>
  </conditionalFormatting>
  <conditionalFormatting sqref="P253">
    <cfRule type="cellIs" dxfId="6348" priority="4644" operator="equal">
      <formula>1</formula>
    </cfRule>
    <cfRule type="cellIs" dxfId="6347" priority="4642" operator="greaterThan">
      <formula>2</formula>
    </cfRule>
    <cfRule type="cellIs" dxfId="6346" priority="4643" operator="equal">
      <formula>2</formula>
    </cfRule>
  </conditionalFormatting>
  <conditionalFormatting sqref="P254">
    <cfRule type="cellIs" dxfId="6345" priority="4572" operator="equal">
      <formula>1</formula>
    </cfRule>
    <cfRule type="cellIs" dxfId="6344" priority="4571" operator="equal">
      <formula>2</formula>
    </cfRule>
    <cfRule type="cellIs" dxfId="6343" priority="4570" operator="greaterThan">
      <formula>2</formula>
    </cfRule>
  </conditionalFormatting>
  <conditionalFormatting sqref="P255">
    <cfRule type="cellIs" dxfId="6342" priority="16048" operator="equal">
      <formula>1</formula>
    </cfRule>
    <cfRule type="cellIs" dxfId="6341" priority="16046" operator="greaterThan">
      <formula>2</formula>
    </cfRule>
    <cfRule type="cellIs" dxfId="6340" priority="16047" operator="equal">
      <formula>2</formula>
    </cfRule>
  </conditionalFormatting>
  <conditionalFormatting sqref="P256">
    <cfRule type="cellIs" dxfId="6339" priority="4546" operator="greaterThan">
      <formula>2</formula>
    </cfRule>
    <cfRule type="cellIs" dxfId="6338" priority="4547" operator="equal">
      <formula>2</formula>
    </cfRule>
    <cfRule type="cellIs" dxfId="6337" priority="4548" operator="equal">
      <formula>1</formula>
    </cfRule>
  </conditionalFormatting>
  <conditionalFormatting sqref="P257">
    <cfRule type="cellIs" dxfId="6336" priority="4425" operator="equal">
      <formula>2</formula>
    </cfRule>
    <cfRule type="cellIs" dxfId="6335" priority="4424" operator="greaterThan">
      <formula>2</formula>
    </cfRule>
    <cfRule type="cellIs" dxfId="6334" priority="4426" operator="equal">
      <formula>1</formula>
    </cfRule>
  </conditionalFormatting>
  <conditionalFormatting sqref="P258:P261">
    <cfRule type="cellIs" dxfId="6333" priority="4400" operator="greaterThan">
      <formula>2</formula>
    </cfRule>
    <cfRule type="cellIs" dxfId="6332" priority="4402" operator="equal">
      <formula>1</formula>
    </cfRule>
    <cfRule type="cellIs" dxfId="6331" priority="4401" operator="equal">
      <formula>2</formula>
    </cfRule>
  </conditionalFormatting>
  <conditionalFormatting sqref="P262">
    <cfRule type="cellIs" dxfId="6330" priority="4448" operator="greaterThan">
      <formula>2</formula>
    </cfRule>
    <cfRule type="cellIs" dxfId="6329" priority="4449" operator="equal">
      <formula>2</formula>
    </cfRule>
    <cfRule type="cellIs" dxfId="6328" priority="4450" operator="equal">
      <formula>1</formula>
    </cfRule>
  </conditionalFormatting>
  <conditionalFormatting sqref="P263:P264">
    <cfRule type="cellIs" dxfId="6327" priority="4378" operator="equal">
      <formula>1</formula>
    </cfRule>
    <cfRule type="cellIs" dxfId="6326" priority="4376" operator="greaterThan">
      <formula>2</formula>
    </cfRule>
    <cfRule type="cellIs" dxfId="6325" priority="4377" operator="equal">
      <formula>2</formula>
    </cfRule>
  </conditionalFormatting>
  <conditionalFormatting sqref="P265">
    <cfRule type="cellIs" dxfId="6324" priority="4319" operator="equal">
      <formula>1</formula>
    </cfRule>
    <cfRule type="cellIs" dxfId="6323" priority="4318" operator="equal">
      <formula>2</formula>
    </cfRule>
    <cfRule type="cellIs" dxfId="6322" priority="4317" operator="greaterThan">
      <formula>2</formula>
    </cfRule>
  </conditionalFormatting>
  <conditionalFormatting sqref="P266">
    <cfRule type="cellIs" dxfId="6321" priority="4353" operator="equal">
      <formula>2</formula>
    </cfRule>
    <cfRule type="cellIs" dxfId="6320" priority="4354" operator="equal">
      <formula>1</formula>
    </cfRule>
    <cfRule type="cellIs" dxfId="6319" priority="4352" operator="greaterThan">
      <formula>2</formula>
    </cfRule>
  </conditionalFormatting>
  <conditionalFormatting sqref="P267">
    <cfRule type="cellIs" dxfId="6318" priority="4246" operator="greaterThan">
      <formula>2</formula>
    </cfRule>
    <cfRule type="cellIs" dxfId="6317" priority="4248" operator="equal">
      <formula>1</formula>
    </cfRule>
    <cfRule type="cellIs" dxfId="6316" priority="4247" operator="equal">
      <formula>2</formula>
    </cfRule>
  </conditionalFormatting>
  <conditionalFormatting sqref="P268:P274">
    <cfRule type="cellIs" dxfId="6315" priority="4223" operator="equal">
      <formula>2</formula>
    </cfRule>
    <cfRule type="cellIs" dxfId="6314" priority="4222" operator="greaterThan">
      <formula>2</formula>
    </cfRule>
    <cfRule type="cellIs" dxfId="6313" priority="4224" operator="equal">
      <formula>1</formula>
    </cfRule>
  </conditionalFormatting>
  <conditionalFormatting sqref="P275">
    <cfRule type="cellIs" dxfId="6312" priority="19491" operator="greaterThan">
      <formula>2</formula>
    </cfRule>
    <cfRule type="cellIs" dxfId="6311" priority="19492" operator="equal">
      <formula>2</formula>
    </cfRule>
    <cfRule type="cellIs" dxfId="6310" priority="19493" operator="equal">
      <formula>1</formula>
    </cfRule>
  </conditionalFormatting>
  <conditionalFormatting sqref="P276">
    <cfRule type="cellIs" dxfId="6309" priority="4152" operator="equal">
      <formula>1</formula>
    </cfRule>
    <cfRule type="cellIs" dxfId="6308" priority="4151" operator="equal">
      <formula>2</formula>
    </cfRule>
    <cfRule type="cellIs" dxfId="6307" priority="4150" operator="greaterThan">
      <formula>2</formula>
    </cfRule>
  </conditionalFormatting>
  <conditionalFormatting sqref="P277:P278">
    <cfRule type="cellIs" dxfId="6306" priority="4200" operator="equal">
      <formula>1</formula>
    </cfRule>
    <cfRule type="cellIs" dxfId="6305" priority="4198" operator="greaterThan">
      <formula>2</formula>
    </cfRule>
    <cfRule type="cellIs" dxfId="6304" priority="4199" operator="equal">
      <formula>2</formula>
    </cfRule>
  </conditionalFormatting>
  <conditionalFormatting sqref="P279:P281">
    <cfRule type="cellIs" dxfId="6303" priority="12173" operator="greaterThan">
      <formula>2</formula>
    </cfRule>
    <cfRule type="cellIs" dxfId="6302" priority="12174" operator="equal">
      <formula>2</formula>
    </cfRule>
    <cfRule type="cellIs" dxfId="6301" priority="12175" operator="equal">
      <formula>1</formula>
    </cfRule>
  </conditionalFormatting>
  <conditionalFormatting sqref="P282">
    <cfRule type="cellIs" dxfId="6300" priority="4127" operator="equal">
      <formula>1</formula>
    </cfRule>
    <cfRule type="cellIs" dxfId="6299" priority="4125" operator="greaterThan">
      <formula>2</formula>
    </cfRule>
    <cfRule type="cellIs" dxfId="6298" priority="4126" operator="equal">
      <formula>2</formula>
    </cfRule>
  </conditionalFormatting>
  <conditionalFormatting sqref="P283:P290">
    <cfRule type="cellIs" dxfId="6297" priority="4103" operator="equal">
      <formula>1</formula>
    </cfRule>
    <cfRule type="cellIs" dxfId="6296" priority="4102" operator="equal">
      <formula>2</formula>
    </cfRule>
    <cfRule type="cellIs" dxfId="6295" priority="4101" operator="greaterThan">
      <formula>2</formula>
    </cfRule>
  </conditionalFormatting>
  <conditionalFormatting sqref="P291">
    <cfRule type="cellIs" dxfId="6294" priority="12076" operator="greaterThan">
      <formula>2</formula>
    </cfRule>
    <cfRule type="cellIs" dxfId="6293" priority="12077" operator="equal">
      <formula>2</formula>
    </cfRule>
    <cfRule type="cellIs" dxfId="6292" priority="12078" operator="equal">
      <formula>1</formula>
    </cfRule>
  </conditionalFormatting>
  <conditionalFormatting sqref="P292">
    <cfRule type="cellIs" dxfId="6291" priority="11906" operator="greaterThan">
      <formula>2</formula>
    </cfRule>
    <cfRule type="cellIs" dxfId="6290" priority="11908" operator="equal">
      <formula>1</formula>
    </cfRule>
    <cfRule type="cellIs" dxfId="6289" priority="11907" operator="equal">
      <formula>2</formula>
    </cfRule>
  </conditionalFormatting>
  <conditionalFormatting sqref="P293">
    <cfRule type="cellIs" dxfId="6288" priority="4077" operator="greaterThan">
      <formula>2</formula>
    </cfRule>
    <cfRule type="cellIs" dxfId="6287" priority="4078" operator="equal">
      <formula>2</formula>
    </cfRule>
    <cfRule type="cellIs" dxfId="6286" priority="4079" operator="equal">
      <formula>1</formula>
    </cfRule>
  </conditionalFormatting>
  <conditionalFormatting sqref="P294:P298">
    <cfRule type="cellIs" dxfId="6285" priority="4053" operator="greaterThan">
      <formula>2</formula>
    </cfRule>
    <cfRule type="cellIs" dxfId="6284" priority="4055" operator="equal">
      <formula>1</formula>
    </cfRule>
    <cfRule type="cellIs" dxfId="6283" priority="4054" operator="equal">
      <formula>2</formula>
    </cfRule>
  </conditionalFormatting>
  <conditionalFormatting sqref="P299">
    <cfRule type="cellIs" dxfId="6282" priority="4031" operator="equal">
      <formula>1</formula>
    </cfRule>
    <cfRule type="cellIs" dxfId="6281" priority="4029" operator="greaterThan">
      <formula>2</formula>
    </cfRule>
    <cfRule type="cellIs" dxfId="6280" priority="4030" operator="equal">
      <formula>2</formula>
    </cfRule>
  </conditionalFormatting>
  <conditionalFormatting sqref="P300">
    <cfRule type="cellIs" dxfId="6279" priority="4005" operator="equal">
      <formula>2</formula>
    </cfRule>
    <cfRule type="cellIs" dxfId="6278" priority="4006" operator="equal">
      <formula>1</formula>
    </cfRule>
    <cfRule type="cellIs" dxfId="6277" priority="4004" operator="greaterThan">
      <formula>2</formula>
    </cfRule>
  </conditionalFormatting>
  <conditionalFormatting sqref="P301:P302">
    <cfRule type="cellIs" dxfId="6276" priority="12030" operator="equal">
      <formula>1</formula>
    </cfRule>
    <cfRule type="cellIs" dxfId="6275" priority="12029" operator="equal">
      <formula>2</formula>
    </cfRule>
    <cfRule type="cellIs" dxfId="6274" priority="12028" operator="greaterThan">
      <formula>2</formula>
    </cfRule>
  </conditionalFormatting>
  <conditionalFormatting sqref="P303">
    <cfRule type="cellIs" dxfId="6273" priority="3980" operator="greaterThan">
      <formula>2</formula>
    </cfRule>
    <cfRule type="cellIs" dxfId="6272" priority="3981" operator="equal">
      <formula>2</formula>
    </cfRule>
    <cfRule type="cellIs" dxfId="6271" priority="3982" operator="equal">
      <formula>1</formula>
    </cfRule>
  </conditionalFormatting>
  <conditionalFormatting sqref="P304:P311">
    <cfRule type="cellIs" dxfId="6270" priority="3957" operator="equal">
      <formula>2</formula>
    </cfRule>
    <cfRule type="cellIs" dxfId="6269" priority="3956" operator="greaterThan">
      <formula>2</formula>
    </cfRule>
    <cfRule type="cellIs" dxfId="6268" priority="3958" operator="equal">
      <formula>1</formula>
    </cfRule>
  </conditionalFormatting>
  <conditionalFormatting sqref="P312">
    <cfRule type="cellIs" dxfId="6267" priority="11933" operator="equal">
      <formula>1</formula>
    </cfRule>
    <cfRule type="cellIs" dxfId="6266" priority="11932" operator="equal">
      <formula>2</formula>
    </cfRule>
    <cfRule type="cellIs" dxfId="6265" priority="11931" operator="greaterThan">
      <formula>2</formula>
    </cfRule>
  </conditionalFormatting>
  <conditionalFormatting sqref="P313">
    <cfRule type="cellIs" dxfId="6264" priority="11881" operator="greaterThan">
      <formula>2</formula>
    </cfRule>
    <cfRule type="cellIs" dxfId="6263" priority="11882" operator="equal">
      <formula>2</formula>
    </cfRule>
    <cfRule type="cellIs" dxfId="6262" priority="11883" operator="equal">
      <formula>1</formula>
    </cfRule>
  </conditionalFormatting>
  <conditionalFormatting sqref="P314">
    <cfRule type="cellIs" dxfId="6261" priority="3933" operator="equal">
      <formula>2</formula>
    </cfRule>
    <cfRule type="cellIs" dxfId="6260" priority="3932" operator="greaterThan">
      <formula>2</formula>
    </cfRule>
    <cfRule type="cellIs" dxfId="6259" priority="3934" operator="equal">
      <formula>1</formula>
    </cfRule>
  </conditionalFormatting>
  <conditionalFormatting sqref="P315:P319">
    <cfRule type="cellIs" dxfId="6258" priority="3910" operator="equal">
      <formula>1</formula>
    </cfRule>
    <cfRule type="cellIs" dxfId="6257" priority="3909" operator="equal">
      <formula>2</formula>
    </cfRule>
    <cfRule type="cellIs" dxfId="6256" priority="3908" operator="greaterThan">
      <formula>2</formula>
    </cfRule>
  </conditionalFormatting>
  <conditionalFormatting sqref="P320">
    <cfRule type="cellIs" dxfId="6255" priority="3885" operator="equal">
      <formula>2</formula>
    </cfRule>
    <cfRule type="cellIs" dxfId="6254" priority="3884" operator="greaterThan">
      <formula>2</formula>
    </cfRule>
    <cfRule type="cellIs" dxfId="6253" priority="3886" operator="equal">
      <formula>1</formula>
    </cfRule>
  </conditionalFormatting>
  <conditionalFormatting sqref="P321">
    <cfRule type="cellIs" dxfId="6252" priority="3860" operator="equal">
      <formula>2</formula>
    </cfRule>
    <cfRule type="cellIs" dxfId="6251" priority="3861" operator="equal">
      <formula>1</formula>
    </cfRule>
    <cfRule type="cellIs" dxfId="6250" priority="3859" operator="greaterThan">
      <formula>2</formula>
    </cfRule>
  </conditionalFormatting>
  <conditionalFormatting sqref="P322">
    <cfRule type="cellIs" dxfId="6249" priority="3837" operator="equal">
      <formula>1</formula>
    </cfRule>
    <cfRule type="cellIs" dxfId="6248" priority="3836" operator="equal">
      <formula>2</formula>
    </cfRule>
    <cfRule type="cellIs" dxfId="6247" priority="3835" operator="greaterThan">
      <formula>2</formula>
    </cfRule>
  </conditionalFormatting>
  <conditionalFormatting sqref="P323">
    <cfRule type="cellIs" dxfId="6246" priority="11806" operator="greaterThan">
      <formula>2</formula>
    </cfRule>
    <cfRule type="cellIs" dxfId="6245" priority="11807" operator="equal">
      <formula>2</formula>
    </cfRule>
    <cfRule type="cellIs" dxfId="6244" priority="11808" operator="equal">
      <formula>1</formula>
    </cfRule>
  </conditionalFormatting>
  <conditionalFormatting sqref="P324">
    <cfRule type="cellIs" dxfId="6243" priority="3811" operator="greaterThan">
      <formula>2</formula>
    </cfRule>
    <cfRule type="cellIs" dxfId="6242" priority="3813" operator="equal">
      <formula>1</formula>
    </cfRule>
    <cfRule type="cellIs" dxfId="6241" priority="3812" operator="equal">
      <formula>2</formula>
    </cfRule>
  </conditionalFormatting>
  <conditionalFormatting sqref="P325:P332">
    <cfRule type="cellIs" dxfId="6240" priority="3738" operator="equal">
      <formula>2</formula>
    </cfRule>
    <cfRule type="cellIs" dxfId="6239" priority="3739" operator="equal">
      <formula>1</formula>
    </cfRule>
    <cfRule type="cellIs" dxfId="6238" priority="3737" operator="greaterThan">
      <formula>2</formula>
    </cfRule>
  </conditionalFormatting>
  <conditionalFormatting sqref="P333:P334">
    <cfRule type="cellIs" dxfId="6237" priority="11710" operator="greaterThan">
      <formula>2</formula>
    </cfRule>
    <cfRule type="cellIs" dxfId="6236" priority="11711" operator="equal">
      <formula>2</formula>
    </cfRule>
    <cfRule type="cellIs" dxfId="6235" priority="11712" operator="equal">
      <formula>1</formula>
    </cfRule>
  </conditionalFormatting>
  <conditionalFormatting sqref="P335">
    <cfRule type="cellIs" dxfId="6234" priority="3663" operator="greaterThan">
      <formula>2</formula>
    </cfRule>
    <cfRule type="cellIs" dxfId="6233" priority="3665" operator="equal">
      <formula>1</formula>
    </cfRule>
    <cfRule type="cellIs" dxfId="6232" priority="3664" operator="equal">
      <formula>2</formula>
    </cfRule>
  </conditionalFormatting>
  <conditionalFormatting sqref="P336:P342">
    <cfRule type="cellIs" dxfId="6231" priority="3639" operator="greaterThan">
      <formula>2</formula>
    </cfRule>
    <cfRule type="cellIs" dxfId="6230" priority="3641" operator="equal">
      <formula>1</formula>
    </cfRule>
    <cfRule type="cellIs" dxfId="6229" priority="3640" operator="equal">
      <formula>2</formula>
    </cfRule>
  </conditionalFormatting>
  <conditionalFormatting sqref="P343:P344">
    <cfRule type="cellIs" dxfId="6228" priority="11639" operator="equal">
      <formula>1</formula>
    </cfRule>
    <cfRule type="cellIs" dxfId="6227" priority="11638" operator="equal">
      <formula>2</formula>
    </cfRule>
    <cfRule type="cellIs" dxfId="6226" priority="11637" operator="greaterThan">
      <formula>2</formula>
    </cfRule>
  </conditionalFormatting>
  <conditionalFormatting sqref="P345">
    <cfRule type="cellIs" dxfId="6225" priority="3591" operator="greaterThan">
      <formula>2</formula>
    </cfRule>
    <cfRule type="cellIs" dxfId="6224" priority="3592" operator="equal">
      <formula>2</formula>
    </cfRule>
    <cfRule type="cellIs" dxfId="6223" priority="3593" operator="equal">
      <formula>1</formula>
    </cfRule>
  </conditionalFormatting>
  <conditionalFormatting sqref="P346:P355">
    <cfRule type="cellIs" dxfId="6222" priority="3568" operator="equal">
      <formula>2</formula>
    </cfRule>
    <cfRule type="cellIs" dxfId="6221" priority="3569" operator="equal">
      <formula>1</formula>
    </cfRule>
    <cfRule type="cellIs" dxfId="6220" priority="3567" operator="greaterThan">
      <formula>2</formula>
    </cfRule>
  </conditionalFormatting>
  <conditionalFormatting sqref="P356:P357">
    <cfRule type="cellIs" dxfId="6219" priority="11590" operator="equal">
      <formula>2</formula>
    </cfRule>
    <cfRule type="cellIs" dxfId="6218" priority="11589" operator="greaterThan">
      <formula>2</formula>
    </cfRule>
    <cfRule type="cellIs" dxfId="6217" priority="11591" operator="equal">
      <formula>1</formula>
    </cfRule>
  </conditionalFormatting>
  <conditionalFormatting sqref="P358">
    <cfRule type="cellIs" dxfId="6216" priority="3545" operator="equal">
      <formula>1</formula>
    </cfRule>
    <cfRule type="cellIs" dxfId="6215" priority="3543" operator="greaterThan">
      <formula>2</formula>
    </cfRule>
    <cfRule type="cellIs" dxfId="6214" priority="3544" operator="equal">
      <formula>2</formula>
    </cfRule>
  </conditionalFormatting>
  <conditionalFormatting sqref="P359:P375">
    <cfRule type="cellIs" dxfId="6213" priority="3499" operator="equal">
      <formula>1</formula>
    </cfRule>
    <cfRule type="cellIs" dxfId="6212" priority="3497" operator="greaterThan">
      <formula>2</formula>
    </cfRule>
    <cfRule type="cellIs" dxfId="6211" priority="3498" operator="equal">
      <formula>2</formula>
    </cfRule>
  </conditionalFormatting>
  <conditionalFormatting sqref="P376">
    <cfRule type="cellIs" dxfId="6210" priority="3518" operator="greaterThan">
      <formula>2</formula>
    </cfRule>
    <cfRule type="cellIs" dxfId="6209" priority="3520" operator="equal">
      <formula>1</formula>
    </cfRule>
    <cfRule type="cellIs" dxfId="6208" priority="3519" operator="equal">
      <formula>2</formula>
    </cfRule>
  </conditionalFormatting>
  <conditionalFormatting sqref="P377:P380">
    <cfRule type="cellIs" dxfId="6207" priority="3478" operator="equal">
      <formula>1</formula>
    </cfRule>
    <cfRule type="cellIs" dxfId="6206" priority="3476" operator="greaterThan">
      <formula>2</formula>
    </cfRule>
    <cfRule type="cellIs" dxfId="6205" priority="3477" operator="equal">
      <formula>2</formula>
    </cfRule>
  </conditionalFormatting>
  <conditionalFormatting sqref="P381:P382 P391">
    <cfRule type="cellIs" dxfId="6204" priority="11350" operator="equal">
      <formula>2</formula>
    </cfRule>
    <cfRule type="cellIs" dxfId="6203" priority="11349" operator="greaterThan">
      <formula>2</formula>
    </cfRule>
    <cfRule type="cellIs" dxfId="6202" priority="11351" operator="equal">
      <formula>1</formula>
    </cfRule>
  </conditionalFormatting>
  <conditionalFormatting sqref="P383">
    <cfRule type="cellIs" dxfId="6201" priority="3444" operator="equal">
      <formula>2</formula>
    </cfRule>
    <cfRule type="cellIs" dxfId="6200" priority="3443" operator="greaterThan">
      <formula>2</formula>
    </cfRule>
    <cfRule type="cellIs" dxfId="6199" priority="3445" operator="equal">
      <formula>1</formula>
    </cfRule>
  </conditionalFormatting>
  <conditionalFormatting sqref="P384:P390">
    <cfRule type="cellIs" dxfId="6198" priority="3421" operator="equal">
      <formula>1</formula>
    </cfRule>
    <cfRule type="cellIs" dxfId="6197" priority="3420" operator="equal">
      <formula>2</formula>
    </cfRule>
    <cfRule type="cellIs" dxfId="6196" priority="3419" operator="greaterThan">
      <formula>2</formula>
    </cfRule>
  </conditionalFormatting>
  <conditionalFormatting sqref="P392">
    <cfRule type="cellIs" dxfId="6195" priority="23187" operator="equal">
      <formula>2</formula>
    </cfRule>
    <cfRule type="cellIs" dxfId="6194" priority="23188" operator="equal">
      <formula>1</formula>
    </cfRule>
    <cfRule type="cellIs" dxfId="6193" priority="23186" operator="greaterThan">
      <formula>2</formula>
    </cfRule>
  </conditionalFormatting>
  <conditionalFormatting sqref="P393">
    <cfRule type="cellIs" dxfId="6192" priority="3348" operator="equal">
      <formula>2</formula>
    </cfRule>
    <cfRule type="cellIs" dxfId="6191" priority="3347" operator="greaterThan">
      <formula>2</formula>
    </cfRule>
    <cfRule type="cellIs" dxfId="6190" priority="3349" operator="equal">
      <formula>1</formula>
    </cfRule>
  </conditionalFormatting>
  <conditionalFormatting sqref="P394:P398 P400:P401">
    <cfRule type="cellIs" dxfId="6189" priority="3325" operator="equal">
      <formula>1</formula>
    </cfRule>
    <cfRule type="cellIs" dxfId="6188" priority="3323" operator="greaterThan">
      <formula>2</formula>
    </cfRule>
    <cfRule type="cellIs" dxfId="6187" priority="3324" operator="equal">
      <formula>2</formula>
    </cfRule>
  </conditionalFormatting>
  <conditionalFormatting sqref="P399">
    <cfRule type="cellIs" dxfId="6186" priority="3301" operator="equal">
      <formula>1</formula>
    </cfRule>
    <cfRule type="cellIs" dxfId="6185" priority="3299" operator="greaterThan">
      <formula>2</formula>
    </cfRule>
    <cfRule type="cellIs" dxfId="6184" priority="3300" operator="equal">
      <formula>2</formula>
    </cfRule>
  </conditionalFormatting>
  <conditionalFormatting sqref="P402">
    <cfRule type="cellIs" dxfId="6183" priority="23043" operator="equal">
      <formula>2</formula>
    </cfRule>
    <cfRule type="cellIs" dxfId="6182" priority="23044" operator="equal">
      <formula>1</formula>
    </cfRule>
    <cfRule type="cellIs" dxfId="6181" priority="23042" operator="greaterThan">
      <formula>2</formula>
    </cfRule>
  </conditionalFormatting>
  <conditionalFormatting sqref="P403">
    <cfRule type="cellIs" dxfId="6180" priority="3275" operator="greaterThan">
      <formula>2</formula>
    </cfRule>
    <cfRule type="cellIs" dxfId="6179" priority="3276" operator="equal">
      <formula>2</formula>
    </cfRule>
    <cfRule type="cellIs" dxfId="6178" priority="3277" operator="equal">
      <formula>1</formula>
    </cfRule>
  </conditionalFormatting>
  <conditionalFormatting sqref="P404">
    <cfRule type="cellIs" dxfId="6177" priority="3179" operator="greaterThan">
      <formula>2</formula>
    </cfRule>
    <cfRule type="cellIs" dxfId="6176" priority="3180" operator="equal">
      <formula>2</formula>
    </cfRule>
    <cfRule type="cellIs" dxfId="6175" priority="3181" operator="equal">
      <formula>1</formula>
    </cfRule>
  </conditionalFormatting>
  <conditionalFormatting sqref="P405:P413">
    <cfRule type="cellIs" dxfId="6174" priority="3155" operator="greaterThan">
      <formula>2</formula>
    </cfRule>
    <cfRule type="cellIs" dxfId="6173" priority="3157" operator="equal">
      <formula>1</formula>
    </cfRule>
    <cfRule type="cellIs" dxfId="6172" priority="3156" operator="equal">
      <formula>2</formula>
    </cfRule>
  </conditionalFormatting>
  <conditionalFormatting sqref="P414">
    <cfRule type="cellIs" dxfId="6171" priority="3204" operator="equal">
      <formula>2</formula>
    </cfRule>
    <cfRule type="cellIs" dxfId="6170" priority="3205" operator="equal">
      <formula>1</formula>
    </cfRule>
    <cfRule type="cellIs" dxfId="6169" priority="3203" operator="greaterThan">
      <formula>2</formula>
    </cfRule>
  </conditionalFormatting>
  <conditionalFormatting sqref="P415">
    <cfRule type="cellIs" dxfId="6168" priority="11134" operator="equal">
      <formula>2</formula>
    </cfRule>
    <cfRule type="cellIs" dxfId="6167" priority="11133" operator="greaterThan">
      <formula>2</formula>
    </cfRule>
    <cfRule type="cellIs" dxfId="6166" priority="11135" operator="equal">
      <formula>1</formula>
    </cfRule>
  </conditionalFormatting>
  <conditionalFormatting sqref="P416">
    <cfRule type="cellIs" dxfId="6165" priority="3133" operator="equal">
      <formula>1</formula>
    </cfRule>
    <cfRule type="cellIs" dxfId="6164" priority="3131" operator="greaterThan">
      <formula>2</formula>
    </cfRule>
    <cfRule type="cellIs" dxfId="6163" priority="3132" operator="equal">
      <formula>2</formula>
    </cfRule>
  </conditionalFormatting>
  <conditionalFormatting sqref="P417:P426">
    <cfRule type="cellIs" dxfId="6162" priority="3107" operator="greaterThan">
      <formula>2</formula>
    </cfRule>
    <cfRule type="cellIs" dxfId="6161" priority="3109" operator="equal">
      <formula>1</formula>
    </cfRule>
    <cfRule type="cellIs" dxfId="6160" priority="3108" operator="equal">
      <formula>2</formula>
    </cfRule>
  </conditionalFormatting>
  <conditionalFormatting sqref="P427 P429">
    <cfRule type="cellIs" dxfId="6159" priority="10783" operator="equal">
      <formula>2</formula>
    </cfRule>
    <cfRule type="cellIs" dxfId="6158" priority="10784" operator="equal">
      <formula>1</formula>
    </cfRule>
    <cfRule type="cellIs" dxfId="6157" priority="10782" operator="greaterThan">
      <formula>2</formula>
    </cfRule>
  </conditionalFormatting>
  <conditionalFormatting sqref="P428">
    <cfRule type="cellIs" dxfId="6156" priority="10746" operator="equal">
      <formula>1</formula>
    </cfRule>
    <cfRule type="cellIs" dxfId="6155" priority="10744" operator="greaterThan">
      <formula>2</formula>
    </cfRule>
    <cfRule type="cellIs" dxfId="6154" priority="10745" operator="equal">
      <formula>2</formula>
    </cfRule>
  </conditionalFormatting>
  <conditionalFormatting sqref="P430">
    <cfRule type="cellIs" dxfId="6153" priority="3084" operator="equal">
      <formula>2</formula>
    </cfRule>
    <cfRule type="cellIs" dxfId="6152" priority="3083" operator="greaterThan">
      <formula>2</formula>
    </cfRule>
    <cfRule type="cellIs" dxfId="6151" priority="3085" operator="equal">
      <formula>1</formula>
    </cfRule>
  </conditionalFormatting>
  <conditionalFormatting sqref="P431:P440">
    <cfRule type="cellIs" dxfId="6150" priority="3059" operator="greaterThan">
      <formula>2</formula>
    </cfRule>
    <cfRule type="cellIs" dxfId="6149" priority="3061" operator="equal">
      <formula>1</formula>
    </cfRule>
    <cfRule type="cellIs" dxfId="6148" priority="3060" operator="equal">
      <formula>2</formula>
    </cfRule>
  </conditionalFormatting>
  <conditionalFormatting sqref="P441">
    <cfRule type="cellIs" dxfId="6147" priority="10854" operator="greaterThan">
      <formula>2</formula>
    </cfRule>
    <cfRule type="cellIs" dxfId="6146" priority="10855" operator="equal">
      <formula>2</formula>
    </cfRule>
    <cfRule type="cellIs" dxfId="6145" priority="10856" operator="equal">
      <formula>1</formula>
    </cfRule>
  </conditionalFormatting>
  <conditionalFormatting sqref="P442">
    <cfRule type="cellIs" dxfId="6144" priority="3045" operator="greaterThan">
      <formula>2</formula>
    </cfRule>
    <cfRule type="cellIs" dxfId="6143" priority="3046" operator="equal">
      <formula>2</formula>
    </cfRule>
    <cfRule type="cellIs" dxfId="6142" priority="3047" operator="equal">
      <formula>1</formula>
    </cfRule>
  </conditionalFormatting>
  <conditionalFormatting sqref="P443">
    <cfRule type="cellIs" dxfId="6141" priority="3009" operator="equal">
      <formula>1</formula>
    </cfRule>
    <cfRule type="cellIs" dxfId="6140" priority="3007" operator="greaterThan">
      <formula>2</formula>
    </cfRule>
    <cfRule type="cellIs" dxfId="6139" priority="3008" operator="equal">
      <formula>2</formula>
    </cfRule>
  </conditionalFormatting>
  <conditionalFormatting sqref="P444:P451">
    <cfRule type="cellIs" dxfId="6138" priority="2984" operator="equal">
      <formula>2</formula>
    </cfRule>
    <cfRule type="cellIs" dxfId="6137" priority="2985" operator="equal">
      <formula>1</formula>
    </cfRule>
    <cfRule type="cellIs" dxfId="6136" priority="2983" operator="greaterThan">
      <formula>2</formula>
    </cfRule>
  </conditionalFormatting>
  <conditionalFormatting sqref="P452">
    <cfRule type="cellIs" dxfId="6135" priority="22777" operator="greaterThan">
      <formula>2</formula>
    </cfRule>
    <cfRule type="cellIs" dxfId="6134" priority="22778" operator="equal">
      <formula>2</formula>
    </cfRule>
    <cfRule type="cellIs" dxfId="6133" priority="22779" operator="equal">
      <formula>1</formula>
    </cfRule>
  </conditionalFormatting>
  <conditionalFormatting sqref="P453">
    <cfRule type="cellIs" dxfId="6132" priority="10542" operator="equal">
      <formula>1</formula>
    </cfRule>
    <cfRule type="cellIs" dxfId="6131" priority="10540" operator="greaterThan">
      <formula>2</formula>
    </cfRule>
    <cfRule type="cellIs" dxfId="6130" priority="10541" operator="equal">
      <formula>2</formula>
    </cfRule>
  </conditionalFormatting>
  <conditionalFormatting sqref="P454">
    <cfRule type="cellIs" dxfId="6129" priority="2960" operator="equal">
      <formula>2</formula>
    </cfRule>
    <cfRule type="cellIs" dxfId="6128" priority="2959" operator="greaterThan">
      <formula>2</formula>
    </cfRule>
    <cfRule type="cellIs" dxfId="6127" priority="2961" operator="equal">
      <formula>1</formula>
    </cfRule>
  </conditionalFormatting>
  <conditionalFormatting sqref="P455:P462">
    <cfRule type="cellIs" dxfId="6126" priority="2936" operator="equal">
      <formula>2</formula>
    </cfRule>
    <cfRule type="cellIs" dxfId="6125" priority="2935" operator="greaterThan">
      <formula>2</formula>
    </cfRule>
    <cfRule type="cellIs" dxfId="6124" priority="2937" operator="equal">
      <formula>1</formula>
    </cfRule>
  </conditionalFormatting>
  <conditionalFormatting sqref="P463:P464">
    <cfRule type="cellIs" dxfId="6123" priority="22657" operator="greaterThan">
      <formula>2</formula>
    </cfRule>
    <cfRule type="cellIs" dxfId="6122" priority="22658" operator="equal">
      <formula>2</formula>
    </cfRule>
    <cfRule type="cellIs" dxfId="6121" priority="22659" operator="equal">
      <formula>1</formula>
    </cfRule>
  </conditionalFormatting>
  <conditionalFormatting sqref="P465">
    <cfRule type="cellIs" dxfId="6120" priority="2911" operator="greaterThan">
      <formula>2</formula>
    </cfRule>
    <cfRule type="cellIs" dxfId="6119" priority="2912" operator="equal">
      <formula>2</formula>
    </cfRule>
    <cfRule type="cellIs" dxfId="6118" priority="2913" operator="equal">
      <formula>1</formula>
    </cfRule>
  </conditionalFormatting>
  <conditionalFormatting sqref="P466:P473">
    <cfRule type="cellIs" dxfId="6117" priority="2889" operator="equal">
      <formula>1</formula>
    </cfRule>
    <cfRule type="cellIs" dxfId="6116" priority="2888" operator="equal">
      <formula>2</formula>
    </cfRule>
    <cfRule type="cellIs" dxfId="6115" priority="2887" operator="greaterThan">
      <formula>2</formula>
    </cfRule>
  </conditionalFormatting>
  <conditionalFormatting sqref="P474">
    <cfRule type="cellIs" dxfId="6114" priority="26680" operator="greaterThan">
      <formula>2</formula>
    </cfRule>
    <cfRule type="cellIs" dxfId="6113" priority="26682" operator="equal">
      <formula>1</formula>
    </cfRule>
    <cfRule type="cellIs" dxfId="6112" priority="26681" operator="equal">
      <formula>2</formula>
    </cfRule>
  </conditionalFormatting>
  <conditionalFormatting sqref="P475">
    <cfRule type="cellIs" dxfId="6111" priority="2864" operator="equal">
      <formula>2</formula>
    </cfRule>
    <cfRule type="cellIs" dxfId="6110" priority="2865" operator="equal">
      <formula>1</formula>
    </cfRule>
    <cfRule type="cellIs" dxfId="6109" priority="2863" operator="greaterThan">
      <formula>2</formula>
    </cfRule>
  </conditionalFormatting>
  <conditionalFormatting sqref="P476:P483">
    <cfRule type="cellIs" dxfId="6108" priority="2839" operator="greaterThan">
      <formula>2</formula>
    </cfRule>
    <cfRule type="cellIs" dxfId="6107" priority="2840" operator="equal">
      <formula>2</formula>
    </cfRule>
    <cfRule type="cellIs" dxfId="6106" priority="2841" operator="equal">
      <formula>1</formula>
    </cfRule>
  </conditionalFormatting>
  <conditionalFormatting sqref="P484">
    <cfRule type="cellIs" dxfId="6105" priority="2817" operator="equal">
      <formula>1</formula>
    </cfRule>
    <cfRule type="cellIs" dxfId="6104" priority="2816" operator="equal">
      <formula>2</formula>
    </cfRule>
    <cfRule type="cellIs" dxfId="6103" priority="2815" operator="greaterThan">
      <formula>2</formula>
    </cfRule>
  </conditionalFormatting>
  <conditionalFormatting sqref="P485">
    <cfRule type="cellIs" dxfId="6102" priority="22539" operator="equal">
      <formula>1</formula>
    </cfRule>
    <cfRule type="cellIs" dxfId="6101" priority="22538" operator="equal">
      <formula>2</formula>
    </cfRule>
    <cfRule type="cellIs" dxfId="6100" priority="22537" operator="greaterThan">
      <formula>2</formula>
    </cfRule>
  </conditionalFormatting>
  <conditionalFormatting sqref="P486">
    <cfRule type="cellIs" dxfId="6099" priority="2743" operator="greaterThan">
      <formula>2</formula>
    </cfRule>
    <cfRule type="cellIs" dxfId="6098" priority="2745" operator="equal">
      <formula>1</formula>
    </cfRule>
    <cfRule type="cellIs" dxfId="6097" priority="2744" operator="equal">
      <formula>2</formula>
    </cfRule>
  </conditionalFormatting>
  <conditionalFormatting sqref="P487:P496">
    <cfRule type="cellIs" dxfId="6096" priority="2720" operator="equal">
      <formula>2</formula>
    </cfRule>
    <cfRule type="cellIs" dxfId="6095" priority="2721" operator="equal">
      <formula>1</formula>
    </cfRule>
    <cfRule type="cellIs" dxfId="6094" priority="2719" operator="greaterThan">
      <formula>2</formula>
    </cfRule>
  </conditionalFormatting>
  <conditionalFormatting sqref="P497">
    <cfRule type="cellIs" dxfId="6093" priority="42613" operator="equal">
      <formula>1</formula>
    </cfRule>
    <cfRule type="cellIs" dxfId="6092" priority="42611" operator="greaterThan">
      <formula>2</formula>
    </cfRule>
    <cfRule type="cellIs" dxfId="6091" priority="42612" operator="equal">
      <formula>2</formula>
    </cfRule>
  </conditionalFormatting>
  <conditionalFormatting sqref="P498">
    <cfRule type="cellIs" dxfId="6090" priority="2697" operator="equal">
      <formula>1</formula>
    </cfRule>
    <cfRule type="cellIs" dxfId="6089" priority="2695" operator="greaterThan">
      <formula>2</formula>
    </cfRule>
    <cfRule type="cellIs" dxfId="6088" priority="2696" operator="equal">
      <formula>2</formula>
    </cfRule>
  </conditionalFormatting>
  <conditionalFormatting sqref="P499">
    <cfRule type="cellIs" dxfId="6087" priority="2672" operator="equal">
      <formula>2</formula>
    </cfRule>
    <cfRule type="cellIs" dxfId="6086" priority="2671" operator="greaterThan">
      <formula>2</formula>
    </cfRule>
    <cfRule type="cellIs" dxfId="6085" priority="2673" operator="equal">
      <formula>1</formula>
    </cfRule>
  </conditionalFormatting>
  <conditionalFormatting sqref="P500:P507">
    <cfRule type="cellIs" dxfId="6084" priority="2647" operator="greaterThan">
      <formula>2</formula>
    </cfRule>
    <cfRule type="cellIs" dxfId="6083" priority="2649" operator="equal">
      <formula>1</formula>
    </cfRule>
    <cfRule type="cellIs" dxfId="6082" priority="2648" operator="equal">
      <formula>2</formula>
    </cfRule>
  </conditionalFormatting>
  <conditionalFormatting sqref="P508">
    <cfRule type="cellIs" dxfId="6081" priority="47809" operator="greaterThan">
      <formula>2</formula>
    </cfRule>
    <cfRule type="cellIs" dxfId="6080" priority="47810" operator="equal">
      <formula>2</formula>
    </cfRule>
    <cfRule type="cellIs" dxfId="6079" priority="47811" operator="equal">
      <formula>1</formula>
    </cfRule>
  </conditionalFormatting>
  <conditionalFormatting sqref="P509">
    <cfRule type="cellIs" dxfId="6078" priority="2599" operator="greaterThan">
      <formula>2</formula>
    </cfRule>
    <cfRule type="cellIs" dxfId="6077" priority="2601" operator="equal">
      <formula>1</formula>
    </cfRule>
    <cfRule type="cellIs" dxfId="6076" priority="2600" operator="equal">
      <formula>2</formula>
    </cfRule>
  </conditionalFormatting>
  <conditionalFormatting sqref="P510">
    <cfRule type="cellIs" dxfId="6075" priority="2623" operator="greaterThan">
      <formula>2</formula>
    </cfRule>
    <cfRule type="cellIs" dxfId="6074" priority="2625" operator="equal">
      <formula>1</formula>
    </cfRule>
    <cfRule type="cellIs" dxfId="6073" priority="2624" operator="equal">
      <formula>2</formula>
    </cfRule>
  </conditionalFormatting>
  <conditionalFormatting sqref="P511:P518">
    <cfRule type="cellIs" dxfId="6072" priority="2551" operator="greaterThan">
      <formula>2</formula>
    </cfRule>
    <cfRule type="cellIs" dxfId="6071" priority="2553" operator="equal">
      <formula>1</formula>
    </cfRule>
    <cfRule type="cellIs" dxfId="6070" priority="2552" operator="equal">
      <formula>2</formula>
    </cfRule>
  </conditionalFormatting>
  <conditionalFormatting sqref="P519">
    <cfRule type="cellIs" dxfId="6069" priority="47618" operator="equal">
      <formula>2</formula>
    </cfRule>
    <cfRule type="cellIs" dxfId="6068" priority="47617" operator="greaterThan">
      <formula>2</formula>
    </cfRule>
    <cfRule type="cellIs" dxfId="6067" priority="47619" operator="equal">
      <formula>1</formula>
    </cfRule>
  </conditionalFormatting>
  <conditionalFormatting sqref="P520">
    <cfRule type="cellIs" dxfId="6066" priority="2528" operator="equal">
      <formula>2</formula>
    </cfRule>
    <cfRule type="cellIs" dxfId="6065" priority="2529" operator="equal">
      <formula>1</formula>
    </cfRule>
    <cfRule type="cellIs" dxfId="6064" priority="2527" operator="greaterThan">
      <formula>2</formula>
    </cfRule>
  </conditionalFormatting>
  <conditionalFormatting sqref="P521">
    <cfRule type="cellIs" dxfId="6063" priority="2480" operator="equal">
      <formula>2</formula>
    </cfRule>
    <cfRule type="cellIs" dxfId="6062" priority="2479" operator="greaterThan">
      <formula>2</formula>
    </cfRule>
    <cfRule type="cellIs" dxfId="6061" priority="2481" operator="equal">
      <formula>1</formula>
    </cfRule>
  </conditionalFormatting>
  <conditionalFormatting sqref="P522:P529">
    <cfRule type="cellIs" dxfId="6060" priority="2455" operator="greaterThan">
      <formula>2</formula>
    </cfRule>
    <cfRule type="cellIs" dxfId="6059" priority="2456" operator="equal">
      <formula>2</formula>
    </cfRule>
    <cfRule type="cellIs" dxfId="6058" priority="2457" operator="equal">
      <formula>1</formula>
    </cfRule>
  </conditionalFormatting>
  <conditionalFormatting sqref="P530:P531">
    <cfRule type="cellIs" dxfId="6057" priority="52825" operator="greaterThan">
      <formula>2</formula>
    </cfRule>
    <cfRule type="cellIs" dxfId="6056" priority="52827" operator="equal">
      <formula>1</formula>
    </cfRule>
    <cfRule type="cellIs" dxfId="6055" priority="52826" operator="equal">
      <formula>2</formula>
    </cfRule>
  </conditionalFormatting>
  <conditionalFormatting sqref="P532">
    <cfRule type="cellIs" dxfId="6054" priority="2432" operator="equal">
      <formula>2</formula>
    </cfRule>
    <cfRule type="cellIs" dxfId="6053" priority="2431" operator="greaterThan">
      <formula>2</formula>
    </cfRule>
    <cfRule type="cellIs" dxfId="6052" priority="2433" operator="equal">
      <formula>1</formula>
    </cfRule>
  </conditionalFormatting>
  <conditionalFormatting sqref="P533:P540">
    <cfRule type="cellIs" dxfId="6051" priority="2407" operator="greaterThan">
      <formula>2</formula>
    </cfRule>
    <cfRule type="cellIs" dxfId="6050" priority="2409" operator="equal">
      <formula>1</formula>
    </cfRule>
    <cfRule type="cellIs" dxfId="6049" priority="2408" operator="equal">
      <formula>2</formula>
    </cfRule>
  </conditionalFormatting>
  <conditionalFormatting sqref="P541">
    <cfRule type="cellIs" dxfId="6048" priority="2360" operator="equal">
      <formula>2</formula>
    </cfRule>
    <cfRule type="cellIs" dxfId="6047" priority="2361" operator="equal">
      <formula>1</formula>
    </cfRule>
    <cfRule type="cellIs" dxfId="6046" priority="2359" operator="greaterThan">
      <formula>2</formula>
    </cfRule>
  </conditionalFormatting>
  <conditionalFormatting sqref="P542">
    <cfRule type="cellIs" dxfId="6045" priority="2384" operator="equal">
      <formula>2</formula>
    </cfRule>
    <cfRule type="cellIs" dxfId="6044" priority="2383" operator="greaterThan">
      <formula>2</formula>
    </cfRule>
    <cfRule type="cellIs" dxfId="6043" priority="2385" operator="equal">
      <formula>1</formula>
    </cfRule>
  </conditionalFormatting>
  <conditionalFormatting sqref="P543">
    <cfRule type="cellIs" dxfId="6042" priority="2313" operator="equal">
      <formula>1</formula>
    </cfRule>
    <cfRule type="cellIs" dxfId="6041" priority="2312" operator="equal">
      <formula>2</formula>
    </cfRule>
    <cfRule type="cellIs" dxfId="6040" priority="2311" operator="greaterThan">
      <formula>2</formula>
    </cfRule>
  </conditionalFormatting>
  <conditionalFormatting sqref="P544:P548 P550:P551">
    <cfRule type="cellIs" dxfId="6039" priority="2288" operator="equal">
      <formula>2</formula>
    </cfRule>
    <cfRule type="cellIs" dxfId="6038" priority="2287" operator="greaterThan">
      <formula>2</formula>
    </cfRule>
    <cfRule type="cellIs" dxfId="6037" priority="2289" operator="equal">
      <formula>1</formula>
    </cfRule>
  </conditionalFormatting>
  <conditionalFormatting sqref="P549">
    <cfRule type="cellIs" dxfId="6036" priority="2265" operator="equal">
      <formula>1</formula>
    </cfRule>
    <cfRule type="cellIs" dxfId="6035" priority="2264" operator="equal">
      <formula>2</formula>
    </cfRule>
    <cfRule type="cellIs" dxfId="6034" priority="2263" operator="greaterThan">
      <formula>2</formula>
    </cfRule>
  </conditionalFormatting>
  <conditionalFormatting sqref="P552:P553">
    <cfRule type="cellIs" dxfId="6033" priority="36590" operator="equal">
      <formula>1</formula>
    </cfRule>
    <cfRule type="cellIs" dxfId="6032" priority="36588" operator="greaterThan">
      <formula>2</formula>
    </cfRule>
    <cfRule type="cellIs" dxfId="6031" priority="36589" operator="equal">
      <formula>2</formula>
    </cfRule>
  </conditionalFormatting>
  <conditionalFormatting sqref="P554">
    <cfRule type="cellIs" dxfId="6030" priority="2239" operator="greaterThan">
      <formula>2</formula>
    </cfRule>
    <cfRule type="cellIs" dxfId="6029" priority="2240" operator="equal">
      <formula>2</formula>
    </cfRule>
    <cfRule type="cellIs" dxfId="6028" priority="2241" operator="equal">
      <formula>1</formula>
    </cfRule>
  </conditionalFormatting>
  <conditionalFormatting sqref="P555:P559">
    <cfRule type="cellIs" dxfId="6027" priority="2217" operator="equal">
      <formula>1</formula>
    </cfRule>
    <cfRule type="cellIs" dxfId="6026" priority="2215" operator="greaterThan">
      <formula>2</formula>
    </cfRule>
    <cfRule type="cellIs" dxfId="6025" priority="2216" operator="equal">
      <formula>2</formula>
    </cfRule>
  </conditionalFormatting>
  <conditionalFormatting sqref="P560:P561">
    <cfRule type="cellIs" dxfId="6024" priority="52706" operator="equal">
      <formula>2</formula>
    </cfRule>
    <cfRule type="cellIs" dxfId="6023" priority="52707" operator="equal">
      <formula>1</formula>
    </cfRule>
    <cfRule type="cellIs" dxfId="6022" priority="52705" operator="greaterThan">
      <formula>2</formula>
    </cfRule>
  </conditionalFormatting>
  <conditionalFormatting sqref="P562">
    <cfRule type="cellIs" dxfId="6021" priority="2119" operator="greaterThan">
      <formula>2</formula>
    </cfRule>
    <cfRule type="cellIs" dxfId="6020" priority="2120" operator="equal">
      <formula>2</formula>
    </cfRule>
    <cfRule type="cellIs" dxfId="6019" priority="2121" operator="equal">
      <formula>1</formula>
    </cfRule>
  </conditionalFormatting>
  <conditionalFormatting sqref="P563">
    <cfRule type="cellIs" dxfId="6018" priority="60549" operator="greaterThan">
      <formula>2</formula>
    </cfRule>
    <cfRule type="cellIs" dxfId="6017" priority="60550" operator="equal">
      <formula>2</formula>
    </cfRule>
    <cfRule type="cellIs" dxfId="6016" priority="60551" operator="equal">
      <formula>1</formula>
    </cfRule>
  </conditionalFormatting>
  <conditionalFormatting sqref="P564">
    <cfRule type="cellIs" dxfId="6015" priority="2096" operator="equal">
      <formula>2</formula>
    </cfRule>
    <cfRule type="cellIs" dxfId="6014" priority="2095" operator="greaterThan">
      <formula>2</formula>
    </cfRule>
    <cfRule type="cellIs" dxfId="6013" priority="2097" operator="equal">
      <formula>1</formula>
    </cfRule>
  </conditionalFormatting>
  <conditionalFormatting sqref="P565">
    <cfRule type="cellIs" dxfId="6012" priority="2073" operator="equal">
      <formula>1</formula>
    </cfRule>
    <cfRule type="cellIs" dxfId="6011" priority="2072" operator="equal">
      <formula>2</formula>
    </cfRule>
    <cfRule type="cellIs" dxfId="6010" priority="2071" operator="greaterThan">
      <formula>2</formula>
    </cfRule>
  </conditionalFormatting>
  <conditionalFormatting sqref="P566:P575">
    <cfRule type="cellIs" dxfId="6009" priority="2047" operator="greaterThan">
      <formula>2</formula>
    </cfRule>
    <cfRule type="cellIs" dxfId="6008" priority="2049" operator="equal">
      <formula>1</formula>
    </cfRule>
    <cfRule type="cellIs" dxfId="6007" priority="2048" operator="equal">
      <formula>2</formula>
    </cfRule>
  </conditionalFormatting>
  <conditionalFormatting sqref="P576">
    <cfRule type="cellIs" dxfId="6006" priority="60501" operator="greaterThan">
      <formula>2</formula>
    </cfRule>
    <cfRule type="cellIs" dxfId="6005" priority="60502" operator="equal">
      <formula>2</formula>
    </cfRule>
    <cfRule type="cellIs" dxfId="6004" priority="60503" operator="equal">
      <formula>1</formula>
    </cfRule>
  </conditionalFormatting>
  <conditionalFormatting sqref="P577 P595:P596 P613:P614 P622 P626 P639:P640 P654:P655 P662:P663 P668:P669 P672:P673 P682:P683 P697 P699:P700 P717:P718 P735:P736 P753:P754">
    <cfRule type="cellIs" dxfId="6003" priority="76860" operator="equal">
      <formula>2</formula>
    </cfRule>
    <cfRule type="cellIs" dxfId="6002" priority="76861" operator="equal">
      <formula>1</formula>
    </cfRule>
    <cfRule type="cellIs" dxfId="6001" priority="76859" operator="greaterThan">
      <formula>2</formula>
    </cfRule>
  </conditionalFormatting>
  <conditionalFormatting sqref="P578">
    <cfRule type="cellIs" dxfId="6000" priority="1977" operator="equal">
      <formula>1</formula>
    </cfRule>
    <cfRule type="cellIs" dxfId="5999" priority="1976" operator="equal">
      <formula>2</formula>
    </cfRule>
    <cfRule type="cellIs" dxfId="5998" priority="1975" operator="greaterThan">
      <formula>2</formula>
    </cfRule>
  </conditionalFormatting>
  <conditionalFormatting sqref="P579:P586">
    <cfRule type="cellIs" dxfId="5997" priority="1952" operator="equal">
      <formula>2</formula>
    </cfRule>
    <cfRule type="cellIs" dxfId="5996" priority="1951" operator="greaterThan">
      <formula>2</formula>
    </cfRule>
    <cfRule type="cellIs" dxfId="5995" priority="1953" operator="equal">
      <formula>1</formula>
    </cfRule>
  </conditionalFormatting>
  <conditionalFormatting sqref="P587">
    <cfRule type="cellIs" dxfId="5994" priority="1927" operator="greaterThan">
      <formula>2</formula>
    </cfRule>
    <cfRule type="cellIs" dxfId="5993" priority="1928" operator="equal">
      <formula>2</formula>
    </cfRule>
    <cfRule type="cellIs" dxfId="5992" priority="1929" operator="equal">
      <formula>1</formula>
    </cfRule>
  </conditionalFormatting>
  <conditionalFormatting sqref="P588:P590 P592 P594">
    <cfRule type="cellIs" dxfId="5991" priority="60406" operator="equal">
      <formula>1</formula>
    </cfRule>
    <cfRule type="cellIs" dxfId="5990" priority="60404" operator="greaterThan">
      <formula>2</formula>
    </cfRule>
    <cfRule type="cellIs" dxfId="5989" priority="60405" operator="equal">
      <formula>2</formula>
    </cfRule>
  </conditionalFormatting>
  <conditionalFormatting sqref="P591">
    <cfRule type="cellIs" dxfId="5988" priority="1903" operator="greaterThan">
      <formula>2</formula>
    </cfRule>
    <cfRule type="cellIs" dxfId="5987" priority="1904" operator="equal">
      <formula>2</formula>
    </cfRule>
    <cfRule type="cellIs" dxfId="5986" priority="1905" operator="equal">
      <formula>1</formula>
    </cfRule>
  </conditionalFormatting>
  <conditionalFormatting sqref="P593">
    <cfRule type="cellIs" dxfId="5985" priority="1881" operator="equal">
      <formula>1</formula>
    </cfRule>
    <cfRule type="cellIs" dxfId="5984" priority="1880" operator="equal">
      <formula>2</formula>
    </cfRule>
    <cfRule type="cellIs" dxfId="5983" priority="1879" operator="greaterThan">
      <formula>2</formula>
    </cfRule>
  </conditionalFormatting>
  <conditionalFormatting sqref="P597">
    <cfRule type="cellIs" dxfId="5982" priority="60380" operator="greaterThan">
      <formula>2</formula>
    </cfRule>
    <cfRule type="cellIs" dxfId="5981" priority="60382" operator="equal">
      <formula>1</formula>
    </cfRule>
    <cfRule type="cellIs" dxfId="5980" priority="60381" operator="equal">
      <formula>2</formula>
    </cfRule>
  </conditionalFormatting>
  <conditionalFormatting sqref="P598:P602">
    <cfRule type="cellIs" dxfId="5979" priority="60334" operator="equal">
      <formula>1</formula>
    </cfRule>
    <cfRule type="cellIs" dxfId="5978" priority="60333" operator="equal">
      <formula>2</formula>
    </cfRule>
    <cfRule type="cellIs" dxfId="5977" priority="60332" operator="greaterThan">
      <formula>2</formula>
    </cfRule>
  </conditionalFormatting>
  <conditionalFormatting sqref="P603">
    <cfRule type="cellIs" dxfId="5976" priority="60286" operator="equal">
      <formula>1</formula>
    </cfRule>
    <cfRule type="cellIs" dxfId="5975" priority="60285" operator="equal">
      <formula>2</formula>
    </cfRule>
    <cfRule type="cellIs" dxfId="5974" priority="60284" operator="greaterThan">
      <formula>2</formula>
    </cfRule>
  </conditionalFormatting>
  <conditionalFormatting sqref="P604">
    <cfRule type="cellIs" dxfId="5973" priority="60357" operator="equal">
      <formula>2</formula>
    </cfRule>
    <cfRule type="cellIs" dxfId="5972" priority="60356" operator="greaterThan">
      <formula>2</formula>
    </cfRule>
    <cfRule type="cellIs" dxfId="5971" priority="60358" operator="equal">
      <formula>1</formula>
    </cfRule>
  </conditionalFormatting>
  <conditionalFormatting sqref="P605:P612">
    <cfRule type="cellIs" dxfId="5970" priority="60310" operator="equal">
      <formula>1</formula>
    </cfRule>
    <cfRule type="cellIs" dxfId="5969" priority="60309" operator="equal">
      <formula>2</formula>
    </cfRule>
    <cfRule type="cellIs" dxfId="5968" priority="60308" operator="greaterThan">
      <formula>2</formula>
    </cfRule>
  </conditionalFormatting>
  <conditionalFormatting sqref="P615">
    <cfRule type="cellIs" dxfId="5967" priority="60261" operator="equal">
      <formula>2</formula>
    </cfRule>
    <cfRule type="cellIs" dxfId="5966" priority="60260" operator="greaterThan">
      <formula>2</formula>
    </cfRule>
    <cfRule type="cellIs" dxfId="5965" priority="60262" operator="equal">
      <formula>1</formula>
    </cfRule>
  </conditionalFormatting>
  <conditionalFormatting sqref="P616:P621">
    <cfRule type="cellIs" dxfId="5964" priority="60238" operator="equal">
      <formula>1</formula>
    </cfRule>
    <cfRule type="cellIs" dxfId="5963" priority="60237" operator="equal">
      <formula>2</formula>
    </cfRule>
    <cfRule type="cellIs" dxfId="5962" priority="60236" operator="greaterThan">
      <formula>2</formula>
    </cfRule>
  </conditionalFormatting>
  <conditionalFormatting sqref="P623:P625">
    <cfRule type="cellIs" dxfId="5961" priority="60213" operator="equal">
      <formula>2</formula>
    </cfRule>
    <cfRule type="cellIs" dxfId="5960" priority="60214" operator="equal">
      <formula>1</formula>
    </cfRule>
    <cfRule type="cellIs" dxfId="5959" priority="60212" operator="greaterThan">
      <formula>2</formula>
    </cfRule>
  </conditionalFormatting>
  <conditionalFormatting sqref="P627">
    <cfRule type="cellIs" dxfId="5958" priority="60165" operator="equal">
      <formula>2</formula>
    </cfRule>
    <cfRule type="cellIs" dxfId="5957" priority="60166" operator="equal">
      <formula>1</formula>
    </cfRule>
    <cfRule type="cellIs" dxfId="5956" priority="60164" operator="greaterThan">
      <formula>2</formula>
    </cfRule>
  </conditionalFormatting>
  <conditionalFormatting sqref="P628">
    <cfRule type="cellIs" dxfId="5955" priority="60141" operator="equal">
      <formula>2</formula>
    </cfRule>
    <cfRule type="cellIs" dxfId="5954" priority="60140" operator="greaterThan">
      <formula>2</formula>
    </cfRule>
    <cfRule type="cellIs" dxfId="5953" priority="60142" operator="equal">
      <formula>1</formula>
    </cfRule>
  </conditionalFormatting>
  <conditionalFormatting sqref="P629:P634">
    <cfRule type="cellIs" dxfId="5952" priority="60094" operator="equal">
      <formula>1</formula>
    </cfRule>
    <cfRule type="cellIs" dxfId="5951" priority="60092" operator="greaterThan">
      <formula>2</formula>
    </cfRule>
    <cfRule type="cellIs" dxfId="5950" priority="60093" operator="equal">
      <formula>2</formula>
    </cfRule>
  </conditionalFormatting>
  <conditionalFormatting sqref="P635">
    <cfRule type="cellIs" dxfId="5949" priority="60116" operator="greaterThan">
      <formula>2</formula>
    </cfRule>
    <cfRule type="cellIs" dxfId="5948" priority="60118" operator="equal">
      <formula>1</formula>
    </cfRule>
    <cfRule type="cellIs" dxfId="5947" priority="60117" operator="equal">
      <formula>2</formula>
    </cfRule>
  </conditionalFormatting>
  <conditionalFormatting sqref="P636:P638">
    <cfRule type="cellIs" dxfId="5946" priority="60070" operator="equal">
      <formula>1</formula>
    </cfRule>
    <cfRule type="cellIs" dxfId="5945" priority="60069" operator="equal">
      <formula>2</formula>
    </cfRule>
    <cfRule type="cellIs" dxfId="5944" priority="60068" operator="greaterThan">
      <formula>2</formula>
    </cfRule>
  </conditionalFormatting>
  <conditionalFormatting sqref="P641">
    <cfRule type="cellIs" dxfId="5943" priority="60045" operator="equal">
      <formula>2</formula>
    </cfRule>
    <cfRule type="cellIs" dxfId="5942" priority="60046" operator="equal">
      <formula>1</formula>
    </cfRule>
    <cfRule type="cellIs" dxfId="5941" priority="60044" operator="greaterThan">
      <formula>2</formula>
    </cfRule>
  </conditionalFormatting>
  <conditionalFormatting sqref="P642:P653">
    <cfRule type="cellIs" dxfId="5940" priority="60022" operator="equal">
      <formula>1</formula>
    </cfRule>
    <cfRule type="cellIs" dxfId="5939" priority="60021" operator="equal">
      <formula>2</formula>
    </cfRule>
    <cfRule type="cellIs" dxfId="5938" priority="60020" operator="greaterThan">
      <formula>2</formula>
    </cfRule>
  </conditionalFormatting>
  <conditionalFormatting sqref="P656">
    <cfRule type="cellIs" dxfId="5937" priority="59998" operator="equal">
      <formula>1</formula>
    </cfRule>
    <cfRule type="cellIs" dxfId="5936" priority="59997" operator="equal">
      <formula>2</formula>
    </cfRule>
    <cfRule type="cellIs" dxfId="5935" priority="59996" operator="greaterThan">
      <formula>2</formula>
    </cfRule>
  </conditionalFormatting>
  <conditionalFormatting sqref="P657:P661">
    <cfRule type="cellIs" dxfId="5934" priority="59972" operator="greaterThan">
      <formula>2</formula>
    </cfRule>
    <cfRule type="cellIs" dxfId="5933" priority="59973" operator="equal">
      <formula>2</formula>
    </cfRule>
    <cfRule type="cellIs" dxfId="5932" priority="59974" operator="equal">
      <formula>1</formula>
    </cfRule>
  </conditionalFormatting>
  <conditionalFormatting sqref="P664">
    <cfRule type="cellIs" dxfId="5931" priority="59948" operator="greaterThan">
      <formula>2</formula>
    </cfRule>
    <cfRule type="cellIs" dxfId="5930" priority="59950" operator="equal">
      <formula>1</formula>
    </cfRule>
    <cfRule type="cellIs" dxfId="5929" priority="59949" operator="equal">
      <formula>2</formula>
    </cfRule>
  </conditionalFormatting>
  <conditionalFormatting sqref="P665:P667">
    <cfRule type="cellIs" dxfId="5928" priority="59924" operator="greaterThan">
      <formula>2</formula>
    </cfRule>
    <cfRule type="cellIs" dxfId="5927" priority="59926" operator="equal">
      <formula>1</formula>
    </cfRule>
    <cfRule type="cellIs" dxfId="5926" priority="59925" operator="equal">
      <formula>2</formula>
    </cfRule>
  </conditionalFormatting>
  <conditionalFormatting sqref="P670:P671">
    <cfRule type="cellIs" dxfId="5925" priority="59900" operator="greaterThan">
      <formula>2</formula>
    </cfRule>
    <cfRule type="cellIs" dxfId="5924" priority="59902" operator="equal">
      <formula>1</formula>
    </cfRule>
    <cfRule type="cellIs" dxfId="5923" priority="59901" operator="equal">
      <formula>2</formula>
    </cfRule>
  </conditionalFormatting>
  <conditionalFormatting sqref="P674">
    <cfRule type="cellIs" dxfId="5922" priority="59858" operator="equal">
      <formula>1</formula>
    </cfRule>
    <cfRule type="cellIs" dxfId="5921" priority="59856" operator="greaterThan">
      <formula>2</formula>
    </cfRule>
    <cfRule type="cellIs" dxfId="5920" priority="59857" operator="equal">
      <formula>2</formula>
    </cfRule>
  </conditionalFormatting>
  <conditionalFormatting sqref="P675:P678">
    <cfRule type="cellIs" dxfId="5919" priority="59808" operator="greaterThan">
      <formula>2</formula>
    </cfRule>
    <cfRule type="cellIs" dxfId="5918" priority="59809" operator="equal">
      <formula>2</formula>
    </cfRule>
    <cfRule type="cellIs" dxfId="5917" priority="59810" operator="equal">
      <formula>1</formula>
    </cfRule>
  </conditionalFormatting>
  <conditionalFormatting sqref="P679">
    <cfRule type="cellIs" dxfId="5916" priority="59834" operator="equal">
      <formula>1</formula>
    </cfRule>
    <cfRule type="cellIs" dxfId="5915" priority="59833" operator="equal">
      <formula>2</formula>
    </cfRule>
    <cfRule type="cellIs" dxfId="5914" priority="59832" operator="greaterThan">
      <formula>2</formula>
    </cfRule>
  </conditionalFormatting>
  <conditionalFormatting sqref="P680:P681">
    <cfRule type="cellIs" dxfId="5913" priority="59786" operator="equal">
      <formula>1</formula>
    </cfRule>
    <cfRule type="cellIs" dxfId="5912" priority="59784" operator="greaterThan">
      <formula>2</formula>
    </cfRule>
    <cfRule type="cellIs" dxfId="5911" priority="59785" operator="equal">
      <formula>2</formula>
    </cfRule>
  </conditionalFormatting>
  <conditionalFormatting sqref="P684">
    <cfRule type="cellIs" dxfId="5910" priority="59740" operator="greaterThan">
      <formula>2</formula>
    </cfRule>
    <cfRule type="cellIs" dxfId="5909" priority="59742" operator="equal">
      <formula>1</formula>
    </cfRule>
    <cfRule type="cellIs" dxfId="5908" priority="59741" operator="equal">
      <formula>2</formula>
    </cfRule>
  </conditionalFormatting>
  <conditionalFormatting sqref="P685:P689 P693:P695 P691">
    <cfRule type="cellIs" dxfId="5907" priority="59716" operator="greaterThan">
      <formula>2</formula>
    </cfRule>
    <cfRule type="cellIs" dxfId="5906" priority="59718" operator="equal">
      <formula>1</formula>
    </cfRule>
    <cfRule type="cellIs" dxfId="5905" priority="59717" operator="equal">
      <formula>2</formula>
    </cfRule>
  </conditionalFormatting>
  <conditionalFormatting sqref="P690">
    <cfRule type="cellIs" dxfId="5904" priority="59620" operator="greaterThan">
      <formula>2</formula>
    </cfRule>
    <cfRule type="cellIs" dxfId="5903" priority="59621" operator="equal">
      <formula>2</formula>
    </cfRule>
    <cfRule type="cellIs" dxfId="5902" priority="59622" operator="equal">
      <formula>1</formula>
    </cfRule>
  </conditionalFormatting>
  <conditionalFormatting sqref="P692">
    <cfRule type="cellIs" dxfId="5901" priority="59646" operator="equal">
      <formula>1</formula>
    </cfRule>
    <cfRule type="cellIs" dxfId="5900" priority="59644" operator="greaterThan">
      <formula>2</formula>
    </cfRule>
    <cfRule type="cellIs" dxfId="5899" priority="59645" operator="equal">
      <formula>2</formula>
    </cfRule>
  </conditionalFormatting>
  <conditionalFormatting sqref="P696">
    <cfRule type="cellIs" dxfId="5898" priority="59692" operator="greaterThan">
      <formula>2</formula>
    </cfRule>
    <cfRule type="cellIs" dxfId="5897" priority="59694" operator="equal">
      <formula>1</formula>
    </cfRule>
    <cfRule type="cellIs" dxfId="5896" priority="59693" operator="equal">
      <formula>2</formula>
    </cfRule>
  </conditionalFormatting>
  <conditionalFormatting sqref="P698">
    <cfRule type="cellIs" dxfId="5895" priority="59669" operator="equal">
      <formula>2</formula>
    </cfRule>
    <cfRule type="cellIs" dxfId="5894" priority="59668" operator="greaterThan">
      <formula>2</formula>
    </cfRule>
    <cfRule type="cellIs" dxfId="5893" priority="59670" operator="equal">
      <formula>1</formula>
    </cfRule>
  </conditionalFormatting>
  <conditionalFormatting sqref="P701">
    <cfRule type="cellIs" dxfId="5892" priority="59598" operator="equal">
      <formula>1</formula>
    </cfRule>
    <cfRule type="cellIs" dxfId="5891" priority="59596" operator="greaterThan">
      <formula>2</formula>
    </cfRule>
    <cfRule type="cellIs" dxfId="5890" priority="59597" operator="equal">
      <formula>2</formula>
    </cfRule>
  </conditionalFormatting>
  <conditionalFormatting sqref="P702:P707">
    <cfRule type="cellIs" dxfId="5889" priority="59549" operator="equal">
      <formula>2</formula>
    </cfRule>
    <cfRule type="cellIs" dxfId="5888" priority="59550" operator="equal">
      <formula>1</formula>
    </cfRule>
    <cfRule type="cellIs" dxfId="5887" priority="59548" operator="greaterThan">
      <formula>2</formula>
    </cfRule>
  </conditionalFormatting>
  <conditionalFormatting sqref="P708">
    <cfRule type="cellIs" dxfId="5886" priority="59574" operator="equal">
      <formula>1</formula>
    </cfRule>
    <cfRule type="cellIs" dxfId="5885" priority="59573" operator="equal">
      <formula>2</formula>
    </cfRule>
    <cfRule type="cellIs" dxfId="5884" priority="59572" operator="greaterThan">
      <formula>2</formula>
    </cfRule>
  </conditionalFormatting>
  <conditionalFormatting sqref="P709:P716">
    <cfRule type="cellIs" dxfId="5883" priority="59526" operator="equal">
      <formula>1</formula>
    </cfRule>
    <cfRule type="cellIs" dxfId="5882" priority="59524" operator="greaterThan">
      <formula>2</formula>
    </cfRule>
    <cfRule type="cellIs" dxfId="5881" priority="59525" operator="equal">
      <formula>2</formula>
    </cfRule>
  </conditionalFormatting>
  <conditionalFormatting sqref="P719">
    <cfRule type="cellIs" dxfId="5880" priority="59500" operator="greaterThan">
      <formula>2</formula>
    </cfRule>
    <cfRule type="cellIs" dxfId="5879" priority="59502" operator="equal">
      <formula>1</formula>
    </cfRule>
    <cfRule type="cellIs" dxfId="5878" priority="59501" operator="equal">
      <formula>2</formula>
    </cfRule>
  </conditionalFormatting>
  <conditionalFormatting sqref="P720:P725">
    <cfRule type="cellIs" dxfId="5877" priority="59452" operator="greaterThan">
      <formula>2</formula>
    </cfRule>
    <cfRule type="cellIs" dxfId="5876" priority="59454" operator="equal">
      <formula>1</formula>
    </cfRule>
    <cfRule type="cellIs" dxfId="5875" priority="59453" operator="equal">
      <formula>2</formula>
    </cfRule>
  </conditionalFormatting>
  <conditionalFormatting sqref="P726">
    <cfRule type="cellIs" dxfId="5874" priority="59476" operator="greaterThan">
      <formula>2</formula>
    </cfRule>
    <cfRule type="cellIs" dxfId="5873" priority="59478" operator="equal">
      <formula>1</formula>
    </cfRule>
    <cfRule type="cellIs" dxfId="5872" priority="59477" operator="equal">
      <formula>2</formula>
    </cfRule>
  </conditionalFormatting>
  <conditionalFormatting sqref="P727:P734">
    <cfRule type="cellIs" dxfId="5871" priority="59428" operator="greaterThan">
      <formula>2</formula>
    </cfRule>
    <cfRule type="cellIs" dxfId="5870" priority="59429" operator="equal">
      <formula>2</formula>
    </cfRule>
    <cfRule type="cellIs" dxfId="5869" priority="59430" operator="equal">
      <formula>1</formula>
    </cfRule>
  </conditionalFormatting>
  <conditionalFormatting sqref="P737">
    <cfRule type="cellIs" dxfId="5868" priority="59406" operator="equal">
      <formula>1</formula>
    </cfRule>
    <cfRule type="cellIs" dxfId="5867" priority="59405" operator="equal">
      <formula>2</formula>
    </cfRule>
    <cfRule type="cellIs" dxfId="5866" priority="59404" operator="greaterThan">
      <formula>2</formula>
    </cfRule>
  </conditionalFormatting>
  <conditionalFormatting sqref="P738:P743">
    <cfRule type="cellIs" dxfId="5865" priority="59358" operator="equal">
      <formula>1</formula>
    </cfRule>
    <cfRule type="cellIs" dxfId="5864" priority="59356" operator="greaterThan">
      <formula>2</formula>
    </cfRule>
    <cfRule type="cellIs" dxfId="5863" priority="59357" operator="equal">
      <formula>2</formula>
    </cfRule>
  </conditionalFormatting>
  <conditionalFormatting sqref="P744">
    <cfRule type="cellIs" dxfId="5862" priority="59380" operator="greaterThan">
      <formula>2</formula>
    </cfRule>
    <cfRule type="cellIs" dxfId="5861" priority="59381" operator="equal">
      <formula>2</formula>
    </cfRule>
    <cfRule type="cellIs" dxfId="5860" priority="59382" operator="equal">
      <formula>1</formula>
    </cfRule>
  </conditionalFormatting>
  <conditionalFormatting sqref="P745:P752">
    <cfRule type="cellIs" dxfId="5859" priority="59334" operator="equal">
      <formula>1</formula>
    </cfRule>
    <cfRule type="cellIs" dxfId="5858" priority="59333" operator="equal">
      <formula>2</formula>
    </cfRule>
    <cfRule type="cellIs" dxfId="5857" priority="59332" operator="greaterThan">
      <formula>2</formula>
    </cfRule>
  </conditionalFormatting>
  <conditionalFormatting sqref="P755">
    <cfRule type="cellIs" dxfId="5856" priority="59310" operator="equal">
      <formula>1</formula>
    </cfRule>
    <cfRule type="cellIs" dxfId="5855" priority="59309" operator="equal">
      <formula>2</formula>
    </cfRule>
    <cfRule type="cellIs" dxfId="5854" priority="59308" operator="greaterThan">
      <formula>2</formula>
    </cfRule>
  </conditionalFormatting>
  <conditionalFormatting sqref="P756:P765">
    <cfRule type="cellIs" dxfId="5853" priority="59286" operator="equal">
      <formula>1</formula>
    </cfRule>
    <cfRule type="cellIs" dxfId="5852" priority="59285" operator="equal">
      <formula>2</formula>
    </cfRule>
    <cfRule type="cellIs" dxfId="5851" priority="59284" operator="greaterThan">
      <formula>2</formula>
    </cfRule>
  </conditionalFormatting>
  <conditionalFormatting sqref="P766">
    <cfRule type="cellIs" dxfId="5850" priority="125140" operator="greaterThan">
      <formula>2</formula>
    </cfRule>
    <cfRule type="cellIs" dxfId="5849" priority="125141" operator="equal">
      <formula>2</formula>
    </cfRule>
    <cfRule type="cellIs" dxfId="5848" priority="125142" operator="equal">
      <formula>1</formula>
    </cfRule>
  </conditionalFormatting>
  <conditionalFormatting sqref="P767:P769">
    <cfRule type="cellIs" dxfId="5847" priority="59262" operator="equal">
      <formula>1</formula>
    </cfRule>
    <cfRule type="cellIs" dxfId="5846" priority="59261" operator="equal">
      <formula>2</formula>
    </cfRule>
    <cfRule type="cellIs" dxfId="5845" priority="59260" operator="greaterThan">
      <formula>2</formula>
    </cfRule>
  </conditionalFormatting>
  <conditionalFormatting sqref="P770:P771">
    <cfRule type="cellIs" dxfId="5844" priority="93046" operator="equal">
      <formula>2</formula>
    </cfRule>
    <cfRule type="cellIs" dxfId="5843" priority="93047" operator="equal">
      <formula>1</formula>
    </cfRule>
    <cfRule type="cellIs" dxfId="5842" priority="93045" operator="greaterThan">
      <formula>2</formula>
    </cfRule>
  </conditionalFormatting>
  <conditionalFormatting sqref="P772">
    <cfRule type="cellIs" dxfId="5841" priority="59236" operator="greaterThan">
      <formula>2</formula>
    </cfRule>
    <cfRule type="cellIs" dxfId="5840" priority="59238" operator="equal">
      <formula>1</formula>
    </cfRule>
    <cfRule type="cellIs" dxfId="5839" priority="59237" operator="equal">
      <formula>2</formula>
    </cfRule>
  </conditionalFormatting>
  <conditionalFormatting sqref="P773:P780">
    <cfRule type="cellIs" dxfId="5838" priority="59213" operator="equal">
      <formula>2</formula>
    </cfRule>
    <cfRule type="cellIs" dxfId="5837" priority="59214" operator="equal">
      <formula>1</formula>
    </cfRule>
    <cfRule type="cellIs" dxfId="5836" priority="59212" operator="greaterThan">
      <formula>2</formula>
    </cfRule>
  </conditionalFormatting>
  <conditionalFormatting sqref="P781">
    <cfRule type="cellIs" dxfId="5835" priority="59188" operator="equal">
      <formula>2</formula>
    </cfRule>
    <cfRule type="cellIs" dxfId="5834" priority="59187" operator="greaterThan">
      <formula>2</formula>
    </cfRule>
    <cfRule type="cellIs" dxfId="5833" priority="59189" operator="equal">
      <formula>1</formula>
    </cfRule>
  </conditionalFormatting>
  <conditionalFormatting sqref="P782:P784">
    <cfRule type="cellIs" dxfId="5832" priority="59165" operator="equal">
      <formula>1</formula>
    </cfRule>
    <cfRule type="cellIs" dxfId="5831" priority="59163" operator="greaterThan">
      <formula>2</formula>
    </cfRule>
    <cfRule type="cellIs" dxfId="5830" priority="59164" operator="equal">
      <formula>2</formula>
    </cfRule>
  </conditionalFormatting>
  <conditionalFormatting sqref="P785:P786">
    <cfRule type="cellIs" dxfId="5829" priority="92923" operator="equal">
      <formula>1</formula>
    </cfRule>
    <cfRule type="cellIs" dxfId="5828" priority="92921" operator="greaterThan">
      <formula>2</formula>
    </cfRule>
    <cfRule type="cellIs" dxfId="5827" priority="92922" operator="equal">
      <formula>2</formula>
    </cfRule>
  </conditionalFormatting>
  <conditionalFormatting sqref="P787">
    <cfRule type="cellIs" dxfId="5826" priority="59139" operator="greaterThan">
      <formula>2</formula>
    </cfRule>
    <cfRule type="cellIs" dxfId="5825" priority="59140" operator="equal">
      <formula>2</formula>
    </cfRule>
    <cfRule type="cellIs" dxfId="5824" priority="59141" operator="equal">
      <formula>1</formula>
    </cfRule>
  </conditionalFormatting>
  <conditionalFormatting sqref="P788:P789">
    <cfRule type="cellIs" dxfId="5823" priority="59117" operator="equal">
      <formula>1</formula>
    </cfRule>
    <cfRule type="cellIs" dxfId="5822" priority="59116" operator="equal">
      <formula>2</formula>
    </cfRule>
    <cfRule type="cellIs" dxfId="5821" priority="59115" operator="greaterThan">
      <formula>2</formula>
    </cfRule>
  </conditionalFormatting>
  <conditionalFormatting sqref="P790:P792">
    <cfRule type="cellIs" dxfId="5820" priority="59093" operator="equal">
      <formula>1</formula>
    </cfRule>
    <cfRule type="cellIs" dxfId="5819" priority="59092" operator="equal">
      <formula>2</formula>
    </cfRule>
    <cfRule type="cellIs" dxfId="5818" priority="59091" operator="greaterThan">
      <formula>2</formula>
    </cfRule>
  </conditionalFormatting>
  <conditionalFormatting sqref="P793:P794">
    <cfRule type="cellIs" dxfId="5817" priority="59069" operator="equal">
      <formula>1</formula>
    </cfRule>
    <cfRule type="cellIs" dxfId="5816" priority="59067" operator="greaterThan">
      <formula>2</formula>
    </cfRule>
    <cfRule type="cellIs" dxfId="5815" priority="59068" operator="equal">
      <formula>2</formula>
    </cfRule>
  </conditionalFormatting>
  <conditionalFormatting sqref="P795">
    <cfRule type="cellIs" dxfId="5814" priority="92849" operator="equal">
      <formula>2</formula>
    </cfRule>
    <cfRule type="cellIs" dxfId="5813" priority="92850" operator="equal">
      <formula>1</formula>
    </cfRule>
    <cfRule type="cellIs" dxfId="5812" priority="92848" operator="greaterThan">
      <formula>2</formula>
    </cfRule>
  </conditionalFormatting>
  <conditionalFormatting sqref="P796:P803">
    <cfRule type="cellIs" dxfId="5811" priority="59045" operator="equal">
      <formula>1</formula>
    </cfRule>
    <cfRule type="cellIs" dxfId="5810" priority="59043" operator="greaterThan">
      <formula>2</formula>
    </cfRule>
    <cfRule type="cellIs" dxfId="5809" priority="59044" operator="equal">
      <formula>2</formula>
    </cfRule>
  </conditionalFormatting>
  <conditionalFormatting sqref="P804">
    <cfRule type="cellIs" dxfId="5808" priority="92729" operator="equal">
      <formula>1</formula>
    </cfRule>
    <cfRule type="cellIs" dxfId="5807" priority="92728" operator="equal">
      <formula>2</formula>
    </cfRule>
    <cfRule type="cellIs" dxfId="5806" priority="92727" operator="greaterThan">
      <formula>2</formula>
    </cfRule>
  </conditionalFormatting>
  <conditionalFormatting sqref="P805">
    <cfRule type="cellIs" dxfId="5805" priority="59020" operator="equal">
      <formula>1</formula>
    </cfRule>
    <cfRule type="cellIs" dxfId="5804" priority="59018" operator="greaterThan">
      <formula>2</formula>
    </cfRule>
    <cfRule type="cellIs" dxfId="5803" priority="59019" operator="equal">
      <formula>2</formula>
    </cfRule>
  </conditionalFormatting>
  <conditionalFormatting sqref="P806">
    <cfRule type="cellIs" dxfId="5802" priority="58995" operator="equal">
      <formula>1</formula>
    </cfRule>
    <cfRule type="cellIs" dxfId="5801" priority="58993" operator="greaterThan">
      <formula>2</formula>
    </cfRule>
    <cfRule type="cellIs" dxfId="5800" priority="58994" operator="equal">
      <formula>2</formula>
    </cfRule>
  </conditionalFormatting>
  <conditionalFormatting sqref="P807:P812">
    <cfRule type="cellIs" dxfId="5799" priority="58947" operator="equal">
      <formula>1</formula>
    </cfRule>
    <cfRule type="cellIs" dxfId="5798" priority="58946" operator="equal">
      <formula>2</formula>
    </cfRule>
    <cfRule type="cellIs" dxfId="5797" priority="58945" operator="greaterThan">
      <formula>2</formula>
    </cfRule>
  </conditionalFormatting>
  <conditionalFormatting sqref="P813">
    <cfRule type="cellIs" dxfId="5796" priority="58970" operator="equal">
      <formula>2</formula>
    </cfRule>
    <cfRule type="cellIs" dxfId="5795" priority="58971" operator="equal">
      <formula>1</formula>
    </cfRule>
    <cfRule type="cellIs" dxfId="5794" priority="58969" operator="greaterThan">
      <formula>2</formula>
    </cfRule>
  </conditionalFormatting>
  <conditionalFormatting sqref="P814:P816">
    <cfRule type="cellIs" dxfId="5793" priority="58921" operator="greaterThan">
      <formula>2</formula>
    </cfRule>
    <cfRule type="cellIs" dxfId="5792" priority="58922" operator="equal">
      <formula>2</formula>
    </cfRule>
    <cfRule type="cellIs" dxfId="5791" priority="58923" operator="equal">
      <formula>1</formula>
    </cfRule>
  </conditionalFormatting>
  <conditionalFormatting sqref="P817:P818">
    <cfRule type="cellIs" dxfId="5790" priority="92582" operator="greaterThan">
      <formula>2</formula>
    </cfRule>
    <cfRule type="cellIs" dxfId="5789" priority="92584" operator="equal">
      <formula>1</formula>
    </cfRule>
    <cfRule type="cellIs" dxfId="5788" priority="92583" operator="equal">
      <formula>2</formula>
    </cfRule>
  </conditionalFormatting>
  <conditionalFormatting sqref="P821">
    <cfRule type="cellIs" dxfId="5787" priority="92487" operator="equal">
      <formula>1</formula>
    </cfRule>
    <cfRule type="cellIs" dxfId="5786" priority="92486" operator="equal">
      <formula>2</formula>
    </cfRule>
    <cfRule type="cellIs" dxfId="5785" priority="92485" operator="greaterThan">
      <formula>2</formula>
    </cfRule>
  </conditionalFormatting>
  <conditionalFormatting sqref="P822:P826">
    <cfRule type="cellIs" dxfId="5784" priority="92436" operator="greaterThan">
      <formula>2</formula>
    </cfRule>
    <cfRule type="cellIs" dxfId="5783" priority="92437" operator="equal">
      <formula>2</formula>
    </cfRule>
    <cfRule type="cellIs" dxfId="5782" priority="92438" operator="equal">
      <formula>1</formula>
    </cfRule>
  </conditionalFormatting>
  <conditionalFormatting sqref="P827">
    <cfRule type="cellIs" dxfId="5781" priority="92461" operator="greaterThan">
      <formula>2</formula>
    </cfRule>
    <cfRule type="cellIs" dxfId="5780" priority="92463" operator="equal">
      <formula>1</formula>
    </cfRule>
    <cfRule type="cellIs" dxfId="5779" priority="92462" operator="equal">
      <formula>2</formula>
    </cfRule>
  </conditionalFormatting>
  <conditionalFormatting sqref="P828">
    <cfRule type="cellIs" dxfId="5778" priority="92414" operator="equal">
      <formula>2</formula>
    </cfRule>
    <cfRule type="cellIs" dxfId="5777" priority="92413" operator="greaterThan">
      <formula>2</formula>
    </cfRule>
    <cfRule type="cellIs" dxfId="5776" priority="92415" operator="equal">
      <formula>1</formula>
    </cfRule>
  </conditionalFormatting>
  <conditionalFormatting sqref="P829">
    <cfRule type="cellIs" dxfId="5775" priority="92291" operator="equal">
      <formula>1</formula>
    </cfRule>
    <cfRule type="cellIs" dxfId="5774" priority="92290" operator="equal">
      <formula>2</formula>
    </cfRule>
    <cfRule type="cellIs" dxfId="5773" priority="92289" operator="greaterThan">
      <formula>2</formula>
    </cfRule>
  </conditionalFormatting>
  <conditionalFormatting sqref="P830">
    <cfRule type="cellIs" dxfId="5772" priority="92630" operator="greaterThan">
      <formula>2</formula>
    </cfRule>
    <cfRule type="cellIs" dxfId="5771" priority="92632" operator="equal">
      <formula>1</formula>
    </cfRule>
    <cfRule type="cellIs" dxfId="5770" priority="92631" operator="equal">
      <formula>2</formula>
    </cfRule>
  </conditionalFormatting>
  <conditionalFormatting sqref="P831">
    <cfRule type="cellIs" dxfId="5769" priority="92389" operator="equal">
      <formula>1</formula>
    </cfRule>
    <cfRule type="cellIs" dxfId="5768" priority="92388" operator="equal">
      <formula>2</formula>
    </cfRule>
    <cfRule type="cellIs" dxfId="5767" priority="92387" operator="greaterThan">
      <formula>2</formula>
    </cfRule>
  </conditionalFormatting>
  <conditionalFormatting sqref="P832:P836">
    <cfRule type="cellIs" dxfId="5766" priority="92338" operator="greaterThan">
      <formula>2</formula>
    </cfRule>
    <cfRule type="cellIs" dxfId="5765" priority="92339" operator="equal">
      <formula>2</formula>
    </cfRule>
    <cfRule type="cellIs" dxfId="5764" priority="92340" operator="equal">
      <formula>1</formula>
    </cfRule>
  </conditionalFormatting>
  <conditionalFormatting sqref="P837">
    <cfRule type="cellIs" dxfId="5763" priority="92363" operator="greaterThan">
      <formula>2</formula>
    </cfRule>
    <cfRule type="cellIs" dxfId="5762" priority="92364" operator="equal">
      <formula>2</formula>
    </cfRule>
    <cfRule type="cellIs" dxfId="5761" priority="92365" operator="equal">
      <formula>1</formula>
    </cfRule>
  </conditionalFormatting>
  <conditionalFormatting sqref="P838">
    <cfRule type="cellIs" dxfId="5760" priority="92315" operator="greaterThan">
      <formula>2</formula>
    </cfRule>
    <cfRule type="cellIs" dxfId="5759" priority="92316" operator="equal">
      <formula>2</formula>
    </cfRule>
    <cfRule type="cellIs" dxfId="5758" priority="92317" operator="equal">
      <formula>1</formula>
    </cfRule>
  </conditionalFormatting>
  <conditionalFormatting sqref="P839">
    <cfRule type="cellIs" dxfId="5757" priority="92265" operator="greaterThan">
      <formula>2</formula>
    </cfRule>
    <cfRule type="cellIs" dxfId="5756" priority="92266" operator="equal">
      <formula>2</formula>
    </cfRule>
    <cfRule type="cellIs" dxfId="5755" priority="92267" operator="equal">
      <formula>1</formula>
    </cfRule>
  </conditionalFormatting>
  <conditionalFormatting sqref="P840">
    <cfRule type="cellIs" dxfId="5754" priority="92241" operator="greaterThan">
      <formula>2</formula>
    </cfRule>
    <cfRule type="cellIs" dxfId="5753" priority="92242" operator="equal">
      <formula>2</formula>
    </cfRule>
    <cfRule type="cellIs" dxfId="5752" priority="92243" operator="equal">
      <formula>1</formula>
    </cfRule>
  </conditionalFormatting>
  <conditionalFormatting sqref="P841">
    <cfRule type="cellIs" dxfId="5751" priority="92195" operator="equal">
      <formula>1</formula>
    </cfRule>
    <cfRule type="cellIs" dxfId="5750" priority="92193" operator="greaterThan">
      <formula>2</formula>
    </cfRule>
    <cfRule type="cellIs" dxfId="5749" priority="92194" operator="equal">
      <formula>2</formula>
    </cfRule>
  </conditionalFormatting>
  <conditionalFormatting sqref="P842:P845">
    <cfRule type="cellIs" dxfId="5748" priority="92170" operator="equal">
      <formula>2</formula>
    </cfRule>
    <cfRule type="cellIs" dxfId="5747" priority="92169" operator="greaterThan">
      <formula>2</formula>
    </cfRule>
    <cfRule type="cellIs" dxfId="5746" priority="92171" operator="equal">
      <formula>1</formula>
    </cfRule>
  </conditionalFormatting>
  <conditionalFormatting sqref="P848">
    <cfRule type="cellIs" dxfId="5745" priority="92097" operator="greaterThan">
      <formula>2</formula>
    </cfRule>
    <cfRule type="cellIs" dxfId="5744" priority="92098" operator="equal">
      <formula>2</formula>
    </cfRule>
    <cfRule type="cellIs" dxfId="5743" priority="92099" operator="equal">
      <formula>1</formula>
    </cfRule>
  </conditionalFormatting>
  <conditionalFormatting sqref="P849:P852">
    <cfRule type="cellIs" dxfId="5742" priority="92075" operator="equal">
      <formula>1</formula>
    </cfRule>
    <cfRule type="cellIs" dxfId="5741" priority="92073" operator="greaterThan">
      <formula>2</formula>
    </cfRule>
    <cfRule type="cellIs" dxfId="5740" priority="92074" operator="equal">
      <formula>2</formula>
    </cfRule>
  </conditionalFormatting>
  <conditionalFormatting sqref="P854:P855">
    <cfRule type="cellIs" dxfId="5739" priority="92052" operator="equal">
      <formula>1</formula>
    </cfRule>
    <cfRule type="cellIs" dxfId="5738" priority="92051" operator="equal">
      <formula>2</formula>
    </cfRule>
    <cfRule type="cellIs" dxfId="5737" priority="92050" operator="greaterThan">
      <formula>2</formula>
    </cfRule>
  </conditionalFormatting>
  <conditionalFormatting sqref="P856:P857">
    <cfRule type="cellIs" dxfId="5736" priority="92022" operator="equal">
      <formula>2</formula>
    </cfRule>
    <cfRule type="cellIs" dxfId="5735" priority="92021" operator="greaterThan">
      <formula>2</formula>
    </cfRule>
    <cfRule type="cellIs" dxfId="5734" priority="92023" operator="equal">
      <formula>1</formula>
    </cfRule>
  </conditionalFormatting>
  <conditionalFormatting sqref="P860">
    <cfRule type="cellIs" dxfId="5733" priority="91992" operator="equal">
      <formula>2</formula>
    </cfRule>
    <cfRule type="cellIs" dxfId="5732" priority="91993" operator="equal">
      <formula>1</formula>
    </cfRule>
    <cfRule type="cellIs" dxfId="5731" priority="91991" operator="greaterThan">
      <formula>2</formula>
    </cfRule>
  </conditionalFormatting>
  <conditionalFormatting sqref="P862">
    <cfRule type="cellIs" dxfId="5730" priority="91969" operator="equal">
      <formula>1</formula>
    </cfRule>
    <cfRule type="cellIs" dxfId="5729" priority="91968" operator="equal">
      <formula>2</formula>
    </cfRule>
    <cfRule type="cellIs" dxfId="5728" priority="91967" operator="greaterThan">
      <formula>2</formula>
    </cfRule>
  </conditionalFormatting>
  <conditionalFormatting sqref="P865">
    <cfRule type="cellIs" dxfId="5727" priority="92146" operator="equal">
      <formula>2</formula>
    </cfRule>
    <cfRule type="cellIs" dxfId="5726" priority="92145" operator="greaterThan">
      <formula>2</formula>
    </cfRule>
    <cfRule type="cellIs" dxfId="5725" priority="92147" operator="equal">
      <formula>1</formula>
    </cfRule>
  </conditionalFormatting>
  <conditionalFormatting sqref="P866:P872">
    <cfRule type="cellIs" dxfId="5724" priority="92123" operator="equal">
      <formula>1</formula>
    </cfRule>
    <cfRule type="cellIs" dxfId="5723" priority="92121" operator="greaterThan">
      <formula>2</formula>
    </cfRule>
    <cfRule type="cellIs" dxfId="5722" priority="92122" operator="equal">
      <formula>2</formula>
    </cfRule>
  </conditionalFormatting>
  <conditionalFormatting sqref="P873">
    <cfRule type="cellIs" dxfId="5721" priority="91939" operator="equal">
      <formula>2</formula>
    </cfRule>
    <cfRule type="cellIs" dxfId="5720" priority="91940" operator="equal">
      <formula>1</formula>
    </cfRule>
    <cfRule type="cellIs" dxfId="5719" priority="91938" operator="greaterThan">
      <formula>2</formula>
    </cfRule>
  </conditionalFormatting>
  <conditionalFormatting sqref="P874">
    <cfRule type="cellIs" dxfId="5718" priority="91916" operator="equal">
      <formula>2</formula>
    </cfRule>
    <cfRule type="cellIs" dxfId="5717" priority="91915" operator="greaterThan">
      <formula>2</formula>
    </cfRule>
    <cfRule type="cellIs" dxfId="5716" priority="91917" operator="equal">
      <formula>1</formula>
    </cfRule>
  </conditionalFormatting>
  <conditionalFormatting sqref="P877">
    <cfRule type="cellIs" dxfId="5715" priority="91889" operator="greaterThan">
      <formula>2</formula>
    </cfRule>
    <cfRule type="cellIs" dxfId="5714" priority="91890" operator="equal">
      <formula>2</formula>
    </cfRule>
    <cfRule type="cellIs" dxfId="5713" priority="91891" operator="equal">
      <formula>1</formula>
    </cfRule>
  </conditionalFormatting>
  <conditionalFormatting sqref="P878:P884">
    <cfRule type="cellIs" dxfId="5712" priority="91866" operator="equal">
      <formula>2</formula>
    </cfRule>
    <cfRule type="cellIs" dxfId="5711" priority="91865" operator="greaterThan">
      <formula>2</formula>
    </cfRule>
    <cfRule type="cellIs" dxfId="5710" priority="91867" operator="equal">
      <formula>1</formula>
    </cfRule>
  </conditionalFormatting>
  <conditionalFormatting sqref="P885">
    <cfRule type="cellIs" dxfId="5709" priority="91841" operator="greaterThan">
      <formula>2</formula>
    </cfRule>
    <cfRule type="cellIs" dxfId="5708" priority="91843" operator="equal">
      <formula>1</formula>
    </cfRule>
    <cfRule type="cellIs" dxfId="5707" priority="91842" operator="equal">
      <formula>2</formula>
    </cfRule>
  </conditionalFormatting>
  <conditionalFormatting sqref="P886">
    <cfRule type="cellIs" dxfId="5706" priority="91818" operator="greaterThan">
      <formula>2</formula>
    </cfRule>
    <cfRule type="cellIs" dxfId="5705" priority="91820" operator="equal">
      <formula>1</formula>
    </cfRule>
    <cfRule type="cellIs" dxfId="5704" priority="91819" operator="equal">
      <formula>2</formula>
    </cfRule>
  </conditionalFormatting>
  <conditionalFormatting sqref="P889">
    <cfRule type="cellIs" dxfId="5703" priority="91793" operator="equal">
      <formula>2</formula>
    </cfRule>
    <cfRule type="cellIs" dxfId="5702" priority="91792" operator="greaterThan">
      <formula>2</formula>
    </cfRule>
    <cfRule type="cellIs" dxfId="5701" priority="91794" operator="equal">
      <formula>1</formula>
    </cfRule>
  </conditionalFormatting>
  <conditionalFormatting sqref="P890:P895">
    <cfRule type="cellIs" dxfId="5700" priority="91745" operator="equal">
      <formula>1</formula>
    </cfRule>
    <cfRule type="cellIs" dxfId="5699" priority="91743" operator="greaterThan">
      <formula>2</formula>
    </cfRule>
    <cfRule type="cellIs" dxfId="5698" priority="91744" operator="equal">
      <formula>2</formula>
    </cfRule>
  </conditionalFormatting>
  <conditionalFormatting sqref="P896">
    <cfRule type="cellIs" dxfId="5697" priority="91669" operator="greaterThan">
      <formula>2</formula>
    </cfRule>
    <cfRule type="cellIs" dxfId="5696" priority="91671" operator="equal">
      <formula>1</formula>
    </cfRule>
    <cfRule type="cellIs" dxfId="5695" priority="91670" operator="equal">
      <formula>2</formula>
    </cfRule>
  </conditionalFormatting>
  <conditionalFormatting sqref="P897">
    <cfRule type="cellIs" dxfId="5694" priority="91695" operator="greaterThan">
      <formula>2</formula>
    </cfRule>
    <cfRule type="cellIs" dxfId="5693" priority="91696" operator="equal">
      <formula>2</formula>
    </cfRule>
    <cfRule type="cellIs" dxfId="5692" priority="91697" operator="equal">
      <formula>1</formula>
    </cfRule>
  </conditionalFormatting>
  <conditionalFormatting sqref="P900">
    <cfRule type="cellIs" dxfId="5691" priority="91645" operator="greaterThan">
      <formula>2</formula>
    </cfRule>
    <cfRule type="cellIs" dxfId="5690" priority="91646" operator="equal">
      <formula>2</formula>
    </cfRule>
    <cfRule type="cellIs" dxfId="5689" priority="91647" operator="equal">
      <formula>1</formula>
    </cfRule>
  </conditionalFormatting>
  <conditionalFormatting sqref="P901:P906">
    <cfRule type="cellIs" dxfId="5688" priority="91620" operator="greaterThan">
      <formula>2</formula>
    </cfRule>
    <cfRule type="cellIs" dxfId="5687" priority="91622" operator="equal">
      <formula>1</formula>
    </cfRule>
    <cfRule type="cellIs" dxfId="5686" priority="91621" operator="equal">
      <formula>2</formula>
    </cfRule>
  </conditionalFormatting>
  <conditionalFormatting sqref="P907">
    <cfRule type="cellIs" dxfId="5685" priority="91571" operator="greaterThan">
      <formula>2</formula>
    </cfRule>
    <cfRule type="cellIs" dxfId="5684" priority="91573" operator="equal">
      <formula>1</formula>
    </cfRule>
    <cfRule type="cellIs" dxfId="5683" priority="91572" operator="equal">
      <formula>2</formula>
    </cfRule>
  </conditionalFormatting>
  <conditionalFormatting sqref="P908">
    <cfRule type="cellIs" dxfId="5682" priority="91599" operator="equal">
      <formula>1</formula>
    </cfRule>
    <cfRule type="cellIs" dxfId="5681" priority="91598" operator="equal">
      <formula>2</formula>
    </cfRule>
    <cfRule type="cellIs" dxfId="5680" priority="91597" operator="greaterThan">
      <formula>2</formula>
    </cfRule>
  </conditionalFormatting>
  <conditionalFormatting sqref="P912">
    <cfRule type="cellIs" dxfId="5679" priority="91549" operator="equal">
      <formula>1</formula>
    </cfRule>
    <cfRule type="cellIs" dxfId="5678" priority="91547" operator="greaterThan">
      <formula>2</formula>
    </cfRule>
    <cfRule type="cellIs" dxfId="5677" priority="91548" operator="equal">
      <formula>2</formula>
    </cfRule>
  </conditionalFormatting>
  <conditionalFormatting sqref="P913:P916">
    <cfRule type="cellIs" dxfId="5676" priority="91523" operator="greaterThan">
      <formula>2</formula>
    </cfRule>
    <cfRule type="cellIs" dxfId="5675" priority="91525" operator="equal">
      <formula>1</formula>
    </cfRule>
    <cfRule type="cellIs" dxfId="5674" priority="91524" operator="equal">
      <formula>2</formula>
    </cfRule>
  </conditionalFormatting>
  <conditionalFormatting sqref="P918">
    <cfRule type="cellIs" dxfId="5673" priority="91501" operator="equal">
      <formula>1</formula>
    </cfRule>
    <cfRule type="cellIs" dxfId="5672" priority="91500" operator="equal">
      <formula>2</formula>
    </cfRule>
    <cfRule type="cellIs" dxfId="5671" priority="91499" operator="greaterThan">
      <formula>2</formula>
    </cfRule>
  </conditionalFormatting>
  <conditionalFormatting sqref="P919:P922">
    <cfRule type="cellIs" dxfId="5670" priority="91475" operator="greaterThan">
      <formula>2</formula>
    </cfRule>
    <cfRule type="cellIs" dxfId="5669" priority="91477" operator="equal">
      <formula>1</formula>
    </cfRule>
    <cfRule type="cellIs" dxfId="5668" priority="91476" operator="equal">
      <formula>2</formula>
    </cfRule>
  </conditionalFormatting>
  <conditionalFormatting sqref="P925">
    <cfRule type="cellIs" dxfId="5667" priority="91452" operator="equal">
      <formula>2</formula>
    </cfRule>
    <cfRule type="cellIs" dxfId="5666" priority="91453" operator="equal">
      <formula>1</formula>
    </cfRule>
    <cfRule type="cellIs" dxfId="5665" priority="91451" operator="greaterThan">
      <formula>2</formula>
    </cfRule>
  </conditionalFormatting>
  <conditionalFormatting sqref="P926:P931">
    <cfRule type="cellIs" dxfId="5664" priority="91428" operator="equal">
      <formula>2</formula>
    </cfRule>
    <cfRule type="cellIs" dxfId="5663" priority="91429" operator="equal">
      <formula>1</formula>
    </cfRule>
    <cfRule type="cellIs" dxfId="5662" priority="91427" operator="greaterThan">
      <formula>2</formula>
    </cfRule>
  </conditionalFormatting>
  <conditionalFormatting sqref="P934">
    <cfRule type="cellIs" dxfId="5661" priority="91405" operator="equal">
      <formula>1</formula>
    </cfRule>
    <cfRule type="cellIs" dxfId="5660" priority="91403" operator="greaterThan">
      <formula>2</formula>
    </cfRule>
    <cfRule type="cellIs" dxfId="5659" priority="91404" operator="equal">
      <formula>2</formula>
    </cfRule>
  </conditionalFormatting>
  <conditionalFormatting sqref="P935:P949">
    <cfRule type="cellIs" dxfId="5658" priority="91379" operator="greaterThan">
      <formula>2</formula>
    </cfRule>
    <cfRule type="cellIs" dxfId="5657" priority="91380" operator="equal">
      <formula>2</formula>
    </cfRule>
    <cfRule type="cellIs" dxfId="5656" priority="91381" operator="equal">
      <formula>1</formula>
    </cfRule>
  </conditionalFormatting>
  <conditionalFormatting sqref="P952">
    <cfRule type="cellIs" dxfId="5655" priority="91355" operator="greaterThan">
      <formula>2</formula>
    </cfRule>
    <cfRule type="cellIs" dxfId="5654" priority="91357" operator="equal">
      <formula>1</formula>
    </cfRule>
    <cfRule type="cellIs" dxfId="5653" priority="91356" operator="equal">
      <formula>2</formula>
    </cfRule>
  </conditionalFormatting>
  <conditionalFormatting sqref="P954:P955">
    <cfRule type="cellIs" dxfId="5652" priority="91333" operator="equal">
      <formula>1</formula>
    </cfRule>
    <cfRule type="cellIs" dxfId="5651" priority="91331" operator="greaterThan">
      <formula>2</formula>
    </cfRule>
    <cfRule type="cellIs" dxfId="5650" priority="91332" operator="equal">
      <formula>2</formula>
    </cfRule>
  </conditionalFormatting>
  <conditionalFormatting sqref="P957">
    <cfRule type="cellIs" dxfId="5649" priority="91308" operator="equal">
      <formula>2</formula>
    </cfRule>
    <cfRule type="cellIs" dxfId="5648" priority="91307" operator="greaterThan">
      <formula>2</formula>
    </cfRule>
    <cfRule type="cellIs" dxfId="5647" priority="91309" operator="equal">
      <formula>1</formula>
    </cfRule>
  </conditionalFormatting>
  <conditionalFormatting sqref="P959:P961">
    <cfRule type="cellIs" dxfId="5646" priority="91285" operator="equal">
      <formula>1</formula>
    </cfRule>
    <cfRule type="cellIs" dxfId="5645" priority="91284" operator="equal">
      <formula>2</formula>
    </cfRule>
    <cfRule type="cellIs" dxfId="5644" priority="91283" operator="greaterThan">
      <formula>2</formula>
    </cfRule>
  </conditionalFormatting>
  <conditionalFormatting sqref="P964">
    <cfRule type="cellIs" dxfId="5643" priority="91259" operator="greaterThan">
      <formula>2</formula>
    </cfRule>
    <cfRule type="cellIs" dxfId="5642" priority="91260" operator="equal">
      <formula>2</formula>
    </cfRule>
    <cfRule type="cellIs" dxfId="5641" priority="91261" operator="equal">
      <formula>1</formula>
    </cfRule>
  </conditionalFormatting>
  <conditionalFormatting sqref="P965:P974">
    <cfRule type="cellIs" dxfId="5640" priority="91235" operator="greaterThan">
      <formula>2</formula>
    </cfRule>
    <cfRule type="cellIs" dxfId="5639" priority="91237" operator="equal">
      <formula>1</formula>
    </cfRule>
    <cfRule type="cellIs" dxfId="5638" priority="91236" operator="equal">
      <formula>2</formula>
    </cfRule>
  </conditionalFormatting>
  <conditionalFormatting sqref="P977">
    <cfRule type="cellIs" dxfId="5637" priority="91211" operator="greaterThan">
      <formula>2</formula>
    </cfRule>
    <cfRule type="cellIs" dxfId="5636" priority="91212" operator="equal">
      <formula>2</formula>
    </cfRule>
    <cfRule type="cellIs" dxfId="5635" priority="91213" operator="equal">
      <formula>1</formula>
    </cfRule>
  </conditionalFormatting>
  <conditionalFormatting sqref="P978:P982 P984:P988">
    <cfRule type="cellIs" dxfId="5634" priority="91188" operator="equal">
      <formula>2</formula>
    </cfRule>
    <cfRule type="cellIs" dxfId="5633" priority="91187" operator="greaterThan">
      <formula>2</formula>
    </cfRule>
    <cfRule type="cellIs" dxfId="5632" priority="91189" operator="equal">
      <formula>1</formula>
    </cfRule>
  </conditionalFormatting>
  <conditionalFormatting sqref="P983">
    <cfRule type="cellIs" dxfId="5631" priority="91165" operator="equal">
      <formula>1</formula>
    </cfRule>
    <cfRule type="cellIs" dxfId="5630" priority="91163" operator="greaterThan">
      <formula>2</formula>
    </cfRule>
    <cfRule type="cellIs" dxfId="5629" priority="91164" operator="equal">
      <formula>2</formula>
    </cfRule>
  </conditionalFormatting>
  <conditionalFormatting sqref="P991">
    <cfRule type="cellIs" dxfId="5628" priority="91139" operator="greaterThan">
      <formula>2</formula>
    </cfRule>
    <cfRule type="cellIs" dxfId="5627" priority="91140" operator="equal">
      <formula>2</formula>
    </cfRule>
    <cfRule type="cellIs" dxfId="5626" priority="91141" operator="equal">
      <formula>1</formula>
    </cfRule>
  </conditionalFormatting>
  <conditionalFormatting sqref="P992:P996">
    <cfRule type="cellIs" dxfId="5625" priority="91043" operator="greaterThan">
      <formula>2</formula>
    </cfRule>
    <cfRule type="cellIs" dxfId="5624" priority="91044" operator="equal">
      <formula>2</formula>
    </cfRule>
    <cfRule type="cellIs" dxfId="5623" priority="91045" operator="equal">
      <formula>1</formula>
    </cfRule>
  </conditionalFormatting>
  <conditionalFormatting sqref="P997:P998">
    <cfRule type="cellIs" dxfId="5622" priority="90802" operator="equal">
      <formula>2</formula>
    </cfRule>
    <cfRule type="cellIs" dxfId="5621" priority="90803" operator="equal">
      <formula>1</formula>
    </cfRule>
    <cfRule type="cellIs" dxfId="5620" priority="90801" operator="greaterThan">
      <formula>2</formula>
    </cfRule>
  </conditionalFormatting>
  <conditionalFormatting sqref="P999:P1001">
    <cfRule type="cellIs" dxfId="5619" priority="90852" operator="equal">
      <formula>1</formula>
    </cfRule>
    <cfRule type="cellIs" dxfId="5618" priority="90851" operator="equal">
      <formula>2</formula>
    </cfRule>
    <cfRule type="cellIs" dxfId="5617" priority="90850" operator="greaterThan">
      <formula>2</formula>
    </cfRule>
  </conditionalFormatting>
  <conditionalFormatting sqref="P1002:P1006">
    <cfRule type="cellIs" dxfId="5616" priority="91019" operator="greaterThan">
      <formula>2</formula>
    </cfRule>
    <cfRule type="cellIs" dxfId="5615" priority="91021" operator="equal">
      <formula>1</formula>
    </cfRule>
    <cfRule type="cellIs" dxfId="5614" priority="91020" operator="equal">
      <formula>2</formula>
    </cfRule>
  </conditionalFormatting>
  <conditionalFormatting sqref="P1007">
    <cfRule type="cellIs" dxfId="5613" priority="91092" operator="equal">
      <formula>2</formula>
    </cfRule>
    <cfRule type="cellIs" dxfId="5612" priority="91093" operator="equal">
      <formula>1</formula>
    </cfRule>
    <cfRule type="cellIs" dxfId="5611" priority="91091" operator="greaterThan">
      <formula>2</formula>
    </cfRule>
  </conditionalFormatting>
  <conditionalFormatting sqref="P1008:P1010">
    <cfRule type="cellIs" dxfId="5610" priority="90825" operator="greaterThan">
      <formula>2</formula>
    </cfRule>
    <cfRule type="cellIs" dxfId="5609" priority="90827" operator="equal">
      <formula>1</formula>
    </cfRule>
    <cfRule type="cellIs" dxfId="5608" priority="90826" operator="equal">
      <formula>2</formula>
    </cfRule>
  </conditionalFormatting>
  <conditionalFormatting sqref="P1011:P1015">
    <cfRule type="cellIs" dxfId="5607" priority="90972" operator="equal">
      <formula>2</formula>
    </cfRule>
    <cfRule type="cellIs" dxfId="5606" priority="90971" operator="greaterThan">
      <formula>2</formula>
    </cfRule>
    <cfRule type="cellIs" dxfId="5605" priority="90973" operator="equal">
      <formula>1</formula>
    </cfRule>
  </conditionalFormatting>
  <conditionalFormatting sqref="P1016">
    <cfRule type="cellIs" dxfId="5604" priority="90924" operator="equal">
      <formula>2</formula>
    </cfRule>
    <cfRule type="cellIs" dxfId="5603" priority="90925" operator="equal">
      <formula>1</formula>
    </cfRule>
    <cfRule type="cellIs" dxfId="5602" priority="90923" operator="greaterThan">
      <formula>2</formula>
    </cfRule>
  </conditionalFormatting>
  <conditionalFormatting sqref="P1017:P1019">
    <cfRule type="cellIs" dxfId="5601" priority="90899" operator="greaterThan">
      <formula>2</formula>
    </cfRule>
    <cfRule type="cellIs" dxfId="5600" priority="90901" operator="equal">
      <formula>1</formula>
    </cfRule>
    <cfRule type="cellIs" dxfId="5599" priority="90900" operator="equal">
      <formula>2</formula>
    </cfRule>
  </conditionalFormatting>
  <conditionalFormatting sqref="P1020">
    <cfRule type="cellIs" dxfId="5598" priority="91068" operator="equal">
      <formula>2</formula>
    </cfRule>
    <cfRule type="cellIs" dxfId="5597" priority="91067" operator="greaterThan">
      <formula>2</formula>
    </cfRule>
    <cfRule type="cellIs" dxfId="5596" priority="91069" operator="equal">
      <formula>1</formula>
    </cfRule>
  </conditionalFormatting>
  <conditionalFormatting sqref="P1021:P1026">
    <cfRule type="cellIs" dxfId="5595" priority="90875" operator="greaterThan">
      <formula>2</formula>
    </cfRule>
    <cfRule type="cellIs" dxfId="5594" priority="90877" operator="equal">
      <formula>1</formula>
    </cfRule>
    <cfRule type="cellIs" dxfId="5593" priority="90876" operator="equal">
      <formula>2</formula>
    </cfRule>
  </conditionalFormatting>
  <conditionalFormatting sqref="P1029">
    <cfRule type="cellIs" dxfId="5592" priority="90778" operator="equal">
      <formula>2</formula>
    </cfRule>
    <cfRule type="cellIs" dxfId="5591" priority="90779" operator="equal">
      <formula>1</formula>
    </cfRule>
    <cfRule type="cellIs" dxfId="5590" priority="90777" operator="greaterThan">
      <formula>2</formula>
    </cfRule>
  </conditionalFormatting>
  <conditionalFormatting sqref="P1030:P1033">
    <cfRule type="cellIs" dxfId="5589" priority="90755" operator="equal">
      <formula>1</formula>
    </cfRule>
    <cfRule type="cellIs" dxfId="5588" priority="90754" operator="equal">
      <formula>2</formula>
    </cfRule>
    <cfRule type="cellIs" dxfId="5587" priority="90753" operator="greaterThan">
      <formula>2</formula>
    </cfRule>
  </conditionalFormatting>
  <conditionalFormatting sqref="P1036">
    <cfRule type="cellIs" dxfId="5586" priority="90729" operator="greaterThan">
      <formula>2</formula>
    </cfRule>
    <cfRule type="cellIs" dxfId="5585" priority="90731" operator="equal">
      <formula>1</formula>
    </cfRule>
    <cfRule type="cellIs" dxfId="5584" priority="90730" operator="equal">
      <formula>2</formula>
    </cfRule>
  </conditionalFormatting>
  <conditionalFormatting sqref="P1037:P1040">
    <cfRule type="cellIs" dxfId="5583" priority="90706" operator="equal">
      <formula>2</formula>
    </cfRule>
    <cfRule type="cellIs" dxfId="5582" priority="90707" operator="equal">
      <formula>1</formula>
    </cfRule>
    <cfRule type="cellIs" dxfId="5581" priority="90705" operator="greaterThan">
      <formula>2</formula>
    </cfRule>
  </conditionalFormatting>
  <conditionalFormatting sqref="P1042:P1044">
    <cfRule type="cellIs" dxfId="5580" priority="90681" operator="greaterThan">
      <formula>2</formula>
    </cfRule>
    <cfRule type="cellIs" dxfId="5579" priority="90683" operator="equal">
      <formula>1</formula>
    </cfRule>
    <cfRule type="cellIs" dxfId="5578" priority="90682" operator="equal">
      <formula>2</formula>
    </cfRule>
  </conditionalFormatting>
  <conditionalFormatting sqref="P1046">
    <cfRule type="cellIs" dxfId="5577" priority="90657" operator="greaterThan">
      <formula>2</formula>
    </cfRule>
    <cfRule type="cellIs" dxfId="5576" priority="90659" operator="equal">
      <formula>1</formula>
    </cfRule>
    <cfRule type="cellIs" dxfId="5575" priority="90658" operator="equal">
      <formula>2</formula>
    </cfRule>
  </conditionalFormatting>
  <conditionalFormatting sqref="P1047:P1048">
    <cfRule type="cellIs" dxfId="5574" priority="90633" operator="greaterThan">
      <formula>2</formula>
    </cfRule>
    <cfRule type="cellIs" dxfId="5573" priority="90635" operator="equal">
      <formula>1</formula>
    </cfRule>
    <cfRule type="cellIs" dxfId="5572" priority="90634" operator="equal">
      <formula>2</formula>
    </cfRule>
  </conditionalFormatting>
  <conditionalFormatting sqref="Q1135:Q1148">
    <cfRule type="notContainsBlanks" dxfId="5571" priority="7877">
      <formula>LEN(TRIM(Q1135))&gt;0</formula>
    </cfRule>
  </conditionalFormatting>
  <conditionalFormatting sqref="Q1151:Q1160">
    <cfRule type="notContainsBlanks" dxfId="5570" priority="7876">
      <formula>LEN(TRIM(Q1151))&gt;0</formula>
    </cfRule>
  </conditionalFormatting>
  <conditionalFormatting sqref="S12 N12">
    <cfRule type="containsBlanks" priority="129976">
      <formula>LEN(TRIM(N12))=0</formula>
    </cfRule>
    <cfRule type="cellIs" dxfId="4814" priority="129979" operator="between">
      <formula>11</formula>
      <formula>0</formula>
    </cfRule>
    <cfRule type="cellIs" dxfId="4813" priority="129978" operator="between">
      <formula>12</formula>
      <formula>18</formula>
    </cfRule>
    <cfRule type="cellIs" dxfId="4812" priority="129977" operator="greaterThanOrEqual">
      <formula>20</formula>
    </cfRule>
  </conditionalFormatting>
  <conditionalFormatting sqref="S13 N13">
    <cfRule type="cellIs" dxfId="4811" priority="1863" operator="between">
      <formula>12</formula>
      <formula>18</formula>
    </cfRule>
    <cfRule type="cellIs" dxfId="4810" priority="1862" operator="greaterThanOrEqual">
      <formula>20</formula>
    </cfRule>
    <cfRule type="cellIs" dxfId="4809" priority="1864" operator="between">
      <formula>11</formula>
      <formula>0</formula>
    </cfRule>
    <cfRule type="containsBlanks" priority="1861">
      <formula>LEN(TRIM(N13))=0</formula>
    </cfRule>
  </conditionalFormatting>
  <conditionalFormatting sqref="S14:S16 N14:N16 N18 S18">
    <cfRule type="containsBlanks" priority="1837">
      <formula>LEN(TRIM(N14))=0</formula>
    </cfRule>
    <cfRule type="cellIs" dxfId="4808" priority="1838" operator="greaterThanOrEqual">
      <formula>20</formula>
    </cfRule>
    <cfRule type="cellIs" dxfId="4807" priority="1840" operator="between">
      <formula>11</formula>
      <formula>0</formula>
    </cfRule>
    <cfRule type="cellIs" dxfId="4806" priority="1839" operator="between">
      <formula>12</formula>
      <formula>18</formula>
    </cfRule>
  </conditionalFormatting>
  <conditionalFormatting sqref="S19 N19">
    <cfRule type="cellIs" dxfId="4805" priority="7767" operator="between">
      <formula>11</formula>
      <formula>0</formula>
    </cfRule>
    <cfRule type="cellIs" dxfId="4804" priority="7766" operator="between">
      <formula>12</formula>
      <formula>18</formula>
    </cfRule>
    <cfRule type="containsBlanks" priority="7764">
      <formula>LEN(TRIM(N19))=0</formula>
    </cfRule>
    <cfRule type="cellIs" dxfId="4803" priority="7765" operator="greaterThanOrEqual">
      <formula>20</formula>
    </cfRule>
  </conditionalFormatting>
  <conditionalFormatting sqref="S21:S23 N21:N23 N25 S25">
    <cfRule type="containsBlanks" priority="1789">
      <formula>LEN(TRIM(N21))=0</formula>
    </cfRule>
    <cfRule type="cellIs" dxfId="4802" priority="1791" operator="between">
      <formula>12</formula>
      <formula>18</formula>
    </cfRule>
    <cfRule type="cellIs" dxfId="4801" priority="1790" operator="greaterThanOrEqual">
      <formula>20</formula>
    </cfRule>
    <cfRule type="cellIs" dxfId="4800" priority="1792" operator="between">
      <formula>11</formula>
      <formula>0</formula>
    </cfRule>
  </conditionalFormatting>
  <conditionalFormatting sqref="S26:S27 N26:N27">
    <cfRule type="cellIs" dxfId="4799" priority="7550" operator="between">
      <formula>12</formula>
      <formula>18</formula>
    </cfRule>
    <cfRule type="cellIs" dxfId="4798" priority="7549" operator="greaterThanOrEqual">
      <formula>20</formula>
    </cfRule>
    <cfRule type="containsBlanks" priority="7548">
      <formula>LEN(TRIM(N26))=0</formula>
    </cfRule>
    <cfRule type="cellIs" dxfId="4797" priority="7551" operator="between">
      <formula>11</formula>
      <formula>0</formula>
    </cfRule>
  </conditionalFormatting>
  <conditionalFormatting sqref="S28:S30 N28:N30 N32 S32">
    <cfRule type="containsBlanks" priority="1741">
      <formula>LEN(TRIM(N28))=0</formula>
    </cfRule>
    <cfRule type="cellIs" dxfId="4796" priority="1744" operator="between">
      <formula>11</formula>
      <formula>0</formula>
    </cfRule>
    <cfRule type="cellIs" dxfId="4795" priority="1743" operator="between">
      <formula>12</formula>
      <formula>18</formula>
    </cfRule>
    <cfRule type="cellIs" dxfId="4794" priority="1742" operator="greaterThanOrEqual">
      <formula>20</formula>
    </cfRule>
  </conditionalFormatting>
  <conditionalFormatting sqref="S33 N33">
    <cfRule type="containsBlanks" priority="7500">
      <formula>LEN(TRIM(N33))=0</formula>
    </cfRule>
    <cfRule type="cellIs" dxfId="4793" priority="7503" operator="between">
      <formula>11</formula>
      <formula>0</formula>
    </cfRule>
    <cfRule type="cellIs" dxfId="4792" priority="7502" operator="between">
      <formula>12</formula>
      <formula>18</formula>
    </cfRule>
    <cfRule type="cellIs" dxfId="4791" priority="7501" operator="greaterThanOrEqual">
      <formula>20</formula>
    </cfRule>
  </conditionalFormatting>
  <conditionalFormatting sqref="S34:S36 N34:N36 N38 S38">
    <cfRule type="cellIs" dxfId="4790" priority="1695" operator="between">
      <formula>12</formula>
      <formula>18</formula>
    </cfRule>
    <cfRule type="cellIs" dxfId="4789" priority="1696" operator="between">
      <formula>11</formula>
      <formula>0</formula>
    </cfRule>
    <cfRule type="containsBlanks" priority="1693">
      <formula>LEN(TRIM(N34))=0</formula>
    </cfRule>
    <cfRule type="cellIs" dxfId="4788" priority="1694" operator="greaterThanOrEqual">
      <formula>20</formula>
    </cfRule>
  </conditionalFormatting>
  <conditionalFormatting sqref="S39 N39">
    <cfRule type="cellIs" dxfId="4787" priority="7238" operator="between">
      <formula>12</formula>
      <formula>18</formula>
    </cfRule>
    <cfRule type="cellIs" dxfId="4786" priority="7239" operator="between">
      <formula>11</formula>
      <formula>0</formula>
    </cfRule>
    <cfRule type="cellIs" dxfId="4785" priority="7237" operator="greaterThanOrEqual">
      <formula>20</formula>
    </cfRule>
    <cfRule type="containsBlanks" priority="7236">
      <formula>LEN(TRIM(N39))=0</formula>
    </cfRule>
  </conditionalFormatting>
  <conditionalFormatting sqref="S41 N41">
    <cfRule type="cellIs" dxfId="4784" priority="7215" operator="between">
      <formula>11</formula>
      <formula>0</formula>
    </cfRule>
    <cfRule type="cellIs" dxfId="4783" priority="7214" operator="between">
      <formula>12</formula>
      <formula>18</formula>
    </cfRule>
    <cfRule type="cellIs" dxfId="4782" priority="7213" operator="greaterThanOrEqual">
      <formula>20</formula>
    </cfRule>
    <cfRule type="containsBlanks" priority="7212">
      <formula>LEN(TRIM(N41))=0</formula>
    </cfRule>
  </conditionalFormatting>
  <conditionalFormatting sqref="S42:S43 N42:N43">
    <cfRule type="containsBlanks" priority="1596">
      <formula>LEN(TRIM(N42))=0</formula>
    </cfRule>
    <cfRule type="cellIs" dxfId="4781" priority="1597" operator="greaterThanOrEqual">
      <formula>20</formula>
    </cfRule>
    <cfRule type="cellIs" dxfId="4780" priority="1598" operator="between">
      <formula>12</formula>
      <formula>18</formula>
    </cfRule>
    <cfRule type="cellIs" dxfId="4779" priority="1599" operator="between">
      <formula>11</formula>
      <formula>0</formula>
    </cfRule>
  </conditionalFormatting>
  <conditionalFormatting sqref="S45 N45">
    <cfRule type="cellIs" dxfId="4778" priority="1575" operator="between">
      <formula>11</formula>
      <formula>0</formula>
    </cfRule>
    <cfRule type="cellIs" dxfId="4777" priority="1573" operator="greaterThanOrEqual">
      <formula>20</formula>
    </cfRule>
    <cfRule type="cellIs" dxfId="4776" priority="1574" operator="between">
      <formula>12</formula>
      <formula>18</formula>
    </cfRule>
    <cfRule type="containsBlanks" priority="1572">
      <formula>LEN(TRIM(N45))=0</formula>
    </cfRule>
  </conditionalFormatting>
  <conditionalFormatting sqref="S46 N46">
    <cfRule type="cellIs" dxfId="4775" priority="1551" operator="between">
      <formula>11</formula>
      <formula>0</formula>
    </cfRule>
    <cfRule type="containsBlanks" priority="1548">
      <formula>LEN(TRIM(N46))=0</formula>
    </cfRule>
    <cfRule type="cellIs" dxfId="4774" priority="1550" operator="between">
      <formula>12</formula>
      <formula>18</formula>
    </cfRule>
    <cfRule type="cellIs" dxfId="4773" priority="1549" operator="greaterThanOrEqual">
      <formula>20</formula>
    </cfRule>
  </conditionalFormatting>
  <conditionalFormatting sqref="S47:S48 N47:N48">
    <cfRule type="cellIs" dxfId="4772" priority="7118" operator="between">
      <formula>11</formula>
      <formula>0</formula>
    </cfRule>
    <cfRule type="containsBlanks" priority="7115">
      <formula>LEN(TRIM(N47))=0</formula>
    </cfRule>
    <cfRule type="cellIs" dxfId="4771" priority="7117" operator="between">
      <formula>12</formula>
      <formula>18</formula>
    </cfRule>
    <cfRule type="cellIs" dxfId="4770" priority="7116" operator="greaterThanOrEqual">
      <formula>20</formula>
    </cfRule>
  </conditionalFormatting>
  <conditionalFormatting sqref="S49 N49">
    <cfRule type="containsBlanks" priority="1514">
      <formula>LEN(TRIM(N49))=0</formula>
    </cfRule>
    <cfRule type="cellIs" dxfId="4769" priority="1515" operator="greaterThanOrEqual">
      <formula>20</formula>
    </cfRule>
    <cfRule type="cellIs" dxfId="4768" priority="1516" operator="between">
      <formula>12</formula>
      <formula>18</formula>
    </cfRule>
    <cfRule type="cellIs" dxfId="4767" priority="1517" operator="between">
      <formula>11</formula>
      <formula>0</formula>
    </cfRule>
  </conditionalFormatting>
  <conditionalFormatting sqref="S50 N50:N51">
    <cfRule type="cellIs" dxfId="4766" priority="1388" operator="between">
      <formula>11</formula>
      <formula>0</formula>
    </cfRule>
    <cfRule type="cellIs" dxfId="4765" priority="1387" operator="between">
      <formula>12</formula>
      <formula>18</formula>
    </cfRule>
    <cfRule type="containsBlanks" priority="1385">
      <formula>LEN(TRIM(N50))=0</formula>
    </cfRule>
    <cfRule type="cellIs" dxfId="4764" priority="1386" operator="greaterThanOrEqual">
      <formula>20</formula>
    </cfRule>
  </conditionalFormatting>
  <conditionalFormatting sqref="S51">
    <cfRule type="cellIs" dxfId="4763" priority="1353" operator="greaterThanOrEqual">
      <formula>20</formula>
    </cfRule>
    <cfRule type="containsBlanks" priority="1352">
      <formula>LEN(TRIM(S51))=0</formula>
    </cfRule>
    <cfRule type="cellIs" dxfId="4762" priority="1355" operator="between">
      <formula>11</formula>
      <formula>0</formula>
    </cfRule>
    <cfRule type="cellIs" dxfId="4761" priority="1354" operator="between">
      <formula>12</formula>
      <formula>18</formula>
    </cfRule>
  </conditionalFormatting>
  <conditionalFormatting sqref="S52 N52">
    <cfRule type="cellIs" dxfId="4760" priority="1436" operator="between">
      <formula>11</formula>
      <formula>0</formula>
    </cfRule>
    <cfRule type="cellIs" dxfId="4759" priority="1435" operator="between">
      <formula>12</formula>
      <formula>18</formula>
    </cfRule>
    <cfRule type="cellIs" dxfId="4758" priority="1434" operator="greaterThanOrEqual">
      <formula>20</formula>
    </cfRule>
    <cfRule type="containsBlanks" priority="1433">
      <formula>LEN(TRIM(N52))=0</formula>
    </cfRule>
  </conditionalFormatting>
  <conditionalFormatting sqref="S53 N53">
    <cfRule type="cellIs" dxfId="4757" priority="1339" operator="between">
      <formula>11</formula>
      <formula>0</formula>
    </cfRule>
    <cfRule type="containsBlanks" priority="1336">
      <formula>LEN(TRIM(N53))=0</formula>
    </cfRule>
    <cfRule type="cellIs" dxfId="4756" priority="1337" operator="greaterThanOrEqual">
      <formula>20</formula>
    </cfRule>
    <cfRule type="cellIs" dxfId="4755" priority="1338" operator="between">
      <formula>12</formula>
      <formula>18</formula>
    </cfRule>
  </conditionalFormatting>
  <conditionalFormatting sqref="S54 N54:N55">
    <cfRule type="containsBlanks" priority="1312">
      <formula>LEN(TRIM(N54))=0</formula>
    </cfRule>
    <cfRule type="cellIs" dxfId="4754" priority="1315" operator="between">
      <formula>11</formula>
      <formula>0</formula>
    </cfRule>
    <cfRule type="cellIs" dxfId="4753" priority="1313" operator="greaterThanOrEqual">
      <formula>20</formula>
    </cfRule>
    <cfRule type="cellIs" dxfId="4752" priority="1314" operator="between">
      <formula>12</formula>
      <formula>18</formula>
    </cfRule>
  </conditionalFormatting>
  <conditionalFormatting sqref="S55">
    <cfRule type="cellIs" dxfId="4751" priority="1280" operator="greaterThanOrEqual">
      <formula>20</formula>
    </cfRule>
    <cfRule type="cellIs" dxfId="4750" priority="1282" operator="between">
      <formula>11</formula>
      <formula>0</formula>
    </cfRule>
    <cfRule type="containsBlanks" priority="1279">
      <formula>LEN(TRIM(S55))=0</formula>
    </cfRule>
    <cfRule type="cellIs" dxfId="4749" priority="1281" operator="between">
      <formula>12</formula>
      <formula>18</formula>
    </cfRule>
  </conditionalFormatting>
  <conditionalFormatting sqref="S57 N57">
    <cfRule type="cellIs" dxfId="4748" priority="1264" operator="greaterThanOrEqual">
      <formula>20</formula>
    </cfRule>
    <cfRule type="cellIs" dxfId="4747" priority="1265" operator="between">
      <formula>12</formula>
      <formula>18</formula>
    </cfRule>
    <cfRule type="containsBlanks" priority="1263">
      <formula>LEN(TRIM(N57))=0</formula>
    </cfRule>
    <cfRule type="cellIs" dxfId="4746" priority="1266" operator="between">
      <formula>11</formula>
      <formula>0</formula>
    </cfRule>
  </conditionalFormatting>
  <conditionalFormatting sqref="S58 N58:N59">
    <cfRule type="cellIs" dxfId="4745" priority="1216" operator="greaterThanOrEqual">
      <formula>20</formula>
    </cfRule>
    <cfRule type="cellIs" dxfId="4744" priority="1217" operator="between">
      <formula>12</formula>
      <formula>18</formula>
    </cfRule>
    <cfRule type="cellIs" dxfId="4743" priority="1218" operator="between">
      <formula>11</formula>
      <formula>0</formula>
    </cfRule>
    <cfRule type="containsBlanks" priority="1215">
      <formula>LEN(TRIM(N58))=0</formula>
    </cfRule>
  </conditionalFormatting>
  <conditionalFormatting sqref="S59">
    <cfRule type="cellIs" dxfId="4742" priority="1183" operator="greaterThanOrEqual">
      <formula>20</formula>
    </cfRule>
    <cfRule type="cellIs" dxfId="4741" priority="1184" operator="between">
      <formula>12</formula>
      <formula>18</formula>
    </cfRule>
    <cfRule type="containsBlanks" priority="1182">
      <formula>LEN(TRIM(S59))=0</formula>
    </cfRule>
    <cfRule type="cellIs" dxfId="4740" priority="1185" operator="between">
      <formula>11</formula>
      <formula>0</formula>
    </cfRule>
  </conditionalFormatting>
  <conditionalFormatting sqref="S60 N60">
    <cfRule type="cellIs" dxfId="4739" priority="1242" operator="between">
      <formula>11</formula>
      <formula>0</formula>
    </cfRule>
    <cfRule type="containsBlanks" priority="1239">
      <formula>LEN(TRIM(N60))=0</formula>
    </cfRule>
    <cfRule type="cellIs" dxfId="4738" priority="1240" operator="greaterThanOrEqual">
      <formula>20</formula>
    </cfRule>
    <cfRule type="cellIs" dxfId="4737" priority="1241" operator="between">
      <formula>12</formula>
      <formula>18</formula>
    </cfRule>
  </conditionalFormatting>
  <conditionalFormatting sqref="S61 N61">
    <cfRule type="cellIs" dxfId="4736" priority="1167" operator="greaterThanOrEqual">
      <formula>20</formula>
    </cfRule>
    <cfRule type="containsBlanks" priority="1166">
      <formula>LEN(TRIM(N61))=0</formula>
    </cfRule>
    <cfRule type="cellIs" dxfId="4735" priority="1168" operator="between">
      <formula>12</formula>
      <formula>18</formula>
    </cfRule>
    <cfRule type="cellIs" dxfId="4734" priority="1169" operator="between">
      <formula>11</formula>
      <formula>0</formula>
    </cfRule>
  </conditionalFormatting>
  <conditionalFormatting sqref="S62 N62:N63">
    <cfRule type="containsBlanks" priority="1142">
      <formula>LEN(TRIM(N62))=0</formula>
    </cfRule>
    <cfRule type="cellIs" dxfId="4733" priority="1143" operator="greaterThanOrEqual">
      <formula>20</formula>
    </cfRule>
    <cfRule type="cellIs" dxfId="4732" priority="1145" operator="between">
      <formula>11</formula>
      <formula>0</formula>
    </cfRule>
    <cfRule type="cellIs" dxfId="4731" priority="1144" operator="between">
      <formula>12</formula>
      <formula>18</formula>
    </cfRule>
  </conditionalFormatting>
  <conditionalFormatting sqref="S63">
    <cfRule type="cellIs" dxfId="4730" priority="1112" operator="between">
      <formula>11</formula>
      <formula>0</formula>
    </cfRule>
    <cfRule type="containsBlanks" priority="1109">
      <formula>LEN(TRIM(S63))=0</formula>
    </cfRule>
    <cfRule type="cellIs" dxfId="4729" priority="1111" operator="between">
      <formula>12</formula>
      <formula>18</formula>
    </cfRule>
    <cfRule type="cellIs" dxfId="4728" priority="1110" operator="greaterThanOrEqual">
      <formula>20</formula>
    </cfRule>
  </conditionalFormatting>
  <conditionalFormatting sqref="S64 N64">
    <cfRule type="cellIs" dxfId="4727" priority="6949" operator="between">
      <formula>11</formula>
      <formula>0</formula>
    </cfRule>
    <cfRule type="containsBlanks" priority="6946">
      <formula>LEN(TRIM(N64))=0</formula>
    </cfRule>
    <cfRule type="cellIs" dxfId="4726" priority="6948" operator="between">
      <formula>12</formula>
      <formula>18</formula>
    </cfRule>
    <cfRule type="cellIs" dxfId="4725" priority="6947" operator="greaterThanOrEqual">
      <formula>20</formula>
    </cfRule>
  </conditionalFormatting>
  <conditionalFormatting sqref="S66 N66">
    <cfRule type="cellIs" dxfId="4724" priority="1094" operator="greaterThanOrEqual">
      <formula>20</formula>
    </cfRule>
    <cfRule type="cellIs" dxfId="4723" priority="1096" operator="between">
      <formula>11</formula>
      <formula>0</formula>
    </cfRule>
    <cfRule type="containsBlanks" priority="1093">
      <formula>LEN(TRIM(N66))=0</formula>
    </cfRule>
    <cfRule type="cellIs" dxfId="4722" priority="1095" operator="between">
      <formula>12</formula>
      <formula>18</formula>
    </cfRule>
  </conditionalFormatting>
  <conditionalFormatting sqref="S67:S69 N67:N69">
    <cfRule type="containsBlanks" priority="1069">
      <formula>LEN(TRIM(N67))=0</formula>
    </cfRule>
    <cfRule type="cellIs" dxfId="4721" priority="1070" operator="greaterThanOrEqual">
      <formula>20</formula>
    </cfRule>
    <cfRule type="cellIs" dxfId="4720" priority="1072" operator="between">
      <formula>11</formula>
      <formula>0</formula>
    </cfRule>
    <cfRule type="cellIs" dxfId="4719" priority="1071" operator="between">
      <formula>12</formula>
      <formula>18</formula>
    </cfRule>
  </conditionalFormatting>
  <conditionalFormatting sqref="S70:S71 N70:N71">
    <cfRule type="cellIs" dxfId="4718" priority="6805" operator="between">
      <formula>11</formula>
      <formula>0</formula>
    </cfRule>
    <cfRule type="cellIs" dxfId="4717" priority="6804" operator="between">
      <formula>12</formula>
      <formula>18</formula>
    </cfRule>
    <cfRule type="containsBlanks" priority="6802">
      <formula>LEN(TRIM(N70))=0</formula>
    </cfRule>
    <cfRule type="cellIs" dxfId="4716" priority="6803" operator="greaterThanOrEqual">
      <formula>20</formula>
    </cfRule>
  </conditionalFormatting>
  <conditionalFormatting sqref="S72 N72">
    <cfRule type="containsBlanks" priority="1035">
      <formula>LEN(TRIM(N72))=0</formula>
    </cfRule>
    <cfRule type="cellIs" dxfId="4715" priority="1038" operator="between">
      <formula>11</formula>
      <formula>0</formula>
    </cfRule>
    <cfRule type="cellIs" dxfId="4714" priority="1036" operator="greaterThanOrEqual">
      <formula>20</formula>
    </cfRule>
    <cfRule type="cellIs" dxfId="4713" priority="1037" operator="between">
      <formula>12</formula>
      <formula>18</formula>
    </cfRule>
  </conditionalFormatting>
  <conditionalFormatting sqref="S73:S74">
    <cfRule type="cellIs" dxfId="4712" priority="979" operator="greaterThanOrEqual">
      <formula>20</formula>
    </cfRule>
    <cfRule type="containsBlanks" priority="978">
      <formula>LEN(TRIM(S73))=0</formula>
    </cfRule>
    <cfRule type="cellIs" dxfId="4711" priority="981" operator="between">
      <formula>11</formula>
      <formula>0</formula>
    </cfRule>
    <cfRule type="cellIs" dxfId="4710" priority="980" operator="between">
      <formula>12</formula>
      <formula>18</formula>
    </cfRule>
  </conditionalFormatting>
  <conditionalFormatting sqref="S75 N75">
    <cfRule type="cellIs" dxfId="4709" priority="6756" operator="between">
      <formula>12</formula>
      <formula>18</formula>
    </cfRule>
    <cfRule type="containsBlanks" priority="6754">
      <formula>LEN(TRIM(N75))=0</formula>
    </cfRule>
    <cfRule type="cellIs" dxfId="4708" priority="6755" operator="greaterThanOrEqual">
      <formula>20</formula>
    </cfRule>
    <cfRule type="cellIs" dxfId="4707" priority="6757" operator="between">
      <formula>11</formula>
      <formula>0</formula>
    </cfRule>
  </conditionalFormatting>
  <conditionalFormatting sqref="S77 N77">
    <cfRule type="cellIs" dxfId="4706" priority="6733" operator="between">
      <formula>12</formula>
      <formula>18</formula>
    </cfRule>
    <cfRule type="cellIs" dxfId="4705" priority="6732" operator="greaterThanOrEqual">
      <formula>20</formula>
    </cfRule>
    <cfRule type="cellIs" dxfId="4704" priority="6734" operator="between">
      <formula>11</formula>
      <formula>0</formula>
    </cfRule>
    <cfRule type="containsBlanks" priority="6731">
      <formula>LEN(TRIM(N77))=0</formula>
    </cfRule>
  </conditionalFormatting>
  <conditionalFormatting sqref="S78:S81 N78:N81">
    <cfRule type="cellIs" dxfId="4703" priority="962" operator="between">
      <formula>11</formula>
      <formula>0</formula>
    </cfRule>
    <cfRule type="cellIs" dxfId="4702" priority="960" operator="greaterThanOrEqual">
      <formula>20</formula>
    </cfRule>
    <cfRule type="cellIs" dxfId="4701" priority="961" operator="between">
      <formula>12</formula>
      <formula>18</formula>
    </cfRule>
    <cfRule type="containsBlanks" priority="959">
      <formula>LEN(TRIM(N78))=0</formula>
    </cfRule>
  </conditionalFormatting>
  <conditionalFormatting sqref="S82 N82">
    <cfRule type="cellIs" dxfId="4700" priority="6683" operator="greaterThanOrEqual">
      <formula>20</formula>
    </cfRule>
    <cfRule type="containsBlanks" priority="6682">
      <formula>LEN(TRIM(N82))=0</formula>
    </cfRule>
    <cfRule type="cellIs" dxfId="4699" priority="6684" operator="between">
      <formula>12</formula>
      <formula>18</formula>
    </cfRule>
    <cfRule type="cellIs" dxfId="4698" priority="6685" operator="between">
      <formula>11</formula>
      <formula>0</formula>
    </cfRule>
  </conditionalFormatting>
  <conditionalFormatting sqref="S87 N87">
    <cfRule type="containsBlanks" priority="911">
      <formula>LEN(TRIM(N87))=0</formula>
    </cfRule>
    <cfRule type="cellIs" dxfId="4697" priority="914" operator="between">
      <formula>11</formula>
      <formula>0</formula>
    </cfRule>
    <cfRule type="cellIs" dxfId="4696" priority="912" operator="greaterThanOrEqual">
      <formula>20</formula>
    </cfRule>
    <cfRule type="cellIs" dxfId="4695" priority="913" operator="between">
      <formula>12</formula>
      <formula>18</formula>
    </cfRule>
  </conditionalFormatting>
  <conditionalFormatting sqref="S88 N88">
    <cfRule type="cellIs" dxfId="4694" priority="889" operator="between">
      <formula>12</formula>
      <formula>18</formula>
    </cfRule>
    <cfRule type="cellIs" dxfId="4693" priority="888" operator="greaterThanOrEqual">
      <formula>20</formula>
    </cfRule>
    <cfRule type="containsBlanks" priority="887">
      <formula>LEN(TRIM(N88))=0</formula>
    </cfRule>
    <cfRule type="cellIs" dxfId="4692" priority="890" operator="between">
      <formula>11</formula>
      <formula>0</formula>
    </cfRule>
  </conditionalFormatting>
  <conditionalFormatting sqref="S89">
    <cfRule type="containsBlanks" priority="830">
      <formula>LEN(TRIM(S89))=0</formula>
    </cfRule>
    <cfRule type="cellIs" dxfId="4691" priority="831" operator="greaterThanOrEqual">
      <formula>20</formula>
    </cfRule>
    <cfRule type="cellIs" dxfId="4690" priority="832" operator="between">
      <formula>12</formula>
      <formula>18</formula>
    </cfRule>
    <cfRule type="cellIs" dxfId="4689" priority="833" operator="between">
      <formula>11</formula>
      <formula>0</formula>
    </cfRule>
  </conditionalFormatting>
  <conditionalFormatting sqref="S90:S92 N90:N92">
    <cfRule type="containsBlanks" priority="811">
      <formula>LEN(TRIM(N90))=0</formula>
    </cfRule>
    <cfRule type="cellIs" dxfId="4688" priority="813" operator="between">
      <formula>12</formula>
      <formula>18</formula>
    </cfRule>
    <cfRule type="cellIs" dxfId="4687" priority="814" operator="between">
      <formula>11</formula>
      <formula>0</formula>
    </cfRule>
    <cfRule type="cellIs" dxfId="4686" priority="812" operator="greaterThanOrEqual">
      <formula>20</formula>
    </cfRule>
  </conditionalFormatting>
  <conditionalFormatting sqref="S93 N93">
    <cfRule type="containsBlanks" priority="6586">
      <formula>LEN(TRIM(N93))=0</formula>
    </cfRule>
    <cfRule type="cellIs" dxfId="4685" priority="6589" operator="between">
      <formula>11</formula>
      <formula>0</formula>
    </cfRule>
    <cfRule type="cellIs" dxfId="4684" priority="6587" operator="greaterThanOrEqual">
      <formula>20</formula>
    </cfRule>
    <cfRule type="cellIs" dxfId="4683" priority="6588" operator="between">
      <formula>12</formula>
      <formula>18</formula>
    </cfRule>
  </conditionalFormatting>
  <conditionalFormatting sqref="S94 N94">
    <cfRule type="containsBlanks" priority="777">
      <formula>LEN(TRIM(N94))=0</formula>
    </cfRule>
    <cfRule type="cellIs" dxfId="4682" priority="778" operator="greaterThanOrEqual">
      <formula>20</formula>
    </cfRule>
    <cfRule type="cellIs" dxfId="4681" priority="780" operator="between">
      <formula>11</formula>
      <formula>0</formula>
    </cfRule>
    <cfRule type="cellIs" dxfId="4680" priority="779" operator="between">
      <formula>12</formula>
      <formula>18</formula>
    </cfRule>
  </conditionalFormatting>
  <conditionalFormatting sqref="S95">
    <cfRule type="cellIs" dxfId="4679" priority="722" operator="between">
      <formula>12</formula>
      <formula>18</formula>
    </cfRule>
    <cfRule type="containsBlanks" priority="720">
      <formula>LEN(TRIM(S95))=0</formula>
    </cfRule>
    <cfRule type="cellIs" dxfId="4678" priority="721" operator="greaterThanOrEqual">
      <formula>20</formula>
    </cfRule>
    <cfRule type="cellIs" dxfId="4677" priority="723" operator="between">
      <formula>11</formula>
      <formula>0</formula>
    </cfRule>
  </conditionalFormatting>
  <conditionalFormatting sqref="S96:S98 N96:N98">
    <cfRule type="cellIs" dxfId="4676" priority="706" operator="between">
      <formula>12</formula>
      <formula>18</formula>
    </cfRule>
    <cfRule type="containsBlanks" priority="704">
      <formula>LEN(TRIM(N96))=0</formula>
    </cfRule>
    <cfRule type="cellIs" dxfId="4675" priority="705" operator="greaterThanOrEqual">
      <formula>20</formula>
    </cfRule>
    <cfRule type="cellIs" dxfId="4674" priority="707" operator="between">
      <formula>11</formula>
      <formula>0</formula>
    </cfRule>
  </conditionalFormatting>
  <conditionalFormatting sqref="S101:S102 N101:N102">
    <cfRule type="containsBlanks" priority="622">
      <formula>LEN(TRIM(N101))=0</formula>
    </cfRule>
    <cfRule type="cellIs" dxfId="4673" priority="623" operator="greaterThanOrEqual">
      <formula>20</formula>
    </cfRule>
    <cfRule type="cellIs" dxfId="4672" priority="624" operator="between">
      <formula>12</formula>
      <formula>18</formula>
    </cfRule>
    <cfRule type="cellIs" dxfId="4671" priority="625" operator="between">
      <formula>11</formula>
      <formula>0</formula>
    </cfRule>
  </conditionalFormatting>
  <conditionalFormatting sqref="S104:S106 N104:N106">
    <cfRule type="cellIs" dxfId="4670" priority="601" operator="between">
      <formula>11</formula>
      <formula>0</formula>
    </cfRule>
    <cfRule type="cellIs" dxfId="4669" priority="600" operator="between">
      <formula>12</formula>
      <formula>18</formula>
    </cfRule>
    <cfRule type="containsBlanks" priority="598">
      <formula>LEN(TRIM(N104))=0</formula>
    </cfRule>
    <cfRule type="cellIs" dxfId="4668" priority="599" operator="greaterThanOrEqual">
      <formula>20</formula>
    </cfRule>
  </conditionalFormatting>
  <conditionalFormatting sqref="S108:S110 N108:N110">
    <cfRule type="cellIs" dxfId="4667" priority="577" operator="between">
      <formula>11</formula>
      <formula>0</formula>
    </cfRule>
    <cfRule type="containsBlanks" priority="574">
      <formula>LEN(TRIM(N108))=0</formula>
    </cfRule>
    <cfRule type="cellIs" dxfId="4666" priority="576" operator="between">
      <formula>12</formula>
      <formula>18</formula>
    </cfRule>
    <cfRule type="cellIs" dxfId="4665" priority="575" operator="greaterThanOrEqual">
      <formula>20</formula>
    </cfRule>
  </conditionalFormatting>
  <conditionalFormatting sqref="S112:S114 N112:N114">
    <cfRule type="cellIs" dxfId="4664" priority="503" operator="greaterThanOrEqual">
      <formula>20</formula>
    </cfRule>
    <cfRule type="cellIs" dxfId="4663" priority="504" operator="between">
      <formula>12</formula>
      <formula>18</formula>
    </cfRule>
    <cfRule type="containsBlanks" priority="502">
      <formula>LEN(TRIM(N112))=0</formula>
    </cfRule>
    <cfRule type="cellIs" dxfId="4662" priority="505" operator="between">
      <formula>11</formula>
      <formula>0</formula>
    </cfRule>
  </conditionalFormatting>
  <conditionalFormatting sqref="S117:S118 N117:N118">
    <cfRule type="cellIs" dxfId="4661" priority="479" operator="greaterThanOrEqual">
      <formula>20</formula>
    </cfRule>
    <cfRule type="cellIs" dxfId="4660" priority="481" operator="between">
      <formula>11</formula>
      <formula>0</formula>
    </cfRule>
    <cfRule type="containsBlanks" priority="478">
      <formula>LEN(TRIM(N117))=0</formula>
    </cfRule>
    <cfRule type="cellIs" dxfId="4659" priority="480" operator="between">
      <formula>12</formula>
      <formula>18</formula>
    </cfRule>
  </conditionalFormatting>
  <conditionalFormatting sqref="S120:S121 N120:N121">
    <cfRule type="cellIs" dxfId="4658" priority="446" operator="between">
      <formula>12</formula>
      <formula>18</formula>
    </cfRule>
    <cfRule type="containsBlanks" priority="444">
      <formula>LEN(TRIM(N120))=0</formula>
    </cfRule>
    <cfRule type="cellIs" dxfId="4657" priority="447" operator="between">
      <formula>11</formula>
      <formula>0</formula>
    </cfRule>
    <cfRule type="cellIs" dxfId="4656" priority="445" operator="greaterThanOrEqual">
      <formula>20</formula>
    </cfRule>
  </conditionalFormatting>
  <conditionalFormatting sqref="S123:S124 N123:N124">
    <cfRule type="cellIs" dxfId="4655" priority="411" operator="greaterThanOrEqual">
      <formula>20</formula>
    </cfRule>
    <cfRule type="containsBlanks" priority="410">
      <formula>LEN(TRIM(N123))=0</formula>
    </cfRule>
    <cfRule type="cellIs" dxfId="4654" priority="413" operator="between">
      <formula>11</formula>
      <formula>0</formula>
    </cfRule>
    <cfRule type="cellIs" dxfId="4653" priority="412" operator="between">
      <formula>12</formula>
      <formula>18</formula>
    </cfRule>
  </conditionalFormatting>
  <conditionalFormatting sqref="S127:S128 N127:N128">
    <cfRule type="containsBlanks" priority="208">
      <formula>LEN(TRIM(N127))=0</formula>
    </cfRule>
    <cfRule type="cellIs" dxfId="4652" priority="209" operator="greaterThanOrEqual">
      <formula>20</formula>
    </cfRule>
    <cfRule type="cellIs" dxfId="4651" priority="211" operator="between">
      <formula>11</formula>
      <formula>0</formula>
    </cfRule>
    <cfRule type="cellIs" dxfId="4650" priority="210" operator="between">
      <formula>12</formula>
      <formula>18</formula>
    </cfRule>
  </conditionalFormatting>
  <conditionalFormatting sqref="S131:S132 N131:N132">
    <cfRule type="cellIs" dxfId="4649" priority="185" operator="greaterThanOrEqual">
      <formula>20</formula>
    </cfRule>
    <cfRule type="cellIs" dxfId="4648" priority="186" operator="between">
      <formula>12</formula>
      <formula>18</formula>
    </cfRule>
    <cfRule type="cellIs" dxfId="4647" priority="187" operator="between">
      <formula>11</formula>
      <formula>0</formula>
    </cfRule>
    <cfRule type="containsBlanks" priority="184">
      <formula>LEN(TRIM(N131))=0</formula>
    </cfRule>
  </conditionalFormatting>
  <conditionalFormatting sqref="S133 N133">
    <cfRule type="cellIs" dxfId="4646" priority="163" operator="between">
      <formula>11</formula>
      <formula>0</formula>
    </cfRule>
    <cfRule type="cellIs" dxfId="4645" priority="162" operator="between">
      <formula>12</formula>
      <formula>18</formula>
    </cfRule>
    <cfRule type="containsBlanks" priority="160">
      <formula>LEN(TRIM(N133))=0</formula>
    </cfRule>
    <cfRule type="cellIs" dxfId="4644" priority="161" operator="greaterThanOrEqual">
      <formula>20</formula>
    </cfRule>
  </conditionalFormatting>
  <conditionalFormatting sqref="S136 N136">
    <cfRule type="containsBlanks" priority="136">
      <formula>LEN(TRIM(N136))=0</formula>
    </cfRule>
    <cfRule type="cellIs" dxfId="4643" priority="137" operator="greaterThanOrEqual">
      <formula>20</formula>
    </cfRule>
    <cfRule type="cellIs" dxfId="4642" priority="138" operator="between">
      <formula>12</formula>
      <formula>18</formula>
    </cfRule>
    <cfRule type="cellIs" dxfId="4641" priority="139" operator="between">
      <formula>11</formula>
      <formula>0</formula>
    </cfRule>
  </conditionalFormatting>
  <conditionalFormatting sqref="S138 N138">
    <cfRule type="cellIs" dxfId="4640" priority="104" operator="between">
      <formula>12</formula>
      <formula>18</formula>
    </cfRule>
    <cfRule type="cellIs" dxfId="4639" priority="105" operator="between">
      <formula>11</formula>
      <formula>0</formula>
    </cfRule>
    <cfRule type="cellIs" dxfId="4638" priority="103" operator="greaterThanOrEqual">
      <formula>20</formula>
    </cfRule>
    <cfRule type="containsBlanks" priority="102">
      <formula>LEN(TRIM(N138))=0</formula>
    </cfRule>
  </conditionalFormatting>
  <conditionalFormatting sqref="S140 N140">
    <cfRule type="cellIs" dxfId="4637" priority="81" operator="between">
      <formula>11</formula>
      <formula>0</formula>
    </cfRule>
    <cfRule type="containsBlanks" priority="78">
      <formula>LEN(TRIM(N140))=0</formula>
    </cfRule>
    <cfRule type="cellIs" dxfId="4636" priority="80" operator="between">
      <formula>12</formula>
      <formula>18</formula>
    </cfRule>
    <cfRule type="cellIs" dxfId="4635" priority="79" operator="greaterThanOrEqual">
      <formula>20</formula>
    </cfRule>
  </conditionalFormatting>
  <conditionalFormatting sqref="S142 N142">
    <cfRule type="containsBlanks" priority="44">
      <formula>LEN(TRIM(N142))=0</formula>
    </cfRule>
    <cfRule type="cellIs" dxfId="4634" priority="45" operator="greaterThanOrEqual">
      <formula>20</formula>
    </cfRule>
    <cfRule type="cellIs" dxfId="4633" priority="47" operator="between">
      <formula>11</formula>
      <formula>0</formula>
    </cfRule>
    <cfRule type="cellIs" dxfId="4632" priority="46" operator="between">
      <formula>12</formula>
      <formula>18</formula>
    </cfRule>
  </conditionalFormatting>
  <conditionalFormatting sqref="S144:S198 N144:N198">
    <cfRule type="containsBlanks" priority="10">
      <formula>LEN(TRIM(N144))=0</formula>
    </cfRule>
    <cfRule type="cellIs" dxfId="4631" priority="12" operator="between">
      <formula>12</formula>
      <formula>18</formula>
    </cfRule>
    <cfRule type="cellIs" dxfId="4630" priority="13" operator="between">
      <formula>11</formula>
      <formula>0</formula>
    </cfRule>
    <cfRule type="cellIs" dxfId="4629" priority="11" operator="greaterThanOrEqual">
      <formula>20</formula>
    </cfRule>
  </conditionalFormatting>
  <conditionalFormatting sqref="S203 N203">
    <cfRule type="containsBlanks" priority="5061">
      <formula>LEN(TRIM(N203))=0</formula>
    </cfRule>
    <cfRule type="cellIs" dxfId="4628" priority="5063" operator="between">
      <formula>12</formula>
      <formula>18</formula>
    </cfRule>
    <cfRule type="cellIs" dxfId="4627" priority="5062" operator="greaterThanOrEqual">
      <formula>20</formula>
    </cfRule>
    <cfRule type="cellIs" dxfId="4626" priority="5064" operator="between">
      <formula>11</formula>
      <formula>0</formula>
    </cfRule>
  </conditionalFormatting>
  <conditionalFormatting sqref="S204 N204">
    <cfRule type="cellIs" dxfId="4625" priority="13358" operator="between">
      <formula>12</formula>
      <formula>18</formula>
    </cfRule>
    <cfRule type="cellIs" dxfId="4624" priority="13357" operator="greaterThanOrEqual">
      <formula>20</formula>
    </cfRule>
    <cfRule type="containsBlanks" priority="13356">
      <formula>LEN(TRIM(N204))=0</formula>
    </cfRule>
    <cfRule type="cellIs" dxfId="4623" priority="13359" operator="between">
      <formula>11</formula>
      <formula>0</formula>
    </cfRule>
  </conditionalFormatting>
  <conditionalFormatting sqref="S205 N205">
    <cfRule type="cellIs" dxfId="4622" priority="4944" operator="between">
      <formula>11</formula>
      <formula>0</formula>
    </cfRule>
    <cfRule type="containsBlanks" priority="4941">
      <formula>LEN(TRIM(N205))=0</formula>
    </cfRule>
    <cfRule type="cellIs" dxfId="4621" priority="4942" operator="greaterThanOrEqual">
      <formula>20</formula>
    </cfRule>
    <cfRule type="cellIs" dxfId="4620" priority="4943" operator="between">
      <formula>12</formula>
      <formula>18</formula>
    </cfRule>
  </conditionalFormatting>
  <conditionalFormatting sqref="S230 N230">
    <cfRule type="cellIs" dxfId="4619" priority="4844" operator="between">
      <formula>11</formula>
      <formula>0</formula>
    </cfRule>
    <cfRule type="containsBlanks" priority="4841">
      <formula>LEN(TRIM(N230))=0</formula>
    </cfRule>
    <cfRule type="cellIs" dxfId="4618" priority="4843" operator="between">
      <formula>12</formula>
      <formula>18</formula>
    </cfRule>
    <cfRule type="cellIs" dxfId="4617" priority="4842" operator="greaterThanOrEqual">
      <formula>20</formula>
    </cfRule>
  </conditionalFormatting>
  <conditionalFormatting sqref="S231:S237 N231:N237">
    <cfRule type="cellIs" dxfId="4616" priority="4820" operator="between">
      <formula>11</formula>
      <formula>0</formula>
    </cfRule>
    <cfRule type="cellIs" dxfId="4615" priority="4819" operator="between">
      <formula>12</formula>
      <formula>18</formula>
    </cfRule>
    <cfRule type="cellIs" dxfId="4614" priority="4818" operator="greaterThanOrEqual">
      <formula>20</formula>
    </cfRule>
    <cfRule type="containsBlanks" priority="4817">
      <formula>LEN(TRIM(N231))=0</formula>
    </cfRule>
  </conditionalFormatting>
  <conditionalFormatting sqref="S238 N238">
    <cfRule type="cellIs" dxfId="4613" priority="4794" operator="between">
      <formula>12</formula>
      <formula>18</formula>
    </cfRule>
    <cfRule type="containsBlanks" priority="4792">
      <formula>LEN(TRIM(N238))=0</formula>
    </cfRule>
    <cfRule type="cellIs" dxfId="4612" priority="4795" operator="between">
      <formula>11</formula>
      <formula>0</formula>
    </cfRule>
    <cfRule type="cellIs" dxfId="4611" priority="4793" operator="greaterThanOrEqual">
      <formula>20</formula>
    </cfRule>
  </conditionalFormatting>
  <conditionalFormatting sqref="S240 N240">
    <cfRule type="cellIs" dxfId="4610" priority="4698" operator="between">
      <formula>12</formula>
      <formula>18</formula>
    </cfRule>
    <cfRule type="cellIs" dxfId="4609" priority="4697" operator="greaterThanOrEqual">
      <formula>20</formula>
    </cfRule>
    <cfRule type="cellIs" dxfId="4608" priority="4699" operator="between">
      <formula>11</formula>
      <formula>0</formula>
    </cfRule>
    <cfRule type="containsBlanks" priority="4696">
      <formula>LEN(TRIM(N240))=0</formula>
    </cfRule>
  </conditionalFormatting>
  <conditionalFormatting sqref="S244 N244">
    <cfRule type="containsBlanks" priority="4672">
      <formula>LEN(TRIM(N244))=0</formula>
    </cfRule>
    <cfRule type="cellIs" dxfId="4607" priority="4674" operator="between">
      <formula>12</formula>
      <formula>18</formula>
    </cfRule>
    <cfRule type="cellIs" dxfId="4606" priority="4675" operator="between">
      <formula>11</formula>
      <formula>0</formula>
    </cfRule>
    <cfRule type="cellIs" dxfId="4605" priority="4673" operator="greaterThanOrEqual">
      <formula>20</formula>
    </cfRule>
  </conditionalFormatting>
  <conditionalFormatting sqref="S245:S251 N245:N251">
    <cfRule type="cellIs" dxfId="4604" priority="4625" operator="greaterThanOrEqual">
      <formula>20</formula>
    </cfRule>
    <cfRule type="cellIs" dxfId="4603" priority="4626" operator="between">
      <formula>12</formula>
      <formula>18</formula>
    </cfRule>
    <cfRule type="cellIs" dxfId="4602" priority="4627" operator="between">
      <formula>11</formula>
      <formula>0</formula>
    </cfRule>
    <cfRule type="containsBlanks" priority="4624">
      <formula>LEN(TRIM(N245))=0</formula>
    </cfRule>
  </conditionalFormatting>
  <conditionalFormatting sqref="S252 N252">
    <cfRule type="cellIs" dxfId="4601" priority="4601" operator="greaterThanOrEqual">
      <formula>20</formula>
    </cfRule>
    <cfRule type="cellIs" dxfId="4600" priority="4602" operator="between">
      <formula>12</formula>
      <formula>18</formula>
    </cfRule>
    <cfRule type="containsBlanks" priority="4600">
      <formula>LEN(TRIM(N252))=0</formula>
    </cfRule>
    <cfRule type="cellIs" dxfId="4599" priority="4603" operator="between">
      <formula>11</formula>
      <formula>0</formula>
    </cfRule>
  </conditionalFormatting>
  <conditionalFormatting sqref="S254 N254">
    <cfRule type="cellIs" dxfId="4598" priority="4578" operator="between">
      <formula>12</formula>
      <formula>18</formula>
    </cfRule>
    <cfRule type="cellIs" dxfId="4597" priority="4579" operator="between">
      <formula>11</formula>
      <formula>0</formula>
    </cfRule>
    <cfRule type="containsBlanks" priority="4576">
      <formula>LEN(TRIM(N254))=0</formula>
    </cfRule>
    <cfRule type="cellIs" dxfId="4596" priority="4577" operator="greaterThanOrEqual">
      <formula>20</formula>
    </cfRule>
  </conditionalFormatting>
  <conditionalFormatting sqref="S255 N255">
    <cfRule type="containsBlanks" priority="16052">
      <formula>LEN(TRIM(N255))=0</formula>
    </cfRule>
    <cfRule type="cellIs" dxfId="4595" priority="16055" operator="between">
      <formula>11</formula>
      <formula>0</formula>
    </cfRule>
    <cfRule type="cellIs" dxfId="4594" priority="16054" operator="between">
      <formula>12</formula>
      <formula>18</formula>
    </cfRule>
    <cfRule type="cellIs" dxfId="4593" priority="16053" operator="greaterThanOrEqual">
      <formula>20</formula>
    </cfRule>
  </conditionalFormatting>
  <conditionalFormatting sqref="S256 N256">
    <cfRule type="cellIs" dxfId="4592" priority="4554" operator="between">
      <formula>12</formula>
      <formula>18</formula>
    </cfRule>
    <cfRule type="cellIs" dxfId="4591" priority="4555" operator="between">
      <formula>11</formula>
      <formula>0</formula>
    </cfRule>
    <cfRule type="cellIs" dxfId="4590" priority="4553" operator="greaterThanOrEqual">
      <formula>20</formula>
    </cfRule>
    <cfRule type="containsBlanks" priority="4552">
      <formula>LEN(TRIM(N256))=0</formula>
    </cfRule>
  </conditionalFormatting>
  <conditionalFormatting sqref="S257 N257">
    <cfRule type="cellIs" dxfId="4589" priority="4432" operator="between">
      <formula>12</formula>
      <formula>18</formula>
    </cfRule>
    <cfRule type="cellIs" dxfId="4588" priority="4433" operator="between">
      <formula>11</formula>
      <formula>0</formula>
    </cfRule>
    <cfRule type="containsBlanks" priority="4430">
      <formula>LEN(TRIM(N257))=0</formula>
    </cfRule>
    <cfRule type="cellIs" dxfId="4587" priority="4431" operator="greaterThanOrEqual">
      <formula>20</formula>
    </cfRule>
  </conditionalFormatting>
  <conditionalFormatting sqref="S258:S261 N258:N261">
    <cfRule type="cellIs" dxfId="4586" priority="4409" operator="between">
      <formula>11</formula>
      <formula>0</formula>
    </cfRule>
    <cfRule type="containsBlanks" priority="4406">
      <formula>LEN(TRIM(N258))=0</formula>
    </cfRule>
    <cfRule type="cellIs" dxfId="4585" priority="4407" operator="greaterThanOrEqual">
      <formula>20</formula>
    </cfRule>
    <cfRule type="cellIs" dxfId="4584" priority="4408" operator="between">
      <formula>12</formula>
      <formula>18</formula>
    </cfRule>
  </conditionalFormatting>
  <conditionalFormatting sqref="S263:S264 N263:N264">
    <cfRule type="cellIs" dxfId="4583" priority="4383" operator="greaterThanOrEqual">
      <formula>20</formula>
    </cfRule>
    <cfRule type="cellIs" dxfId="4582" priority="4385" operator="between">
      <formula>11</formula>
      <formula>0</formula>
    </cfRule>
    <cfRule type="cellIs" dxfId="4581" priority="4384" operator="between">
      <formula>12</formula>
      <formula>18</formula>
    </cfRule>
    <cfRule type="containsBlanks" priority="4382">
      <formula>LEN(TRIM(N263))=0</formula>
    </cfRule>
  </conditionalFormatting>
  <conditionalFormatting sqref="S267 N267">
    <cfRule type="cellIs" dxfId="4580" priority="4253" operator="greaterThanOrEqual">
      <formula>20</formula>
    </cfRule>
    <cfRule type="cellIs" dxfId="4579" priority="4255" operator="between">
      <formula>11</formula>
      <formula>0</formula>
    </cfRule>
    <cfRule type="cellIs" dxfId="4578" priority="4254" operator="between">
      <formula>12</formula>
      <formula>18</formula>
    </cfRule>
    <cfRule type="containsBlanks" priority="4252">
      <formula>LEN(TRIM(N267))=0</formula>
    </cfRule>
  </conditionalFormatting>
  <conditionalFormatting sqref="S275 N275">
    <cfRule type="cellIs" dxfId="4577" priority="19499" operator="between">
      <formula>12</formula>
      <formula>18</formula>
    </cfRule>
    <cfRule type="containsBlanks" priority="19497">
      <formula>LEN(TRIM(N275))=0</formula>
    </cfRule>
    <cfRule type="cellIs" dxfId="4576" priority="19500" operator="between">
      <formula>11</formula>
      <formula>0</formula>
    </cfRule>
    <cfRule type="cellIs" dxfId="4575" priority="19498" operator="greaterThanOrEqual">
      <formula>20</formula>
    </cfRule>
  </conditionalFormatting>
  <conditionalFormatting sqref="S277:S278 N277:N278">
    <cfRule type="cellIs" dxfId="4574" priority="4205" operator="greaterThanOrEqual">
      <formula>20</formula>
    </cfRule>
    <cfRule type="cellIs" dxfId="4573" priority="4207" operator="between">
      <formula>11</formula>
      <formula>0</formula>
    </cfRule>
    <cfRule type="containsBlanks" priority="4204">
      <formula>LEN(TRIM(N277))=0</formula>
    </cfRule>
    <cfRule type="cellIs" dxfId="4572" priority="4206" operator="between">
      <formula>12</formula>
      <formula>18</formula>
    </cfRule>
  </conditionalFormatting>
  <conditionalFormatting sqref="S282 N282">
    <cfRule type="cellIs" dxfId="4571" priority="4134" operator="between">
      <formula>11</formula>
      <formula>0</formula>
    </cfRule>
    <cfRule type="cellIs" dxfId="4570" priority="4132" operator="greaterThanOrEqual">
      <formula>20</formula>
    </cfRule>
    <cfRule type="containsBlanks" priority="4131">
      <formula>LEN(TRIM(N282))=0</formula>
    </cfRule>
    <cfRule type="cellIs" dxfId="4569" priority="4133" operator="between">
      <formula>12</formula>
      <formula>18</formula>
    </cfRule>
  </conditionalFormatting>
  <conditionalFormatting sqref="S292 N292">
    <cfRule type="cellIs" dxfId="4568" priority="11915" operator="between">
      <formula>11</formula>
      <formula>0</formula>
    </cfRule>
    <cfRule type="containsBlanks" priority="11912">
      <formula>LEN(TRIM(N292))=0</formula>
    </cfRule>
    <cfRule type="cellIs" dxfId="4567" priority="11914" operator="between">
      <formula>12</formula>
      <formula>18</formula>
    </cfRule>
    <cfRule type="cellIs" dxfId="4566" priority="11913" operator="greaterThanOrEqual">
      <formula>20</formula>
    </cfRule>
  </conditionalFormatting>
  <conditionalFormatting sqref="S293 N293">
    <cfRule type="containsBlanks" priority="4083">
      <formula>LEN(TRIM(N293))=0</formula>
    </cfRule>
    <cfRule type="cellIs" dxfId="4565" priority="4086" operator="between">
      <formula>11</formula>
      <formula>0</formula>
    </cfRule>
    <cfRule type="cellIs" dxfId="4564" priority="4084" operator="greaterThanOrEqual">
      <formula>20</formula>
    </cfRule>
    <cfRule type="cellIs" dxfId="4563" priority="4085" operator="between">
      <formula>12</formula>
      <formula>18</formula>
    </cfRule>
  </conditionalFormatting>
  <conditionalFormatting sqref="S299 N299">
    <cfRule type="cellIs" dxfId="4562" priority="4037" operator="between">
      <formula>12</formula>
      <formula>18</formula>
    </cfRule>
    <cfRule type="containsBlanks" priority="4035">
      <formula>LEN(TRIM(N299))=0</formula>
    </cfRule>
    <cfRule type="cellIs" dxfId="4561" priority="4036" operator="greaterThanOrEqual">
      <formula>20</formula>
    </cfRule>
    <cfRule type="cellIs" dxfId="4560" priority="4038" operator="between">
      <formula>11</formula>
      <formula>0</formula>
    </cfRule>
  </conditionalFormatting>
  <conditionalFormatting sqref="S301:S302 N301:N302">
    <cfRule type="cellIs" dxfId="4559" priority="12036" operator="between">
      <formula>12</formula>
      <formula>18</formula>
    </cfRule>
    <cfRule type="cellIs" dxfId="4558" priority="12037" operator="between">
      <formula>11</formula>
      <formula>0</formula>
    </cfRule>
    <cfRule type="containsBlanks" priority="12034">
      <formula>LEN(TRIM(N301))=0</formula>
    </cfRule>
    <cfRule type="cellIs" dxfId="4557" priority="12035" operator="greaterThanOrEqual">
      <formula>20</formula>
    </cfRule>
  </conditionalFormatting>
  <conditionalFormatting sqref="S303 N303">
    <cfRule type="cellIs" dxfId="4556" priority="3988" operator="between">
      <formula>12</formula>
      <formula>18</formula>
    </cfRule>
    <cfRule type="cellIs" dxfId="4555" priority="3989" operator="between">
      <formula>11</formula>
      <formula>0</formula>
    </cfRule>
    <cfRule type="containsBlanks" priority="3986">
      <formula>LEN(TRIM(N303))=0</formula>
    </cfRule>
    <cfRule type="cellIs" dxfId="4554" priority="3987" operator="greaterThanOrEqual">
      <formula>20</formula>
    </cfRule>
  </conditionalFormatting>
  <conditionalFormatting sqref="S312 N312">
    <cfRule type="containsBlanks" priority="11937">
      <formula>LEN(TRIM(N312))=0</formula>
    </cfRule>
    <cfRule type="cellIs" dxfId="4553" priority="11938" operator="greaterThanOrEqual">
      <formula>20</formula>
    </cfRule>
    <cfRule type="cellIs" dxfId="4552" priority="11940" operator="between">
      <formula>11</formula>
      <formula>0</formula>
    </cfRule>
    <cfRule type="cellIs" dxfId="4551" priority="11939" operator="between">
      <formula>12</formula>
      <formula>18</formula>
    </cfRule>
  </conditionalFormatting>
  <conditionalFormatting sqref="S313 N313">
    <cfRule type="containsBlanks" priority="11887">
      <formula>LEN(TRIM(N313))=0</formula>
    </cfRule>
    <cfRule type="cellIs" dxfId="4550" priority="11888" operator="greaterThanOrEqual">
      <formula>20</formula>
    </cfRule>
    <cfRule type="cellIs" dxfId="4549" priority="11889" operator="between">
      <formula>12</formula>
      <formula>18</formula>
    </cfRule>
    <cfRule type="cellIs" dxfId="4548" priority="11890" operator="between">
      <formula>11</formula>
      <formula>0</formula>
    </cfRule>
  </conditionalFormatting>
  <conditionalFormatting sqref="S314 N314">
    <cfRule type="cellIs" dxfId="4547" priority="3940" operator="between">
      <formula>12</formula>
      <formula>18</formula>
    </cfRule>
    <cfRule type="cellIs" dxfId="4546" priority="3939" operator="greaterThanOrEqual">
      <formula>20</formula>
    </cfRule>
    <cfRule type="containsBlanks" priority="3938">
      <formula>LEN(TRIM(N314))=0</formula>
    </cfRule>
    <cfRule type="cellIs" dxfId="4545" priority="3941" operator="between">
      <formula>11</formula>
      <formula>0</formula>
    </cfRule>
  </conditionalFormatting>
  <conditionalFormatting sqref="S320 N320">
    <cfRule type="cellIs" dxfId="4544" priority="3891" operator="greaterThanOrEqual">
      <formula>20</formula>
    </cfRule>
    <cfRule type="cellIs" dxfId="4543" priority="3892" operator="between">
      <formula>12</formula>
      <formula>18</formula>
    </cfRule>
    <cfRule type="containsBlanks" priority="3890">
      <formula>LEN(TRIM(N320))=0</formula>
    </cfRule>
    <cfRule type="cellIs" dxfId="4542" priority="3893" operator="between">
      <formula>11</formula>
      <formula>0</formula>
    </cfRule>
  </conditionalFormatting>
  <conditionalFormatting sqref="S322 N322">
    <cfRule type="cellIs" dxfId="4541" priority="3844" operator="between">
      <formula>11</formula>
      <formula>0</formula>
    </cfRule>
    <cfRule type="cellIs" dxfId="4540" priority="3842" operator="greaterThanOrEqual">
      <formula>20</formula>
    </cfRule>
    <cfRule type="containsBlanks" priority="3841">
      <formula>LEN(TRIM(N322))=0</formula>
    </cfRule>
    <cfRule type="cellIs" dxfId="4539" priority="3843" operator="between">
      <formula>12</formula>
      <formula>18</formula>
    </cfRule>
  </conditionalFormatting>
  <conditionalFormatting sqref="S323 N323">
    <cfRule type="cellIs" dxfId="4538" priority="11814" operator="between">
      <formula>12</formula>
      <formula>18</formula>
    </cfRule>
    <cfRule type="cellIs" dxfId="4537" priority="11813" operator="greaterThanOrEqual">
      <formula>20</formula>
    </cfRule>
    <cfRule type="cellIs" dxfId="4536" priority="11815" operator="between">
      <formula>11</formula>
      <formula>0</formula>
    </cfRule>
    <cfRule type="containsBlanks" priority="11812">
      <formula>LEN(TRIM(N323))=0</formula>
    </cfRule>
  </conditionalFormatting>
  <conditionalFormatting sqref="S324 N324">
    <cfRule type="containsBlanks" priority="3817">
      <formula>LEN(TRIM(N324))=0</formula>
    </cfRule>
    <cfRule type="cellIs" dxfId="4535" priority="3819" operator="between">
      <formula>12</formula>
      <formula>18</formula>
    </cfRule>
    <cfRule type="cellIs" dxfId="4534" priority="3818" operator="greaterThanOrEqual">
      <formula>20</formula>
    </cfRule>
    <cfRule type="cellIs" dxfId="4533" priority="3820" operator="between">
      <formula>11</formula>
      <formula>0</formula>
    </cfRule>
  </conditionalFormatting>
  <conditionalFormatting sqref="S335 N335">
    <cfRule type="cellIs" dxfId="4532" priority="3671" operator="between">
      <formula>12</formula>
      <formula>18</formula>
    </cfRule>
    <cfRule type="containsBlanks" priority="3669">
      <formula>LEN(TRIM(N335))=0</formula>
    </cfRule>
    <cfRule type="cellIs" dxfId="4531" priority="3670" operator="greaterThanOrEqual">
      <formula>20</formula>
    </cfRule>
    <cfRule type="cellIs" dxfId="4530" priority="3672" operator="between">
      <formula>11</formula>
      <formula>0</formula>
    </cfRule>
  </conditionalFormatting>
  <conditionalFormatting sqref="S343:S344 N343:N344">
    <cfRule type="cellIs" dxfId="4529" priority="11646" operator="between">
      <formula>11</formula>
      <formula>0</formula>
    </cfRule>
    <cfRule type="cellIs" dxfId="4528" priority="11645" operator="between">
      <formula>12</formula>
      <formula>18</formula>
    </cfRule>
    <cfRule type="cellIs" dxfId="4527" priority="11644" operator="greaterThanOrEqual">
      <formula>20</formula>
    </cfRule>
    <cfRule type="containsBlanks" priority="11643">
      <formula>LEN(TRIM(N343))=0</formula>
    </cfRule>
  </conditionalFormatting>
  <conditionalFormatting sqref="S345 N345">
    <cfRule type="cellIs" dxfId="4526" priority="3599" operator="between">
      <formula>12</formula>
      <formula>18</formula>
    </cfRule>
    <cfRule type="containsBlanks" priority="3597">
      <formula>LEN(TRIM(N345))=0</formula>
    </cfRule>
    <cfRule type="cellIs" dxfId="4525" priority="3598" operator="greaterThanOrEqual">
      <formula>20</formula>
    </cfRule>
    <cfRule type="cellIs" dxfId="4524" priority="3600" operator="between">
      <formula>11</formula>
      <formula>0</formula>
    </cfRule>
  </conditionalFormatting>
  <conditionalFormatting sqref="S356:S357 N356:N357">
    <cfRule type="cellIs" dxfId="4523" priority="11598" operator="between">
      <formula>11</formula>
      <formula>0</formula>
    </cfRule>
    <cfRule type="cellIs" dxfId="4522" priority="11597" operator="between">
      <formula>12</formula>
      <formula>18</formula>
    </cfRule>
    <cfRule type="cellIs" dxfId="4521" priority="11596" operator="greaterThanOrEqual">
      <formula>20</formula>
    </cfRule>
    <cfRule type="containsBlanks" priority="11595">
      <formula>LEN(TRIM(N356))=0</formula>
    </cfRule>
  </conditionalFormatting>
  <conditionalFormatting sqref="S358 N358">
    <cfRule type="cellIs" dxfId="4520" priority="3550" operator="greaterThanOrEqual">
      <formula>20</formula>
    </cfRule>
    <cfRule type="containsBlanks" priority="3549">
      <formula>LEN(TRIM(N358))=0</formula>
    </cfRule>
    <cfRule type="cellIs" dxfId="4519" priority="3552" operator="between">
      <formula>11</formula>
      <formula>0</formula>
    </cfRule>
    <cfRule type="cellIs" dxfId="4518" priority="3551" operator="between">
      <formula>12</formula>
      <formula>18</formula>
    </cfRule>
  </conditionalFormatting>
  <conditionalFormatting sqref="S381:S382 N381:N382 N391 S391">
    <cfRule type="cellIs" dxfId="4517" priority="11358" operator="between">
      <formula>11</formula>
      <formula>0</formula>
    </cfRule>
    <cfRule type="containsBlanks" priority="11355">
      <formula>LEN(TRIM(N381))=0</formula>
    </cfRule>
    <cfRule type="cellIs" dxfId="4516" priority="11357" operator="between">
      <formula>12</formula>
      <formula>18</formula>
    </cfRule>
    <cfRule type="cellIs" dxfId="4515" priority="11356" operator="greaterThanOrEqual">
      <formula>20</formula>
    </cfRule>
  </conditionalFormatting>
  <conditionalFormatting sqref="S383 N383">
    <cfRule type="cellIs" dxfId="4514" priority="3451" operator="between">
      <formula>12</formula>
      <formula>18</formula>
    </cfRule>
    <cfRule type="containsBlanks" priority="3449">
      <formula>LEN(TRIM(N383))=0</formula>
    </cfRule>
    <cfRule type="cellIs" dxfId="4513" priority="3452" operator="between">
      <formula>11</formula>
      <formula>0</formula>
    </cfRule>
    <cfRule type="cellIs" dxfId="4512" priority="3450" operator="greaterThanOrEqual">
      <formula>20</formula>
    </cfRule>
  </conditionalFormatting>
  <conditionalFormatting sqref="S392 N392">
    <cfRule type="cellIs" dxfId="4511" priority="23195" operator="between">
      <formula>11</formula>
      <formula>0</formula>
    </cfRule>
    <cfRule type="containsBlanks" priority="23192">
      <formula>LEN(TRIM(N392))=0</formula>
    </cfRule>
    <cfRule type="cellIs" dxfId="4510" priority="23193" operator="greaterThanOrEqual">
      <formula>20</formula>
    </cfRule>
    <cfRule type="cellIs" dxfId="4509" priority="23194" operator="between">
      <formula>12</formula>
      <formula>18</formula>
    </cfRule>
  </conditionalFormatting>
  <conditionalFormatting sqref="S393 N393">
    <cfRule type="cellIs" dxfId="4508" priority="3356" operator="between">
      <formula>11</formula>
      <formula>0</formula>
    </cfRule>
    <cfRule type="cellIs" dxfId="4507" priority="3355" operator="between">
      <formula>12</formula>
      <formula>18</formula>
    </cfRule>
    <cfRule type="containsBlanks" priority="3353">
      <formula>LEN(TRIM(N393))=0</formula>
    </cfRule>
    <cfRule type="cellIs" dxfId="4506" priority="3354" operator="greaterThanOrEqual">
      <formula>20</formula>
    </cfRule>
  </conditionalFormatting>
  <conditionalFormatting sqref="S399 N399">
    <cfRule type="cellIs" dxfId="4505" priority="3306" operator="greaterThanOrEqual">
      <formula>20</formula>
    </cfRule>
    <cfRule type="cellIs" dxfId="4504" priority="3307" operator="between">
      <formula>12</formula>
      <formula>18</formula>
    </cfRule>
    <cfRule type="containsBlanks" priority="3305">
      <formula>LEN(TRIM(N399))=0</formula>
    </cfRule>
    <cfRule type="cellIs" dxfId="4503" priority="3308" operator="between">
      <formula>11</formula>
      <formula>0</formula>
    </cfRule>
  </conditionalFormatting>
  <conditionalFormatting sqref="S402 N402">
    <cfRule type="cellIs" dxfId="4502" priority="23050" operator="between">
      <formula>12</formula>
      <formula>18</formula>
    </cfRule>
    <cfRule type="cellIs" dxfId="4501" priority="23049" operator="greaterThanOrEqual">
      <formula>20</formula>
    </cfRule>
    <cfRule type="containsBlanks" priority="23048">
      <formula>LEN(TRIM(N402))=0</formula>
    </cfRule>
    <cfRule type="cellIs" dxfId="4500" priority="23051" operator="between">
      <formula>11</formula>
      <formula>0</formula>
    </cfRule>
  </conditionalFormatting>
  <conditionalFormatting sqref="S403 N403">
    <cfRule type="cellIs" dxfId="4499" priority="3282" operator="greaterThanOrEqual">
      <formula>20</formula>
    </cfRule>
    <cfRule type="cellIs" dxfId="4498" priority="3283" operator="between">
      <formula>12</formula>
      <formula>18</formula>
    </cfRule>
    <cfRule type="cellIs" dxfId="4497" priority="3284" operator="between">
      <formula>11</formula>
      <formula>0</formula>
    </cfRule>
    <cfRule type="containsBlanks" priority="3281">
      <formula>LEN(TRIM(N403))=0</formula>
    </cfRule>
  </conditionalFormatting>
  <conditionalFormatting sqref="S404 N404">
    <cfRule type="cellIs" dxfId="4496" priority="3187" operator="between">
      <formula>12</formula>
      <formula>18</formula>
    </cfRule>
    <cfRule type="cellIs" dxfId="4495" priority="3188" operator="between">
      <formula>11</formula>
      <formula>0</formula>
    </cfRule>
    <cfRule type="containsBlanks" priority="3185">
      <formula>LEN(TRIM(N404))=0</formula>
    </cfRule>
    <cfRule type="cellIs" dxfId="4494" priority="3186" operator="greaterThanOrEqual">
      <formula>20</formula>
    </cfRule>
  </conditionalFormatting>
  <conditionalFormatting sqref="S414 N414">
    <cfRule type="containsBlanks" priority="3209">
      <formula>LEN(TRIM(N414))=0</formula>
    </cfRule>
    <cfRule type="cellIs" dxfId="4493" priority="3210" operator="greaterThanOrEqual">
      <formula>20</formula>
    </cfRule>
    <cfRule type="cellIs" dxfId="4492" priority="3212" operator="between">
      <formula>11</formula>
      <formula>0</formula>
    </cfRule>
    <cfRule type="cellIs" dxfId="4491" priority="3211" operator="between">
      <formula>12</formula>
      <formula>18</formula>
    </cfRule>
  </conditionalFormatting>
  <conditionalFormatting sqref="S415 N415">
    <cfRule type="cellIs" dxfId="4490" priority="11140" operator="greaterThanOrEqual">
      <formula>20</formula>
    </cfRule>
    <cfRule type="cellIs" dxfId="4489" priority="11142" operator="between">
      <formula>11</formula>
      <formula>0</formula>
    </cfRule>
    <cfRule type="cellIs" dxfId="4488" priority="11141" operator="between">
      <formula>12</formula>
      <formula>18</formula>
    </cfRule>
    <cfRule type="containsBlanks" priority="11139">
      <formula>LEN(TRIM(N415))=0</formula>
    </cfRule>
  </conditionalFormatting>
  <conditionalFormatting sqref="S416 N416">
    <cfRule type="cellIs" dxfId="4487" priority="3140" operator="between">
      <formula>11</formula>
      <formula>0</formula>
    </cfRule>
    <cfRule type="cellIs" dxfId="4486" priority="3139" operator="between">
      <formula>12</formula>
      <formula>18</formula>
    </cfRule>
    <cfRule type="cellIs" dxfId="4485" priority="3138" operator="greaterThanOrEqual">
      <formula>20</formula>
    </cfRule>
    <cfRule type="containsBlanks" priority="3137">
      <formula>LEN(TRIM(N416))=0</formula>
    </cfRule>
  </conditionalFormatting>
  <conditionalFormatting sqref="S427 S429">
    <cfRule type="cellIs" dxfId="4484" priority="10778" operator="between">
      <formula>11</formula>
      <formula>0</formula>
    </cfRule>
    <cfRule type="containsBlanks" priority="10775">
      <formula>LEN(TRIM(S427))=0</formula>
    </cfRule>
    <cfRule type="cellIs" dxfId="4483" priority="10776" operator="greaterThanOrEqual">
      <formula>20</formula>
    </cfRule>
    <cfRule type="cellIs" dxfId="4482" priority="10777" operator="between">
      <formula>12</formula>
      <formula>18</formula>
    </cfRule>
  </conditionalFormatting>
  <conditionalFormatting sqref="S430 N430">
    <cfRule type="cellIs" dxfId="4481" priority="3091" operator="between">
      <formula>12</formula>
      <formula>18</formula>
    </cfRule>
    <cfRule type="cellIs" dxfId="4480" priority="3092" operator="between">
      <formula>11</formula>
      <formula>0</formula>
    </cfRule>
    <cfRule type="cellIs" dxfId="4479" priority="3090" operator="greaterThanOrEqual">
      <formula>20</formula>
    </cfRule>
    <cfRule type="containsBlanks" priority="3089">
      <formula>LEN(TRIM(N430))=0</formula>
    </cfRule>
  </conditionalFormatting>
  <conditionalFormatting sqref="S442">
    <cfRule type="cellIs" dxfId="4478" priority="3039" operator="greaterThanOrEqual">
      <formula>20</formula>
    </cfRule>
    <cfRule type="cellIs" dxfId="4477" priority="3040" operator="between">
      <formula>12</formula>
      <formula>18</formula>
    </cfRule>
    <cfRule type="containsBlanks" priority="3038">
      <formula>LEN(TRIM(S442))=0</formula>
    </cfRule>
    <cfRule type="cellIs" dxfId="4476" priority="3041" operator="between">
      <formula>11</formula>
      <formula>0</formula>
    </cfRule>
  </conditionalFormatting>
  <conditionalFormatting sqref="S443 N443">
    <cfRule type="containsBlanks" priority="3013">
      <formula>LEN(TRIM(N443))=0</formula>
    </cfRule>
    <cfRule type="cellIs" dxfId="4475" priority="3014" operator="greaterThanOrEqual">
      <formula>20</formula>
    </cfRule>
    <cfRule type="cellIs" dxfId="4474" priority="3015" operator="between">
      <formula>12</formula>
      <formula>18</formula>
    </cfRule>
    <cfRule type="cellIs" dxfId="4473" priority="3016" operator="between">
      <formula>11</formula>
      <formula>0</formula>
    </cfRule>
  </conditionalFormatting>
  <conditionalFormatting sqref="S454 N454">
    <cfRule type="containsBlanks" priority="2965">
      <formula>LEN(TRIM(N454))=0</formula>
    </cfRule>
    <cfRule type="cellIs" dxfId="4472" priority="2966" operator="greaterThanOrEqual">
      <formula>20</formula>
    </cfRule>
    <cfRule type="cellIs" dxfId="4471" priority="2967" operator="between">
      <formula>12</formula>
      <formula>18</formula>
    </cfRule>
    <cfRule type="cellIs" dxfId="4470" priority="2968" operator="between">
      <formula>11</formula>
      <formula>0</formula>
    </cfRule>
  </conditionalFormatting>
  <conditionalFormatting sqref="S463:S464 N463:N464">
    <cfRule type="containsBlanks" priority="22663">
      <formula>LEN(TRIM(N463))=0</formula>
    </cfRule>
    <cfRule type="cellIs" dxfId="4469" priority="22665" operator="between">
      <formula>12</formula>
      <formula>18</formula>
    </cfRule>
    <cfRule type="cellIs" dxfId="4468" priority="22666" operator="between">
      <formula>11</formula>
      <formula>0</formula>
    </cfRule>
    <cfRule type="cellIs" dxfId="4467" priority="22664" operator="greaterThanOrEqual">
      <formula>20</formula>
    </cfRule>
  </conditionalFormatting>
  <conditionalFormatting sqref="S465 N465">
    <cfRule type="cellIs" dxfId="4466" priority="2918" operator="greaterThanOrEqual">
      <formula>20</formula>
    </cfRule>
    <cfRule type="cellIs" dxfId="4465" priority="2919" operator="between">
      <formula>12</formula>
      <formula>18</formula>
    </cfRule>
    <cfRule type="containsBlanks" priority="2917">
      <formula>LEN(TRIM(N465))=0</formula>
    </cfRule>
    <cfRule type="cellIs" dxfId="4464" priority="2920" operator="between">
      <formula>11</formula>
      <formula>0</formula>
    </cfRule>
  </conditionalFormatting>
  <conditionalFormatting sqref="S475 N475">
    <cfRule type="cellIs" dxfId="4463" priority="2872" operator="between">
      <formula>11</formula>
      <formula>0</formula>
    </cfRule>
    <cfRule type="cellIs" dxfId="4462" priority="2870" operator="greaterThanOrEqual">
      <formula>20</formula>
    </cfRule>
    <cfRule type="containsBlanks" priority="2869">
      <formula>LEN(TRIM(N475))=0</formula>
    </cfRule>
    <cfRule type="cellIs" dxfId="4461" priority="2871" operator="between">
      <formula>12</formula>
      <formula>18</formula>
    </cfRule>
  </conditionalFormatting>
  <conditionalFormatting sqref="S484 N484">
    <cfRule type="cellIs" dxfId="4460" priority="2823" operator="between">
      <formula>12</formula>
      <formula>18</formula>
    </cfRule>
    <cfRule type="containsBlanks" priority="2821">
      <formula>LEN(TRIM(N484))=0</formula>
    </cfRule>
    <cfRule type="cellIs" dxfId="4459" priority="2824" operator="between">
      <formula>11</formula>
      <formula>0</formula>
    </cfRule>
    <cfRule type="cellIs" dxfId="4458" priority="2822" operator="greaterThanOrEqual">
      <formula>20</formula>
    </cfRule>
  </conditionalFormatting>
  <conditionalFormatting sqref="S485 N485">
    <cfRule type="cellIs" dxfId="4457" priority="22546" operator="between">
      <formula>11</formula>
      <formula>0</formula>
    </cfRule>
    <cfRule type="cellIs" dxfId="4456" priority="22544" operator="greaterThanOrEqual">
      <formula>20</formula>
    </cfRule>
    <cfRule type="containsBlanks" priority="22543">
      <formula>LEN(TRIM(N485))=0</formula>
    </cfRule>
    <cfRule type="cellIs" dxfId="4455" priority="22545" operator="between">
      <formula>12</formula>
      <formula>18</formula>
    </cfRule>
  </conditionalFormatting>
  <conditionalFormatting sqref="S486 N486">
    <cfRule type="cellIs" dxfId="4454" priority="2752" operator="between">
      <formula>11</formula>
      <formula>0</formula>
    </cfRule>
    <cfRule type="containsBlanks" priority="2749">
      <formula>LEN(TRIM(N486))=0</formula>
    </cfRule>
    <cfRule type="cellIs" dxfId="4453" priority="2750" operator="greaterThanOrEqual">
      <formula>20</formula>
    </cfRule>
    <cfRule type="cellIs" dxfId="4452" priority="2751" operator="between">
      <formula>12</formula>
      <formula>18</formula>
    </cfRule>
  </conditionalFormatting>
  <conditionalFormatting sqref="S498 N498">
    <cfRule type="containsBlanks" priority="2701">
      <formula>LEN(TRIM(N498))=0</formula>
    </cfRule>
    <cfRule type="cellIs" dxfId="4451" priority="2704" operator="between">
      <formula>11</formula>
      <formula>0</formula>
    </cfRule>
    <cfRule type="cellIs" dxfId="4450" priority="2703" operator="between">
      <formula>12</formula>
      <formula>18</formula>
    </cfRule>
    <cfRule type="cellIs" dxfId="4449" priority="2702" operator="greaterThanOrEqual">
      <formula>20</formula>
    </cfRule>
  </conditionalFormatting>
  <conditionalFormatting sqref="S499 N499">
    <cfRule type="cellIs" dxfId="4448" priority="2680" operator="between">
      <formula>11</formula>
      <formula>0</formula>
    </cfRule>
    <cfRule type="cellIs" dxfId="4447" priority="2678" operator="greaterThanOrEqual">
      <formula>20</formula>
    </cfRule>
    <cfRule type="cellIs" dxfId="4446" priority="2679" operator="between">
      <formula>12</formula>
      <formula>18</formula>
    </cfRule>
    <cfRule type="containsBlanks" priority="2677">
      <formula>LEN(TRIM(N499))=0</formula>
    </cfRule>
  </conditionalFormatting>
  <conditionalFormatting sqref="S508 N508">
    <cfRule type="cellIs" dxfId="4445" priority="47816" operator="greaterThanOrEqual">
      <formula>20</formula>
    </cfRule>
    <cfRule type="containsBlanks" priority="47815">
      <formula>LEN(TRIM(N508))=0</formula>
    </cfRule>
    <cfRule type="cellIs" dxfId="4444" priority="47818" operator="between">
      <formula>11</formula>
      <formula>0</formula>
    </cfRule>
    <cfRule type="cellIs" dxfId="4443" priority="47817" operator="between">
      <formula>12</formula>
      <formula>18</formula>
    </cfRule>
  </conditionalFormatting>
  <conditionalFormatting sqref="S509 N509">
    <cfRule type="cellIs" dxfId="4442" priority="2608" operator="between">
      <formula>11</formula>
      <formula>0</formula>
    </cfRule>
    <cfRule type="cellIs" dxfId="4441" priority="2607" operator="between">
      <formula>12</formula>
      <formula>18</formula>
    </cfRule>
    <cfRule type="cellIs" dxfId="4440" priority="2606" operator="greaterThanOrEqual">
      <formula>20</formula>
    </cfRule>
    <cfRule type="containsBlanks" priority="2605">
      <formula>LEN(TRIM(N509))=0</formula>
    </cfRule>
  </conditionalFormatting>
  <conditionalFormatting sqref="S510 N510">
    <cfRule type="containsBlanks" priority="2629">
      <formula>LEN(TRIM(N510))=0</formula>
    </cfRule>
    <cfRule type="cellIs" dxfId="4439" priority="2631" operator="between">
      <formula>12</formula>
      <formula>18</formula>
    </cfRule>
    <cfRule type="cellIs" dxfId="4438" priority="2630" operator="greaterThanOrEqual">
      <formula>20</formula>
    </cfRule>
    <cfRule type="cellIs" dxfId="4437" priority="2632" operator="between">
      <formula>11</formula>
      <formula>0</formula>
    </cfRule>
  </conditionalFormatting>
  <conditionalFormatting sqref="S519 N519">
    <cfRule type="cellIs" dxfId="4436" priority="47626" operator="between">
      <formula>11</formula>
      <formula>0</formula>
    </cfRule>
    <cfRule type="containsBlanks" priority="47623">
      <formula>LEN(TRIM(N519))=0</formula>
    </cfRule>
    <cfRule type="cellIs" dxfId="4435" priority="47625" operator="between">
      <formula>12</formula>
      <formula>18</formula>
    </cfRule>
    <cfRule type="cellIs" dxfId="4434" priority="47624" operator="greaterThanOrEqual">
      <formula>20</formula>
    </cfRule>
  </conditionalFormatting>
  <conditionalFormatting sqref="S520 N520">
    <cfRule type="cellIs" dxfId="4433" priority="2534" operator="greaterThanOrEqual">
      <formula>20</formula>
    </cfRule>
    <cfRule type="cellIs" dxfId="4432" priority="2536" operator="between">
      <formula>11</formula>
      <formula>0</formula>
    </cfRule>
    <cfRule type="cellIs" dxfId="4431" priority="2535" operator="between">
      <formula>12</formula>
      <formula>18</formula>
    </cfRule>
    <cfRule type="containsBlanks" priority="2533">
      <formula>LEN(TRIM(N520))=0</formula>
    </cfRule>
  </conditionalFormatting>
  <conditionalFormatting sqref="S521 N521">
    <cfRule type="cellIs" dxfId="4430" priority="2488" operator="between">
      <formula>11</formula>
      <formula>0</formula>
    </cfRule>
    <cfRule type="containsBlanks" priority="2485">
      <formula>LEN(TRIM(N521))=0</formula>
    </cfRule>
    <cfRule type="cellIs" dxfId="4429" priority="2486" operator="greaterThanOrEqual">
      <formula>20</formula>
    </cfRule>
    <cfRule type="cellIs" dxfId="4428" priority="2487" operator="between">
      <formula>12</formula>
      <formula>18</formula>
    </cfRule>
  </conditionalFormatting>
  <conditionalFormatting sqref="S530:S531 N530:N531">
    <cfRule type="cellIs" dxfId="4427" priority="52834" operator="between">
      <formula>11</formula>
      <formula>0</formula>
    </cfRule>
    <cfRule type="containsBlanks" priority="52831">
      <formula>LEN(TRIM(N530))=0</formula>
    </cfRule>
    <cfRule type="cellIs" dxfId="4426" priority="52832" operator="greaterThanOrEqual">
      <formula>20</formula>
    </cfRule>
    <cfRule type="cellIs" dxfId="4425" priority="52833" operator="between">
      <formula>12</formula>
      <formula>18</formula>
    </cfRule>
  </conditionalFormatting>
  <conditionalFormatting sqref="S532 N532">
    <cfRule type="containsBlanks" priority="2437">
      <formula>LEN(TRIM(N532))=0</formula>
    </cfRule>
    <cfRule type="cellIs" dxfId="4424" priority="2439" operator="between">
      <formula>12</formula>
      <formula>18</formula>
    </cfRule>
    <cfRule type="cellIs" dxfId="4423" priority="2440" operator="between">
      <formula>11</formula>
      <formula>0</formula>
    </cfRule>
    <cfRule type="cellIs" dxfId="4422" priority="2438" operator="greaterThanOrEqual">
      <formula>20</formula>
    </cfRule>
  </conditionalFormatting>
  <conditionalFormatting sqref="S541 N541">
    <cfRule type="cellIs" dxfId="4421" priority="2368" operator="between">
      <formula>11</formula>
      <formula>0</formula>
    </cfRule>
    <cfRule type="cellIs" dxfId="4420" priority="2367" operator="between">
      <formula>12</formula>
      <formula>18</formula>
    </cfRule>
    <cfRule type="containsBlanks" priority="2365">
      <formula>LEN(TRIM(N541))=0</formula>
    </cfRule>
    <cfRule type="cellIs" dxfId="4419" priority="2366" operator="greaterThanOrEqual">
      <formula>20</formula>
    </cfRule>
  </conditionalFormatting>
  <conditionalFormatting sqref="S542 N542">
    <cfRule type="cellIs" dxfId="4418" priority="2391" operator="between">
      <formula>12</formula>
      <formula>18</formula>
    </cfRule>
    <cfRule type="cellIs" dxfId="4417" priority="2390" operator="greaterThanOrEqual">
      <formula>20</formula>
    </cfRule>
    <cfRule type="cellIs" dxfId="4416" priority="2392" operator="between">
      <formula>11</formula>
      <formula>0</formula>
    </cfRule>
    <cfRule type="containsBlanks" priority="2389">
      <formula>LEN(TRIM(N542))=0</formula>
    </cfRule>
  </conditionalFormatting>
  <conditionalFormatting sqref="S543 N543">
    <cfRule type="cellIs" dxfId="4415" priority="2319" operator="between">
      <formula>12</formula>
      <formula>18</formula>
    </cfRule>
    <cfRule type="cellIs" dxfId="4414" priority="2320" operator="between">
      <formula>11</formula>
      <formula>0</formula>
    </cfRule>
    <cfRule type="cellIs" dxfId="4413" priority="2318" operator="greaterThanOrEqual">
      <formula>20</formula>
    </cfRule>
    <cfRule type="containsBlanks" priority="2317">
      <formula>LEN(TRIM(N543))=0</formula>
    </cfRule>
  </conditionalFormatting>
  <conditionalFormatting sqref="S549 N549">
    <cfRule type="containsBlanks" priority="2269">
      <formula>LEN(TRIM(N549))=0</formula>
    </cfRule>
    <cfRule type="cellIs" dxfId="4412" priority="2272" operator="between">
      <formula>11</formula>
      <formula>0</formula>
    </cfRule>
    <cfRule type="cellIs" dxfId="4411" priority="2270" operator="greaterThanOrEqual">
      <formula>20</formula>
    </cfRule>
    <cfRule type="cellIs" dxfId="4410" priority="2271" operator="between">
      <formula>12</formula>
      <formula>18</formula>
    </cfRule>
  </conditionalFormatting>
  <conditionalFormatting sqref="S554 N554">
    <cfRule type="containsBlanks" priority="2245">
      <formula>LEN(TRIM(N554))=0</formula>
    </cfRule>
    <cfRule type="cellIs" dxfId="4409" priority="2247" operator="between">
      <formula>12</formula>
      <formula>18</formula>
    </cfRule>
    <cfRule type="cellIs" dxfId="4408" priority="2248" operator="between">
      <formula>11</formula>
      <formula>0</formula>
    </cfRule>
    <cfRule type="cellIs" dxfId="4407" priority="2246" operator="greaterThanOrEqual">
      <formula>20</formula>
    </cfRule>
  </conditionalFormatting>
  <conditionalFormatting sqref="S562 N562">
    <cfRule type="containsBlanks" priority="2125">
      <formula>LEN(TRIM(N562))=0</formula>
    </cfRule>
    <cfRule type="cellIs" dxfId="4406" priority="2128" operator="between">
      <formula>11</formula>
      <formula>0</formula>
    </cfRule>
    <cfRule type="cellIs" dxfId="4405" priority="2126" operator="greaterThanOrEqual">
      <formula>20</formula>
    </cfRule>
    <cfRule type="cellIs" dxfId="4404" priority="2127" operator="between">
      <formula>12</formula>
      <formula>18</formula>
    </cfRule>
  </conditionalFormatting>
  <conditionalFormatting sqref="S563 N563">
    <cfRule type="cellIs" dxfId="4403" priority="60558" operator="between">
      <formula>11</formula>
      <formula>0</formula>
    </cfRule>
    <cfRule type="containsBlanks" priority="60555">
      <formula>LEN(TRIM(N563))=0</formula>
    </cfRule>
    <cfRule type="cellIs" dxfId="4402" priority="60557" operator="between">
      <formula>12</formula>
      <formula>18</formula>
    </cfRule>
    <cfRule type="cellIs" dxfId="4401" priority="60556" operator="greaterThanOrEqual">
      <formula>20</formula>
    </cfRule>
  </conditionalFormatting>
  <conditionalFormatting sqref="S565 N565">
    <cfRule type="cellIs" dxfId="4400" priority="2079" operator="between">
      <formula>12</formula>
      <formula>18</formula>
    </cfRule>
    <cfRule type="cellIs" dxfId="4399" priority="2080" operator="between">
      <formula>11</formula>
      <formula>0</formula>
    </cfRule>
    <cfRule type="cellIs" dxfId="4398" priority="2078" operator="greaterThanOrEqual">
      <formula>20</formula>
    </cfRule>
    <cfRule type="containsBlanks" priority="2077">
      <formula>LEN(TRIM(N565))=0</formula>
    </cfRule>
  </conditionalFormatting>
  <conditionalFormatting sqref="S576 N576">
    <cfRule type="containsBlanks" priority="60507">
      <formula>LEN(TRIM(N576))=0</formula>
    </cfRule>
    <cfRule type="cellIs" dxfId="4397" priority="60510" operator="between">
      <formula>11</formula>
      <formula>0</formula>
    </cfRule>
    <cfRule type="cellIs" dxfId="4396" priority="60509" operator="between">
      <formula>12</formula>
      <formula>18</formula>
    </cfRule>
    <cfRule type="cellIs" dxfId="4395" priority="60508" operator="greaterThanOrEqual">
      <formula>20</formula>
    </cfRule>
  </conditionalFormatting>
  <conditionalFormatting sqref="S578 N578">
    <cfRule type="cellIs" dxfId="4394" priority="1983" operator="between">
      <formula>12</formula>
      <formula>18</formula>
    </cfRule>
    <cfRule type="cellIs" dxfId="4393" priority="1984" operator="between">
      <formula>11</formula>
      <formula>0</formula>
    </cfRule>
    <cfRule type="cellIs" dxfId="4392" priority="1982" operator="greaterThanOrEqual">
      <formula>20</formula>
    </cfRule>
    <cfRule type="containsBlanks" priority="1981">
      <formula>LEN(TRIM(N578))=0</formula>
    </cfRule>
  </conditionalFormatting>
  <conditionalFormatting sqref="S587 N587">
    <cfRule type="cellIs" dxfId="4391" priority="1935" operator="between">
      <formula>12</formula>
      <formula>18</formula>
    </cfRule>
    <cfRule type="cellIs" dxfId="4390" priority="1936" operator="between">
      <formula>11</formula>
      <formula>0</formula>
    </cfRule>
    <cfRule type="containsBlanks" priority="1933">
      <formula>LEN(TRIM(N587))=0</formula>
    </cfRule>
    <cfRule type="cellIs" dxfId="4389" priority="1934" operator="greaterThanOrEqual">
      <formula>20</formula>
    </cfRule>
  </conditionalFormatting>
  <conditionalFormatting sqref="S588:S590 N588:N590 N592 S592 S594 N594">
    <cfRule type="containsBlanks" priority="60410">
      <formula>LEN(TRIM(N588))=0</formula>
    </cfRule>
    <cfRule type="cellIs" dxfId="4388" priority="60412" operator="between">
      <formula>12</formula>
      <formula>18</formula>
    </cfRule>
    <cfRule type="cellIs" dxfId="4387" priority="60413" operator="between">
      <formula>11</formula>
      <formula>0</formula>
    </cfRule>
    <cfRule type="cellIs" dxfId="4386" priority="60411" operator="greaterThanOrEqual">
      <formula>20</formula>
    </cfRule>
  </conditionalFormatting>
  <conditionalFormatting sqref="S604 N604">
    <cfRule type="cellIs" dxfId="4385" priority="60365" operator="between">
      <formula>11</formula>
      <formula>0</formula>
    </cfRule>
    <cfRule type="cellIs" dxfId="4384" priority="60363" operator="greaterThanOrEqual">
      <formula>20</formula>
    </cfRule>
    <cfRule type="containsBlanks" priority="60362">
      <formula>LEN(TRIM(N604))=0</formula>
    </cfRule>
    <cfRule type="cellIs" dxfId="4383" priority="60364" operator="between">
      <formula>12</formula>
      <formula>18</formula>
    </cfRule>
  </conditionalFormatting>
  <conditionalFormatting sqref="S605:S612 N605:N612">
    <cfRule type="cellIs" dxfId="4382" priority="60316" operator="between">
      <formula>12</formula>
      <formula>18</formula>
    </cfRule>
    <cfRule type="cellIs" dxfId="4381" priority="60317" operator="between">
      <formula>11</formula>
      <formula>0</formula>
    </cfRule>
    <cfRule type="cellIs" dxfId="4380" priority="60315" operator="greaterThanOrEqual">
      <formula>20</formula>
    </cfRule>
    <cfRule type="containsBlanks" priority="60314">
      <formula>LEN(TRIM(N605))=0</formula>
    </cfRule>
  </conditionalFormatting>
  <conditionalFormatting sqref="S616:S621 N616:N621">
    <cfRule type="cellIs" dxfId="4379" priority="60243" operator="greaterThanOrEqual">
      <formula>20</formula>
    </cfRule>
    <cfRule type="containsBlanks" priority="60242">
      <formula>LEN(TRIM(N616))=0</formula>
    </cfRule>
    <cfRule type="cellIs" dxfId="4378" priority="60245" operator="between">
      <formula>11</formula>
      <formula>0</formula>
    </cfRule>
    <cfRule type="cellIs" dxfId="4377" priority="60244" operator="between">
      <formula>12</formula>
      <formula>18</formula>
    </cfRule>
  </conditionalFormatting>
  <conditionalFormatting sqref="S623:S625 N623:N625">
    <cfRule type="cellIs" dxfId="4376" priority="60219" operator="greaterThanOrEqual">
      <formula>20</formula>
    </cfRule>
    <cfRule type="cellIs" dxfId="4375" priority="60220" operator="between">
      <formula>12</formula>
      <formula>18</formula>
    </cfRule>
    <cfRule type="cellIs" dxfId="4374" priority="60221" operator="between">
      <formula>11</formula>
      <formula>0</formula>
    </cfRule>
    <cfRule type="containsBlanks" priority="60218">
      <formula>LEN(TRIM(N623))=0</formula>
    </cfRule>
  </conditionalFormatting>
  <conditionalFormatting sqref="S627 N627">
    <cfRule type="containsBlanks" priority="60170">
      <formula>LEN(TRIM(N627))=0</formula>
    </cfRule>
    <cfRule type="cellIs" dxfId="4373" priority="60171" operator="greaterThanOrEqual">
      <formula>20</formula>
    </cfRule>
    <cfRule type="cellIs" dxfId="4372" priority="60172" operator="between">
      <formula>12</formula>
      <formula>18</formula>
    </cfRule>
    <cfRule type="cellIs" dxfId="4371" priority="60173" operator="between">
      <formula>11</formula>
      <formula>0</formula>
    </cfRule>
  </conditionalFormatting>
  <conditionalFormatting sqref="S629:S634 N629:N634">
    <cfRule type="cellIs" dxfId="4370" priority="60100" operator="between">
      <formula>12</formula>
      <formula>18</formula>
    </cfRule>
    <cfRule type="cellIs" dxfId="4369" priority="60099" operator="greaterThanOrEqual">
      <formula>20</formula>
    </cfRule>
    <cfRule type="containsBlanks" priority="60098">
      <formula>LEN(TRIM(N629))=0</formula>
    </cfRule>
    <cfRule type="cellIs" dxfId="4368" priority="60101" operator="between">
      <formula>11</formula>
      <formula>0</formula>
    </cfRule>
  </conditionalFormatting>
  <conditionalFormatting sqref="S635 N635">
    <cfRule type="containsBlanks" priority="60122">
      <formula>LEN(TRIM(N635))=0</formula>
    </cfRule>
    <cfRule type="cellIs" dxfId="4367" priority="60123" operator="greaterThanOrEqual">
      <formula>20</formula>
    </cfRule>
    <cfRule type="cellIs" dxfId="4366" priority="60125" operator="between">
      <formula>11</formula>
      <formula>0</formula>
    </cfRule>
    <cfRule type="cellIs" dxfId="4365" priority="60124" operator="between">
      <formula>12</formula>
      <formula>18</formula>
    </cfRule>
  </conditionalFormatting>
  <conditionalFormatting sqref="S636:S638 N636:N638">
    <cfRule type="containsBlanks" priority="60074">
      <formula>LEN(TRIM(N636))=0</formula>
    </cfRule>
    <cfRule type="cellIs" dxfId="4364" priority="60075" operator="greaterThanOrEqual">
      <formula>20</formula>
    </cfRule>
    <cfRule type="cellIs" dxfId="4363" priority="60077" operator="between">
      <formula>11</formula>
      <formula>0</formula>
    </cfRule>
    <cfRule type="cellIs" dxfId="4362" priority="60076" operator="between">
      <formula>12</formula>
      <formula>18</formula>
    </cfRule>
  </conditionalFormatting>
  <conditionalFormatting sqref="S642:S653 N642:N653">
    <cfRule type="containsBlanks" priority="60026">
      <formula>LEN(TRIM(N642))=0</formula>
    </cfRule>
    <cfRule type="cellIs" dxfId="4361" priority="60029" operator="between">
      <formula>11</formula>
      <formula>0</formula>
    </cfRule>
    <cfRule type="cellIs" dxfId="4360" priority="60027" operator="greaterThanOrEqual">
      <formula>20</formula>
    </cfRule>
    <cfRule type="cellIs" dxfId="4359" priority="60028" operator="between">
      <formula>12</formula>
      <formula>18</formula>
    </cfRule>
  </conditionalFormatting>
  <conditionalFormatting sqref="S657:S661 N657:N661">
    <cfRule type="containsBlanks" priority="59978">
      <formula>LEN(TRIM(N657))=0</formula>
    </cfRule>
    <cfRule type="cellIs" dxfId="4358" priority="59980" operator="between">
      <formula>12</formula>
      <formula>18</formula>
    </cfRule>
    <cfRule type="cellIs" dxfId="4357" priority="59979" operator="greaterThanOrEqual">
      <formula>20</formula>
    </cfRule>
    <cfRule type="cellIs" dxfId="4356" priority="59981" operator="between">
      <formula>11</formula>
      <formula>0</formula>
    </cfRule>
  </conditionalFormatting>
  <conditionalFormatting sqref="S665:S667 N665:N667">
    <cfRule type="cellIs" dxfId="4355" priority="59932" operator="between">
      <formula>12</formula>
      <formula>18</formula>
    </cfRule>
    <cfRule type="containsBlanks" priority="59930">
      <formula>LEN(TRIM(N665))=0</formula>
    </cfRule>
    <cfRule type="cellIs" dxfId="4354" priority="59933" operator="between">
      <formula>11</formula>
      <formula>0</formula>
    </cfRule>
    <cfRule type="cellIs" dxfId="4353" priority="59931" operator="greaterThanOrEqual">
      <formula>20</formula>
    </cfRule>
  </conditionalFormatting>
  <conditionalFormatting sqref="S670:S671 N670:N671">
    <cfRule type="cellIs" dxfId="4352" priority="59908" operator="between">
      <formula>12</formula>
      <formula>18</formula>
    </cfRule>
    <cfRule type="cellIs" dxfId="4351" priority="59909" operator="between">
      <formula>11</formula>
      <formula>0</formula>
    </cfRule>
    <cfRule type="containsBlanks" priority="59906">
      <formula>LEN(TRIM(N670))=0</formula>
    </cfRule>
    <cfRule type="cellIs" dxfId="4350" priority="59907" operator="greaterThanOrEqual">
      <formula>20</formula>
    </cfRule>
  </conditionalFormatting>
  <conditionalFormatting sqref="S675:S678 N675:N678">
    <cfRule type="cellIs" dxfId="4349" priority="59816" operator="between">
      <formula>12</formula>
      <formula>18</formula>
    </cfRule>
    <cfRule type="containsBlanks" priority="59814">
      <formula>LEN(TRIM(N675))=0</formula>
    </cfRule>
    <cfRule type="cellIs" dxfId="4348" priority="59817" operator="between">
      <formula>11</formula>
      <formula>0</formula>
    </cfRule>
    <cfRule type="cellIs" dxfId="4347" priority="59815" operator="greaterThanOrEqual">
      <formula>20</formula>
    </cfRule>
  </conditionalFormatting>
  <conditionalFormatting sqref="S680:S681 N680:N681">
    <cfRule type="containsBlanks" priority="59790">
      <formula>LEN(TRIM(N680))=0</formula>
    </cfRule>
    <cfRule type="cellIs" dxfId="4346" priority="59793" operator="between">
      <formula>11</formula>
      <formula>0</formula>
    </cfRule>
    <cfRule type="cellIs" dxfId="4345" priority="59792" operator="between">
      <formula>12</formula>
      <formula>18</formula>
    </cfRule>
    <cfRule type="cellIs" dxfId="4344" priority="59791" operator="greaterThanOrEqual">
      <formula>20</formula>
    </cfRule>
  </conditionalFormatting>
  <conditionalFormatting sqref="S685:S689 N685:N689 N693:N695 S693:S695 N691 S691">
    <cfRule type="cellIs" dxfId="4343" priority="59723" operator="greaterThanOrEqual">
      <formula>20</formula>
    </cfRule>
    <cfRule type="cellIs" dxfId="4342" priority="59725" operator="between">
      <formula>11</formula>
      <formula>0</formula>
    </cfRule>
    <cfRule type="cellIs" dxfId="4341" priority="59724" operator="between">
      <formula>12</formula>
      <formula>18</formula>
    </cfRule>
    <cfRule type="containsBlanks" priority="59722">
      <formula>LEN(TRIM(N685))=0</formula>
    </cfRule>
  </conditionalFormatting>
  <conditionalFormatting sqref="S690 N690">
    <cfRule type="cellIs" dxfId="4340" priority="59629" operator="between">
      <formula>11</formula>
      <formula>0</formula>
    </cfRule>
    <cfRule type="cellIs" dxfId="4339" priority="59627" operator="greaterThanOrEqual">
      <formula>20</formula>
    </cfRule>
    <cfRule type="cellIs" dxfId="4338" priority="59628" operator="between">
      <formula>12</formula>
      <formula>18</formula>
    </cfRule>
    <cfRule type="containsBlanks" priority="59626">
      <formula>LEN(TRIM(N690))=0</formula>
    </cfRule>
  </conditionalFormatting>
  <conditionalFormatting sqref="S692 N692">
    <cfRule type="cellIs" dxfId="4337" priority="59652" operator="between">
      <formula>12</formula>
      <formula>18</formula>
    </cfRule>
    <cfRule type="cellIs" dxfId="4336" priority="59653" operator="between">
      <formula>11</formula>
      <formula>0</formula>
    </cfRule>
    <cfRule type="cellIs" dxfId="4335" priority="59651" operator="greaterThanOrEqual">
      <formula>20</formula>
    </cfRule>
    <cfRule type="containsBlanks" priority="59650">
      <formula>LEN(TRIM(N692))=0</formula>
    </cfRule>
  </conditionalFormatting>
  <conditionalFormatting sqref="S696 N696">
    <cfRule type="containsBlanks" priority="59698">
      <formula>LEN(TRIM(N696))=0</formula>
    </cfRule>
    <cfRule type="cellIs" dxfId="4334" priority="59701" operator="between">
      <formula>11</formula>
      <formula>0</formula>
    </cfRule>
    <cfRule type="cellIs" dxfId="4333" priority="59699" operator="greaterThanOrEqual">
      <formula>20</formula>
    </cfRule>
    <cfRule type="cellIs" dxfId="4332" priority="59700" operator="between">
      <formula>12</formula>
      <formula>18</formula>
    </cfRule>
  </conditionalFormatting>
  <conditionalFormatting sqref="S698 N698">
    <cfRule type="cellIs" dxfId="4331" priority="59677" operator="between">
      <formula>11</formula>
      <formula>0</formula>
    </cfRule>
    <cfRule type="cellIs" dxfId="4330" priority="59676" operator="between">
      <formula>12</formula>
      <formula>18</formula>
    </cfRule>
    <cfRule type="cellIs" dxfId="4329" priority="59675" operator="greaterThanOrEqual">
      <formula>20</formula>
    </cfRule>
    <cfRule type="containsBlanks" priority="59674">
      <formula>LEN(TRIM(N698))=0</formula>
    </cfRule>
  </conditionalFormatting>
  <conditionalFormatting sqref="S708 N708">
    <cfRule type="cellIs" dxfId="4328" priority="59580" operator="between">
      <formula>12</formula>
      <formula>18</formula>
    </cfRule>
    <cfRule type="containsBlanks" priority="59578">
      <formula>LEN(TRIM(N708))=0</formula>
    </cfRule>
    <cfRule type="cellIs" dxfId="4327" priority="59579" operator="greaterThanOrEqual">
      <formula>20</formula>
    </cfRule>
    <cfRule type="cellIs" dxfId="4326" priority="59581" operator="between">
      <formula>11</formula>
      <formula>0</formula>
    </cfRule>
  </conditionalFormatting>
  <conditionalFormatting sqref="S709:S716 N709:N716">
    <cfRule type="containsBlanks" priority="59530">
      <formula>LEN(TRIM(N709))=0</formula>
    </cfRule>
    <cfRule type="cellIs" dxfId="4325" priority="59533" operator="between">
      <formula>11</formula>
      <formula>0</formula>
    </cfRule>
    <cfRule type="cellIs" dxfId="4324" priority="59532" operator="between">
      <formula>12</formula>
      <formula>18</formula>
    </cfRule>
    <cfRule type="cellIs" dxfId="4323" priority="59531" operator="greaterThanOrEqual">
      <formula>20</formula>
    </cfRule>
  </conditionalFormatting>
  <conditionalFormatting sqref="S726 N726">
    <cfRule type="containsBlanks" priority="59482">
      <formula>LEN(TRIM(N726))=0</formula>
    </cfRule>
    <cfRule type="cellIs" dxfId="4322" priority="59483" operator="greaterThanOrEqual">
      <formula>20</formula>
    </cfRule>
    <cfRule type="cellIs" dxfId="4321" priority="59484" operator="between">
      <formula>12</formula>
      <formula>18</formula>
    </cfRule>
    <cfRule type="cellIs" dxfId="4320" priority="59485" operator="between">
      <formula>11</formula>
      <formula>0</formula>
    </cfRule>
  </conditionalFormatting>
  <conditionalFormatting sqref="S727:S734 N727:N734">
    <cfRule type="cellIs" dxfId="4319" priority="59436" operator="between">
      <formula>12</formula>
      <formula>18</formula>
    </cfRule>
    <cfRule type="cellIs" dxfId="4318" priority="59437" operator="between">
      <formula>11</formula>
      <formula>0</formula>
    </cfRule>
    <cfRule type="cellIs" dxfId="4317" priority="59435" operator="greaterThanOrEqual">
      <formula>20</formula>
    </cfRule>
    <cfRule type="containsBlanks" priority="59434">
      <formula>LEN(TRIM(N727))=0</formula>
    </cfRule>
  </conditionalFormatting>
  <conditionalFormatting sqref="S744 N744">
    <cfRule type="containsBlanks" priority="59386">
      <formula>LEN(TRIM(N744))=0</formula>
    </cfRule>
    <cfRule type="cellIs" dxfId="4316" priority="59388" operator="between">
      <formula>12</formula>
      <formula>18</formula>
    </cfRule>
    <cfRule type="cellIs" dxfId="4315" priority="59387" operator="greaterThanOrEqual">
      <formula>20</formula>
    </cfRule>
    <cfRule type="cellIs" dxfId="4314" priority="59389" operator="between">
      <formula>11</formula>
      <formula>0</formula>
    </cfRule>
  </conditionalFormatting>
  <conditionalFormatting sqref="S745:S752 N745:N752">
    <cfRule type="containsBlanks" priority="59338">
      <formula>LEN(TRIM(N745))=0</formula>
    </cfRule>
    <cfRule type="cellIs" dxfId="4313" priority="59340" operator="between">
      <formula>12</formula>
      <formula>18</formula>
    </cfRule>
    <cfRule type="cellIs" dxfId="4312" priority="59341" operator="between">
      <formula>11</formula>
      <formula>0</formula>
    </cfRule>
    <cfRule type="cellIs" dxfId="4311" priority="59339" operator="greaterThanOrEqual">
      <formula>20</formula>
    </cfRule>
  </conditionalFormatting>
  <conditionalFormatting sqref="S767:S769 N767:N769">
    <cfRule type="cellIs" dxfId="4310" priority="59269" operator="between">
      <formula>11</formula>
      <formula>0</formula>
    </cfRule>
    <cfRule type="cellIs" dxfId="4309" priority="59267" operator="greaterThanOrEqual">
      <formula>20</formula>
    </cfRule>
    <cfRule type="cellIs" dxfId="4308" priority="59268" operator="between">
      <formula>12</formula>
      <formula>18</formula>
    </cfRule>
    <cfRule type="containsBlanks" priority="59266">
      <formula>LEN(TRIM(N767))=0</formula>
    </cfRule>
  </conditionalFormatting>
  <conditionalFormatting sqref="S770:S771 N770:N771">
    <cfRule type="cellIs" dxfId="4307" priority="93053" operator="between">
      <formula>12</formula>
      <formula>18</formula>
    </cfRule>
    <cfRule type="containsBlanks" priority="93051">
      <formula>LEN(TRIM(N770))=0</formula>
    </cfRule>
    <cfRule type="cellIs" dxfId="4306" priority="93054" operator="between">
      <formula>11</formula>
      <formula>0</formula>
    </cfRule>
    <cfRule type="cellIs" dxfId="4305" priority="93052" operator="greaterThanOrEqual">
      <formula>20</formula>
    </cfRule>
  </conditionalFormatting>
  <conditionalFormatting sqref="S781 N781">
    <cfRule type="cellIs" dxfId="4304" priority="59196" operator="between">
      <formula>11</formula>
      <formula>0</formula>
    </cfRule>
    <cfRule type="cellIs" dxfId="4303" priority="59195" operator="between">
      <formula>12</formula>
      <formula>18</formula>
    </cfRule>
    <cfRule type="cellIs" dxfId="4302" priority="59194" operator="greaterThanOrEqual">
      <formula>20</formula>
    </cfRule>
    <cfRule type="containsBlanks" priority="59193">
      <formula>LEN(TRIM(N781))=0</formula>
    </cfRule>
  </conditionalFormatting>
  <conditionalFormatting sqref="S782:S784 N782:N784">
    <cfRule type="cellIs" dxfId="4301" priority="59172" operator="between">
      <formula>11</formula>
      <formula>0</formula>
    </cfRule>
    <cfRule type="cellIs" dxfId="4300" priority="59171" operator="between">
      <formula>12</formula>
      <formula>18</formula>
    </cfRule>
    <cfRule type="containsBlanks" priority="59169">
      <formula>LEN(TRIM(N782))=0</formula>
    </cfRule>
    <cfRule type="cellIs" dxfId="4299" priority="59170" operator="greaterThanOrEqual">
      <formula>20</formula>
    </cfRule>
  </conditionalFormatting>
  <conditionalFormatting sqref="S785:S786 N785:N786">
    <cfRule type="cellIs" dxfId="4298" priority="92929" operator="between">
      <formula>12</formula>
      <formula>18</formula>
    </cfRule>
    <cfRule type="cellIs" dxfId="4297" priority="92930" operator="between">
      <formula>11</formula>
      <formula>0</formula>
    </cfRule>
    <cfRule type="containsBlanks" priority="92927">
      <formula>LEN(TRIM(N785))=0</formula>
    </cfRule>
    <cfRule type="cellIs" dxfId="4296" priority="92928" operator="greaterThanOrEqual">
      <formula>20</formula>
    </cfRule>
  </conditionalFormatting>
  <conditionalFormatting sqref="S795 N795">
    <cfRule type="cellIs" dxfId="4295" priority="92856" operator="between">
      <formula>12</formula>
      <formula>18</formula>
    </cfRule>
    <cfRule type="cellIs" dxfId="4294" priority="92855" operator="greaterThanOrEqual">
      <formula>20</formula>
    </cfRule>
    <cfRule type="containsBlanks" priority="92854">
      <formula>LEN(TRIM(N795))=0</formula>
    </cfRule>
    <cfRule type="cellIs" dxfId="4293" priority="92857" operator="between">
      <formula>11</formula>
      <formula>0</formula>
    </cfRule>
  </conditionalFormatting>
  <conditionalFormatting sqref="S796:S803 N796:N803">
    <cfRule type="cellIs" dxfId="4292" priority="59052" operator="between">
      <formula>11</formula>
      <formula>0</formula>
    </cfRule>
    <cfRule type="containsBlanks" priority="59049">
      <formula>LEN(TRIM(N796))=0</formula>
    </cfRule>
    <cfRule type="cellIs" dxfId="4291" priority="59051" operator="between">
      <formula>12</formula>
      <formula>18</formula>
    </cfRule>
    <cfRule type="cellIs" dxfId="4290" priority="59050" operator="greaterThanOrEqual">
      <formula>20</formula>
    </cfRule>
  </conditionalFormatting>
  <conditionalFormatting sqref="S804 N804">
    <cfRule type="cellIs" dxfId="4289" priority="92736" operator="between">
      <formula>11</formula>
      <formula>0</formula>
    </cfRule>
    <cfRule type="cellIs" dxfId="4288" priority="92735" operator="between">
      <formula>12</formula>
      <formula>18</formula>
    </cfRule>
    <cfRule type="cellIs" dxfId="4287" priority="92734" operator="greaterThanOrEqual">
      <formula>20</formula>
    </cfRule>
    <cfRule type="containsBlanks" priority="92733">
      <formula>LEN(TRIM(N804))=0</formula>
    </cfRule>
  </conditionalFormatting>
  <conditionalFormatting sqref="S807:S812 N807:N812">
    <cfRule type="cellIs" dxfId="4286" priority="58952" operator="greaterThanOrEqual">
      <formula>20</formula>
    </cfRule>
    <cfRule type="containsBlanks" priority="58951">
      <formula>LEN(TRIM(N807))=0</formula>
    </cfRule>
    <cfRule type="cellIs" dxfId="4285" priority="58954" operator="between">
      <formula>11</formula>
      <formula>0</formula>
    </cfRule>
    <cfRule type="cellIs" dxfId="4284" priority="58953" operator="between">
      <formula>12</formula>
      <formula>18</formula>
    </cfRule>
  </conditionalFormatting>
  <conditionalFormatting sqref="S813 N813">
    <cfRule type="cellIs" dxfId="4283" priority="58976" operator="greaterThanOrEqual">
      <formula>20</formula>
    </cfRule>
    <cfRule type="containsBlanks" priority="58975">
      <formula>LEN(TRIM(N813))=0</formula>
    </cfRule>
    <cfRule type="cellIs" dxfId="4282" priority="58978" operator="between">
      <formula>11</formula>
      <formula>0</formula>
    </cfRule>
    <cfRule type="cellIs" dxfId="4281" priority="58977" operator="between">
      <formula>12</formula>
      <formula>18</formula>
    </cfRule>
  </conditionalFormatting>
  <conditionalFormatting sqref="S814:S816 N814:N816">
    <cfRule type="cellIs" dxfId="4280" priority="58930" operator="between">
      <formula>11</formula>
      <formula>0</formula>
    </cfRule>
    <cfRule type="cellIs" dxfId="4279" priority="58929" operator="between">
      <formula>12</formula>
      <formula>18</formula>
    </cfRule>
    <cfRule type="containsBlanks" priority="58927">
      <formula>LEN(TRIM(N814))=0</formula>
    </cfRule>
    <cfRule type="cellIs" dxfId="4278" priority="58928" operator="greaterThanOrEqual">
      <formula>20</formula>
    </cfRule>
  </conditionalFormatting>
  <conditionalFormatting sqref="S817:S818 N817:N818">
    <cfRule type="cellIs" dxfId="4277" priority="92591" operator="between">
      <formula>11</formula>
      <formula>0</formula>
    </cfRule>
    <cfRule type="cellIs" dxfId="4276" priority="92589" operator="greaterThanOrEqual">
      <formula>20</formula>
    </cfRule>
    <cfRule type="cellIs" dxfId="4275" priority="92590" operator="between">
      <formula>12</formula>
      <formula>18</formula>
    </cfRule>
    <cfRule type="containsBlanks" priority="92588">
      <formula>LEN(TRIM(N817))=0</formula>
    </cfRule>
  </conditionalFormatting>
  <conditionalFormatting sqref="S822:S826 N822:N826">
    <cfRule type="cellIs" dxfId="4274" priority="92443" operator="greaterThanOrEqual">
      <formula>20</formula>
    </cfRule>
    <cfRule type="cellIs" dxfId="4273" priority="92445" operator="between">
      <formula>11</formula>
      <formula>0</formula>
    </cfRule>
    <cfRule type="containsBlanks" priority="92442">
      <formula>LEN(TRIM(N822))=0</formula>
    </cfRule>
    <cfRule type="cellIs" dxfId="4272" priority="92444" operator="between">
      <formula>12</formula>
      <formula>18</formula>
    </cfRule>
  </conditionalFormatting>
  <conditionalFormatting sqref="S827 N827">
    <cfRule type="cellIs" dxfId="4271" priority="92469" operator="between">
      <formula>12</formula>
      <formula>18</formula>
    </cfRule>
    <cfRule type="cellIs" dxfId="4270" priority="92470" operator="between">
      <formula>11</formula>
      <formula>0</formula>
    </cfRule>
    <cfRule type="containsBlanks" priority="92467">
      <formula>LEN(TRIM(N827))=0</formula>
    </cfRule>
    <cfRule type="cellIs" dxfId="4269" priority="92468" operator="greaterThanOrEqual">
      <formula>20</formula>
    </cfRule>
  </conditionalFormatting>
  <conditionalFormatting sqref="S828 N828">
    <cfRule type="containsBlanks" priority="92419">
      <formula>LEN(TRIM(N828))=0</formula>
    </cfRule>
    <cfRule type="cellIs" dxfId="4268" priority="92421" operator="between">
      <formula>12</formula>
      <formula>18</formula>
    </cfRule>
    <cfRule type="cellIs" dxfId="4267" priority="92420" operator="greaterThanOrEqual">
      <formula>20</formula>
    </cfRule>
    <cfRule type="cellIs" dxfId="4266" priority="92422" operator="between">
      <formula>11</formula>
      <formula>0</formula>
    </cfRule>
  </conditionalFormatting>
  <conditionalFormatting sqref="S832:S836 N832:N836">
    <cfRule type="cellIs" dxfId="4265" priority="92347" operator="between">
      <formula>11</formula>
      <formula>0</formula>
    </cfRule>
    <cfRule type="cellIs" dxfId="4264" priority="92346" operator="between">
      <formula>12</formula>
      <formula>18</formula>
    </cfRule>
    <cfRule type="containsBlanks" priority="92344">
      <formula>LEN(TRIM(N832))=0</formula>
    </cfRule>
    <cfRule type="cellIs" dxfId="4263" priority="92345" operator="greaterThanOrEqual">
      <formula>20</formula>
    </cfRule>
  </conditionalFormatting>
  <conditionalFormatting sqref="S837 N837">
    <cfRule type="cellIs" dxfId="4262" priority="92372" operator="between">
      <formula>11</formula>
      <formula>0</formula>
    </cfRule>
    <cfRule type="containsBlanks" priority="92369">
      <formula>LEN(TRIM(N837))=0</formula>
    </cfRule>
    <cfRule type="cellIs" dxfId="4261" priority="92371" operator="between">
      <formula>12</formula>
      <formula>18</formula>
    </cfRule>
    <cfRule type="cellIs" dxfId="4260" priority="92370" operator="greaterThanOrEqual">
      <formula>20</formula>
    </cfRule>
  </conditionalFormatting>
  <conditionalFormatting sqref="S838 N838">
    <cfRule type="cellIs" dxfId="4259" priority="92322" operator="greaterThanOrEqual">
      <formula>20</formula>
    </cfRule>
    <cfRule type="containsBlanks" priority="92321">
      <formula>LEN(TRIM(N838))=0</formula>
    </cfRule>
    <cfRule type="cellIs" dxfId="4258" priority="92323" operator="between">
      <formula>12</formula>
      <formula>18</formula>
    </cfRule>
    <cfRule type="cellIs" dxfId="4257" priority="92324" operator="between">
      <formula>11</formula>
      <formula>0</formula>
    </cfRule>
  </conditionalFormatting>
  <conditionalFormatting sqref="S842:S845 N842:N845">
    <cfRule type="cellIs" dxfId="4256" priority="92178" operator="between">
      <formula>11</formula>
      <formula>0</formula>
    </cfRule>
    <cfRule type="cellIs" dxfId="4255" priority="92177" operator="between">
      <formula>12</formula>
      <formula>18</formula>
    </cfRule>
    <cfRule type="cellIs" dxfId="4254" priority="92176" operator="greaterThanOrEqual">
      <formula>20</formula>
    </cfRule>
    <cfRule type="containsBlanks" priority="92175">
      <formula>LEN(TRIM(N842))=0</formula>
    </cfRule>
  </conditionalFormatting>
  <conditionalFormatting sqref="S849:S852 N849:N852">
    <cfRule type="cellIs" dxfId="4253" priority="92080" operator="greaterThanOrEqual">
      <formula>20</formula>
    </cfRule>
    <cfRule type="containsBlanks" priority="92079">
      <formula>LEN(TRIM(N849))=0</formula>
    </cfRule>
    <cfRule type="cellIs" dxfId="4252" priority="92082" operator="between">
      <formula>11</formula>
      <formula>0</formula>
    </cfRule>
    <cfRule type="cellIs" dxfId="4251" priority="92081" operator="between">
      <formula>12</formula>
      <formula>18</formula>
    </cfRule>
  </conditionalFormatting>
  <conditionalFormatting sqref="S854:S855">
    <cfRule type="containsBlanks" priority="92042">
      <formula>LEN(TRIM(S854))=0</formula>
    </cfRule>
    <cfRule type="cellIs" dxfId="4250" priority="92045" operator="between">
      <formula>11</formula>
      <formula>0</formula>
    </cfRule>
    <cfRule type="cellIs" dxfId="4249" priority="92043" operator="greaterThanOrEqual">
      <formula>20</formula>
    </cfRule>
    <cfRule type="cellIs" dxfId="4248" priority="92044" operator="between">
      <formula>12</formula>
      <formula>18</formula>
    </cfRule>
  </conditionalFormatting>
  <conditionalFormatting sqref="S856:S857">
    <cfRule type="containsBlanks" priority="92013">
      <formula>LEN(TRIM(S856))=0</formula>
    </cfRule>
    <cfRule type="cellIs" dxfId="4247" priority="92015" operator="between">
      <formula>12</formula>
      <formula>18</formula>
    </cfRule>
    <cfRule type="cellIs" dxfId="4246" priority="92016" operator="between">
      <formula>11</formula>
      <formula>0</formula>
    </cfRule>
    <cfRule type="cellIs" dxfId="4245" priority="92014" operator="greaterThanOrEqual">
      <formula>20</formula>
    </cfRule>
  </conditionalFormatting>
  <conditionalFormatting sqref="S862">
    <cfRule type="cellIs" dxfId="4244" priority="91961" operator="between">
      <formula>12</formula>
      <formula>18</formula>
    </cfRule>
    <cfRule type="cellIs" dxfId="4243" priority="91960" operator="greaterThanOrEqual">
      <formula>20</formula>
    </cfRule>
    <cfRule type="cellIs" dxfId="4242" priority="91962" operator="between">
      <formula>11</formula>
      <formula>0</formula>
    </cfRule>
    <cfRule type="containsBlanks" priority="91959">
      <formula>LEN(TRIM(S862))=0</formula>
    </cfRule>
  </conditionalFormatting>
  <conditionalFormatting sqref="S873 N873">
    <cfRule type="cellIs" dxfId="4241" priority="91946" operator="between">
      <formula>12</formula>
      <formula>18</formula>
    </cfRule>
    <cfRule type="cellIs" dxfId="4240" priority="91947" operator="between">
      <formula>11</formula>
      <formula>0</formula>
    </cfRule>
    <cfRule type="containsBlanks" priority="91944">
      <formula>LEN(TRIM(N873))=0</formula>
    </cfRule>
    <cfRule type="cellIs" dxfId="4239" priority="91945" operator="greaterThanOrEqual">
      <formula>20</formula>
    </cfRule>
  </conditionalFormatting>
  <conditionalFormatting sqref="S874 N874">
    <cfRule type="cellIs" dxfId="4238" priority="91923" operator="between">
      <formula>12</formula>
      <formula>18</formula>
    </cfRule>
    <cfRule type="containsBlanks" priority="91921">
      <formula>LEN(TRIM(N874))=0</formula>
    </cfRule>
    <cfRule type="cellIs" dxfId="4237" priority="91924" operator="between">
      <formula>11</formula>
      <formula>0</formula>
    </cfRule>
    <cfRule type="cellIs" dxfId="4236" priority="91922" operator="greaterThanOrEqual">
      <formula>20</formula>
    </cfRule>
  </conditionalFormatting>
  <conditionalFormatting sqref="S885 N885">
    <cfRule type="cellIs" dxfId="4235" priority="91849" operator="between">
      <formula>12</formula>
      <formula>18</formula>
    </cfRule>
    <cfRule type="containsBlanks" priority="91847">
      <formula>LEN(TRIM(N885))=0</formula>
    </cfRule>
    <cfRule type="cellIs" dxfId="4234" priority="91848" operator="greaterThanOrEqual">
      <formula>20</formula>
    </cfRule>
    <cfRule type="cellIs" dxfId="4233" priority="91850" operator="between">
      <formula>11</formula>
      <formula>0</formula>
    </cfRule>
  </conditionalFormatting>
  <conditionalFormatting sqref="S886 N886">
    <cfRule type="containsBlanks" priority="91824">
      <formula>LEN(TRIM(N886))=0</formula>
    </cfRule>
    <cfRule type="cellIs" dxfId="4232" priority="91825" operator="greaterThanOrEqual">
      <formula>20</formula>
    </cfRule>
    <cfRule type="cellIs" dxfId="4231" priority="91827" operator="between">
      <formula>11</formula>
      <formula>0</formula>
    </cfRule>
    <cfRule type="cellIs" dxfId="4230" priority="91826" operator="between">
      <formula>12</formula>
      <formula>18</formula>
    </cfRule>
  </conditionalFormatting>
  <conditionalFormatting sqref="S890:S895 N890:N895">
    <cfRule type="containsBlanks" priority="91749">
      <formula>LEN(TRIM(N890))=0</formula>
    </cfRule>
    <cfRule type="cellIs" dxfId="4229" priority="91750" operator="greaterThanOrEqual">
      <formula>20</formula>
    </cfRule>
    <cfRule type="cellIs" dxfId="4228" priority="91752" operator="between">
      <formula>11</formula>
      <formula>0</formula>
    </cfRule>
    <cfRule type="cellIs" dxfId="4227" priority="91751" operator="between">
      <formula>12</formula>
      <formula>18</formula>
    </cfRule>
  </conditionalFormatting>
  <conditionalFormatting sqref="S896 N896">
    <cfRule type="cellIs" dxfId="4226" priority="91676" operator="greaterThanOrEqual">
      <formula>20</formula>
    </cfRule>
    <cfRule type="containsBlanks" priority="91675">
      <formula>LEN(TRIM(N896))=0</formula>
    </cfRule>
    <cfRule type="cellIs" dxfId="4225" priority="91677" operator="between">
      <formula>12</formula>
      <formula>18</formula>
    </cfRule>
    <cfRule type="cellIs" dxfId="4224" priority="91678" operator="between">
      <formula>11</formula>
      <formula>0</formula>
    </cfRule>
  </conditionalFormatting>
  <conditionalFormatting sqref="S897 N897">
    <cfRule type="cellIs" dxfId="4223" priority="91704" operator="between">
      <formula>11</formula>
      <formula>0</formula>
    </cfRule>
    <cfRule type="cellIs" dxfId="4222" priority="91702" operator="greaterThanOrEqual">
      <formula>20</formula>
    </cfRule>
    <cfRule type="cellIs" dxfId="4221" priority="91703" operator="between">
      <formula>12</formula>
      <formula>18</formula>
    </cfRule>
    <cfRule type="containsBlanks" priority="91701">
      <formula>LEN(TRIM(N897))=0</formula>
    </cfRule>
  </conditionalFormatting>
  <conditionalFormatting sqref="S901:S906 N901:N906">
    <cfRule type="cellIs" dxfId="4220" priority="91629" operator="between">
      <formula>11</formula>
      <formula>0</formula>
    </cfRule>
    <cfRule type="cellIs" dxfId="4219" priority="91628" operator="between">
      <formula>12</formula>
      <formula>18</formula>
    </cfRule>
    <cfRule type="cellIs" dxfId="4218" priority="91627" operator="greaterThanOrEqual">
      <formula>20</formula>
    </cfRule>
    <cfRule type="containsBlanks" priority="91626">
      <formula>LEN(TRIM(N901))=0</formula>
    </cfRule>
  </conditionalFormatting>
  <conditionalFormatting sqref="S907 N907">
    <cfRule type="containsBlanks" priority="91577">
      <formula>LEN(TRIM(N907))=0</formula>
    </cfRule>
    <cfRule type="cellIs" dxfId="4217" priority="91578" operator="greaterThanOrEqual">
      <formula>20</formula>
    </cfRule>
    <cfRule type="cellIs" dxfId="4216" priority="91579" operator="between">
      <formula>12</formula>
      <formula>18</formula>
    </cfRule>
    <cfRule type="cellIs" dxfId="4215" priority="91580" operator="between">
      <formula>11</formula>
      <formula>0</formula>
    </cfRule>
  </conditionalFormatting>
  <conditionalFormatting sqref="S908 N908">
    <cfRule type="cellIs" dxfId="4214" priority="91606" operator="between">
      <formula>11</formula>
      <formula>0</formula>
    </cfRule>
    <cfRule type="cellIs" dxfId="4213" priority="91605" operator="between">
      <formula>12</formula>
      <formula>18</formula>
    </cfRule>
    <cfRule type="cellIs" dxfId="4212" priority="91604" operator="greaterThanOrEqual">
      <formula>20</formula>
    </cfRule>
    <cfRule type="containsBlanks" priority="91603">
      <formula>LEN(TRIM(N908))=0</formula>
    </cfRule>
  </conditionalFormatting>
  <conditionalFormatting sqref="S913:S916 N913:N916">
    <cfRule type="cellIs" dxfId="4211" priority="91531" operator="between">
      <formula>12</formula>
      <formula>18</formula>
    </cfRule>
    <cfRule type="containsBlanks" priority="91529">
      <formula>LEN(TRIM(N913))=0</formula>
    </cfRule>
    <cfRule type="cellIs" dxfId="4210" priority="91532" operator="between">
      <formula>11</formula>
      <formula>0</formula>
    </cfRule>
    <cfRule type="cellIs" dxfId="4209" priority="91530" operator="greaterThanOrEqual">
      <formula>20</formula>
    </cfRule>
  </conditionalFormatting>
  <conditionalFormatting sqref="S919:S922 N919:N922">
    <cfRule type="cellIs" dxfId="4208" priority="91482" operator="greaterThanOrEqual">
      <formula>20</formula>
    </cfRule>
    <cfRule type="cellIs" dxfId="4207" priority="91483" operator="between">
      <formula>12</formula>
      <formula>18</formula>
    </cfRule>
    <cfRule type="cellIs" dxfId="4206" priority="91484" operator="between">
      <formula>11</formula>
      <formula>0</formula>
    </cfRule>
    <cfRule type="containsBlanks" priority="91481">
      <formula>LEN(TRIM(N919))=0</formula>
    </cfRule>
  </conditionalFormatting>
  <conditionalFormatting sqref="S965:S974 N965:N974">
    <cfRule type="cellIs" dxfId="4205" priority="91242" operator="greaterThanOrEqual">
      <formula>20</formula>
    </cfRule>
    <cfRule type="cellIs" dxfId="4204" priority="91243" operator="between">
      <formula>12</formula>
      <formula>18</formula>
    </cfRule>
    <cfRule type="cellIs" dxfId="4203" priority="91244" operator="between">
      <formula>11</formula>
      <formula>0</formula>
    </cfRule>
    <cfRule type="containsBlanks" priority="91241">
      <formula>LEN(TRIM(N965))=0</formula>
    </cfRule>
  </conditionalFormatting>
  <conditionalFormatting sqref="S992:S996 N992:N996">
    <cfRule type="containsBlanks" priority="91049">
      <formula>LEN(TRIM(N992))=0</formula>
    </cfRule>
    <cfRule type="cellIs" dxfId="4202" priority="91051" operator="between">
      <formula>12</formula>
      <formula>18</formula>
    </cfRule>
    <cfRule type="cellIs" dxfId="4201" priority="91052" operator="between">
      <formula>11</formula>
      <formula>0</formula>
    </cfRule>
    <cfRule type="cellIs" dxfId="4200" priority="91050" operator="greaterThanOrEqual">
      <formula>20</formula>
    </cfRule>
  </conditionalFormatting>
  <conditionalFormatting sqref="S1017:S1019 N1017:N1019">
    <cfRule type="containsBlanks" priority="90905">
      <formula>LEN(TRIM(N1017))=0</formula>
    </cfRule>
    <cfRule type="cellIs" dxfId="4199" priority="90906" operator="greaterThanOrEqual">
      <formula>20</formula>
    </cfRule>
    <cfRule type="cellIs" dxfId="4198" priority="90908" operator="between">
      <formula>11</formula>
      <formula>0</formula>
    </cfRule>
    <cfRule type="cellIs" dxfId="4197" priority="90907" operator="between">
      <formula>12</formula>
      <formula>18</formula>
    </cfRule>
  </conditionalFormatting>
  <conditionalFormatting sqref="S1021:S1026 N1021:N1026">
    <cfRule type="cellIs" dxfId="4196" priority="90883" operator="between">
      <formula>12</formula>
      <formula>18</formula>
    </cfRule>
    <cfRule type="containsBlanks" priority="90881">
      <formula>LEN(TRIM(N1021))=0</formula>
    </cfRule>
    <cfRule type="cellIs" dxfId="4195" priority="90882" operator="greaterThanOrEqual">
      <formula>20</formula>
    </cfRule>
    <cfRule type="cellIs" dxfId="4194" priority="90884" operator="between">
      <formula>11</formula>
      <formula>0</formula>
    </cfRule>
  </conditionalFormatting>
  <conditionalFormatting sqref="S1030:S1033 N1030:N1033">
    <cfRule type="containsBlanks" priority="90759">
      <formula>LEN(TRIM(N1030))=0</formula>
    </cfRule>
    <cfRule type="cellIs" dxfId="4193" priority="90761" operator="between">
      <formula>12</formula>
      <formula>18</formula>
    </cfRule>
    <cfRule type="cellIs" dxfId="4192" priority="90762" operator="between">
      <formula>11</formula>
      <formula>0</formula>
    </cfRule>
    <cfRule type="cellIs" dxfId="4191" priority="90760" operator="greaterThanOrEqual">
      <formula>20</formula>
    </cfRule>
  </conditionalFormatting>
  <conditionalFormatting sqref="S1037:S1040 N1037:N1040">
    <cfRule type="containsBlanks" priority="90711">
      <formula>LEN(TRIM(N1037))=0</formula>
    </cfRule>
    <cfRule type="cellIs" dxfId="4190" priority="90713" operator="between">
      <formula>12</formula>
      <formula>18</formula>
    </cfRule>
    <cfRule type="cellIs" dxfId="4189" priority="90712" operator="greaterThanOrEqual">
      <formula>20</formula>
    </cfRule>
    <cfRule type="cellIs" dxfId="4188" priority="90714" operator="between">
      <formula>11</formula>
      <formula>0</formula>
    </cfRule>
  </conditionalFormatting>
  <conditionalFormatting sqref="T51">
    <cfRule type="cellIs" dxfId="4187" priority="1356" operator="equal">
      <formula>4</formula>
    </cfRule>
    <cfRule type="cellIs" dxfId="4186" priority="1358" operator="equal">
      <formula>22</formula>
    </cfRule>
    <cfRule type="cellIs" dxfId="4185" priority="1365" operator="equal">
      <formula>1</formula>
    </cfRule>
    <cfRule type="cellIs" dxfId="4184" priority="1364" operator="equal">
      <formula>3</formula>
    </cfRule>
    <cfRule type="cellIs" dxfId="4183" priority="1357" operator="equal">
      <formula>2</formula>
    </cfRule>
    <cfRule type="cellIs" dxfId="4182" priority="1363" operator="equal">
      <formula>5</formula>
    </cfRule>
    <cfRule type="cellIs" dxfId="4181" priority="1362" operator="equal">
      <formula>7</formula>
    </cfRule>
    <cfRule type="cellIs" dxfId="4180" priority="1361" operator="equal">
      <formula>0</formula>
    </cfRule>
    <cfRule type="cellIs" dxfId="4179" priority="1360" operator="equal">
      <formula>9</formula>
    </cfRule>
    <cfRule type="cellIs" dxfId="4178" priority="1359" operator="equal">
      <formula>11</formula>
    </cfRule>
  </conditionalFormatting>
  <conditionalFormatting sqref="T55">
    <cfRule type="cellIs" dxfId="4177" priority="1284" operator="equal">
      <formula>2</formula>
    </cfRule>
    <cfRule type="cellIs" dxfId="4176" priority="1287" operator="equal">
      <formula>9</formula>
    </cfRule>
    <cfRule type="cellIs" dxfId="4175" priority="1283" operator="equal">
      <formula>4</formula>
    </cfRule>
    <cfRule type="cellIs" dxfId="4174" priority="1290" operator="equal">
      <formula>5</formula>
    </cfRule>
    <cfRule type="cellIs" dxfId="4173" priority="1286" operator="equal">
      <formula>11</formula>
    </cfRule>
    <cfRule type="cellIs" dxfId="4172" priority="1285" operator="equal">
      <formula>22</formula>
    </cfRule>
    <cfRule type="cellIs" dxfId="4171" priority="1289" operator="equal">
      <formula>7</formula>
    </cfRule>
    <cfRule type="cellIs" dxfId="4170" priority="1291" operator="equal">
      <formula>3</formula>
    </cfRule>
    <cfRule type="cellIs" dxfId="4169" priority="1288" operator="equal">
      <formula>0</formula>
    </cfRule>
    <cfRule type="cellIs" dxfId="4168" priority="1292" operator="equal">
      <formula>1</formula>
    </cfRule>
  </conditionalFormatting>
  <conditionalFormatting sqref="T59">
    <cfRule type="cellIs" dxfId="4167" priority="1191" operator="equal">
      <formula>0</formula>
    </cfRule>
    <cfRule type="cellIs" dxfId="4166" priority="1193" operator="equal">
      <formula>5</formula>
    </cfRule>
    <cfRule type="cellIs" dxfId="4165" priority="1194" operator="equal">
      <formula>3</formula>
    </cfRule>
    <cfRule type="cellIs" dxfId="4164" priority="1190" operator="equal">
      <formula>9</formula>
    </cfRule>
    <cfRule type="cellIs" dxfId="4163" priority="1189" operator="equal">
      <formula>11</formula>
    </cfRule>
    <cfRule type="cellIs" dxfId="4162" priority="1188" operator="equal">
      <formula>22</formula>
    </cfRule>
    <cfRule type="cellIs" dxfId="4161" priority="1195" operator="equal">
      <formula>1</formula>
    </cfRule>
    <cfRule type="cellIs" dxfId="4160" priority="1187" operator="equal">
      <formula>2</formula>
    </cfRule>
    <cfRule type="cellIs" dxfId="4159" priority="1186" operator="equal">
      <formula>4</formula>
    </cfRule>
    <cfRule type="cellIs" dxfId="4158" priority="1192" operator="equal">
      <formula>7</formula>
    </cfRule>
  </conditionalFormatting>
  <conditionalFormatting sqref="T63">
    <cfRule type="cellIs" dxfId="4157" priority="1118" operator="equal">
      <formula>0</formula>
    </cfRule>
    <cfRule type="cellIs" dxfId="4156" priority="1115" operator="equal">
      <formula>22</formula>
    </cfRule>
    <cfRule type="cellIs" dxfId="4155" priority="1116" operator="equal">
      <formula>11</formula>
    </cfRule>
    <cfRule type="cellIs" dxfId="4154" priority="1117" operator="equal">
      <formula>9</formula>
    </cfRule>
    <cfRule type="cellIs" dxfId="4153" priority="1119" operator="equal">
      <formula>7</formula>
    </cfRule>
    <cfRule type="cellIs" dxfId="4152" priority="1120" operator="equal">
      <formula>5</formula>
    </cfRule>
    <cfRule type="cellIs" dxfId="4151" priority="1121" operator="equal">
      <formula>3</formula>
    </cfRule>
    <cfRule type="cellIs" dxfId="4150" priority="1122" operator="equal">
      <formula>1</formula>
    </cfRule>
    <cfRule type="cellIs" dxfId="4149" priority="1113" operator="equal">
      <formula>4</formula>
    </cfRule>
    <cfRule type="cellIs" dxfId="4148" priority="1114" operator="equal">
      <formula>2</formula>
    </cfRule>
  </conditionalFormatting>
  <conditionalFormatting sqref="T73:T74">
    <cfRule type="cellIs" dxfId="4147" priority="990" operator="equal">
      <formula>3</formula>
    </cfRule>
    <cfRule type="cellIs" dxfId="4146" priority="988" operator="equal">
      <formula>7</formula>
    </cfRule>
    <cfRule type="cellIs" dxfId="4145" priority="986" operator="equal">
      <formula>9</formula>
    </cfRule>
    <cfRule type="cellIs" dxfId="4144" priority="983" operator="equal">
      <formula>2</formula>
    </cfRule>
    <cfRule type="cellIs" dxfId="4143" priority="984" operator="equal">
      <formula>22</formula>
    </cfRule>
    <cfRule type="cellIs" dxfId="4142" priority="987" operator="equal">
      <formula>0</formula>
    </cfRule>
    <cfRule type="cellIs" dxfId="4141" priority="985" operator="equal">
      <formula>11</formula>
    </cfRule>
    <cfRule type="cellIs" dxfId="4140" priority="989" operator="equal">
      <formula>5</formula>
    </cfRule>
    <cfRule type="cellIs" dxfId="4139" priority="991" operator="equal">
      <formula>1</formula>
    </cfRule>
    <cfRule type="cellIs" dxfId="4138" priority="982" operator="equal">
      <formula>4</formula>
    </cfRule>
  </conditionalFormatting>
  <conditionalFormatting sqref="T89">
    <cfRule type="cellIs" dxfId="4137" priority="839" operator="equal">
      <formula>0</formula>
    </cfRule>
    <cfRule type="cellIs" dxfId="4136" priority="840" operator="equal">
      <formula>7</formula>
    </cfRule>
    <cfRule type="cellIs" dxfId="4135" priority="841" operator="equal">
      <formula>5</formula>
    </cfRule>
    <cfRule type="cellIs" dxfId="4134" priority="834" operator="equal">
      <formula>4</formula>
    </cfRule>
    <cfRule type="cellIs" dxfId="4133" priority="843" operator="equal">
      <formula>1</formula>
    </cfRule>
    <cfRule type="cellIs" dxfId="4132" priority="836" operator="equal">
      <formula>22</formula>
    </cfRule>
    <cfRule type="cellIs" dxfId="4131" priority="838" operator="equal">
      <formula>9</formula>
    </cfRule>
    <cfRule type="cellIs" dxfId="4130" priority="837" operator="equal">
      <formula>11</formula>
    </cfRule>
    <cfRule type="cellIs" dxfId="4129" priority="842" operator="equal">
      <formula>3</formula>
    </cfRule>
    <cfRule type="cellIs" dxfId="4128" priority="835" operator="equal">
      <formula>2</formula>
    </cfRule>
  </conditionalFormatting>
  <conditionalFormatting sqref="T95">
    <cfRule type="cellIs" dxfId="4127" priority="726" operator="equal">
      <formula>22</formula>
    </cfRule>
    <cfRule type="cellIs" dxfId="4126" priority="724" operator="equal">
      <formula>4</formula>
    </cfRule>
    <cfRule type="cellIs" dxfId="4125" priority="727" operator="equal">
      <formula>11</formula>
    </cfRule>
    <cfRule type="cellIs" dxfId="4124" priority="725" operator="equal">
      <formula>2</formula>
    </cfRule>
    <cfRule type="cellIs" dxfId="4123" priority="730" operator="equal">
      <formula>7</formula>
    </cfRule>
    <cfRule type="cellIs" dxfId="4122" priority="728" operator="equal">
      <formula>9</formula>
    </cfRule>
    <cfRule type="cellIs" dxfId="4121" priority="729" operator="equal">
      <formula>0</formula>
    </cfRule>
    <cfRule type="cellIs" dxfId="4120" priority="732" operator="equal">
      <formula>3</formula>
    </cfRule>
    <cfRule type="cellIs" dxfId="4119" priority="731" operator="equal">
      <formula>5</formula>
    </cfRule>
    <cfRule type="cellIs" dxfId="4118" priority="733" operator="equal">
      <formula>1</formula>
    </cfRule>
  </conditionalFormatting>
  <conditionalFormatting sqref="T1:U11 Z1:AC11 T819:U820 Z819:AC820 T875:U876 Z875:AC876 T846:U847 Z846:AC847 Z853:AC853 T853:U853 T858:U859 Z858:AC859 Z861:AC861 T861:U861 T863:U864 Z863:AC864 Z887:AC888 T887:U888 T898:U899 Z898:AC899 Z909:AC911 T909:U911 T917:U917 Z917:AC917 Z923:AC924 T923:U924 T932:U933 Z932:AC933 Z950:AC951 T950:U951 T953:U953 Z953:AC953 Z956:AC956 T956:U956 T958:U958 Z958:AC958 Z962:AC963 T962:U963 T975:U976 Z975:AC976 Z989:AC990 T989:U990 T1027:U1028 Z1027:AC1028 Z1034:AC1035 T1034:U1035 T1041:U1041 Z1041:AC1041 Z1045:AC1045 T1045:U1045 Z1049:AC1048576 T1049:U1048576 Z83:AC85 T83:U85">
    <cfRule type="cellIs" dxfId="4117" priority="139041" operator="equal">
      <formula>22</formula>
    </cfRule>
    <cfRule type="cellIs" dxfId="4116" priority="139046" operator="equal">
      <formula>5</formula>
    </cfRule>
    <cfRule type="cellIs" dxfId="4115" priority="139040" operator="equal">
      <formula>2</formula>
    </cfRule>
    <cfRule type="cellIs" dxfId="4114" priority="139045" operator="equal">
      <formula>7</formula>
    </cfRule>
    <cfRule type="cellIs" dxfId="4113" priority="139039" operator="equal">
      <formula>4</formula>
    </cfRule>
    <cfRule type="cellIs" dxfId="4112" priority="139043" operator="equal">
      <formula>9</formula>
    </cfRule>
    <cfRule type="cellIs" dxfId="4111" priority="139042" operator="equal">
      <formula>11</formula>
    </cfRule>
    <cfRule type="cellIs" dxfId="4110" priority="139044" operator="equal">
      <formula>0</formula>
    </cfRule>
    <cfRule type="cellIs" dxfId="4109" priority="139047" operator="equal">
      <formula>3</formula>
    </cfRule>
  </conditionalFormatting>
  <conditionalFormatting sqref="T1:U12 Z1:AC12">
    <cfRule type="cellIs" dxfId="4108" priority="129989" operator="equal">
      <formula>1</formula>
    </cfRule>
  </conditionalFormatting>
  <conditionalFormatting sqref="T17:U17 Z17:AC17">
    <cfRule type="cellIs" dxfId="4107" priority="1818" operator="equal">
      <formula>2</formula>
    </cfRule>
    <cfRule type="cellIs" dxfId="4106" priority="1825" operator="equal">
      <formula>3</formula>
    </cfRule>
    <cfRule type="cellIs" dxfId="4105" priority="1823" operator="equal">
      <formula>7</formula>
    </cfRule>
    <cfRule type="cellIs" dxfId="4104" priority="1820" operator="equal">
      <formula>11</formula>
    </cfRule>
    <cfRule type="cellIs" dxfId="4103" priority="1822" operator="equal">
      <formula>0</formula>
    </cfRule>
    <cfRule type="cellIs" dxfId="4102" priority="1821" operator="equal">
      <formula>9</formula>
    </cfRule>
    <cfRule type="cellIs" dxfId="4101" priority="1819" operator="equal">
      <formula>22</formula>
    </cfRule>
    <cfRule type="cellIs" dxfId="4100" priority="1817" operator="equal">
      <formula>4</formula>
    </cfRule>
    <cfRule type="cellIs" dxfId="4099" priority="1826" operator="equal">
      <formula>1</formula>
    </cfRule>
    <cfRule type="cellIs" dxfId="4098" priority="1824" operator="equal">
      <formula>5</formula>
    </cfRule>
  </conditionalFormatting>
  <conditionalFormatting sqref="T19:U20 Z19:AC20">
    <cfRule type="cellIs" dxfId="4097" priority="7753" operator="equal">
      <formula>1</formula>
    </cfRule>
  </conditionalFormatting>
  <conditionalFormatting sqref="T20:U20 Z20:AC20">
    <cfRule type="cellIs" dxfId="4096" priority="7744" operator="equal">
      <formula>4</formula>
    </cfRule>
    <cfRule type="cellIs" dxfId="4095" priority="7746" operator="equal">
      <formula>22</formula>
    </cfRule>
    <cfRule type="cellIs" dxfId="4094" priority="7745" operator="equal">
      <formula>2</formula>
    </cfRule>
    <cfRule type="cellIs" dxfId="4093" priority="7748" operator="equal">
      <formula>9</formula>
    </cfRule>
    <cfRule type="cellIs" dxfId="4092" priority="7749" operator="equal">
      <formula>0</formula>
    </cfRule>
    <cfRule type="cellIs" dxfId="4091" priority="7750" operator="equal">
      <formula>7</formula>
    </cfRule>
    <cfRule type="cellIs" dxfId="4090" priority="7751" operator="equal">
      <formula>5</formula>
    </cfRule>
    <cfRule type="cellIs" dxfId="4089" priority="7752" operator="equal">
      <formula>3</formula>
    </cfRule>
    <cfRule type="cellIs" dxfId="4088" priority="7747" operator="equal">
      <formula>11</formula>
    </cfRule>
  </conditionalFormatting>
  <conditionalFormatting sqref="T24:U24 Z24:AC24">
    <cfRule type="cellIs" dxfId="4087" priority="1771" operator="equal">
      <formula>22</formula>
    </cfRule>
    <cfRule type="cellIs" dxfId="4086" priority="1775" operator="equal">
      <formula>7</formula>
    </cfRule>
    <cfRule type="cellIs" dxfId="4085" priority="1774" operator="equal">
      <formula>0</formula>
    </cfRule>
    <cfRule type="cellIs" dxfId="4084" priority="1778" operator="equal">
      <formula>1</formula>
    </cfRule>
    <cfRule type="cellIs" dxfId="4083" priority="1777" operator="equal">
      <formula>3</formula>
    </cfRule>
    <cfRule type="cellIs" dxfId="4082" priority="1772" operator="equal">
      <formula>11</formula>
    </cfRule>
    <cfRule type="cellIs" dxfId="4081" priority="1773" operator="equal">
      <formula>9</formula>
    </cfRule>
    <cfRule type="cellIs" dxfId="4080" priority="1770" operator="equal">
      <formula>2</formula>
    </cfRule>
    <cfRule type="cellIs" dxfId="4079" priority="1776" operator="equal">
      <formula>5</formula>
    </cfRule>
    <cfRule type="cellIs" dxfId="4078" priority="1769" operator="equal">
      <formula>4</formula>
    </cfRule>
  </conditionalFormatting>
  <conditionalFormatting sqref="T26:U27 Z26:AC27">
    <cfRule type="cellIs" dxfId="4077" priority="7561" operator="equal">
      <formula>1</formula>
    </cfRule>
  </conditionalFormatting>
  <conditionalFormatting sqref="T31:U31 Z31:AC31">
    <cfRule type="cellIs" dxfId="4076" priority="1725" operator="equal">
      <formula>9</formula>
    </cfRule>
    <cfRule type="cellIs" dxfId="4075" priority="1726" operator="equal">
      <formula>0</formula>
    </cfRule>
    <cfRule type="cellIs" dxfId="4074" priority="1727" operator="equal">
      <formula>7</formula>
    </cfRule>
    <cfRule type="cellIs" dxfId="4073" priority="1721" operator="equal">
      <formula>4</formula>
    </cfRule>
    <cfRule type="cellIs" dxfId="4072" priority="1722" operator="equal">
      <formula>2</formula>
    </cfRule>
    <cfRule type="cellIs" dxfId="4071" priority="1730" operator="equal">
      <formula>1</formula>
    </cfRule>
    <cfRule type="cellIs" dxfId="4070" priority="1723" operator="equal">
      <formula>22</formula>
    </cfRule>
    <cfRule type="cellIs" dxfId="4069" priority="1728" operator="equal">
      <formula>5</formula>
    </cfRule>
    <cfRule type="cellIs" dxfId="4068" priority="1724" operator="equal">
      <formula>11</formula>
    </cfRule>
    <cfRule type="cellIs" dxfId="4067" priority="1729" operator="equal">
      <formula>3</formula>
    </cfRule>
  </conditionalFormatting>
  <conditionalFormatting sqref="T33:U33 Z33:AC33">
    <cfRule type="cellIs" dxfId="4066" priority="7513" operator="equal">
      <formula>1</formula>
    </cfRule>
  </conditionalFormatting>
  <conditionalFormatting sqref="T37:U37 Z37:AC37">
    <cfRule type="cellIs" dxfId="4065" priority="1675" operator="equal">
      <formula>22</formula>
    </cfRule>
    <cfRule type="cellIs" dxfId="4064" priority="1673" operator="equal">
      <formula>4</formula>
    </cfRule>
    <cfRule type="cellIs" dxfId="4063" priority="1678" operator="equal">
      <formula>0</formula>
    </cfRule>
    <cfRule type="cellIs" dxfId="4062" priority="1676" operator="equal">
      <formula>11</formula>
    </cfRule>
    <cfRule type="cellIs" dxfId="4061" priority="1674" operator="equal">
      <formula>2</formula>
    </cfRule>
    <cfRule type="cellIs" dxfId="4060" priority="1682" operator="equal">
      <formula>1</formula>
    </cfRule>
    <cfRule type="cellIs" dxfId="4059" priority="1677" operator="equal">
      <formula>9</formula>
    </cfRule>
    <cfRule type="cellIs" dxfId="4058" priority="1681" operator="equal">
      <formula>3</formula>
    </cfRule>
    <cfRule type="cellIs" dxfId="4057" priority="1680" operator="equal">
      <formula>5</formula>
    </cfRule>
    <cfRule type="cellIs" dxfId="4056" priority="1679" operator="equal">
      <formula>7</formula>
    </cfRule>
  </conditionalFormatting>
  <conditionalFormatting sqref="T39:U41 Z39:AC41">
    <cfRule type="cellIs" dxfId="4055" priority="7225" operator="equal">
      <formula>1</formula>
    </cfRule>
  </conditionalFormatting>
  <conditionalFormatting sqref="T40:U40 Z40:AC40">
    <cfRule type="cellIs" dxfId="4054" priority="7268" operator="equal">
      <formula>9</formula>
    </cfRule>
    <cfRule type="cellIs" dxfId="4053" priority="7269" operator="equal">
      <formula>0</formula>
    </cfRule>
    <cfRule type="cellIs" dxfId="4052" priority="7270" operator="equal">
      <formula>7</formula>
    </cfRule>
    <cfRule type="cellIs" dxfId="4051" priority="7265" operator="equal">
      <formula>2</formula>
    </cfRule>
    <cfRule type="cellIs" dxfId="4050" priority="7271" operator="equal">
      <formula>5</formula>
    </cfRule>
    <cfRule type="cellIs" dxfId="4049" priority="7266" operator="equal">
      <formula>22</formula>
    </cfRule>
    <cfRule type="cellIs" dxfId="4048" priority="7264" operator="equal">
      <formula>4</formula>
    </cfRule>
    <cfRule type="cellIs" dxfId="4047" priority="7267" operator="equal">
      <formula>11</formula>
    </cfRule>
    <cfRule type="cellIs" dxfId="4046" priority="7272" operator="equal">
      <formula>3</formula>
    </cfRule>
  </conditionalFormatting>
  <conditionalFormatting sqref="T44:U44 Z44:AC44">
    <cfRule type="cellIs" dxfId="4045" priority="15156" operator="equal">
      <formula>1</formula>
    </cfRule>
  </conditionalFormatting>
  <conditionalFormatting sqref="T47:U48 Z47:AC48">
    <cfRule type="cellIs" dxfId="4044" priority="7128" operator="equal">
      <formula>1</formula>
    </cfRule>
  </conditionalFormatting>
  <conditionalFormatting sqref="T56:U56 Z56:AC56">
    <cfRule type="cellIs" dxfId="4043" priority="9105" operator="equal">
      <formula>4</formula>
    </cfRule>
    <cfRule type="cellIs" dxfId="4042" priority="9107" operator="equal">
      <formula>22</formula>
    </cfRule>
    <cfRule type="cellIs" dxfId="4041" priority="9106" operator="equal">
      <formula>2</formula>
    </cfRule>
    <cfRule type="cellIs" dxfId="4040" priority="9114" operator="equal">
      <formula>1</formula>
    </cfRule>
    <cfRule type="cellIs" dxfId="4039" priority="9108" operator="equal">
      <formula>11</formula>
    </cfRule>
    <cfRule type="cellIs" dxfId="4038" priority="9109" operator="equal">
      <formula>9</formula>
    </cfRule>
    <cfRule type="cellIs" dxfId="4037" priority="9110" operator="equal">
      <formula>0</formula>
    </cfRule>
    <cfRule type="cellIs" dxfId="4036" priority="9111" operator="equal">
      <formula>7</formula>
    </cfRule>
    <cfRule type="cellIs" dxfId="4035" priority="9112" operator="equal">
      <formula>5</formula>
    </cfRule>
    <cfRule type="cellIs" dxfId="4034" priority="9113" operator="equal">
      <formula>3</formula>
    </cfRule>
  </conditionalFormatting>
  <conditionalFormatting sqref="T64:U65 Z64:AC65">
    <cfRule type="cellIs" dxfId="4033" priority="6959" operator="equal">
      <formula>1</formula>
    </cfRule>
  </conditionalFormatting>
  <conditionalFormatting sqref="T65:U65 Z65:AC65">
    <cfRule type="cellIs" dxfId="4032" priority="7917" operator="equal">
      <formula>22</formula>
    </cfRule>
    <cfRule type="cellIs" dxfId="4031" priority="7923" operator="equal">
      <formula>3</formula>
    </cfRule>
    <cfRule type="cellIs" dxfId="4030" priority="7918" operator="equal">
      <formula>11</formula>
    </cfRule>
    <cfRule type="cellIs" dxfId="4029" priority="7915" operator="equal">
      <formula>4</formula>
    </cfRule>
    <cfRule type="cellIs" dxfId="4028" priority="7919" operator="equal">
      <formula>9</formula>
    </cfRule>
    <cfRule type="cellIs" dxfId="4027" priority="7920" operator="equal">
      <formula>0</formula>
    </cfRule>
    <cfRule type="cellIs" dxfId="4026" priority="7916" operator="equal">
      <formula>2</formula>
    </cfRule>
    <cfRule type="cellIs" dxfId="4025" priority="7922" operator="equal">
      <formula>5</formula>
    </cfRule>
    <cfRule type="cellIs" dxfId="4024" priority="7921" operator="equal">
      <formula>7</formula>
    </cfRule>
  </conditionalFormatting>
  <conditionalFormatting sqref="T70:U71 Z70:AC71">
    <cfRule type="cellIs" dxfId="4023" priority="6815" operator="equal">
      <formula>1</formula>
    </cfRule>
  </conditionalFormatting>
  <conditionalFormatting sqref="T75:U77 Z75:AC77">
    <cfRule type="cellIs" dxfId="4022" priority="6744" operator="equal">
      <formula>1</formula>
    </cfRule>
  </conditionalFormatting>
  <conditionalFormatting sqref="T76:U76 Z76:AC76">
    <cfRule type="cellIs" dxfId="4021" priority="18577" operator="equal">
      <formula>11</formula>
    </cfRule>
    <cfRule type="cellIs" dxfId="4020" priority="18580" operator="equal">
      <formula>7</formula>
    </cfRule>
    <cfRule type="cellIs" dxfId="4019" priority="18579" operator="equal">
      <formula>0</formula>
    </cfRule>
    <cfRule type="cellIs" dxfId="4018" priority="18578" operator="equal">
      <formula>9</formula>
    </cfRule>
    <cfRule type="cellIs" dxfId="4017" priority="18581" operator="equal">
      <formula>5</formula>
    </cfRule>
    <cfRule type="cellIs" dxfId="4016" priority="18582" operator="equal">
      <formula>3</formula>
    </cfRule>
    <cfRule type="cellIs" dxfId="4015" priority="18576" operator="equal">
      <formula>22</formula>
    </cfRule>
    <cfRule type="cellIs" dxfId="4014" priority="18575" operator="equal">
      <formula>2</formula>
    </cfRule>
    <cfRule type="cellIs" dxfId="4013" priority="18574" operator="equal">
      <formula>4</formula>
    </cfRule>
  </conditionalFormatting>
  <conditionalFormatting sqref="T82:U86 Z82:AC86">
    <cfRule type="cellIs" dxfId="4012" priority="6671" operator="equal">
      <formula>1</formula>
    </cfRule>
  </conditionalFormatting>
  <conditionalFormatting sqref="T93:U93 Z93:AC93">
    <cfRule type="cellIs" dxfId="4011" priority="6599" operator="equal">
      <formula>1</formula>
    </cfRule>
  </conditionalFormatting>
  <conditionalFormatting sqref="T99:U99 Z99:AC99">
    <cfRule type="cellIs" dxfId="4010" priority="682" operator="equal">
      <formula>3</formula>
    </cfRule>
    <cfRule type="cellIs" dxfId="4009" priority="681" operator="equal">
      <formula>5</formula>
    </cfRule>
    <cfRule type="cellIs" dxfId="4008" priority="683" operator="equal">
      <formula>1</formula>
    </cfRule>
    <cfRule type="cellIs" dxfId="4007" priority="677" operator="equal">
      <formula>11</formula>
    </cfRule>
    <cfRule type="cellIs" dxfId="4006" priority="675" operator="equal">
      <formula>2</formula>
    </cfRule>
    <cfRule type="cellIs" dxfId="4005" priority="678" operator="equal">
      <formula>9</formula>
    </cfRule>
    <cfRule type="cellIs" dxfId="4004" priority="679" operator="equal">
      <formula>0</formula>
    </cfRule>
    <cfRule type="cellIs" dxfId="4003" priority="680" operator="equal">
      <formula>7</formula>
    </cfRule>
    <cfRule type="cellIs" dxfId="4002" priority="676" operator="equal">
      <formula>22</formula>
    </cfRule>
    <cfRule type="cellIs" dxfId="4001" priority="674" operator="equal">
      <formula>4</formula>
    </cfRule>
  </conditionalFormatting>
  <conditionalFormatting sqref="T100:U100 Z100:AC100 T103:U103 Z103:AC103 T107:U107 Z107:AC107">
    <cfRule type="cellIs" dxfId="4000" priority="6431" operator="equal">
      <formula>1</formula>
    </cfRule>
  </conditionalFormatting>
  <conditionalFormatting sqref="T100:U100 Z100:AC100 Z103:AC103 T103:U103 T107:U107 Z107:AC107">
    <cfRule type="cellIs" dxfId="3999" priority="6429" operator="equal">
      <formula>5</formula>
    </cfRule>
    <cfRule type="cellIs" dxfId="3998" priority="6425" operator="equal">
      <formula>11</formula>
    </cfRule>
    <cfRule type="cellIs" dxfId="3997" priority="6426" operator="equal">
      <formula>9</formula>
    </cfRule>
    <cfRule type="cellIs" dxfId="3996" priority="6427" operator="equal">
      <formula>0</formula>
    </cfRule>
    <cfRule type="cellIs" dxfId="3995" priority="6428" operator="equal">
      <formula>7</formula>
    </cfRule>
    <cfRule type="cellIs" dxfId="3994" priority="6423" operator="equal">
      <formula>2</formula>
    </cfRule>
    <cfRule type="cellIs" dxfId="3993" priority="6430" operator="equal">
      <formula>3</formula>
    </cfRule>
    <cfRule type="cellIs" dxfId="3992" priority="6422" operator="equal">
      <formula>4</formula>
    </cfRule>
    <cfRule type="cellIs" dxfId="3991" priority="6424" operator="equal">
      <formula>22</formula>
    </cfRule>
  </conditionalFormatting>
  <conditionalFormatting sqref="T111:U111 Z111:AC111">
    <cfRule type="cellIs" dxfId="3990" priority="6379" operator="equal">
      <formula>7</formula>
    </cfRule>
    <cfRule type="cellIs" dxfId="3989" priority="6380" operator="equal">
      <formula>5</formula>
    </cfRule>
    <cfRule type="cellIs" dxfId="3988" priority="6373" operator="equal">
      <formula>4</formula>
    </cfRule>
    <cfRule type="cellIs" dxfId="3987" priority="6376" operator="equal">
      <formula>11</formula>
    </cfRule>
    <cfRule type="cellIs" dxfId="3986" priority="6381" operator="equal">
      <formula>3</formula>
    </cfRule>
    <cfRule type="cellIs" dxfId="3985" priority="6382" operator="equal">
      <formula>1</formula>
    </cfRule>
    <cfRule type="cellIs" dxfId="3984" priority="6378" operator="equal">
      <formula>0</formula>
    </cfRule>
    <cfRule type="cellIs" dxfId="3983" priority="6377" operator="equal">
      <formula>9</formula>
    </cfRule>
    <cfRule type="cellIs" dxfId="3982" priority="6374" operator="equal">
      <formula>2</formula>
    </cfRule>
    <cfRule type="cellIs" dxfId="3981" priority="6375" operator="equal">
      <formula>22</formula>
    </cfRule>
  </conditionalFormatting>
  <conditionalFormatting sqref="T115:U115 Z115:AC115 T119:U119 Z119:AC119 T122:U122 Z122:AC122 T125:U126 Z125:AC126 T130:U130 Z130:AC130">
    <cfRule type="cellIs" dxfId="3980" priority="6310" operator="equal">
      <formula>1</formula>
    </cfRule>
  </conditionalFormatting>
  <conditionalFormatting sqref="T134:U134 Z134:AC134">
    <cfRule type="cellIs" dxfId="3979" priority="12596" operator="equal">
      <formula>0</formula>
    </cfRule>
    <cfRule type="cellIs" dxfId="3978" priority="12597" operator="equal">
      <formula>7</formula>
    </cfRule>
    <cfRule type="cellIs" dxfId="3977" priority="12595" operator="equal">
      <formula>9</formula>
    </cfRule>
    <cfRule type="cellIs" dxfId="3976" priority="12600" operator="equal">
      <formula>1</formula>
    </cfRule>
    <cfRule type="cellIs" dxfId="3975" priority="12591" operator="equal">
      <formula>4</formula>
    </cfRule>
    <cfRule type="cellIs" dxfId="3974" priority="12594" operator="equal">
      <formula>11</formula>
    </cfRule>
    <cfRule type="cellIs" dxfId="3973" priority="12599" operator="equal">
      <formula>3</formula>
    </cfRule>
    <cfRule type="cellIs" dxfId="3972" priority="12593" operator="equal">
      <formula>22</formula>
    </cfRule>
    <cfRule type="cellIs" dxfId="3971" priority="12592" operator="equal">
      <formula>2</formula>
    </cfRule>
    <cfRule type="cellIs" dxfId="3970" priority="12598" operator="equal">
      <formula>5</formula>
    </cfRule>
  </conditionalFormatting>
  <conditionalFormatting sqref="T137:U137 Z137:AC137 T139:U139 Z139:AC139">
    <cfRule type="cellIs" dxfId="3969" priority="6262" operator="equal">
      <formula>1</formula>
    </cfRule>
  </conditionalFormatting>
  <conditionalFormatting sqref="T141:U141 Z141:AC141">
    <cfRule type="cellIs" dxfId="3968" priority="21058" operator="equal">
      <formula>1</formula>
    </cfRule>
  </conditionalFormatting>
  <conditionalFormatting sqref="T143:U143 Z143:AC143">
    <cfRule type="cellIs" dxfId="3967" priority="5869" operator="equal">
      <formula>4</formula>
    </cfRule>
    <cfRule type="cellIs" dxfId="3966" priority="5876" operator="equal">
      <formula>5</formula>
    </cfRule>
    <cfRule type="cellIs" dxfId="3965" priority="5871" operator="equal">
      <formula>22</formula>
    </cfRule>
    <cfRule type="cellIs" dxfId="3964" priority="5872" operator="equal">
      <formula>11</formula>
    </cfRule>
    <cfRule type="cellIs" dxfId="3963" priority="5873" operator="equal">
      <formula>9</formula>
    </cfRule>
    <cfRule type="cellIs" dxfId="3962" priority="5870" operator="equal">
      <formula>2</formula>
    </cfRule>
    <cfRule type="cellIs" dxfId="3961" priority="5874" operator="equal">
      <formula>0</formula>
    </cfRule>
    <cfRule type="cellIs" dxfId="3960" priority="5875" operator="equal">
      <formula>7</formula>
    </cfRule>
    <cfRule type="cellIs" dxfId="3959" priority="5877" operator="equal">
      <formula>3</formula>
    </cfRule>
    <cfRule type="cellIs" dxfId="3958" priority="5878" operator="equal">
      <formula>1</formula>
    </cfRule>
  </conditionalFormatting>
  <conditionalFormatting sqref="T199:U200 Z199:AC200">
    <cfRule type="cellIs" dxfId="3957" priority="5172" operator="equal">
      <formula>9</formula>
    </cfRule>
    <cfRule type="cellIs" dxfId="3956" priority="5171" operator="equal">
      <formula>11</formula>
    </cfRule>
    <cfRule type="cellIs" dxfId="3955" priority="5170" operator="equal">
      <formula>22</formula>
    </cfRule>
    <cfRule type="cellIs" dxfId="3954" priority="5173" operator="equal">
      <formula>0</formula>
    </cfRule>
    <cfRule type="cellIs" dxfId="3953" priority="5168" operator="equal">
      <formula>4</formula>
    </cfRule>
    <cfRule type="cellIs" dxfId="3952" priority="5169" operator="equal">
      <formula>2</formula>
    </cfRule>
    <cfRule type="cellIs" dxfId="3951" priority="5174" operator="equal">
      <formula>7</formula>
    </cfRule>
    <cfRule type="cellIs" dxfId="3950" priority="5175" operator="equal">
      <formula>5</formula>
    </cfRule>
    <cfRule type="cellIs" dxfId="3949" priority="5176" operator="equal">
      <formula>3</formula>
    </cfRule>
  </conditionalFormatting>
  <conditionalFormatting sqref="T199:U204 Z199:AC204">
    <cfRule type="cellIs" dxfId="3948" priority="5074" operator="equal">
      <formula>1</formula>
    </cfRule>
  </conditionalFormatting>
  <conditionalFormatting sqref="T201:U201 Z201:AC201">
    <cfRule type="cellIs" dxfId="3947" priority="12760" operator="equal">
      <formula>2</formula>
    </cfRule>
    <cfRule type="cellIs" dxfId="3946" priority="12767" operator="equal">
      <formula>3</formula>
    </cfRule>
    <cfRule type="cellIs" dxfId="3945" priority="12762" operator="equal">
      <formula>11</formula>
    </cfRule>
    <cfRule type="cellIs" dxfId="3944" priority="12766" operator="equal">
      <formula>5</formula>
    </cfRule>
    <cfRule type="cellIs" dxfId="3943" priority="12759" operator="equal">
      <formula>4</formula>
    </cfRule>
    <cfRule type="cellIs" dxfId="3942" priority="12764" operator="equal">
      <formula>0</formula>
    </cfRule>
    <cfRule type="cellIs" dxfId="3941" priority="12763" operator="equal">
      <formula>9</formula>
    </cfRule>
    <cfRule type="cellIs" dxfId="3940" priority="12761" operator="equal">
      <formula>22</formula>
    </cfRule>
    <cfRule type="cellIs" dxfId="3939" priority="12765" operator="equal">
      <formula>7</formula>
    </cfRule>
  </conditionalFormatting>
  <conditionalFormatting sqref="T202:U202 Z202:AC202">
    <cfRule type="cellIs" dxfId="3938" priority="5095" operator="equal">
      <formula>7</formula>
    </cfRule>
    <cfRule type="cellIs" dxfId="3937" priority="5097" operator="equal">
      <formula>3</formula>
    </cfRule>
    <cfRule type="cellIs" dxfId="3936" priority="5092" operator="equal">
      <formula>11</formula>
    </cfRule>
    <cfRule type="cellIs" dxfId="3935" priority="5089" operator="equal">
      <formula>4</formula>
    </cfRule>
    <cfRule type="cellIs" dxfId="3934" priority="5090" operator="equal">
      <formula>2</formula>
    </cfRule>
    <cfRule type="cellIs" dxfId="3933" priority="5096" operator="equal">
      <formula>5</formula>
    </cfRule>
    <cfRule type="cellIs" dxfId="3932" priority="5091" operator="equal">
      <formula>22</formula>
    </cfRule>
    <cfRule type="cellIs" dxfId="3931" priority="5094" operator="equal">
      <formula>0</formula>
    </cfRule>
    <cfRule type="cellIs" dxfId="3930" priority="5093" operator="equal">
      <formula>9</formula>
    </cfRule>
  </conditionalFormatting>
  <conditionalFormatting sqref="T206:U222 Z206:AC222">
    <cfRule type="cellIs" dxfId="3929" priority="4900" operator="equal">
      <formula>2</formula>
    </cfRule>
    <cfRule type="cellIs" dxfId="3928" priority="4901" operator="equal">
      <formula>22</formula>
    </cfRule>
    <cfRule type="cellIs" dxfId="3927" priority="4905" operator="equal">
      <formula>7</formula>
    </cfRule>
    <cfRule type="cellIs" dxfId="3926" priority="4904" operator="equal">
      <formula>0</formula>
    </cfRule>
    <cfRule type="cellIs" dxfId="3925" priority="4899" operator="equal">
      <formula>4</formula>
    </cfRule>
    <cfRule type="cellIs" dxfId="3924" priority="4903" operator="equal">
      <formula>9</formula>
    </cfRule>
    <cfRule type="cellIs" dxfId="3923" priority="4906" operator="equal">
      <formula>5</formula>
    </cfRule>
    <cfRule type="cellIs" dxfId="3922" priority="4907" operator="equal">
      <formula>3</formula>
    </cfRule>
    <cfRule type="cellIs" dxfId="3921" priority="4908" operator="equal">
      <formula>1</formula>
    </cfRule>
    <cfRule type="cellIs" dxfId="3920" priority="4902" operator="equal">
      <formula>11</formula>
    </cfRule>
  </conditionalFormatting>
  <conditionalFormatting sqref="T224:U227 Z224:AC227">
    <cfRule type="cellIs" dxfId="3919" priority="4885" operator="equal">
      <formula>5</formula>
    </cfRule>
    <cfRule type="cellIs" dxfId="3918" priority="4887" operator="equal">
      <formula>1</formula>
    </cfRule>
    <cfRule type="cellIs" dxfId="3917" priority="4886" operator="equal">
      <formula>3</formula>
    </cfRule>
    <cfRule type="cellIs" dxfId="3916" priority="4881" operator="equal">
      <formula>11</formula>
    </cfRule>
    <cfRule type="cellIs" dxfId="3915" priority="4882" operator="equal">
      <formula>9</formula>
    </cfRule>
    <cfRule type="cellIs" dxfId="3914" priority="4884" operator="equal">
      <formula>7</formula>
    </cfRule>
    <cfRule type="cellIs" dxfId="3913" priority="4883" operator="equal">
      <formula>0</formula>
    </cfRule>
    <cfRule type="cellIs" dxfId="3912" priority="4879" operator="equal">
      <formula>2</formula>
    </cfRule>
    <cfRule type="cellIs" dxfId="3911" priority="4880" operator="equal">
      <formula>22</formula>
    </cfRule>
    <cfRule type="cellIs" dxfId="3910" priority="4878" operator="equal">
      <formula>4</formula>
    </cfRule>
  </conditionalFormatting>
  <conditionalFormatting sqref="T228:U228 Z228:AC228">
    <cfRule type="cellIs" dxfId="3909" priority="12836" operator="equal">
      <formula>0</formula>
    </cfRule>
    <cfRule type="cellIs" dxfId="3908" priority="12833" operator="equal">
      <formula>22</formula>
    </cfRule>
    <cfRule type="cellIs" dxfId="3907" priority="12839" operator="equal">
      <formula>3</formula>
    </cfRule>
    <cfRule type="cellIs" dxfId="3906" priority="12835" operator="equal">
      <formula>9</formula>
    </cfRule>
    <cfRule type="cellIs" dxfId="3905" priority="12838" operator="equal">
      <formula>5</formula>
    </cfRule>
    <cfRule type="cellIs" dxfId="3904" priority="12831" operator="equal">
      <formula>4</formula>
    </cfRule>
    <cfRule type="cellIs" dxfId="3903" priority="12834" operator="equal">
      <formula>11</formula>
    </cfRule>
    <cfRule type="cellIs" dxfId="3902" priority="12837" operator="equal">
      <formula>7</formula>
    </cfRule>
    <cfRule type="cellIs" dxfId="3901" priority="12832" operator="equal">
      <formula>2</formula>
    </cfRule>
  </conditionalFormatting>
  <conditionalFormatting sqref="T228:U229 Z228:AC229">
    <cfRule type="cellIs" dxfId="3900" priority="12840" operator="equal">
      <formula>1</formula>
    </cfRule>
  </conditionalFormatting>
  <conditionalFormatting sqref="T229:U229 Z229:AC229">
    <cfRule type="cellIs" dxfId="3899" priority="12862" operator="equal">
      <formula>5</formula>
    </cfRule>
    <cfRule type="cellIs" dxfId="3898" priority="12859" operator="equal">
      <formula>9</formula>
    </cfRule>
    <cfRule type="cellIs" dxfId="3897" priority="12861" operator="equal">
      <formula>7</formula>
    </cfRule>
    <cfRule type="cellIs" dxfId="3896" priority="12863" operator="equal">
      <formula>3</formula>
    </cfRule>
    <cfRule type="cellIs" dxfId="3895" priority="12857" operator="equal">
      <formula>22</formula>
    </cfRule>
    <cfRule type="cellIs" dxfId="3894" priority="12855" operator="equal">
      <formula>4</formula>
    </cfRule>
    <cfRule type="cellIs" dxfId="3893" priority="12858" operator="equal">
      <formula>11</formula>
    </cfRule>
    <cfRule type="cellIs" dxfId="3892" priority="12856" operator="equal">
      <formula>2</formula>
    </cfRule>
    <cfRule type="cellIs" dxfId="3891" priority="12860" operator="equal">
      <formula>0</formula>
    </cfRule>
  </conditionalFormatting>
  <conditionalFormatting sqref="T231:U237 Z231:AC237">
    <cfRule type="cellIs" dxfId="3890" priority="4821" operator="equal">
      <formula>4</formula>
    </cfRule>
    <cfRule type="cellIs" dxfId="3889" priority="4829" operator="equal">
      <formula>3</formula>
    </cfRule>
    <cfRule type="cellIs" dxfId="3888" priority="4823" operator="equal">
      <formula>22</formula>
    </cfRule>
    <cfRule type="cellIs" dxfId="3887" priority="4828" operator="equal">
      <formula>5</formula>
    </cfRule>
    <cfRule type="cellIs" dxfId="3886" priority="4824" operator="equal">
      <formula>11</formula>
    </cfRule>
    <cfRule type="cellIs" dxfId="3885" priority="4830" operator="equal">
      <formula>1</formula>
    </cfRule>
    <cfRule type="cellIs" dxfId="3884" priority="4827" operator="equal">
      <formula>7</formula>
    </cfRule>
    <cfRule type="cellIs" dxfId="3883" priority="4825" operator="equal">
      <formula>9</formula>
    </cfRule>
    <cfRule type="cellIs" dxfId="3882" priority="4826" operator="equal">
      <formula>0</formula>
    </cfRule>
    <cfRule type="cellIs" dxfId="3881" priority="4822" operator="equal">
      <formula>2</formula>
    </cfRule>
  </conditionalFormatting>
  <conditionalFormatting sqref="T238:U238 Z238:AC238">
    <cfRule type="cellIs" dxfId="3880" priority="4805" operator="equal">
      <formula>1</formula>
    </cfRule>
    <cfRule type="cellIs" dxfId="3879" priority="4800" operator="equal">
      <formula>9</formula>
    </cfRule>
    <cfRule type="cellIs" dxfId="3878" priority="4802" operator="equal">
      <formula>7</formula>
    </cfRule>
    <cfRule type="cellIs" dxfId="3877" priority="4803" operator="equal">
      <formula>5</formula>
    </cfRule>
    <cfRule type="cellIs" dxfId="3876" priority="4804" operator="equal">
      <formula>3</formula>
    </cfRule>
    <cfRule type="cellIs" dxfId="3875" priority="4799" operator="equal">
      <formula>11</formula>
    </cfRule>
    <cfRule type="cellIs" dxfId="3874" priority="4798" operator="equal">
      <formula>22</formula>
    </cfRule>
    <cfRule type="cellIs" dxfId="3873" priority="4797" operator="equal">
      <formula>2</formula>
    </cfRule>
    <cfRule type="cellIs" dxfId="3872" priority="4796" operator="equal">
      <formula>4</formula>
    </cfRule>
    <cfRule type="cellIs" dxfId="3871" priority="4801" operator="equal">
      <formula>0</formula>
    </cfRule>
  </conditionalFormatting>
  <conditionalFormatting sqref="T239:U239 Z239:AC239">
    <cfRule type="cellIs" dxfId="3870" priority="16207" operator="equal">
      <formula>2</formula>
    </cfRule>
    <cfRule type="cellIs" dxfId="3869" priority="16212" operator="equal">
      <formula>7</formula>
    </cfRule>
    <cfRule type="cellIs" dxfId="3868" priority="16213" operator="equal">
      <formula>5</formula>
    </cfRule>
    <cfRule type="cellIs" dxfId="3867" priority="16209" operator="equal">
      <formula>11</formula>
    </cfRule>
    <cfRule type="cellIs" dxfId="3866" priority="16210" operator="equal">
      <formula>9</formula>
    </cfRule>
    <cfRule type="cellIs" dxfId="3865" priority="16214" operator="equal">
      <formula>3</formula>
    </cfRule>
    <cfRule type="cellIs" dxfId="3864" priority="16206" operator="equal">
      <formula>4</formula>
    </cfRule>
    <cfRule type="cellIs" dxfId="3863" priority="16208" operator="equal">
      <formula>22</formula>
    </cfRule>
    <cfRule type="cellIs" dxfId="3862" priority="16211" operator="equal">
      <formula>0</formula>
    </cfRule>
    <cfRule type="cellIs" dxfId="3861" priority="16215" operator="equal">
      <formula>1</formula>
    </cfRule>
  </conditionalFormatting>
  <conditionalFormatting sqref="T240:U240 Z240:AC240">
    <cfRule type="cellIs" dxfId="3860" priority="4703" operator="equal">
      <formula>11</formula>
    </cfRule>
    <cfRule type="cellIs" dxfId="3859" priority="4702" operator="equal">
      <formula>22</formula>
    </cfRule>
    <cfRule type="cellIs" dxfId="3858" priority="4705" operator="equal">
      <formula>0</formula>
    </cfRule>
    <cfRule type="cellIs" dxfId="3857" priority="4709" operator="equal">
      <formula>1</formula>
    </cfRule>
    <cfRule type="cellIs" dxfId="3856" priority="4701" operator="equal">
      <formula>2</formula>
    </cfRule>
    <cfRule type="cellIs" dxfId="3855" priority="4704" operator="equal">
      <formula>9</formula>
    </cfRule>
    <cfRule type="cellIs" dxfId="3854" priority="4706" operator="equal">
      <formula>7</formula>
    </cfRule>
    <cfRule type="cellIs" dxfId="3853" priority="4707" operator="equal">
      <formula>5</formula>
    </cfRule>
    <cfRule type="cellIs" dxfId="3852" priority="4700" operator="equal">
      <formula>4</formula>
    </cfRule>
    <cfRule type="cellIs" dxfId="3851" priority="4708" operator="equal">
      <formula>3</formula>
    </cfRule>
  </conditionalFormatting>
  <conditionalFormatting sqref="T241:U241 Z241:AC241">
    <cfRule type="cellIs" dxfId="3850" priority="4776" operator="equal">
      <formula>9</formula>
    </cfRule>
    <cfRule type="cellIs" dxfId="3849" priority="4775" operator="equal">
      <formula>11</formula>
    </cfRule>
    <cfRule type="cellIs" dxfId="3848" priority="4773" operator="equal">
      <formula>2</formula>
    </cfRule>
    <cfRule type="cellIs" dxfId="3847" priority="4774" operator="equal">
      <formula>22</formula>
    </cfRule>
    <cfRule type="cellIs" dxfId="3846" priority="4772" operator="equal">
      <formula>4</formula>
    </cfRule>
    <cfRule type="cellIs" dxfId="3845" priority="4780" operator="equal">
      <formula>3</formula>
    </cfRule>
    <cfRule type="cellIs" dxfId="3844" priority="4778" operator="equal">
      <formula>7</formula>
    </cfRule>
    <cfRule type="cellIs" dxfId="3843" priority="4777" operator="equal">
      <formula>0</formula>
    </cfRule>
    <cfRule type="cellIs" dxfId="3842" priority="4781" operator="equal">
      <formula>1</formula>
    </cfRule>
    <cfRule type="cellIs" dxfId="3841" priority="4779" operator="equal">
      <formula>5</formula>
    </cfRule>
  </conditionalFormatting>
  <conditionalFormatting sqref="T242:U242 Z242:AC242">
    <cfRule type="cellIs" dxfId="3840" priority="12954" operator="equal">
      <formula>11</formula>
    </cfRule>
    <cfRule type="cellIs" dxfId="3839" priority="12953" operator="equal">
      <formula>22</formula>
    </cfRule>
    <cfRule type="cellIs" dxfId="3838" priority="12952" operator="equal">
      <formula>2</formula>
    </cfRule>
    <cfRule type="cellIs" dxfId="3837" priority="12960" operator="equal">
      <formula>1</formula>
    </cfRule>
    <cfRule type="cellIs" dxfId="3836" priority="12958" operator="equal">
      <formula>5</formula>
    </cfRule>
    <cfRule type="cellIs" dxfId="3835" priority="12951" operator="equal">
      <formula>4</formula>
    </cfRule>
    <cfRule type="cellIs" dxfId="3834" priority="12957" operator="equal">
      <formula>7</formula>
    </cfRule>
    <cfRule type="cellIs" dxfId="3833" priority="12956" operator="equal">
      <formula>0</formula>
    </cfRule>
    <cfRule type="cellIs" dxfId="3832" priority="12959" operator="equal">
      <formula>3</formula>
    </cfRule>
    <cfRule type="cellIs" dxfId="3831" priority="12955" operator="equal">
      <formula>9</formula>
    </cfRule>
  </conditionalFormatting>
  <conditionalFormatting sqref="T243:U243 Z243:AC243">
    <cfRule type="cellIs" dxfId="3830" priority="4750" operator="equal">
      <formula>22</formula>
    </cfRule>
    <cfRule type="cellIs" dxfId="3829" priority="4751" operator="equal">
      <formula>11</formula>
    </cfRule>
    <cfRule type="cellIs" dxfId="3828" priority="4756" operator="equal">
      <formula>3</formula>
    </cfRule>
    <cfRule type="cellIs" dxfId="3827" priority="4749" operator="equal">
      <formula>2</formula>
    </cfRule>
    <cfRule type="cellIs" dxfId="3826" priority="4748" operator="equal">
      <formula>4</formula>
    </cfRule>
    <cfRule type="cellIs" dxfId="3825" priority="4752" operator="equal">
      <formula>9</formula>
    </cfRule>
    <cfRule type="cellIs" dxfId="3824" priority="4753" operator="equal">
      <formula>0</formula>
    </cfRule>
    <cfRule type="cellIs" dxfId="3823" priority="4755" operator="equal">
      <formula>5</formula>
    </cfRule>
    <cfRule type="cellIs" dxfId="3822" priority="4754" operator="equal">
      <formula>7</formula>
    </cfRule>
    <cfRule type="cellIs" dxfId="3821" priority="4757" operator="equal">
      <formula>1</formula>
    </cfRule>
  </conditionalFormatting>
  <conditionalFormatting sqref="T245:U251 Z245:AC251">
    <cfRule type="cellIs" dxfId="3820" priority="4632" operator="equal">
      <formula>9</formula>
    </cfRule>
    <cfRule type="cellIs" dxfId="3819" priority="4630" operator="equal">
      <formula>22</formula>
    </cfRule>
    <cfRule type="cellIs" dxfId="3818" priority="4631" operator="equal">
      <formula>11</formula>
    </cfRule>
    <cfRule type="cellIs" dxfId="3817" priority="4636" operator="equal">
      <formula>3</formula>
    </cfRule>
    <cfRule type="cellIs" dxfId="3816" priority="4628" operator="equal">
      <formula>4</formula>
    </cfRule>
    <cfRule type="cellIs" dxfId="3815" priority="4633" operator="equal">
      <formula>0</formula>
    </cfRule>
    <cfRule type="cellIs" dxfId="3814" priority="4629" operator="equal">
      <formula>2</formula>
    </cfRule>
    <cfRule type="cellIs" dxfId="3813" priority="4635" operator="equal">
      <formula>5</formula>
    </cfRule>
    <cfRule type="cellIs" dxfId="3812" priority="4634" operator="equal">
      <formula>7</formula>
    </cfRule>
    <cfRule type="cellIs" dxfId="3811" priority="4637" operator="equal">
      <formula>1</formula>
    </cfRule>
  </conditionalFormatting>
  <conditionalFormatting sqref="T252:U252 Z252:AC252">
    <cfRule type="cellIs" dxfId="3810" priority="4610" operator="equal">
      <formula>7</formula>
    </cfRule>
    <cfRule type="cellIs" dxfId="3809" priority="4611" operator="equal">
      <formula>5</formula>
    </cfRule>
    <cfRule type="cellIs" dxfId="3808" priority="4612" operator="equal">
      <formula>3</formula>
    </cfRule>
    <cfRule type="cellIs" dxfId="3807" priority="4606" operator="equal">
      <formula>22</formula>
    </cfRule>
    <cfRule type="cellIs" dxfId="3806" priority="4613" operator="equal">
      <formula>1</formula>
    </cfRule>
    <cfRule type="cellIs" dxfId="3805" priority="4608" operator="equal">
      <formula>9</formula>
    </cfRule>
    <cfRule type="cellIs" dxfId="3804" priority="4604" operator="equal">
      <formula>4</formula>
    </cfRule>
    <cfRule type="cellIs" dxfId="3803" priority="4607" operator="equal">
      <formula>11</formula>
    </cfRule>
    <cfRule type="cellIs" dxfId="3802" priority="4609" operator="equal">
      <formula>0</formula>
    </cfRule>
    <cfRule type="cellIs" dxfId="3801" priority="4605" operator="equal">
      <formula>2</formula>
    </cfRule>
  </conditionalFormatting>
  <conditionalFormatting sqref="T253:U253 Z253:AC253">
    <cfRule type="cellIs" dxfId="3800" priority="4658" operator="equal">
      <formula>7</formula>
    </cfRule>
    <cfRule type="cellIs" dxfId="3799" priority="4652" operator="equal">
      <formula>4</formula>
    </cfRule>
    <cfRule type="cellIs" dxfId="3798" priority="4661" operator="equal">
      <formula>1</formula>
    </cfRule>
    <cfRule type="cellIs" dxfId="3797" priority="4659" operator="equal">
      <formula>5</formula>
    </cfRule>
    <cfRule type="cellIs" dxfId="3796" priority="4660" operator="equal">
      <formula>3</formula>
    </cfRule>
    <cfRule type="cellIs" dxfId="3795" priority="4653" operator="equal">
      <formula>2</formula>
    </cfRule>
    <cfRule type="cellIs" dxfId="3794" priority="4657" operator="equal">
      <formula>0</formula>
    </cfRule>
    <cfRule type="cellIs" dxfId="3793" priority="4656" operator="equal">
      <formula>9</formula>
    </cfRule>
    <cfRule type="cellIs" dxfId="3792" priority="4655" operator="equal">
      <formula>11</formula>
    </cfRule>
    <cfRule type="cellIs" dxfId="3791" priority="4654" operator="equal">
      <formula>22</formula>
    </cfRule>
  </conditionalFormatting>
  <conditionalFormatting sqref="T254:U254 Z254:AC254">
    <cfRule type="cellIs" dxfId="3790" priority="4586" operator="equal">
      <formula>7</formula>
    </cfRule>
    <cfRule type="cellIs" dxfId="3789" priority="4587" operator="equal">
      <formula>5</formula>
    </cfRule>
    <cfRule type="cellIs" dxfId="3788" priority="4585" operator="equal">
      <formula>0</formula>
    </cfRule>
    <cfRule type="cellIs" dxfId="3787" priority="4584" operator="equal">
      <formula>9</formula>
    </cfRule>
    <cfRule type="cellIs" dxfId="3786" priority="4583" operator="equal">
      <formula>11</formula>
    </cfRule>
    <cfRule type="cellIs" dxfId="3785" priority="4582" operator="equal">
      <formula>22</formula>
    </cfRule>
    <cfRule type="cellIs" dxfId="3784" priority="4589" operator="equal">
      <formula>1</formula>
    </cfRule>
    <cfRule type="cellIs" dxfId="3783" priority="4588" operator="equal">
      <formula>3</formula>
    </cfRule>
    <cfRule type="cellIs" dxfId="3782" priority="4581" operator="equal">
      <formula>2</formula>
    </cfRule>
    <cfRule type="cellIs" dxfId="3781" priority="4580" operator="equal">
      <formula>4</formula>
    </cfRule>
  </conditionalFormatting>
  <conditionalFormatting sqref="T255:U255 Z255:AC255">
    <cfRule type="cellIs" dxfId="3780" priority="16065" operator="equal">
      <formula>1</formula>
    </cfRule>
  </conditionalFormatting>
  <conditionalFormatting sqref="T256:U256 Z256:AC256">
    <cfRule type="cellIs" dxfId="3779" priority="4560" operator="equal">
      <formula>9</formula>
    </cfRule>
    <cfRule type="cellIs" dxfId="3778" priority="4562" operator="equal">
      <formula>7</formula>
    </cfRule>
    <cfRule type="cellIs" dxfId="3777" priority="4556" operator="equal">
      <formula>4</formula>
    </cfRule>
    <cfRule type="cellIs" dxfId="3776" priority="4563" operator="equal">
      <formula>5</formula>
    </cfRule>
    <cfRule type="cellIs" dxfId="3775" priority="4557" operator="equal">
      <formula>2</formula>
    </cfRule>
    <cfRule type="cellIs" dxfId="3774" priority="4564" operator="equal">
      <formula>3</formula>
    </cfRule>
    <cfRule type="cellIs" dxfId="3773" priority="4565" operator="equal">
      <formula>1</formula>
    </cfRule>
    <cfRule type="cellIs" dxfId="3772" priority="4561" operator="equal">
      <formula>0</formula>
    </cfRule>
    <cfRule type="cellIs" dxfId="3771" priority="4559" operator="equal">
      <formula>11</formula>
    </cfRule>
    <cfRule type="cellIs" dxfId="3770" priority="4558" operator="equal">
      <formula>22</formula>
    </cfRule>
  </conditionalFormatting>
  <conditionalFormatting sqref="T258:U261 Z258:AC261">
    <cfRule type="cellIs" dxfId="3769" priority="4411" operator="equal">
      <formula>2</formula>
    </cfRule>
    <cfRule type="cellIs" dxfId="3768" priority="4412" operator="equal">
      <formula>22</formula>
    </cfRule>
    <cfRule type="cellIs" dxfId="3767" priority="4413" operator="equal">
      <formula>11</formula>
    </cfRule>
    <cfRule type="cellIs" dxfId="3766" priority="4418" operator="equal">
      <formula>3</formula>
    </cfRule>
    <cfRule type="cellIs" dxfId="3765" priority="4410" operator="equal">
      <formula>4</formula>
    </cfRule>
    <cfRule type="cellIs" dxfId="3764" priority="4417" operator="equal">
      <formula>5</formula>
    </cfRule>
    <cfRule type="cellIs" dxfId="3763" priority="4419" operator="equal">
      <formula>1</formula>
    </cfRule>
    <cfRule type="cellIs" dxfId="3762" priority="4414" operator="equal">
      <formula>9</formula>
    </cfRule>
    <cfRule type="cellIs" dxfId="3761" priority="4415" operator="equal">
      <formula>0</formula>
    </cfRule>
    <cfRule type="cellIs" dxfId="3760" priority="4416" operator="equal">
      <formula>7</formula>
    </cfRule>
  </conditionalFormatting>
  <conditionalFormatting sqref="T262:U262 Z262:AC262">
    <cfRule type="cellIs" dxfId="3759" priority="4464" operator="equal">
      <formula>7</formula>
    </cfRule>
    <cfRule type="cellIs" dxfId="3758" priority="4460" operator="equal">
      <formula>22</formula>
    </cfRule>
    <cfRule type="cellIs" dxfId="3757" priority="4461" operator="equal">
      <formula>11</formula>
    </cfRule>
    <cfRule type="cellIs" dxfId="3756" priority="4462" operator="equal">
      <formula>9</formula>
    </cfRule>
    <cfRule type="cellIs" dxfId="3755" priority="4458" operator="equal">
      <formula>4</formula>
    </cfRule>
    <cfRule type="cellIs" dxfId="3754" priority="4466" operator="equal">
      <formula>3</formula>
    </cfRule>
    <cfRule type="cellIs" dxfId="3753" priority="4465" operator="equal">
      <formula>5</formula>
    </cfRule>
    <cfRule type="cellIs" dxfId="3752" priority="4467" operator="equal">
      <formula>1</formula>
    </cfRule>
    <cfRule type="cellIs" dxfId="3751" priority="4459" operator="equal">
      <formula>2</formula>
    </cfRule>
    <cfRule type="cellIs" dxfId="3750" priority="4463" operator="equal">
      <formula>0</formula>
    </cfRule>
  </conditionalFormatting>
  <conditionalFormatting sqref="T263:U264 Z263:AC264">
    <cfRule type="cellIs" dxfId="3749" priority="4388" operator="equal">
      <formula>22</formula>
    </cfRule>
    <cfRule type="cellIs" dxfId="3748" priority="4387" operator="equal">
      <formula>2</formula>
    </cfRule>
    <cfRule type="cellIs" dxfId="3747" priority="4386" operator="equal">
      <formula>4</formula>
    </cfRule>
    <cfRule type="cellIs" dxfId="3746" priority="4389" operator="equal">
      <formula>11</formula>
    </cfRule>
    <cfRule type="cellIs" dxfId="3745" priority="4390" operator="equal">
      <formula>9</formula>
    </cfRule>
    <cfRule type="cellIs" dxfId="3744" priority="4391" operator="equal">
      <formula>0</formula>
    </cfRule>
    <cfRule type="cellIs" dxfId="3743" priority="4395" operator="equal">
      <formula>1</formula>
    </cfRule>
    <cfRule type="cellIs" dxfId="3742" priority="4394" operator="equal">
      <formula>3</formula>
    </cfRule>
    <cfRule type="cellIs" dxfId="3741" priority="4392" operator="equal">
      <formula>7</formula>
    </cfRule>
    <cfRule type="cellIs" dxfId="3740" priority="4393" operator="equal">
      <formula>5</formula>
    </cfRule>
  </conditionalFormatting>
  <conditionalFormatting sqref="T265:U265 AB265:AC265">
    <cfRule type="cellIs" dxfId="3739" priority="4333" operator="equal">
      <formula>7</formula>
    </cfRule>
    <cfRule type="cellIs" dxfId="3738" priority="4335" operator="equal">
      <formula>3</formula>
    </cfRule>
    <cfRule type="cellIs" dxfId="3737" priority="4328" operator="equal">
      <formula>2</formula>
    </cfRule>
    <cfRule type="cellIs" dxfId="3736" priority="4336" operator="equal">
      <formula>1</formula>
    </cfRule>
    <cfRule type="cellIs" dxfId="3735" priority="4327" operator="equal">
      <formula>4</formula>
    </cfRule>
    <cfRule type="cellIs" dxfId="3734" priority="4330" operator="equal">
      <formula>11</formula>
    </cfRule>
    <cfRule type="cellIs" dxfId="3733" priority="4331" operator="equal">
      <formula>9</formula>
    </cfRule>
    <cfRule type="cellIs" dxfId="3732" priority="4332" operator="equal">
      <formula>0</formula>
    </cfRule>
    <cfRule type="cellIs" dxfId="3731" priority="4329" operator="equal">
      <formula>22</formula>
    </cfRule>
    <cfRule type="cellIs" dxfId="3730" priority="4334" operator="equal">
      <formula>5</formula>
    </cfRule>
  </conditionalFormatting>
  <conditionalFormatting sqref="T266:U266 AB266:AC266">
    <cfRule type="cellIs" dxfId="3729" priority="4364" operator="equal">
      <formula>22</formula>
    </cfRule>
    <cfRule type="cellIs" dxfId="3728" priority="4363" operator="equal">
      <formula>2</formula>
    </cfRule>
    <cfRule type="cellIs" dxfId="3727" priority="4365" operator="equal">
      <formula>11</formula>
    </cfRule>
    <cfRule type="cellIs" dxfId="3726" priority="4366" operator="equal">
      <formula>9</formula>
    </cfRule>
    <cfRule type="cellIs" dxfId="3725" priority="4367" operator="equal">
      <formula>0</formula>
    </cfRule>
    <cfRule type="cellIs" dxfId="3724" priority="4371" operator="equal">
      <formula>1</formula>
    </cfRule>
    <cfRule type="cellIs" dxfId="3723" priority="4370" operator="equal">
      <formula>3</formula>
    </cfRule>
    <cfRule type="cellIs" dxfId="3722" priority="4369" operator="equal">
      <formula>5</formula>
    </cfRule>
    <cfRule type="cellIs" dxfId="3721" priority="4368" operator="equal">
      <formula>7</formula>
    </cfRule>
    <cfRule type="cellIs" dxfId="3720" priority="4362" operator="equal">
      <formula>4</formula>
    </cfRule>
  </conditionalFormatting>
  <conditionalFormatting sqref="T275:U275 Z275:AC275">
    <cfRule type="cellIs" dxfId="3719" priority="19506" operator="equal">
      <formula>0</formula>
    </cfRule>
    <cfRule type="cellIs" dxfId="3718" priority="19504" operator="equal">
      <formula>11</formula>
    </cfRule>
    <cfRule type="cellIs" dxfId="3717" priority="19503" operator="equal">
      <formula>22</formula>
    </cfRule>
    <cfRule type="cellIs" dxfId="3716" priority="19502" operator="equal">
      <formula>2</formula>
    </cfRule>
    <cfRule type="cellIs" dxfId="3715" priority="19501" operator="equal">
      <formula>4</formula>
    </cfRule>
    <cfRule type="cellIs" dxfId="3714" priority="19510" operator="equal">
      <formula>1</formula>
    </cfRule>
    <cfRule type="cellIs" dxfId="3713" priority="19509" operator="equal">
      <formula>3</formula>
    </cfRule>
    <cfRule type="cellIs" dxfId="3712" priority="19508" operator="equal">
      <formula>5</formula>
    </cfRule>
    <cfRule type="cellIs" dxfId="3711" priority="19507" operator="equal">
      <formula>7</formula>
    </cfRule>
    <cfRule type="cellIs" dxfId="3710" priority="19505" operator="equal">
      <formula>9</formula>
    </cfRule>
  </conditionalFormatting>
  <conditionalFormatting sqref="T277:U278 Z277:AC278">
    <cfRule type="cellIs" dxfId="3709" priority="4216" operator="equal">
      <formula>3</formula>
    </cfRule>
    <cfRule type="cellIs" dxfId="3708" priority="4208" operator="equal">
      <formula>4</formula>
    </cfRule>
    <cfRule type="cellIs" dxfId="3707" priority="4215" operator="equal">
      <formula>5</formula>
    </cfRule>
    <cfRule type="cellIs" dxfId="3706" priority="4214" operator="equal">
      <formula>7</formula>
    </cfRule>
    <cfRule type="cellIs" dxfId="3705" priority="4213" operator="equal">
      <formula>0</formula>
    </cfRule>
    <cfRule type="cellIs" dxfId="3704" priority="4209" operator="equal">
      <formula>2</formula>
    </cfRule>
    <cfRule type="cellIs" dxfId="3703" priority="4212" operator="equal">
      <formula>9</formula>
    </cfRule>
    <cfRule type="cellIs" dxfId="3702" priority="4211" operator="equal">
      <formula>11</formula>
    </cfRule>
    <cfRule type="cellIs" dxfId="3701" priority="4210" operator="equal">
      <formula>22</formula>
    </cfRule>
    <cfRule type="cellIs" dxfId="3700" priority="4217" operator="equal">
      <formula>1</formula>
    </cfRule>
  </conditionalFormatting>
  <conditionalFormatting sqref="T279:U281 Z279:AC281">
    <cfRule type="cellIs" dxfId="3699" priority="12192" operator="equal">
      <formula>1</formula>
    </cfRule>
  </conditionalFormatting>
  <conditionalFormatting sqref="T291:U291 Z291:AC291">
    <cfRule type="cellIs" dxfId="3698" priority="12088" operator="equal">
      <formula>22</formula>
    </cfRule>
    <cfRule type="cellIs" dxfId="3697" priority="12091" operator="equal">
      <formula>0</formula>
    </cfRule>
    <cfRule type="cellIs" dxfId="3696" priority="12094" operator="equal">
      <formula>3</formula>
    </cfRule>
    <cfRule type="cellIs" dxfId="3695" priority="12093" operator="equal">
      <formula>5</formula>
    </cfRule>
    <cfRule type="cellIs" dxfId="3694" priority="12092" operator="equal">
      <formula>7</formula>
    </cfRule>
    <cfRule type="cellIs" dxfId="3693" priority="12086" operator="equal">
      <formula>4</formula>
    </cfRule>
    <cfRule type="cellIs" dxfId="3692" priority="12090" operator="equal">
      <formula>9</formula>
    </cfRule>
    <cfRule type="cellIs" dxfId="3691" priority="12089" operator="equal">
      <formula>11</formula>
    </cfRule>
    <cfRule type="cellIs" dxfId="3690" priority="12087" operator="equal">
      <formula>2</formula>
    </cfRule>
  </conditionalFormatting>
  <conditionalFormatting sqref="T291:U292 Z291:AC292">
    <cfRule type="cellIs" dxfId="3689" priority="11925" operator="equal">
      <formula>1</formula>
    </cfRule>
  </conditionalFormatting>
  <conditionalFormatting sqref="T292:U292 Z292:AC292">
    <cfRule type="cellIs" dxfId="3688" priority="11924" operator="equal">
      <formula>3</formula>
    </cfRule>
    <cfRule type="cellIs" dxfId="3687" priority="11916" operator="equal">
      <formula>4</formula>
    </cfRule>
    <cfRule type="cellIs" dxfId="3686" priority="11917" operator="equal">
      <formula>2</formula>
    </cfRule>
    <cfRule type="cellIs" dxfId="3685" priority="11918" operator="equal">
      <formula>22</formula>
    </cfRule>
    <cfRule type="cellIs" dxfId="3684" priority="11921" operator="equal">
      <formula>0</formula>
    </cfRule>
    <cfRule type="cellIs" dxfId="3683" priority="11922" operator="equal">
      <formula>7</formula>
    </cfRule>
    <cfRule type="cellIs" dxfId="3682" priority="11919" operator="equal">
      <formula>11</formula>
    </cfRule>
    <cfRule type="cellIs" dxfId="3681" priority="11920" operator="equal">
      <formula>9</formula>
    </cfRule>
    <cfRule type="cellIs" dxfId="3680" priority="11923" operator="equal">
      <formula>5</formula>
    </cfRule>
  </conditionalFormatting>
  <conditionalFormatting sqref="T294:U298 Z294:AC298">
    <cfRule type="cellIs" dxfId="3679" priority="4071" operator="equal">
      <formula>3</formula>
    </cfRule>
    <cfRule type="cellIs" dxfId="3678" priority="4069" operator="equal">
      <formula>7</formula>
    </cfRule>
    <cfRule type="cellIs" dxfId="3677" priority="4064" operator="equal">
      <formula>2</formula>
    </cfRule>
    <cfRule type="cellIs" dxfId="3676" priority="4063" operator="equal">
      <formula>4</formula>
    </cfRule>
    <cfRule type="cellIs" dxfId="3675" priority="4065" operator="equal">
      <formula>22</formula>
    </cfRule>
    <cfRule type="cellIs" dxfId="3674" priority="4066" operator="equal">
      <formula>11</formula>
    </cfRule>
    <cfRule type="cellIs" dxfId="3673" priority="4072" operator="equal">
      <formula>1</formula>
    </cfRule>
    <cfRule type="cellIs" dxfId="3672" priority="4070" operator="equal">
      <formula>5</formula>
    </cfRule>
    <cfRule type="cellIs" dxfId="3671" priority="4067" operator="equal">
      <formula>9</formula>
    </cfRule>
    <cfRule type="cellIs" dxfId="3670" priority="4068" operator="equal">
      <formula>0</formula>
    </cfRule>
  </conditionalFormatting>
  <conditionalFormatting sqref="T299:U299 Z299:AC299">
    <cfRule type="cellIs" dxfId="3669" priority="4046" operator="equal">
      <formula>5</formula>
    </cfRule>
    <cfRule type="cellIs" dxfId="3668" priority="4043" operator="equal">
      <formula>9</formula>
    </cfRule>
    <cfRule type="cellIs" dxfId="3667" priority="4048" operator="equal">
      <formula>1</formula>
    </cfRule>
    <cfRule type="cellIs" dxfId="3666" priority="4039" operator="equal">
      <formula>4</formula>
    </cfRule>
    <cfRule type="cellIs" dxfId="3665" priority="4041" operator="equal">
      <formula>22</formula>
    </cfRule>
    <cfRule type="cellIs" dxfId="3664" priority="4045" operator="equal">
      <formula>7</formula>
    </cfRule>
    <cfRule type="cellIs" dxfId="3663" priority="4044" operator="equal">
      <formula>0</formula>
    </cfRule>
    <cfRule type="cellIs" dxfId="3662" priority="4042" operator="equal">
      <formula>11</formula>
    </cfRule>
    <cfRule type="cellIs" dxfId="3661" priority="4047" operator="equal">
      <formula>3</formula>
    </cfRule>
    <cfRule type="cellIs" dxfId="3660" priority="4040" operator="equal">
      <formula>2</formula>
    </cfRule>
  </conditionalFormatting>
  <conditionalFormatting sqref="T301:U302 Z301:AC302">
    <cfRule type="cellIs" dxfId="3659" priority="12044" operator="equal">
      <formula>7</formula>
    </cfRule>
    <cfRule type="cellIs" dxfId="3658" priority="12038" operator="equal">
      <formula>4</formula>
    </cfRule>
    <cfRule type="cellIs" dxfId="3657" priority="12046" operator="equal">
      <formula>3</formula>
    </cfRule>
    <cfRule type="cellIs" dxfId="3656" priority="12045" operator="equal">
      <formula>5</formula>
    </cfRule>
    <cfRule type="cellIs" dxfId="3655" priority="12042" operator="equal">
      <formula>9</formula>
    </cfRule>
    <cfRule type="cellIs" dxfId="3654" priority="12047" operator="equal">
      <formula>1</formula>
    </cfRule>
    <cfRule type="cellIs" dxfId="3653" priority="12039" operator="equal">
      <formula>2</formula>
    </cfRule>
    <cfRule type="cellIs" dxfId="3652" priority="12041" operator="equal">
      <formula>11</formula>
    </cfRule>
    <cfRule type="cellIs" dxfId="3651" priority="12043" operator="equal">
      <formula>0</formula>
    </cfRule>
    <cfRule type="cellIs" dxfId="3650" priority="12040" operator="equal">
      <formula>22</formula>
    </cfRule>
  </conditionalFormatting>
  <conditionalFormatting sqref="T312:U312 Z312:AC312">
    <cfRule type="cellIs" dxfId="3649" priority="11944" operator="equal">
      <formula>11</formula>
    </cfRule>
    <cfRule type="cellIs" dxfId="3648" priority="11945" operator="equal">
      <formula>9</formula>
    </cfRule>
    <cfRule type="cellIs" dxfId="3647" priority="11943" operator="equal">
      <formula>22</formula>
    </cfRule>
    <cfRule type="cellIs" dxfId="3646" priority="11941" operator="equal">
      <formula>4</formula>
    </cfRule>
    <cfRule type="cellIs" dxfId="3645" priority="11949" operator="equal">
      <formula>3</formula>
    </cfRule>
    <cfRule type="cellIs" dxfId="3644" priority="11946" operator="equal">
      <formula>0</formula>
    </cfRule>
    <cfRule type="cellIs" dxfId="3643" priority="11942" operator="equal">
      <formula>2</formula>
    </cfRule>
    <cfRule type="cellIs" dxfId="3642" priority="11947" operator="equal">
      <formula>7</formula>
    </cfRule>
    <cfRule type="cellIs" dxfId="3641" priority="11948" operator="equal">
      <formula>5</formula>
    </cfRule>
  </conditionalFormatting>
  <conditionalFormatting sqref="T312:U313 Z312:AC313">
    <cfRule type="cellIs" dxfId="3640" priority="11900" operator="equal">
      <formula>1</formula>
    </cfRule>
  </conditionalFormatting>
  <conditionalFormatting sqref="T313:U313 Z313:AC313">
    <cfRule type="cellIs" dxfId="3639" priority="11894" operator="equal">
      <formula>11</formula>
    </cfRule>
    <cfRule type="cellIs" dxfId="3638" priority="11892" operator="equal">
      <formula>2</formula>
    </cfRule>
    <cfRule type="cellIs" dxfId="3637" priority="11898" operator="equal">
      <formula>5</formula>
    </cfRule>
    <cfRule type="cellIs" dxfId="3636" priority="11891" operator="equal">
      <formula>4</formula>
    </cfRule>
    <cfRule type="cellIs" dxfId="3635" priority="11899" operator="equal">
      <formula>3</formula>
    </cfRule>
    <cfRule type="cellIs" dxfId="3634" priority="11893" operator="equal">
      <formula>22</formula>
    </cfRule>
    <cfRule type="cellIs" dxfId="3633" priority="11896" operator="equal">
      <formula>0</formula>
    </cfRule>
    <cfRule type="cellIs" dxfId="3632" priority="11897" operator="equal">
      <formula>7</formula>
    </cfRule>
    <cfRule type="cellIs" dxfId="3631" priority="11895" operator="equal">
      <formula>9</formula>
    </cfRule>
  </conditionalFormatting>
  <conditionalFormatting sqref="T315:U319 Z315:AC319">
    <cfRule type="cellIs" dxfId="3630" priority="3924" operator="equal">
      <formula>7</formula>
    </cfRule>
    <cfRule type="cellIs" dxfId="3629" priority="3926" operator="equal">
      <formula>3</formula>
    </cfRule>
    <cfRule type="cellIs" dxfId="3628" priority="3922" operator="equal">
      <formula>9</formula>
    </cfRule>
    <cfRule type="cellIs" dxfId="3627" priority="3920" operator="equal">
      <formula>22</formula>
    </cfRule>
    <cfRule type="cellIs" dxfId="3626" priority="3918" operator="equal">
      <formula>4</formula>
    </cfRule>
    <cfRule type="cellIs" dxfId="3625" priority="3919" operator="equal">
      <formula>2</formula>
    </cfRule>
    <cfRule type="cellIs" dxfId="3624" priority="3921" operator="equal">
      <formula>11</formula>
    </cfRule>
    <cfRule type="cellIs" dxfId="3623" priority="3925" operator="equal">
      <formula>5</formula>
    </cfRule>
    <cfRule type="cellIs" dxfId="3622" priority="3923" operator="equal">
      <formula>0</formula>
    </cfRule>
    <cfRule type="cellIs" dxfId="3621" priority="3927" operator="equal">
      <formula>1</formula>
    </cfRule>
  </conditionalFormatting>
  <conditionalFormatting sqref="T320:U320 Z320:AC320">
    <cfRule type="cellIs" dxfId="3620" priority="3900" operator="equal">
      <formula>7</formula>
    </cfRule>
    <cfRule type="cellIs" dxfId="3619" priority="3902" operator="equal">
      <formula>3</formula>
    </cfRule>
    <cfRule type="cellIs" dxfId="3618" priority="3896" operator="equal">
      <formula>22</formula>
    </cfRule>
    <cfRule type="cellIs" dxfId="3617" priority="3895" operator="equal">
      <formula>2</formula>
    </cfRule>
    <cfRule type="cellIs" dxfId="3616" priority="3897" operator="equal">
      <formula>11</formula>
    </cfRule>
    <cfRule type="cellIs" dxfId="3615" priority="3901" operator="equal">
      <formula>5</formula>
    </cfRule>
    <cfRule type="cellIs" dxfId="3614" priority="3899" operator="equal">
      <formula>0</formula>
    </cfRule>
    <cfRule type="cellIs" dxfId="3613" priority="3894" operator="equal">
      <formula>4</formula>
    </cfRule>
    <cfRule type="cellIs" dxfId="3612" priority="3898" operator="equal">
      <formula>9</formula>
    </cfRule>
    <cfRule type="cellIs" dxfId="3611" priority="3903" operator="equal">
      <formula>1</formula>
    </cfRule>
  </conditionalFormatting>
  <conditionalFormatting sqref="T323:U323 Z323:AC323">
    <cfRule type="cellIs" dxfId="3610" priority="11825" operator="equal">
      <formula>1</formula>
    </cfRule>
  </conditionalFormatting>
  <conditionalFormatting sqref="T333:U334 Z333:AC334">
    <cfRule type="cellIs" dxfId="3609" priority="11729" operator="equal">
      <formula>1</formula>
    </cfRule>
  </conditionalFormatting>
  <conditionalFormatting sqref="T343:U344 Z343:AC344">
    <cfRule type="cellIs" dxfId="3608" priority="11653" operator="equal">
      <formula>7</formula>
    </cfRule>
    <cfRule type="cellIs" dxfId="3607" priority="11656" operator="equal">
      <formula>1</formula>
    </cfRule>
    <cfRule type="cellIs" dxfId="3606" priority="11652" operator="equal">
      <formula>0</formula>
    </cfRule>
    <cfRule type="cellIs" dxfId="3605" priority="11651" operator="equal">
      <formula>9</formula>
    </cfRule>
    <cfRule type="cellIs" dxfId="3604" priority="11654" operator="equal">
      <formula>5</formula>
    </cfRule>
    <cfRule type="cellIs" dxfId="3603" priority="11649" operator="equal">
      <formula>22</formula>
    </cfRule>
    <cfRule type="cellIs" dxfId="3602" priority="11648" operator="equal">
      <formula>2</formula>
    </cfRule>
    <cfRule type="cellIs" dxfId="3601" priority="11647" operator="equal">
      <formula>4</formula>
    </cfRule>
    <cfRule type="cellIs" dxfId="3600" priority="11655" operator="equal">
      <formula>3</formula>
    </cfRule>
    <cfRule type="cellIs" dxfId="3599" priority="11650" operator="equal">
      <formula>11</formula>
    </cfRule>
  </conditionalFormatting>
  <conditionalFormatting sqref="T356:U357 Z356:AC357">
    <cfRule type="cellIs" dxfId="3598" priority="11600" operator="equal">
      <formula>2</formula>
    </cfRule>
    <cfRule type="cellIs" dxfId="3597" priority="11599" operator="equal">
      <formula>4</formula>
    </cfRule>
    <cfRule type="cellIs" dxfId="3596" priority="11605" operator="equal">
      <formula>7</formula>
    </cfRule>
    <cfRule type="cellIs" dxfId="3595" priority="11601" operator="equal">
      <formula>22</formula>
    </cfRule>
    <cfRule type="cellIs" dxfId="3594" priority="11602" operator="equal">
      <formula>11</formula>
    </cfRule>
    <cfRule type="cellIs" dxfId="3593" priority="11608" operator="equal">
      <formula>1</formula>
    </cfRule>
    <cfRule type="cellIs" dxfId="3592" priority="11603" operator="equal">
      <formula>9</formula>
    </cfRule>
    <cfRule type="cellIs" dxfId="3591" priority="11607" operator="equal">
      <formula>3</formula>
    </cfRule>
    <cfRule type="cellIs" dxfId="3590" priority="11606" operator="equal">
      <formula>5</formula>
    </cfRule>
    <cfRule type="cellIs" dxfId="3589" priority="11604" operator="equal">
      <formula>0</formula>
    </cfRule>
  </conditionalFormatting>
  <conditionalFormatting sqref="T359:U375 Z359:AC375">
    <cfRule type="cellIs" dxfId="3588" priority="3508" operator="equal">
      <formula>2</formula>
    </cfRule>
    <cfRule type="cellIs" dxfId="3587" priority="3516" operator="equal">
      <formula>1</formula>
    </cfRule>
    <cfRule type="cellIs" dxfId="3586" priority="3507" operator="equal">
      <formula>4</formula>
    </cfRule>
    <cfRule type="cellIs" dxfId="3585" priority="3513" operator="equal">
      <formula>7</formula>
    </cfRule>
    <cfRule type="cellIs" dxfId="3584" priority="3515" operator="equal">
      <formula>3</formula>
    </cfRule>
    <cfRule type="cellIs" dxfId="3583" priority="3514" operator="equal">
      <formula>5</formula>
    </cfRule>
    <cfRule type="cellIs" dxfId="3582" priority="3509" operator="equal">
      <formula>22</formula>
    </cfRule>
    <cfRule type="cellIs" dxfId="3581" priority="3510" operator="equal">
      <formula>11</formula>
    </cfRule>
    <cfRule type="cellIs" dxfId="3580" priority="3511" operator="equal">
      <formula>9</formula>
    </cfRule>
    <cfRule type="cellIs" dxfId="3579" priority="3512" operator="equal">
      <formula>0</formula>
    </cfRule>
  </conditionalFormatting>
  <conditionalFormatting sqref="T377:U380 Z377:AC380">
    <cfRule type="cellIs" dxfId="3578" priority="3486" operator="equal">
      <formula>4</formula>
    </cfRule>
    <cfRule type="cellIs" dxfId="3577" priority="3494" operator="equal">
      <formula>3</formula>
    </cfRule>
    <cfRule type="cellIs" dxfId="3576" priority="3493" operator="equal">
      <formula>5</formula>
    </cfRule>
    <cfRule type="cellIs" dxfId="3575" priority="3487" operator="equal">
      <formula>2</formula>
    </cfRule>
    <cfRule type="cellIs" dxfId="3574" priority="3488" operator="equal">
      <formula>22</formula>
    </cfRule>
    <cfRule type="cellIs" dxfId="3573" priority="3492" operator="equal">
      <formula>7</formula>
    </cfRule>
    <cfRule type="cellIs" dxfId="3572" priority="3495" operator="equal">
      <formula>1</formula>
    </cfRule>
    <cfRule type="cellIs" dxfId="3571" priority="3489" operator="equal">
      <formula>11</formula>
    </cfRule>
    <cfRule type="cellIs" dxfId="3570" priority="3491" operator="equal">
      <formula>0</formula>
    </cfRule>
    <cfRule type="cellIs" dxfId="3569" priority="3490" operator="equal">
      <formula>9</formula>
    </cfRule>
  </conditionalFormatting>
  <conditionalFormatting sqref="T381:U382 Z381:AC382 T391:U392 Z391:AC392">
    <cfRule type="cellIs" dxfId="3568" priority="11368" operator="equal">
      <formula>1</formula>
    </cfRule>
  </conditionalFormatting>
  <conditionalFormatting sqref="T381:U382 Z381:AC382 Z391:AC391 T391:U391">
    <cfRule type="cellIs" dxfId="3567" priority="11359" operator="equal">
      <formula>4</formula>
    </cfRule>
    <cfRule type="cellIs" dxfId="3566" priority="11360" operator="equal">
      <formula>2</formula>
    </cfRule>
    <cfRule type="cellIs" dxfId="3565" priority="11367" operator="equal">
      <formula>3</formula>
    </cfRule>
    <cfRule type="cellIs" dxfId="3564" priority="11366" operator="equal">
      <formula>5</formula>
    </cfRule>
    <cfRule type="cellIs" dxfId="3563" priority="11365" operator="equal">
      <formula>7</formula>
    </cfRule>
    <cfRule type="cellIs" dxfId="3562" priority="11364" operator="equal">
      <formula>0</formula>
    </cfRule>
    <cfRule type="cellIs" dxfId="3561" priority="11363" operator="equal">
      <formula>9</formula>
    </cfRule>
    <cfRule type="cellIs" dxfId="3560" priority="11362" operator="equal">
      <formula>11</formula>
    </cfRule>
    <cfRule type="cellIs" dxfId="3559" priority="11361" operator="equal">
      <formula>22</formula>
    </cfRule>
  </conditionalFormatting>
  <conditionalFormatting sqref="T399:U399 Z399:AC399">
    <cfRule type="cellIs" dxfId="3558" priority="3316" operator="equal">
      <formula>5</formula>
    </cfRule>
    <cfRule type="cellIs" dxfId="3557" priority="3317" operator="equal">
      <formula>3</formula>
    </cfRule>
    <cfRule type="cellIs" dxfId="3556" priority="3318" operator="equal">
      <formula>1</formula>
    </cfRule>
    <cfRule type="cellIs" dxfId="3555" priority="3315" operator="equal">
      <formula>7</formula>
    </cfRule>
    <cfRule type="cellIs" dxfId="3554" priority="3314" operator="equal">
      <formula>0</formula>
    </cfRule>
    <cfRule type="cellIs" dxfId="3553" priority="3310" operator="equal">
      <formula>2</formula>
    </cfRule>
    <cfRule type="cellIs" dxfId="3552" priority="3313" operator="equal">
      <formula>9</formula>
    </cfRule>
    <cfRule type="cellIs" dxfId="3551" priority="3311" operator="equal">
      <formula>22</formula>
    </cfRule>
    <cfRule type="cellIs" dxfId="3550" priority="3312" operator="equal">
      <formula>11</formula>
    </cfRule>
    <cfRule type="cellIs" dxfId="3549" priority="3309" operator="equal">
      <formula>4</formula>
    </cfRule>
  </conditionalFormatting>
  <conditionalFormatting sqref="T402:U402 Z402:AC402">
    <cfRule type="cellIs" dxfId="3548" priority="23061" operator="equal">
      <formula>1</formula>
    </cfRule>
  </conditionalFormatting>
  <conditionalFormatting sqref="T403:U403 Z403:AC403">
    <cfRule type="cellIs" dxfId="3547" priority="3286" operator="equal">
      <formula>2</formula>
    </cfRule>
    <cfRule type="cellIs" dxfId="3546" priority="3293" operator="equal">
      <formula>3</formula>
    </cfRule>
    <cfRule type="cellIs" dxfId="3545" priority="3289" operator="equal">
      <formula>9</formula>
    </cfRule>
    <cfRule type="cellIs" dxfId="3544" priority="3294" operator="equal">
      <formula>1</formula>
    </cfRule>
    <cfRule type="cellIs" dxfId="3543" priority="3285" operator="equal">
      <formula>4</formula>
    </cfRule>
    <cfRule type="cellIs" dxfId="3542" priority="3287" operator="equal">
      <formula>22</formula>
    </cfRule>
    <cfRule type="cellIs" dxfId="3541" priority="3290" operator="equal">
      <formula>0</formula>
    </cfRule>
    <cfRule type="cellIs" dxfId="3540" priority="3288" operator="equal">
      <formula>11</formula>
    </cfRule>
    <cfRule type="cellIs" dxfId="3539" priority="3291" operator="equal">
      <formula>7</formula>
    </cfRule>
    <cfRule type="cellIs" dxfId="3538" priority="3292" operator="equal">
      <formula>5</formula>
    </cfRule>
  </conditionalFormatting>
  <conditionalFormatting sqref="T414:U414 Z414:AC414">
    <cfRule type="cellIs" dxfId="3537" priority="3222" operator="equal">
      <formula>1</formula>
    </cfRule>
    <cfRule type="cellIs" dxfId="3536" priority="3221" operator="equal">
      <formula>3</formula>
    </cfRule>
    <cfRule type="cellIs" dxfId="3535" priority="3214" operator="equal">
      <formula>2</formula>
    </cfRule>
    <cfRule type="cellIs" dxfId="3534" priority="3218" operator="equal">
      <formula>0</formula>
    </cfRule>
    <cfRule type="cellIs" dxfId="3533" priority="3220" operator="equal">
      <formula>5</formula>
    </cfRule>
    <cfRule type="cellIs" dxfId="3532" priority="3215" operator="equal">
      <formula>22</formula>
    </cfRule>
    <cfRule type="cellIs" dxfId="3531" priority="3217" operator="equal">
      <formula>9</formula>
    </cfRule>
    <cfRule type="cellIs" dxfId="3530" priority="3213" operator="equal">
      <formula>4</formula>
    </cfRule>
    <cfRule type="cellIs" dxfId="3529" priority="3216" operator="equal">
      <formula>11</formula>
    </cfRule>
    <cfRule type="cellIs" dxfId="3528" priority="3219" operator="equal">
      <formula>7</formula>
    </cfRule>
  </conditionalFormatting>
  <conditionalFormatting sqref="T415:U415 Z415:AC415">
    <cfRule type="cellIs" dxfId="3527" priority="11150" operator="equal">
      <formula>5</formula>
    </cfRule>
    <cfRule type="cellIs" dxfId="3526" priority="11151" operator="equal">
      <formula>3</formula>
    </cfRule>
    <cfRule type="cellIs" dxfId="3525" priority="11152" operator="equal">
      <formula>1</formula>
    </cfRule>
    <cfRule type="cellIs" dxfId="3524" priority="11149" operator="equal">
      <formula>7</formula>
    </cfRule>
    <cfRule type="cellIs" dxfId="3523" priority="11148" operator="equal">
      <formula>0</formula>
    </cfRule>
    <cfRule type="cellIs" dxfId="3522" priority="11147" operator="equal">
      <formula>9</formula>
    </cfRule>
    <cfRule type="cellIs" dxfId="3521" priority="11146" operator="equal">
      <formula>11</formula>
    </cfRule>
    <cfRule type="cellIs" dxfId="3520" priority="11145" operator="equal">
      <formula>22</formula>
    </cfRule>
    <cfRule type="cellIs" dxfId="3519" priority="11144" operator="equal">
      <formula>2</formula>
    </cfRule>
    <cfRule type="cellIs" dxfId="3518" priority="11143" operator="equal">
      <formula>4</formula>
    </cfRule>
  </conditionalFormatting>
  <conditionalFormatting sqref="T427:U427 Z427:AC427">
    <cfRule type="cellIs" dxfId="3517" priority="10797" operator="equal">
      <formula>0</formula>
    </cfRule>
    <cfRule type="cellIs" dxfId="3516" priority="10798" operator="equal">
      <formula>7</formula>
    </cfRule>
    <cfRule type="cellIs" dxfId="3515" priority="10799" operator="equal">
      <formula>5</formula>
    </cfRule>
    <cfRule type="cellIs" dxfId="3514" priority="10800" operator="equal">
      <formula>3</formula>
    </cfRule>
    <cfRule type="cellIs" dxfId="3513" priority="10796" operator="equal">
      <formula>9</formula>
    </cfRule>
    <cfRule type="cellIs" dxfId="3512" priority="10795" operator="equal">
      <formula>11</formula>
    </cfRule>
    <cfRule type="cellIs" dxfId="3511" priority="10794" operator="equal">
      <formula>22</formula>
    </cfRule>
    <cfRule type="cellIs" dxfId="3510" priority="10793" operator="equal">
      <formula>2</formula>
    </cfRule>
    <cfRule type="cellIs" dxfId="3509" priority="10792" operator="equal">
      <formula>4</formula>
    </cfRule>
  </conditionalFormatting>
  <conditionalFormatting sqref="T427:U429 Z427:AC429">
    <cfRule type="cellIs" dxfId="3508" priority="10763" operator="equal">
      <formula>1</formula>
    </cfRule>
  </conditionalFormatting>
  <conditionalFormatting sqref="T428:U428 Z428:AC428">
    <cfRule type="cellIs" dxfId="3507" priority="10755" operator="equal">
      <formula>2</formula>
    </cfRule>
    <cfRule type="cellIs" dxfId="3506" priority="10762" operator="equal">
      <formula>3</formula>
    </cfRule>
    <cfRule type="cellIs" dxfId="3505" priority="10761" operator="equal">
      <formula>5</formula>
    </cfRule>
    <cfRule type="cellIs" dxfId="3504" priority="10760" operator="equal">
      <formula>7</formula>
    </cfRule>
    <cfRule type="cellIs" dxfId="3503" priority="10754" operator="equal">
      <formula>4</formula>
    </cfRule>
    <cfRule type="cellIs" dxfId="3502" priority="10759" operator="equal">
      <formula>0</formula>
    </cfRule>
    <cfRule type="cellIs" dxfId="3501" priority="10758" operator="equal">
      <formula>9</formula>
    </cfRule>
    <cfRule type="cellIs" dxfId="3500" priority="10757" operator="equal">
      <formula>11</formula>
    </cfRule>
    <cfRule type="cellIs" dxfId="3499" priority="10756" operator="equal">
      <formula>22</formula>
    </cfRule>
  </conditionalFormatting>
  <conditionalFormatting sqref="T429:U429 Z429:AC429">
    <cfRule type="cellIs" dxfId="3498" priority="10765" operator="equal">
      <formula>4</formula>
    </cfRule>
    <cfRule type="cellIs" dxfId="3497" priority="10773" operator="equal">
      <formula>3</formula>
    </cfRule>
    <cfRule type="cellIs" dxfId="3496" priority="10772" operator="equal">
      <formula>5</formula>
    </cfRule>
    <cfRule type="cellIs" dxfId="3495" priority="10771" operator="equal">
      <formula>7</formula>
    </cfRule>
    <cfRule type="cellIs" dxfId="3494" priority="10770" operator="equal">
      <formula>0</formula>
    </cfRule>
    <cfRule type="cellIs" dxfId="3493" priority="10768" operator="equal">
      <formula>11</formula>
    </cfRule>
    <cfRule type="cellIs" dxfId="3492" priority="10767" operator="equal">
      <formula>22</formula>
    </cfRule>
    <cfRule type="cellIs" dxfId="3491" priority="10766" operator="equal">
      <formula>2</formula>
    </cfRule>
    <cfRule type="cellIs" dxfId="3490" priority="10769" operator="equal">
      <formula>9</formula>
    </cfRule>
  </conditionalFormatting>
  <conditionalFormatting sqref="T441:U441 Z441:AC441">
    <cfRule type="cellIs" dxfId="3489" priority="10868" operator="equal">
      <formula>9</formula>
    </cfRule>
    <cfRule type="cellIs" dxfId="3488" priority="10871" operator="equal">
      <formula>5</formula>
    </cfRule>
    <cfRule type="cellIs" dxfId="3487" priority="10873" operator="equal">
      <formula>1</formula>
    </cfRule>
    <cfRule type="cellIs" dxfId="3486" priority="10864" operator="equal">
      <formula>4</formula>
    </cfRule>
    <cfRule type="cellIs" dxfId="3485" priority="10865" operator="equal">
      <formula>2</formula>
    </cfRule>
    <cfRule type="cellIs" dxfId="3484" priority="10867" operator="equal">
      <formula>11</formula>
    </cfRule>
    <cfRule type="cellIs" dxfId="3483" priority="10869" operator="equal">
      <formula>0</formula>
    </cfRule>
    <cfRule type="cellIs" dxfId="3482" priority="10866" operator="equal">
      <formula>22</formula>
    </cfRule>
    <cfRule type="cellIs" dxfId="3481" priority="10870" operator="equal">
      <formula>7</formula>
    </cfRule>
    <cfRule type="cellIs" dxfId="3480" priority="10872" operator="equal">
      <formula>3</formula>
    </cfRule>
  </conditionalFormatting>
  <conditionalFormatting sqref="T442:U442 Z442:AC442">
    <cfRule type="cellIs" dxfId="3479" priority="3033" operator="equal">
      <formula>0</formula>
    </cfRule>
    <cfRule type="cellIs" dxfId="3478" priority="3028" operator="equal">
      <formula>4</formula>
    </cfRule>
    <cfRule type="cellIs" dxfId="3477" priority="3030" operator="equal">
      <formula>22</formula>
    </cfRule>
    <cfRule type="cellIs" dxfId="3476" priority="3036" operator="equal">
      <formula>3</formula>
    </cfRule>
    <cfRule type="cellIs" dxfId="3475" priority="3031" operator="equal">
      <formula>11</formula>
    </cfRule>
    <cfRule type="cellIs" dxfId="3474" priority="3035" operator="equal">
      <formula>5</formula>
    </cfRule>
    <cfRule type="cellIs" dxfId="3473" priority="3029" operator="equal">
      <formula>2</formula>
    </cfRule>
    <cfRule type="cellIs" dxfId="3472" priority="3034" operator="equal">
      <formula>7</formula>
    </cfRule>
    <cfRule type="cellIs" dxfId="3471" priority="3032" operator="equal">
      <formula>9</formula>
    </cfRule>
    <cfRule type="cellIs" dxfId="3470" priority="3037" operator="equal">
      <formula>1</formula>
    </cfRule>
  </conditionalFormatting>
  <conditionalFormatting sqref="T452:U452 Z452:AC452">
    <cfRule type="cellIs" dxfId="3469" priority="22788" operator="equal">
      <formula>2</formula>
    </cfRule>
    <cfRule type="cellIs" dxfId="3468" priority="22789" operator="equal">
      <formula>22</formula>
    </cfRule>
    <cfRule type="cellIs" dxfId="3467" priority="22790" operator="equal">
      <formula>11</formula>
    </cfRule>
    <cfRule type="cellIs" dxfId="3466" priority="22791" operator="equal">
      <formula>9</formula>
    </cfRule>
    <cfRule type="cellIs" dxfId="3465" priority="22792" operator="equal">
      <formula>0</formula>
    </cfRule>
    <cfRule type="cellIs" dxfId="3464" priority="22793" operator="equal">
      <formula>7</formula>
    </cfRule>
    <cfRule type="cellIs" dxfId="3463" priority="22794" operator="equal">
      <formula>5</formula>
    </cfRule>
    <cfRule type="cellIs" dxfId="3462" priority="22795" operator="equal">
      <formula>3</formula>
    </cfRule>
    <cfRule type="cellIs" dxfId="3461" priority="22787" operator="equal">
      <formula>4</formula>
    </cfRule>
  </conditionalFormatting>
  <conditionalFormatting sqref="T452:U453 Z452:AC453">
    <cfRule type="cellIs" dxfId="3460" priority="10559" operator="equal">
      <formula>1</formula>
    </cfRule>
  </conditionalFormatting>
  <conditionalFormatting sqref="T453:U453 Z453:AC453">
    <cfRule type="cellIs" dxfId="3459" priority="10551" operator="equal">
      <formula>2</formula>
    </cfRule>
    <cfRule type="cellIs" dxfId="3458" priority="10553" operator="equal">
      <formula>11</formula>
    </cfRule>
    <cfRule type="cellIs" dxfId="3457" priority="10552" operator="equal">
      <formula>22</formula>
    </cfRule>
    <cfRule type="cellIs" dxfId="3456" priority="10554" operator="equal">
      <formula>9</formula>
    </cfRule>
    <cfRule type="cellIs" dxfId="3455" priority="10555" operator="equal">
      <formula>0</formula>
    </cfRule>
    <cfRule type="cellIs" dxfId="3454" priority="10556" operator="equal">
      <formula>7</formula>
    </cfRule>
    <cfRule type="cellIs" dxfId="3453" priority="10557" operator="equal">
      <formula>5</formula>
    </cfRule>
    <cfRule type="cellIs" dxfId="3452" priority="10558" operator="equal">
      <formula>3</formula>
    </cfRule>
    <cfRule type="cellIs" dxfId="3451" priority="10550" operator="equal">
      <formula>4</formula>
    </cfRule>
  </conditionalFormatting>
  <conditionalFormatting sqref="T463:U464 Z463:AC464">
    <cfRule type="cellIs" dxfId="3450" priority="22676" operator="equal">
      <formula>1</formula>
    </cfRule>
  </conditionalFormatting>
  <conditionalFormatting sqref="T474:U474 Z474:AC474">
    <cfRule type="cellIs" dxfId="3449" priority="26692" operator="equal">
      <formula>22</formula>
    </cfRule>
    <cfRule type="cellIs" dxfId="3448" priority="26698" operator="equal">
      <formula>3</formula>
    </cfRule>
    <cfRule type="cellIs" dxfId="3447" priority="26690" operator="equal">
      <formula>4</formula>
    </cfRule>
    <cfRule type="cellIs" dxfId="3446" priority="26691" operator="equal">
      <formula>2</formula>
    </cfRule>
    <cfRule type="cellIs" dxfId="3445" priority="26696" operator="equal">
      <formula>7</formula>
    </cfRule>
    <cfRule type="cellIs" dxfId="3444" priority="26699" operator="equal">
      <formula>1</formula>
    </cfRule>
    <cfRule type="cellIs" dxfId="3443" priority="26693" operator="equal">
      <formula>11</formula>
    </cfRule>
    <cfRule type="cellIs" dxfId="3442" priority="26694" operator="equal">
      <formula>9</formula>
    </cfRule>
    <cfRule type="cellIs" dxfId="3441" priority="26695" operator="equal">
      <formula>0</formula>
    </cfRule>
    <cfRule type="cellIs" dxfId="3440" priority="26697" operator="equal">
      <formula>5</formula>
    </cfRule>
  </conditionalFormatting>
  <conditionalFormatting sqref="T485:U485 Z485:AC485">
    <cfRule type="cellIs" dxfId="3439" priority="22556" operator="equal">
      <formula>1</formula>
    </cfRule>
  </conditionalFormatting>
  <conditionalFormatting sqref="T497:U497 Z497:AC497">
    <cfRule type="cellIs" dxfId="3438" priority="42627" operator="equal">
      <formula>7</formula>
    </cfRule>
    <cfRule type="cellIs" dxfId="3437" priority="42626" operator="equal">
      <formula>0</formula>
    </cfRule>
    <cfRule type="cellIs" dxfId="3436" priority="42628" operator="equal">
      <formula>5</formula>
    </cfRule>
    <cfRule type="cellIs" dxfId="3435" priority="42621" operator="equal">
      <formula>4</formula>
    </cfRule>
    <cfRule type="cellIs" dxfId="3434" priority="42629" operator="equal">
      <formula>3</formula>
    </cfRule>
    <cfRule type="cellIs" dxfId="3433" priority="42630" operator="equal">
      <formula>1</formula>
    </cfRule>
    <cfRule type="cellIs" dxfId="3432" priority="42623" operator="equal">
      <formula>22</formula>
    </cfRule>
    <cfRule type="cellIs" dxfId="3431" priority="42622" operator="equal">
      <formula>2</formula>
    </cfRule>
    <cfRule type="cellIs" dxfId="3430" priority="42625" operator="equal">
      <formula>9</formula>
    </cfRule>
    <cfRule type="cellIs" dxfId="3429" priority="42624" operator="equal">
      <formula>11</formula>
    </cfRule>
  </conditionalFormatting>
  <conditionalFormatting sqref="T508:U508 Z508:AC508">
    <cfRule type="cellIs" dxfId="3428" priority="47828" operator="equal">
      <formula>1</formula>
    </cfRule>
  </conditionalFormatting>
  <conditionalFormatting sqref="T519:U519 Z519:AC519">
    <cfRule type="cellIs" dxfId="3427" priority="47636" operator="equal">
      <formula>1</formula>
    </cfRule>
  </conditionalFormatting>
  <conditionalFormatting sqref="T530:U531 Z530:AC531">
    <cfRule type="cellIs" dxfId="3426" priority="52844" operator="equal">
      <formula>1</formula>
    </cfRule>
  </conditionalFormatting>
  <conditionalFormatting sqref="T549:U549 Z549:AC549">
    <cfRule type="cellIs" dxfId="3425" priority="2278" operator="equal">
      <formula>0</formula>
    </cfRule>
    <cfRule type="cellIs" dxfId="3424" priority="2282" operator="equal">
      <formula>1</formula>
    </cfRule>
    <cfRule type="cellIs" dxfId="3423" priority="2274" operator="equal">
      <formula>2</formula>
    </cfRule>
    <cfRule type="cellIs" dxfId="3422" priority="2275" operator="equal">
      <formula>22</formula>
    </cfRule>
    <cfRule type="cellIs" dxfId="3421" priority="2280" operator="equal">
      <formula>5</formula>
    </cfRule>
    <cfRule type="cellIs" dxfId="3420" priority="2273" operator="equal">
      <formula>4</formula>
    </cfRule>
    <cfRule type="cellIs" dxfId="3419" priority="2276" operator="equal">
      <formula>11</formula>
    </cfRule>
    <cfRule type="cellIs" dxfId="3418" priority="2279" operator="equal">
      <formula>7</formula>
    </cfRule>
    <cfRule type="cellIs" dxfId="3417" priority="2277" operator="equal">
      <formula>9</formula>
    </cfRule>
    <cfRule type="cellIs" dxfId="3416" priority="2281" operator="equal">
      <formula>3</formula>
    </cfRule>
  </conditionalFormatting>
  <conditionalFormatting sqref="T552:U553 Z552:AC553">
    <cfRule type="cellIs" dxfId="3415" priority="36601" operator="equal">
      <formula>11</formula>
    </cfRule>
    <cfRule type="cellIs" dxfId="3414" priority="36603" operator="equal">
      <formula>0</formula>
    </cfRule>
    <cfRule type="cellIs" dxfId="3413" priority="36602" operator="equal">
      <formula>9</formula>
    </cfRule>
    <cfRule type="cellIs" dxfId="3412" priority="36600" operator="equal">
      <formula>22</formula>
    </cfRule>
    <cfRule type="cellIs" dxfId="3411" priority="36607" operator="equal">
      <formula>1</formula>
    </cfRule>
    <cfRule type="cellIs" dxfId="3410" priority="36599" operator="equal">
      <formula>2</formula>
    </cfRule>
    <cfRule type="cellIs" dxfId="3409" priority="36605" operator="equal">
      <formula>5</formula>
    </cfRule>
    <cfRule type="cellIs" dxfId="3408" priority="36598" operator="equal">
      <formula>4</formula>
    </cfRule>
    <cfRule type="cellIs" dxfId="3407" priority="36606" operator="equal">
      <formula>3</formula>
    </cfRule>
    <cfRule type="cellIs" dxfId="3406" priority="36604" operator="equal">
      <formula>7</formula>
    </cfRule>
  </conditionalFormatting>
  <conditionalFormatting sqref="T560:U561 Z560:AC561">
    <cfRule type="cellIs" dxfId="3405" priority="52716" operator="equal">
      <formula>2</formula>
    </cfRule>
    <cfRule type="cellIs" dxfId="3404" priority="52717" operator="equal">
      <formula>22</formula>
    </cfRule>
    <cfRule type="cellIs" dxfId="3403" priority="52719" operator="equal">
      <formula>9</formula>
    </cfRule>
    <cfRule type="cellIs" dxfId="3402" priority="52724" operator="equal">
      <formula>1</formula>
    </cfRule>
    <cfRule type="cellIs" dxfId="3401" priority="52715" operator="equal">
      <formula>4</formula>
    </cfRule>
    <cfRule type="cellIs" dxfId="3400" priority="52723" operator="equal">
      <formula>3</formula>
    </cfRule>
    <cfRule type="cellIs" dxfId="3399" priority="52718" operator="equal">
      <formula>11</formula>
    </cfRule>
    <cfRule type="cellIs" dxfId="3398" priority="52722" operator="equal">
      <formula>5</formula>
    </cfRule>
    <cfRule type="cellIs" dxfId="3397" priority="52721" operator="equal">
      <formula>7</formula>
    </cfRule>
    <cfRule type="cellIs" dxfId="3396" priority="52720" operator="equal">
      <formula>0</formula>
    </cfRule>
  </conditionalFormatting>
  <conditionalFormatting sqref="T562:U562 Z562:AC562">
    <cfRule type="cellIs" dxfId="3395" priority="2136" operator="equal">
      <formula>5</formula>
    </cfRule>
    <cfRule type="cellIs" dxfId="3394" priority="2129" operator="equal">
      <formula>4</formula>
    </cfRule>
    <cfRule type="cellIs" dxfId="3393" priority="2133" operator="equal">
      <formula>9</formula>
    </cfRule>
    <cfRule type="cellIs" dxfId="3392" priority="2135" operator="equal">
      <formula>7</formula>
    </cfRule>
    <cfRule type="cellIs" dxfId="3391" priority="2132" operator="equal">
      <formula>11</formula>
    </cfRule>
    <cfRule type="cellIs" dxfId="3390" priority="2131" operator="equal">
      <formula>22</formula>
    </cfRule>
    <cfRule type="cellIs" dxfId="3389" priority="2130" operator="equal">
      <formula>2</formula>
    </cfRule>
    <cfRule type="cellIs" dxfId="3388" priority="2134" operator="equal">
      <formula>0</formula>
    </cfRule>
    <cfRule type="cellIs" dxfId="3387" priority="2138" operator="equal">
      <formula>1</formula>
    </cfRule>
    <cfRule type="cellIs" dxfId="3386" priority="2137" operator="equal">
      <formula>3</formula>
    </cfRule>
  </conditionalFormatting>
  <conditionalFormatting sqref="T563:U563 Z563:AC563">
    <cfRule type="cellIs" dxfId="3385" priority="60568" operator="equal">
      <formula>1</formula>
    </cfRule>
  </conditionalFormatting>
  <conditionalFormatting sqref="T564:U564 Z564:AC564">
    <cfRule type="cellIs" dxfId="3384" priority="2105" operator="equal">
      <formula>4</formula>
    </cfRule>
    <cfRule type="cellIs" dxfId="3383" priority="2109" operator="equal">
      <formula>9</formula>
    </cfRule>
    <cfRule type="cellIs" dxfId="3382" priority="2106" operator="equal">
      <formula>2</formula>
    </cfRule>
    <cfRule type="cellIs" dxfId="3381" priority="2110" operator="equal">
      <formula>0</formula>
    </cfRule>
    <cfRule type="cellIs" dxfId="3380" priority="2111" operator="equal">
      <formula>7</formula>
    </cfRule>
    <cfRule type="cellIs" dxfId="3379" priority="2112" operator="equal">
      <formula>5</formula>
    </cfRule>
    <cfRule type="cellIs" dxfId="3378" priority="2113" operator="equal">
      <formula>3</formula>
    </cfRule>
    <cfRule type="cellIs" dxfId="3377" priority="2114" operator="equal">
      <formula>1</formula>
    </cfRule>
    <cfRule type="cellIs" dxfId="3376" priority="2107" operator="equal">
      <formula>22</formula>
    </cfRule>
    <cfRule type="cellIs" dxfId="3375" priority="2108" operator="equal">
      <formula>11</formula>
    </cfRule>
  </conditionalFormatting>
  <conditionalFormatting sqref="T576:U577 Z576:AC577">
    <cfRule type="cellIs" dxfId="3374" priority="60520" operator="equal">
      <formula>1</formula>
    </cfRule>
  </conditionalFormatting>
  <conditionalFormatting sqref="T577:U577 Z577:AC577 Z595:AC596 T595:U596 T613:U614 Z613:AC614 Z622:AC622 T622:U622 T626:U626 Z626:AC626 Z639:AC640 T639:U640 T654:U655 Z654:AC655 Z662:AC663 T662:U663 T668:U669 Z668:AC669 Z672:AC673 T672:U673 T682:U683 Z682:AC683 Z697:AC697 T697:U697 T699:U700 Z699:AC700 Z717:AC718 T717:U718 T735:U736 Z735:AC736 Z753:AC754 T753:U754">
    <cfRule type="cellIs" dxfId="3373" priority="76877" operator="equal">
      <formula>3</formula>
    </cfRule>
    <cfRule type="cellIs" dxfId="3372" priority="76876" operator="equal">
      <formula>5</formula>
    </cfRule>
    <cfRule type="cellIs" dxfId="3371" priority="76870" operator="equal">
      <formula>2</formula>
    </cfRule>
    <cfRule type="cellIs" dxfId="3370" priority="76871" operator="equal">
      <formula>22</formula>
    </cfRule>
    <cfRule type="cellIs" dxfId="3369" priority="76872" operator="equal">
      <formula>11</formula>
    </cfRule>
    <cfRule type="cellIs" dxfId="3368" priority="76873" operator="equal">
      <formula>9</formula>
    </cfRule>
    <cfRule type="cellIs" dxfId="3367" priority="76869" operator="equal">
      <formula>4</formula>
    </cfRule>
    <cfRule type="cellIs" dxfId="3366" priority="76875" operator="equal">
      <formula>7</formula>
    </cfRule>
    <cfRule type="cellIs" dxfId="3365" priority="76874" operator="equal">
      <formula>0</formula>
    </cfRule>
  </conditionalFormatting>
  <conditionalFormatting sqref="T588:U590 Z588:AC590 T592:U592 Z592:AC592">
    <cfRule type="cellIs" dxfId="3364" priority="60423" operator="equal">
      <formula>1</formula>
    </cfRule>
  </conditionalFormatting>
  <conditionalFormatting sqref="T591:U591 Z591:AC591">
    <cfRule type="cellIs" dxfId="3363" priority="1916" operator="equal">
      <formula>11</formula>
    </cfRule>
    <cfRule type="cellIs" dxfId="3362" priority="1914" operator="equal">
      <formula>2</formula>
    </cfRule>
    <cfRule type="cellIs" dxfId="3361" priority="1917" operator="equal">
      <formula>9</formula>
    </cfRule>
    <cfRule type="cellIs" dxfId="3360" priority="1915" operator="equal">
      <formula>22</formula>
    </cfRule>
    <cfRule type="cellIs" dxfId="3359" priority="1918" operator="equal">
      <formula>0</formula>
    </cfRule>
    <cfRule type="cellIs" dxfId="3358" priority="1919" operator="equal">
      <formula>7</formula>
    </cfRule>
    <cfRule type="cellIs" dxfId="3357" priority="1920" operator="equal">
      <formula>5</formula>
    </cfRule>
    <cfRule type="cellIs" dxfId="3356" priority="1922" operator="equal">
      <formula>1</formula>
    </cfRule>
    <cfRule type="cellIs" dxfId="3355" priority="1913" operator="equal">
      <formula>4</formula>
    </cfRule>
    <cfRule type="cellIs" dxfId="3354" priority="1921" operator="equal">
      <formula>3</formula>
    </cfRule>
  </conditionalFormatting>
  <conditionalFormatting sqref="T593:U593 Z593:AC593">
    <cfRule type="cellIs" dxfId="3353" priority="1898" operator="equal">
      <formula>1</formula>
    </cfRule>
    <cfRule type="cellIs" dxfId="3352" priority="1897" operator="equal">
      <formula>3</formula>
    </cfRule>
    <cfRule type="cellIs" dxfId="3351" priority="1892" operator="equal">
      <formula>11</formula>
    </cfRule>
    <cfRule type="cellIs" dxfId="3350" priority="1891" operator="equal">
      <formula>22</formula>
    </cfRule>
    <cfRule type="cellIs" dxfId="3349" priority="1890" operator="equal">
      <formula>2</formula>
    </cfRule>
    <cfRule type="cellIs" dxfId="3348" priority="1893" operator="equal">
      <formula>9</formula>
    </cfRule>
    <cfRule type="cellIs" dxfId="3347" priority="1896" operator="equal">
      <formula>5</formula>
    </cfRule>
    <cfRule type="cellIs" dxfId="3346" priority="1889" operator="equal">
      <formula>4</formula>
    </cfRule>
    <cfRule type="cellIs" dxfId="3345" priority="1894" operator="equal">
      <formula>0</formula>
    </cfRule>
    <cfRule type="cellIs" dxfId="3344" priority="1895" operator="equal">
      <formula>7</formula>
    </cfRule>
  </conditionalFormatting>
  <conditionalFormatting sqref="T594:U1048576 Z594:AC1048576">
    <cfRule type="cellIs" dxfId="3343" priority="58940" operator="equal">
      <formula>1</formula>
    </cfRule>
  </conditionalFormatting>
  <conditionalFormatting sqref="T597:U597 Z597:AC597">
    <cfRule type="cellIs" dxfId="3342" priority="60394" operator="equal">
      <formula>9</formula>
    </cfRule>
    <cfRule type="cellIs" dxfId="3341" priority="60396" operator="equal">
      <formula>7</formula>
    </cfRule>
    <cfRule type="cellIs" dxfId="3340" priority="60395" operator="equal">
      <formula>0</formula>
    </cfRule>
    <cfRule type="cellIs" dxfId="3339" priority="60392" operator="equal">
      <formula>22</formula>
    </cfRule>
    <cfRule type="cellIs" dxfId="3338" priority="60393" operator="equal">
      <formula>11</formula>
    </cfRule>
    <cfRule type="cellIs" dxfId="3337" priority="60397" operator="equal">
      <formula>5</formula>
    </cfRule>
    <cfRule type="cellIs" dxfId="3336" priority="60398" operator="equal">
      <formula>3</formula>
    </cfRule>
    <cfRule type="cellIs" dxfId="3335" priority="60390" operator="equal">
      <formula>4</formula>
    </cfRule>
    <cfRule type="cellIs" dxfId="3334" priority="60391" operator="equal">
      <formula>2</formula>
    </cfRule>
  </conditionalFormatting>
  <conditionalFormatting sqref="T598:U602 Z598:AC602">
    <cfRule type="cellIs" dxfId="3333" priority="60342" operator="equal">
      <formula>4</formula>
    </cfRule>
    <cfRule type="cellIs" dxfId="3332" priority="60344" operator="equal">
      <formula>22</formula>
    </cfRule>
    <cfRule type="cellIs" dxfId="3331" priority="60350" operator="equal">
      <formula>3</formula>
    </cfRule>
    <cfRule type="cellIs" dxfId="3330" priority="60349" operator="equal">
      <formula>5</formula>
    </cfRule>
    <cfRule type="cellIs" dxfId="3329" priority="60348" operator="equal">
      <formula>7</formula>
    </cfRule>
    <cfRule type="cellIs" dxfId="3328" priority="60343" operator="equal">
      <formula>2</formula>
    </cfRule>
    <cfRule type="cellIs" dxfId="3327" priority="60347" operator="equal">
      <formula>0</formula>
    </cfRule>
    <cfRule type="cellIs" dxfId="3326" priority="60346" operator="equal">
      <formula>9</formula>
    </cfRule>
    <cfRule type="cellIs" dxfId="3325" priority="60345" operator="equal">
      <formula>11</formula>
    </cfRule>
  </conditionalFormatting>
  <conditionalFormatting sqref="T603:U603 Z603:AC603">
    <cfRule type="cellIs" dxfId="3324" priority="60297" operator="equal">
      <formula>11</formula>
    </cfRule>
    <cfRule type="cellIs" dxfId="3323" priority="60302" operator="equal">
      <formula>3</formula>
    </cfRule>
    <cfRule type="cellIs" dxfId="3322" priority="60301" operator="equal">
      <formula>5</formula>
    </cfRule>
    <cfRule type="cellIs" dxfId="3321" priority="60300" operator="equal">
      <formula>7</formula>
    </cfRule>
    <cfRule type="cellIs" dxfId="3320" priority="60299" operator="equal">
      <formula>0</formula>
    </cfRule>
    <cfRule type="cellIs" dxfId="3319" priority="60298" operator="equal">
      <formula>9</formula>
    </cfRule>
    <cfRule type="cellIs" dxfId="3318" priority="60296" operator="equal">
      <formula>22</formula>
    </cfRule>
    <cfRule type="cellIs" dxfId="3317" priority="60295" operator="equal">
      <formula>2</formula>
    </cfRule>
    <cfRule type="cellIs" dxfId="3316" priority="60294" operator="equal">
      <formula>4</formula>
    </cfRule>
  </conditionalFormatting>
  <conditionalFormatting sqref="T615:U615 Z615:AC615">
    <cfRule type="cellIs" dxfId="3315" priority="60273" operator="equal">
      <formula>11</formula>
    </cfRule>
    <cfRule type="cellIs" dxfId="3314" priority="60272" operator="equal">
      <formula>22</formula>
    </cfRule>
    <cfRule type="cellIs" dxfId="3313" priority="60274" operator="equal">
      <formula>9</formula>
    </cfRule>
    <cfRule type="cellIs" dxfId="3312" priority="60275" operator="equal">
      <formula>0</formula>
    </cfRule>
    <cfRule type="cellIs" dxfId="3311" priority="60276" operator="equal">
      <formula>7</formula>
    </cfRule>
    <cfRule type="cellIs" dxfId="3310" priority="60277" operator="equal">
      <formula>5</formula>
    </cfRule>
    <cfRule type="cellIs" dxfId="3309" priority="60278" operator="equal">
      <formula>3</formula>
    </cfRule>
    <cfRule type="cellIs" dxfId="3308" priority="60270" operator="equal">
      <formula>4</formula>
    </cfRule>
    <cfRule type="cellIs" dxfId="3307" priority="60271" operator="equal">
      <formula>2</formula>
    </cfRule>
  </conditionalFormatting>
  <conditionalFormatting sqref="T628:U628 Z628:AC628">
    <cfRule type="cellIs" dxfId="3306" priority="60152" operator="equal">
      <formula>22</formula>
    </cfRule>
    <cfRule type="cellIs" dxfId="3305" priority="60151" operator="equal">
      <formula>2</formula>
    </cfRule>
    <cfRule type="cellIs" dxfId="3304" priority="60150" operator="equal">
      <formula>4</formula>
    </cfRule>
    <cfRule type="cellIs" dxfId="3303" priority="60153" operator="equal">
      <formula>11</formula>
    </cfRule>
    <cfRule type="cellIs" dxfId="3302" priority="60154" operator="equal">
      <formula>9</formula>
    </cfRule>
    <cfRule type="cellIs" dxfId="3301" priority="60155" operator="equal">
      <formula>0</formula>
    </cfRule>
    <cfRule type="cellIs" dxfId="3300" priority="60156" operator="equal">
      <formula>7</formula>
    </cfRule>
    <cfRule type="cellIs" dxfId="3299" priority="60158" operator="equal">
      <formula>3</formula>
    </cfRule>
    <cfRule type="cellIs" dxfId="3298" priority="60157" operator="equal">
      <formula>5</formula>
    </cfRule>
  </conditionalFormatting>
  <conditionalFormatting sqref="T641:U641 Z641:AC641">
    <cfRule type="cellIs" dxfId="3297" priority="60058" operator="equal">
      <formula>9</formula>
    </cfRule>
    <cfRule type="cellIs" dxfId="3296" priority="60054" operator="equal">
      <formula>4</formula>
    </cfRule>
    <cfRule type="cellIs" dxfId="3295" priority="60061" operator="equal">
      <formula>5</formula>
    </cfRule>
    <cfRule type="cellIs" dxfId="3294" priority="60060" operator="equal">
      <formula>7</formula>
    </cfRule>
    <cfRule type="cellIs" dxfId="3293" priority="60059" operator="equal">
      <formula>0</formula>
    </cfRule>
    <cfRule type="cellIs" dxfId="3292" priority="60057" operator="equal">
      <formula>11</formula>
    </cfRule>
    <cfRule type="cellIs" dxfId="3291" priority="60056" operator="equal">
      <formula>22</formula>
    </cfRule>
    <cfRule type="cellIs" dxfId="3290" priority="60062" operator="equal">
      <formula>3</formula>
    </cfRule>
    <cfRule type="cellIs" dxfId="3289" priority="60055" operator="equal">
      <formula>2</formula>
    </cfRule>
  </conditionalFormatting>
  <conditionalFormatting sqref="T656:U656 Z656:AC656">
    <cfRule type="cellIs" dxfId="3288" priority="60011" operator="equal">
      <formula>0</formula>
    </cfRule>
    <cfRule type="cellIs" dxfId="3287" priority="60014" operator="equal">
      <formula>3</formula>
    </cfRule>
    <cfRule type="cellIs" dxfId="3286" priority="60013" operator="equal">
      <formula>5</formula>
    </cfRule>
    <cfRule type="cellIs" dxfId="3285" priority="60006" operator="equal">
      <formula>4</formula>
    </cfRule>
    <cfRule type="cellIs" dxfId="3284" priority="60007" operator="equal">
      <formula>2</formula>
    </cfRule>
    <cfRule type="cellIs" dxfId="3283" priority="60008" operator="equal">
      <formula>22</formula>
    </cfRule>
    <cfRule type="cellIs" dxfId="3282" priority="60009" operator="equal">
      <formula>11</formula>
    </cfRule>
    <cfRule type="cellIs" dxfId="3281" priority="60010" operator="equal">
      <formula>9</formula>
    </cfRule>
    <cfRule type="cellIs" dxfId="3280" priority="60012" operator="equal">
      <formula>7</formula>
    </cfRule>
  </conditionalFormatting>
  <conditionalFormatting sqref="T664:U664 Z664:AC664">
    <cfRule type="cellIs" dxfId="3279" priority="59966" operator="equal">
      <formula>3</formula>
    </cfRule>
    <cfRule type="cellIs" dxfId="3278" priority="59965" operator="equal">
      <formula>5</formula>
    </cfRule>
    <cfRule type="cellIs" dxfId="3277" priority="59964" operator="equal">
      <formula>7</formula>
    </cfRule>
    <cfRule type="cellIs" dxfId="3276" priority="59963" operator="equal">
      <formula>0</formula>
    </cfRule>
    <cfRule type="cellIs" dxfId="3275" priority="59962" operator="equal">
      <formula>9</formula>
    </cfRule>
    <cfRule type="cellIs" dxfId="3274" priority="59961" operator="equal">
      <formula>11</formula>
    </cfRule>
    <cfRule type="cellIs" dxfId="3273" priority="59960" operator="equal">
      <formula>22</formula>
    </cfRule>
    <cfRule type="cellIs" dxfId="3272" priority="59959" operator="equal">
      <formula>2</formula>
    </cfRule>
    <cfRule type="cellIs" dxfId="3271" priority="59958" operator="equal">
      <formula>4</formula>
    </cfRule>
  </conditionalFormatting>
  <conditionalFormatting sqref="T674:U674 Z674:AC674">
    <cfRule type="cellIs" dxfId="3270" priority="59874" operator="equal">
      <formula>3</formula>
    </cfRule>
    <cfRule type="cellIs" dxfId="3269" priority="59873" operator="equal">
      <formula>5</formula>
    </cfRule>
    <cfRule type="cellIs" dxfId="3268" priority="59872" operator="equal">
      <formula>7</formula>
    </cfRule>
    <cfRule type="cellIs" dxfId="3267" priority="59871" operator="equal">
      <formula>0</formula>
    </cfRule>
    <cfRule type="cellIs" dxfId="3266" priority="59870" operator="equal">
      <formula>9</formula>
    </cfRule>
    <cfRule type="cellIs" dxfId="3265" priority="59869" operator="equal">
      <formula>11</formula>
    </cfRule>
    <cfRule type="cellIs" dxfId="3264" priority="59868" operator="equal">
      <formula>22</formula>
    </cfRule>
    <cfRule type="cellIs" dxfId="3263" priority="59867" operator="equal">
      <formula>2</formula>
    </cfRule>
    <cfRule type="cellIs" dxfId="3262" priority="59866" operator="equal">
      <formula>4</formula>
    </cfRule>
  </conditionalFormatting>
  <conditionalFormatting sqref="T679:U679 Z679:AC679">
    <cfRule type="cellIs" dxfId="3261" priority="59850" operator="equal">
      <formula>3</formula>
    </cfRule>
    <cfRule type="cellIs" dxfId="3260" priority="59849" operator="equal">
      <formula>5</formula>
    </cfRule>
    <cfRule type="cellIs" dxfId="3259" priority="59848" operator="equal">
      <formula>7</formula>
    </cfRule>
    <cfRule type="cellIs" dxfId="3258" priority="59847" operator="equal">
      <formula>0</formula>
    </cfRule>
    <cfRule type="cellIs" dxfId="3257" priority="59846" operator="equal">
      <formula>9</formula>
    </cfRule>
    <cfRule type="cellIs" dxfId="3256" priority="59845" operator="equal">
      <formula>11</formula>
    </cfRule>
    <cfRule type="cellIs" dxfId="3255" priority="59844" operator="equal">
      <formula>22</formula>
    </cfRule>
    <cfRule type="cellIs" dxfId="3254" priority="59843" operator="equal">
      <formula>2</formula>
    </cfRule>
    <cfRule type="cellIs" dxfId="3253" priority="59842" operator="equal">
      <formula>4</formula>
    </cfRule>
  </conditionalFormatting>
  <conditionalFormatting sqref="T684:U684 Z684:AC684">
    <cfRule type="cellIs" dxfId="3252" priority="59750" operator="equal">
      <formula>4</formula>
    </cfRule>
    <cfRule type="cellIs" dxfId="3251" priority="59751" operator="equal">
      <formula>2</formula>
    </cfRule>
    <cfRule type="cellIs" dxfId="3250" priority="59752" operator="equal">
      <formula>22</formula>
    </cfRule>
    <cfRule type="cellIs" dxfId="3249" priority="59753" operator="equal">
      <formula>11</formula>
    </cfRule>
    <cfRule type="cellIs" dxfId="3248" priority="59754" operator="equal">
      <formula>9</formula>
    </cfRule>
    <cfRule type="cellIs" dxfId="3247" priority="59755" operator="equal">
      <formula>0</formula>
    </cfRule>
    <cfRule type="cellIs" dxfId="3246" priority="59756" operator="equal">
      <formula>7</formula>
    </cfRule>
    <cfRule type="cellIs" dxfId="3245" priority="59758" operator="equal">
      <formula>3</formula>
    </cfRule>
    <cfRule type="cellIs" dxfId="3244" priority="59757" operator="equal">
      <formula>5</formula>
    </cfRule>
  </conditionalFormatting>
  <conditionalFormatting sqref="T701:U701 Z701:AC701">
    <cfRule type="cellIs" dxfId="3243" priority="59607" operator="equal">
      <formula>2</formula>
    </cfRule>
    <cfRule type="cellIs" dxfId="3242" priority="59606" operator="equal">
      <formula>4</formula>
    </cfRule>
    <cfRule type="cellIs" dxfId="3241" priority="59608" operator="equal">
      <formula>22</formula>
    </cfRule>
    <cfRule type="cellIs" dxfId="3240" priority="59614" operator="equal">
      <formula>3</formula>
    </cfRule>
    <cfRule type="cellIs" dxfId="3239" priority="59613" operator="equal">
      <formula>5</formula>
    </cfRule>
    <cfRule type="cellIs" dxfId="3238" priority="59612" operator="equal">
      <formula>7</formula>
    </cfRule>
    <cfRule type="cellIs" dxfId="3237" priority="59611" operator="equal">
      <formula>0</formula>
    </cfRule>
    <cfRule type="cellIs" dxfId="3236" priority="59610" operator="equal">
      <formula>9</formula>
    </cfRule>
    <cfRule type="cellIs" dxfId="3235" priority="59609" operator="equal">
      <formula>11</formula>
    </cfRule>
  </conditionalFormatting>
  <conditionalFormatting sqref="T702:U707 Z702:AC707">
    <cfRule type="cellIs" dxfId="3234" priority="59559" operator="equal">
      <formula>2</formula>
    </cfRule>
    <cfRule type="cellIs" dxfId="3233" priority="59558" operator="equal">
      <formula>4</formula>
    </cfRule>
    <cfRule type="cellIs" dxfId="3232" priority="59561" operator="equal">
      <formula>11</formula>
    </cfRule>
    <cfRule type="cellIs" dxfId="3231" priority="59562" operator="equal">
      <formula>9</formula>
    </cfRule>
    <cfRule type="cellIs" dxfId="3230" priority="59563" operator="equal">
      <formula>0</formula>
    </cfRule>
    <cfRule type="cellIs" dxfId="3229" priority="59564" operator="equal">
      <formula>7</formula>
    </cfRule>
    <cfRule type="cellIs" dxfId="3228" priority="59565" operator="equal">
      <formula>5</formula>
    </cfRule>
    <cfRule type="cellIs" dxfId="3227" priority="59566" operator="equal">
      <formula>3</formula>
    </cfRule>
    <cfRule type="cellIs" dxfId="3226" priority="59560" operator="equal">
      <formula>22</formula>
    </cfRule>
  </conditionalFormatting>
  <conditionalFormatting sqref="T719:U719 Z719:AC719">
    <cfRule type="cellIs" dxfId="3225" priority="59517" operator="equal">
      <formula>5</formula>
    </cfRule>
    <cfRule type="cellIs" dxfId="3224" priority="59516" operator="equal">
      <formula>7</formula>
    </cfRule>
    <cfRule type="cellIs" dxfId="3223" priority="59515" operator="equal">
      <formula>0</formula>
    </cfRule>
    <cfRule type="cellIs" dxfId="3222" priority="59518" operator="equal">
      <formula>3</formula>
    </cfRule>
    <cfRule type="cellIs" dxfId="3221" priority="59513" operator="equal">
      <formula>11</formula>
    </cfRule>
    <cfRule type="cellIs" dxfId="3220" priority="59512" operator="equal">
      <formula>22</formula>
    </cfRule>
    <cfRule type="cellIs" dxfId="3219" priority="59511" operator="equal">
      <formula>2</formula>
    </cfRule>
    <cfRule type="cellIs" dxfId="3218" priority="59510" operator="equal">
      <formula>4</formula>
    </cfRule>
    <cfRule type="cellIs" dxfId="3217" priority="59514" operator="equal">
      <formula>9</formula>
    </cfRule>
  </conditionalFormatting>
  <conditionalFormatting sqref="T720:U725 Z720:AC725">
    <cfRule type="cellIs" dxfId="3216" priority="59469" operator="equal">
      <formula>5</formula>
    </cfRule>
    <cfRule type="cellIs" dxfId="3215" priority="59462" operator="equal">
      <formula>4</formula>
    </cfRule>
    <cfRule type="cellIs" dxfId="3214" priority="59463" operator="equal">
      <formula>2</formula>
    </cfRule>
    <cfRule type="cellIs" dxfId="3213" priority="59464" operator="equal">
      <formula>22</formula>
    </cfRule>
    <cfRule type="cellIs" dxfId="3212" priority="59465" operator="equal">
      <formula>11</formula>
    </cfRule>
    <cfRule type="cellIs" dxfId="3211" priority="59466" operator="equal">
      <formula>9</formula>
    </cfRule>
    <cfRule type="cellIs" dxfId="3210" priority="59467" operator="equal">
      <formula>0</formula>
    </cfRule>
    <cfRule type="cellIs" dxfId="3209" priority="59468" operator="equal">
      <formula>7</formula>
    </cfRule>
    <cfRule type="cellIs" dxfId="3208" priority="59470" operator="equal">
      <formula>3</formula>
    </cfRule>
  </conditionalFormatting>
  <conditionalFormatting sqref="T737:U737 Z737:AC737">
    <cfRule type="cellIs" dxfId="3207" priority="59420" operator="equal">
      <formula>7</formula>
    </cfRule>
    <cfRule type="cellIs" dxfId="3206" priority="59422" operator="equal">
      <formula>3</formula>
    </cfRule>
    <cfRule type="cellIs" dxfId="3205" priority="59414" operator="equal">
      <formula>4</formula>
    </cfRule>
    <cfRule type="cellIs" dxfId="3204" priority="59415" operator="equal">
      <formula>2</formula>
    </cfRule>
    <cfRule type="cellIs" dxfId="3203" priority="59416" operator="equal">
      <formula>22</formula>
    </cfRule>
    <cfRule type="cellIs" dxfId="3202" priority="59417" operator="equal">
      <formula>11</formula>
    </cfRule>
    <cfRule type="cellIs" dxfId="3201" priority="59418" operator="equal">
      <formula>9</formula>
    </cfRule>
    <cfRule type="cellIs" dxfId="3200" priority="59419" operator="equal">
      <formula>0</formula>
    </cfRule>
    <cfRule type="cellIs" dxfId="3199" priority="59421" operator="equal">
      <formula>5</formula>
    </cfRule>
  </conditionalFormatting>
  <conditionalFormatting sqref="T738:U743 Z738:AC743">
    <cfRule type="cellIs" dxfId="3198" priority="59374" operator="equal">
      <formula>3</formula>
    </cfRule>
    <cfRule type="cellIs" dxfId="3197" priority="59373" operator="equal">
      <formula>5</formula>
    </cfRule>
    <cfRule type="cellIs" dxfId="3196" priority="59372" operator="equal">
      <formula>7</formula>
    </cfRule>
    <cfRule type="cellIs" dxfId="3195" priority="59371" operator="equal">
      <formula>0</formula>
    </cfRule>
    <cfRule type="cellIs" dxfId="3194" priority="59370" operator="equal">
      <formula>9</formula>
    </cfRule>
    <cfRule type="cellIs" dxfId="3193" priority="59369" operator="equal">
      <formula>11</formula>
    </cfRule>
    <cfRule type="cellIs" dxfId="3192" priority="59368" operator="equal">
      <formula>22</formula>
    </cfRule>
    <cfRule type="cellIs" dxfId="3191" priority="59367" operator="equal">
      <formula>2</formula>
    </cfRule>
    <cfRule type="cellIs" dxfId="3190" priority="59366" operator="equal">
      <formula>4</formula>
    </cfRule>
  </conditionalFormatting>
  <conditionalFormatting sqref="T755:U755 Z755:AC755">
    <cfRule type="cellIs" dxfId="3189" priority="59318" operator="equal">
      <formula>4</formula>
    </cfRule>
    <cfRule type="cellIs" dxfId="3188" priority="59325" operator="equal">
      <formula>5</formula>
    </cfRule>
    <cfRule type="cellIs" dxfId="3187" priority="59326" operator="equal">
      <formula>3</formula>
    </cfRule>
    <cfRule type="cellIs" dxfId="3186" priority="59319" operator="equal">
      <formula>2</formula>
    </cfRule>
    <cfRule type="cellIs" dxfId="3185" priority="59320" operator="equal">
      <formula>22</formula>
    </cfRule>
    <cfRule type="cellIs" dxfId="3184" priority="59321" operator="equal">
      <formula>11</formula>
    </cfRule>
    <cfRule type="cellIs" dxfId="3183" priority="59322" operator="equal">
      <formula>9</formula>
    </cfRule>
    <cfRule type="cellIs" dxfId="3182" priority="59324" operator="equal">
      <formula>7</formula>
    </cfRule>
    <cfRule type="cellIs" dxfId="3181" priority="59323" operator="equal">
      <formula>0</formula>
    </cfRule>
  </conditionalFormatting>
  <conditionalFormatting sqref="T756:U765 Z756:AC765">
    <cfRule type="cellIs" dxfId="3180" priority="59301" operator="equal">
      <formula>5</formula>
    </cfRule>
    <cfRule type="cellIs" dxfId="3179" priority="59295" operator="equal">
      <formula>2</formula>
    </cfRule>
    <cfRule type="cellIs" dxfId="3178" priority="59300" operator="equal">
      <formula>7</formula>
    </cfRule>
    <cfRule type="cellIs" dxfId="3177" priority="59299" operator="equal">
      <formula>0</formula>
    </cfRule>
    <cfRule type="cellIs" dxfId="3176" priority="59298" operator="equal">
      <formula>9</formula>
    </cfRule>
    <cfRule type="cellIs" dxfId="3175" priority="59297" operator="equal">
      <formula>11</formula>
    </cfRule>
    <cfRule type="cellIs" dxfId="3174" priority="59302" operator="equal">
      <formula>3</formula>
    </cfRule>
    <cfRule type="cellIs" dxfId="3173" priority="59296" operator="equal">
      <formula>22</formula>
    </cfRule>
    <cfRule type="cellIs" dxfId="3172" priority="59294" operator="equal">
      <formula>4</formula>
    </cfRule>
  </conditionalFormatting>
  <conditionalFormatting sqref="T770:U771 Z770:AC771">
    <cfRule type="cellIs" dxfId="3171" priority="93060" operator="equal">
      <formula>0</formula>
    </cfRule>
    <cfRule type="cellIs" dxfId="3170" priority="93055" operator="equal">
      <formula>4</formula>
    </cfRule>
    <cfRule type="cellIs" dxfId="3169" priority="93058" operator="equal">
      <formula>11</formula>
    </cfRule>
    <cfRule type="cellIs" dxfId="3168" priority="93062" operator="equal">
      <formula>5</formula>
    </cfRule>
    <cfRule type="cellIs" dxfId="3167" priority="93057" operator="equal">
      <formula>22</formula>
    </cfRule>
    <cfRule type="cellIs" dxfId="3166" priority="93059" operator="equal">
      <formula>9</formula>
    </cfRule>
    <cfRule type="cellIs" dxfId="3165" priority="93061" operator="equal">
      <formula>7</formula>
    </cfRule>
    <cfRule type="cellIs" dxfId="3164" priority="93056" operator="equal">
      <formula>2</formula>
    </cfRule>
    <cfRule type="cellIs" dxfId="3163" priority="93063" operator="equal">
      <formula>3</formula>
    </cfRule>
  </conditionalFormatting>
  <conditionalFormatting sqref="T772:U772 Z772:AC772">
    <cfRule type="cellIs" dxfId="3162" priority="59252" operator="equal">
      <formula>7</formula>
    </cfRule>
    <cfRule type="cellIs" dxfId="3161" priority="59246" operator="equal">
      <formula>4</formula>
    </cfRule>
    <cfRule type="cellIs" dxfId="3160" priority="59248" operator="equal">
      <formula>22</formula>
    </cfRule>
    <cfRule type="cellIs" dxfId="3159" priority="59253" operator="equal">
      <formula>5</formula>
    </cfRule>
    <cfRule type="cellIs" dxfId="3158" priority="59250" operator="equal">
      <formula>9</formula>
    </cfRule>
    <cfRule type="cellIs" dxfId="3157" priority="59249" operator="equal">
      <formula>11</formula>
    </cfRule>
    <cfRule type="cellIs" dxfId="3156" priority="59247" operator="equal">
      <formula>2</formula>
    </cfRule>
    <cfRule type="cellIs" dxfId="3155" priority="59251" operator="equal">
      <formula>0</formula>
    </cfRule>
    <cfRule type="cellIs" dxfId="3154" priority="59254" operator="equal">
      <formula>3</formula>
    </cfRule>
  </conditionalFormatting>
  <conditionalFormatting sqref="T773:U780 Z773:AC780">
    <cfRule type="cellIs" dxfId="3153" priority="59227" operator="equal">
      <formula>0</formula>
    </cfRule>
    <cfRule type="cellIs" dxfId="3152" priority="59223" operator="equal">
      <formula>2</formula>
    </cfRule>
    <cfRule type="cellIs" dxfId="3151" priority="59229" operator="equal">
      <formula>5</formula>
    </cfRule>
    <cfRule type="cellIs" dxfId="3150" priority="59228" operator="equal">
      <formula>7</formula>
    </cfRule>
    <cfRule type="cellIs" dxfId="3149" priority="59226" operator="equal">
      <formula>9</formula>
    </cfRule>
    <cfRule type="cellIs" dxfId="3148" priority="59225" operator="equal">
      <formula>11</formula>
    </cfRule>
    <cfRule type="cellIs" dxfId="3147" priority="59224" operator="equal">
      <formula>22</formula>
    </cfRule>
    <cfRule type="cellIs" dxfId="3146" priority="59222" operator="equal">
      <formula>4</formula>
    </cfRule>
    <cfRule type="cellIs" dxfId="3145" priority="59230" operator="equal">
      <formula>3</formula>
    </cfRule>
  </conditionalFormatting>
  <conditionalFormatting sqref="T787:U787 Z787:AC787">
    <cfRule type="cellIs" dxfId="3144" priority="59152" operator="equal">
      <formula>11</formula>
    </cfRule>
    <cfRule type="cellIs" dxfId="3143" priority="59153" operator="equal">
      <formula>9</formula>
    </cfRule>
    <cfRule type="cellIs" dxfId="3142" priority="59154" operator="equal">
      <formula>0</formula>
    </cfRule>
    <cfRule type="cellIs" dxfId="3141" priority="59151" operator="equal">
      <formula>22</formula>
    </cfRule>
    <cfRule type="cellIs" dxfId="3140" priority="59155" operator="equal">
      <formula>7</formula>
    </cfRule>
    <cfRule type="cellIs" dxfId="3139" priority="59157" operator="equal">
      <formula>3</formula>
    </cfRule>
    <cfRule type="cellIs" dxfId="3138" priority="59150" operator="equal">
      <formula>2</formula>
    </cfRule>
    <cfRule type="cellIs" dxfId="3137" priority="59149" operator="equal">
      <formula>4</formula>
    </cfRule>
    <cfRule type="cellIs" dxfId="3136" priority="59156" operator="equal">
      <formula>5</formula>
    </cfRule>
  </conditionalFormatting>
  <conditionalFormatting sqref="T788:U789 Z788:AC789">
    <cfRule type="cellIs" dxfId="3135" priority="59128" operator="equal">
      <formula>11</formula>
    </cfRule>
    <cfRule type="cellIs" dxfId="3134" priority="59129" operator="equal">
      <formula>9</formula>
    </cfRule>
    <cfRule type="cellIs" dxfId="3133" priority="59127" operator="equal">
      <formula>22</formula>
    </cfRule>
    <cfRule type="cellIs" dxfId="3132" priority="59130" operator="equal">
      <formula>0</formula>
    </cfRule>
    <cfRule type="cellIs" dxfId="3131" priority="59131" operator="equal">
      <formula>7</formula>
    </cfRule>
    <cfRule type="cellIs" dxfId="3130" priority="59132" operator="equal">
      <formula>5</formula>
    </cfRule>
    <cfRule type="cellIs" dxfId="3129" priority="59133" operator="equal">
      <formula>3</formula>
    </cfRule>
    <cfRule type="cellIs" dxfId="3128" priority="59125" operator="equal">
      <formula>4</formula>
    </cfRule>
    <cfRule type="cellIs" dxfId="3127" priority="59126" operator="equal">
      <formula>2</formula>
    </cfRule>
  </conditionalFormatting>
  <conditionalFormatting sqref="T790:U792 Z790:AC792">
    <cfRule type="cellIs" dxfId="3126" priority="59105" operator="equal">
      <formula>9</formula>
    </cfRule>
    <cfRule type="cellIs" dxfId="3125" priority="59102" operator="equal">
      <formula>2</formula>
    </cfRule>
    <cfRule type="cellIs" dxfId="3124" priority="59101" operator="equal">
      <formula>4</formula>
    </cfRule>
    <cfRule type="cellIs" dxfId="3123" priority="59103" operator="equal">
      <formula>22</formula>
    </cfRule>
    <cfRule type="cellIs" dxfId="3122" priority="59109" operator="equal">
      <formula>3</formula>
    </cfRule>
    <cfRule type="cellIs" dxfId="3121" priority="59108" operator="equal">
      <formula>5</formula>
    </cfRule>
    <cfRule type="cellIs" dxfId="3120" priority="59107" operator="equal">
      <formula>7</formula>
    </cfRule>
    <cfRule type="cellIs" dxfId="3119" priority="59106" operator="equal">
      <formula>0</formula>
    </cfRule>
    <cfRule type="cellIs" dxfId="3118" priority="59104" operator="equal">
      <formula>11</formula>
    </cfRule>
  </conditionalFormatting>
  <conditionalFormatting sqref="T793:U794 Z793:AC794">
    <cfRule type="cellIs" dxfId="3117" priority="59080" operator="equal">
      <formula>11</formula>
    </cfRule>
    <cfRule type="cellIs" dxfId="3116" priority="59081" operator="equal">
      <formula>9</formula>
    </cfRule>
    <cfRule type="cellIs" dxfId="3115" priority="59079" operator="equal">
      <formula>22</formula>
    </cfRule>
    <cfRule type="cellIs" dxfId="3114" priority="59082" operator="equal">
      <formula>0</formula>
    </cfRule>
    <cfRule type="cellIs" dxfId="3113" priority="59078" operator="equal">
      <formula>2</formula>
    </cfRule>
    <cfRule type="cellIs" dxfId="3112" priority="59083" operator="equal">
      <formula>7</formula>
    </cfRule>
    <cfRule type="cellIs" dxfId="3111" priority="59084" operator="equal">
      <formula>5</formula>
    </cfRule>
    <cfRule type="cellIs" dxfId="3110" priority="59077" operator="equal">
      <formula>4</formula>
    </cfRule>
    <cfRule type="cellIs" dxfId="3109" priority="59085" operator="equal">
      <formula>3</formula>
    </cfRule>
  </conditionalFormatting>
  <conditionalFormatting sqref="T795:U795 Z795:AC795">
    <cfRule type="cellIs" dxfId="3108" priority="92859" operator="equal">
      <formula>2</formula>
    </cfRule>
    <cfRule type="cellIs" dxfId="3107" priority="92862" operator="equal">
      <formula>9</formula>
    </cfRule>
    <cfRule type="cellIs" dxfId="3106" priority="92860" operator="equal">
      <formula>22</formula>
    </cfRule>
    <cfRule type="cellIs" dxfId="3105" priority="92866" operator="equal">
      <formula>3</formula>
    </cfRule>
    <cfRule type="cellIs" dxfId="3104" priority="92861" operator="equal">
      <formula>11</formula>
    </cfRule>
    <cfRule type="cellIs" dxfId="3103" priority="92865" operator="equal">
      <formula>5</formula>
    </cfRule>
    <cfRule type="cellIs" dxfId="3102" priority="92864" operator="equal">
      <formula>7</formula>
    </cfRule>
    <cfRule type="cellIs" dxfId="3101" priority="92863" operator="equal">
      <formula>0</formula>
    </cfRule>
    <cfRule type="cellIs" dxfId="3100" priority="92858" operator="equal">
      <formula>4</formula>
    </cfRule>
  </conditionalFormatting>
  <conditionalFormatting sqref="T804:U804 Z804:AC804">
    <cfRule type="cellIs" dxfId="3099" priority="92743" operator="equal">
      <formula>7</formula>
    </cfRule>
    <cfRule type="cellIs" dxfId="3098" priority="92739" operator="equal">
      <formula>22</formula>
    </cfRule>
    <cfRule type="cellIs" dxfId="3097" priority="92738" operator="equal">
      <formula>2</formula>
    </cfRule>
    <cfRule type="cellIs" dxfId="3096" priority="92744" operator="equal">
      <formula>5</formula>
    </cfRule>
    <cfRule type="cellIs" dxfId="3095" priority="92737" operator="equal">
      <formula>4</formula>
    </cfRule>
    <cfRule type="cellIs" dxfId="3094" priority="92740" operator="equal">
      <formula>11</formula>
    </cfRule>
    <cfRule type="cellIs" dxfId="3093" priority="92741" operator="equal">
      <formula>9</formula>
    </cfRule>
    <cfRule type="cellIs" dxfId="3092" priority="92742" operator="equal">
      <formula>0</formula>
    </cfRule>
    <cfRule type="cellIs" dxfId="3091" priority="92745" operator="equal">
      <formula>3</formula>
    </cfRule>
  </conditionalFormatting>
  <conditionalFormatting sqref="T806:U806 Z806:AC806">
    <cfRule type="cellIs" dxfId="3090" priority="59004" operator="equal">
      <formula>2</formula>
    </cfRule>
    <cfRule type="cellIs" dxfId="3089" priority="59003" operator="equal">
      <formula>4</formula>
    </cfRule>
    <cfRule type="cellIs" dxfId="3088" priority="59005" operator="equal">
      <formula>22</formula>
    </cfRule>
    <cfRule type="cellIs" dxfId="3087" priority="59010" operator="equal">
      <formula>5</formula>
    </cfRule>
    <cfRule type="cellIs" dxfId="3086" priority="59011" operator="equal">
      <formula>3</formula>
    </cfRule>
    <cfRule type="cellIs" dxfId="3085" priority="59006" operator="equal">
      <formula>11</formula>
    </cfRule>
    <cfRule type="cellIs" dxfId="3084" priority="59008" operator="equal">
      <formula>0</formula>
    </cfRule>
    <cfRule type="cellIs" dxfId="3083" priority="59007" operator="equal">
      <formula>9</formula>
    </cfRule>
    <cfRule type="cellIs" dxfId="3082" priority="59009" operator="equal">
      <formula>7</formula>
    </cfRule>
  </conditionalFormatting>
  <conditionalFormatting sqref="T821:U821 Z821:AC821">
    <cfRule type="cellIs" dxfId="3081" priority="92500" operator="equal">
      <formula>0</formula>
    </cfRule>
    <cfRule type="cellIs" dxfId="3080" priority="92498" operator="equal">
      <formula>11</formula>
    </cfRule>
    <cfRule type="cellIs" dxfId="3079" priority="92497" operator="equal">
      <formula>22</formula>
    </cfRule>
    <cfRule type="cellIs" dxfId="3078" priority="92501" operator="equal">
      <formula>7</formula>
    </cfRule>
    <cfRule type="cellIs" dxfId="3077" priority="92496" operator="equal">
      <formula>2</formula>
    </cfRule>
    <cfRule type="cellIs" dxfId="3076" priority="92502" operator="equal">
      <formula>5</formula>
    </cfRule>
    <cfRule type="cellIs" dxfId="3075" priority="92495" operator="equal">
      <formula>4</formula>
    </cfRule>
    <cfRule type="cellIs" dxfId="3074" priority="92503" operator="equal">
      <formula>3</formula>
    </cfRule>
    <cfRule type="cellIs" dxfId="3073" priority="92499" operator="equal">
      <formula>9</formula>
    </cfRule>
  </conditionalFormatting>
  <conditionalFormatting sqref="T828:U828 Z828:AC828">
    <cfRule type="cellIs" dxfId="3072" priority="92429" operator="equal">
      <formula>7</formula>
    </cfRule>
    <cfRule type="cellIs" dxfId="3071" priority="92423" operator="equal">
      <formula>4</formula>
    </cfRule>
    <cfRule type="cellIs" dxfId="3070" priority="92425" operator="equal">
      <formula>22</formula>
    </cfRule>
    <cfRule type="cellIs" dxfId="3069" priority="92424" operator="equal">
      <formula>2</formula>
    </cfRule>
    <cfRule type="cellIs" dxfId="3068" priority="92431" operator="equal">
      <formula>3</formula>
    </cfRule>
    <cfRule type="cellIs" dxfId="3067" priority="92430" operator="equal">
      <formula>5</formula>
    </cfRule>
    <cfRule type="cellIs" dxfId="3066" priority="92426" operator="equal">
      <formula>11</formula>
    </cfRule>
    <cfRule type="cellIs" dxfId="3065" priority="92427" operator="equal">
      <formula>9</formula>
    </cfRule>
    <cfRule type="cellIs" dxfId="3064" priority="92428" operator="equal">
      <formula>0</formula>
    </cfRule>
  </conditionalFormatting>
  <conditionalFormatting sqref="T829:U829 Z829:AC829">
    <cfRule type="cellIs" dxfId="3063" priority="92306" operator="equal">
      <formula>5</formula>
    </cfRule>
    <cfRule type="cellIs" dxfId="3062" priority="92307" operator="equal">
      <formula>3</formula>
    </cfRule>
    <cfRule type="cellIs" dxfId="3061" priority="92305" operator="equal">
      <formula>7</formula>
    </cfRule>
    <cfRule type="cellIs" dxfId="3060" priority="92299" operator="equal">
      <formula>4</formula>
    </cfRule>
    <cfRule type="cellIs" dxfId="3059" priority="92304" operator="equal">
      <formula>0</formula>
    </cfRule>
    <cfRule type="cellIs" dxfId="3058" priority="92300" operator="equal">
      <formula>2</formula>
    </cfRule>
    <cfRule type="cellIs" dxfId="3057" priority="92303" operator="equal">
      <formula>9</formula>
    </cfRule>
    <cfRule type="cellIs" dxfId="3056" priority="92302" operator="equal">
      <formula>11</formula>
    </cfRule>
    <cfRule type="cellIs" dxfId="3055" priority="92301" operator="equal">
      <formula>22</formula>
    </cfRule>
  </conditionalFormatting>
  <conditionalFormatting sqref="T830:U830 Z830:AC830">
    <cfRule type="cellIs" dxfId="3054" priority="92644" operator="equal">
      <formula>9</formula>
    </cfRule>
    <cfRule type="cellIs" dxfId="3053" priority="92645" operator="equal">
      <formula>0</formula>
    </cfRule>
    <cfRule type="cellIs" dxfId="3052" priority="92646" operator="equal">
      <formula>7</formula>
    </cfRule>
    <cfRule type="cellIs" dxfId="3051" priority="92648" operator="equal">
      <formula>3</formula>
    </cfRule>
    <cfRule type="cellIs" dxfId="3050" priority="92641" operator="equal">
      <formula>2</formula>
    </cfRule>
    <cfRule type="cellIs" dxfId="3049" priority="92640" operator="equal">
      <formula>4</formula>
    </cfRule>
    <cfRule type="cellIs" dxfId="3048" priority="92643" operator="equal">
      <formula>11</formula>
    </cfRule>
    <cfRule type="cellIs" dxfId="3047" priority="92642" operator="equal">
      <formula>22</formula>
    </cfRule>
    <cfRule type="cellIs" dxfId="3046" priority="92647" operator="equal">
      <formula>5</formula>
    </cfRule>
  </conditionalFormatting>
  <conditionalFormatting sqref="T831:U831 Z831:AC831">
    <cfRule type="cellIs" dxfId="3045" priority="92405" operator="equal">
      <formula>3</formula>
    </cfRule>
    <cfRule type="cellIs" dxfId="3044" priority="92397" operator="equal">
      <formula>4</formula>
    </cfRule>
    <cfRule type="cellIs" dxfId="3043" priority="92398" operator="equal">
      <formula>2</formula>
    </cfRule>
    <cfRule type="cellIs" dxfId="3042" priority="92399" operator="equal">
      <formula>22</formula>
    </cfRule>
    <cfRule type="cellIs" dxfId="3041" priority="92401" operator="equal">
      <formula>9</formula>
    </cfRule>
    <cfRule type="cellIs" dxfId="3040" priority="92402" operator="equal">
      <formula>0</formula>
    </cfRule>
    <cfRule type="cellIs" dxfId="3039" priority="92404" operator="equal">
      <formula>5</formula>
    </cfRule>
    <cfRule type="cellIs" dxfId="3038" priority="92403" operator="equal">
      <formula>7</formula>
    </cfRule>
    <cfRule type="cellIs" dxfId="3037" priority="92400" operator="equal">
      <formula>11</formula>
    </cfRule>
  </conditionalFormatting>
  <conditionalFormatting sqref="T838:U838 Z838:AC838">
    <cfRule type="cellIs" dxfId="3036" priority="92327" operator="equal">
      <formula>22</formula>
    </cfRule>
    <cfRule type="cellIs" dxfId="3035" priority="92326" operator="equal">
      <formula>2</formula>
    </cfRule>
    <cfRule type="cellIs" dxfId="3034" priority="92325" operator="equal">
      <formula>4</formula>
    </cfRule>
    <cfRule type="cellIs" dxfId="3033" priority="92330" operator="equal">
      <formula>0</formula>
    </cfRule>
    <cfRule type="cellIs" dxfId="3032" priority="92333" operator="equal">
      <formula>3</formula>
    </cfRule>
    <cfRule type="cellIs" dxfId="3031" priority="92329" operator="equal">
      <formula>9</formula>
    </cfRule>
    <cfRule type="cellIs" dxfId="3030" priority="92328" operator="equal">
      <formula>11</formula>
    </cfRule>
    <cfRule type="cellIs" dxfId="3029" priority="92332" operator="equal">
      <formula>5</formula>
    </cfRule>
    <cfRule type="cellIs" dxfId="3028" priority="92331" operator="equal">
      <formula>7</formula>
    </cfRule>
  </conditionalFormatting>
  <conditionalFormatting sqref="T839:U839 Z839:AC839">
    <cfRule type="cellIs" dxfId="3027" priority="92278" operator="equal">
      <formula>11</formula>
    </cfRule>
    <cfRule type="cellIs" dxfId="3026" priority="92277" operator="equal">
      <formula>22</formula>
    </cfRule>
    <cfRule type="cellIs" dxfId="3025" priority="92279" operator="equal">
      <formula>9</formula>
    </cfRule>
    <cfRule type="cellIs" dxfId="3024" priority="92276" operator="equal">
      <formula>2</formula>
    </cfRule>
    <cfRule type="cellIs" dxfId="3023" priority="92275" operator="equal">
      <formula>4</formula>
    </cfRule>
    <cfRule type="cellIs" dxfId="3022" priority="92280" operator="equal">
      <formula>0</formula>
    </cfRule>
    <cfRule type="cellIs" dxfId="3021" priority="92281" operator="equal">
      <formula>7</formula>
    </cfRule>
    <cfRule type="cellIs" dxfId="3020" priority="92283" operator="equal">
      <formula>3</formula>
    </cfRule>
    <cfRule type="cellIs" dxfId="3019" priority="92282" operator="equal">
      <formula>5</formula>
    </cfRule>
  </conditionalFormatting>
  <conditionalFormatting sqref="T840:U840 Z840:AC840">
    <cfRule type="cellIs" dxfId="3018" priority="92258" operator="equal">
      <formula>5</formula>
    </cfRule>
    <cfRule type="cellIs" dxfId="3017" priority="92252" operator="equal">
      <formula>2</formula>
    </cfRule>
    <cfRule type="cellIs" dxfId="3016" priority="92253" operator="equal">
      <formula>22</formula>
    </cfRule>
    <cfRule type="cellIs" dxfId="3015" priority="92251" operator="equal">
      <formula>4</formula>
    </cfRule>
    <cfRule type="cellIs" dxfId="3014" priority="92254" operator="equal">
      <formula>11</formula>
    </cfRule>
    <cfRule type="cellIs" dxfId="3013" priority="92259" operator="equal">
      <formula>3</formula>
    </cfRule>
    <cfRule type="cellIs" dxfId="3012" priority="92256" operator="equal">
      <formula>0</formula>
    </cfRule>
    <cfRule type="cellIs" dxfId="3011" priority="92257" operator="equal">
      <formula>7</formula>
    </cfRule>
    <cfRule type="cellIs" dxfId="3010" priority="92255" operator="equal">
      <formula>9</formula>
    </cfRule>
  </conditionalFormatting>
  <conditionalFormatting sqref="T841:U841 Z841:AC841">
    <cfRule type="cellIs" dxfId="3009" priority="92206" operator="equal">
      <formula>11</formula>
    </cfRule>
    <cfRule type="cellIs" dxfId="3008" priority="92209" operator="equal">
      <formula>7</formula>
    </cfRule>
    <cfRule type="cellIs" dxfId="3007" priority="92205" operator="equal">
      <formula>22</formula>
    </cfRule>
    <cfRule type="cellIs" dxfId="3006" priority="92203" operator="equal">
      <formula>4</formula>
    </cfRule>
    <cfRule type="cellIs" dxfId="3005" priority="92207" operator="equal">
      <formula>9</formula>
    </cfRule>
    <cfRule type="cellIs" dxfId="3004" priority="92208" operator="equal">
      <formula>0</formula>
    </cfRule>
    <cfRule type="cellIs" dxfId="3003" priority="92204" operator="equal">
      <formula>2</formula>
    </cfRule>
    <cfRule type="cellIs" dxfId="3002" priority="92210" operator="equal">
      <formula>5</formula>
    </cfRule>
    <cfRule type="cellIs" dxfId="3001" priority="92211" operator="equal">
      <formula>3</formula>
    </cfRule>
  </conditionalFormatting>
  <conditionalFormatting sqref="T848:U848 Z848:AC848">
    <cfRule type="cellIs" dxfId="3000" priority="92114" operator="equal">
      <formula>5</formula>
    </cfRule>
    <cfRule type="cellIs" dxfId="2999" priority="92112" operator="equal">
      <formula>0</formula>
    </cfRule>
    <cfRule type="cellIs" dxfId="2998" priority="92111" operator="equal">
      <formula>9</formula>
    </cfRule>
    <cfRule type="cellIs" dxfId="2997" priority="92110" operator="equal">
      <formula>11</formula>
    </cfRule>
    <cfRule type="cellIs" dxfId="2996" priority="92107" operator="equal">
      <formula>4</formula>
    </cfRule>
    <cfRule type="cellIs" dxfId="2995" priority="92113" operator="equal">
      <formula>7</formula>
    </cfRule>
    <cfRule type="cellIs" dxfId="2994" priority="92108" operator="equal">
      <formula>2</formula>
    </cfRule>
    <cfRule type="cellIs" dxfId="2993" priority="92109" operator="equal">
      <formula>22</formula>
    </cfRule>
    <cfRule type="cellIs" dxfId="2992" priority="92115" operator="equal">
      <formula>3</formula>
    </cfRule>
  </conditionalFormatting>
  <conditionalFormatting sqref="T854:U855 Z854:AC855">
    <cfRule type="cellIs" dxfId="2991" priority="92064" operator="equal">
      <formula>9</formula>
    </cfRule>
    <cfRule type="cellIs" dxfId="2990" priority="92065" operator="equal">
      <formula>0</formula>
    </cfRule>
    <cfRule type="cellIs" dxfId="2989" priority="92068" operator="equal">
      <formula>3</formula>
    </cfRule>
    <cfRule type="cellIs" dxfId="2988" priority="92066" operator="equal">
      <formula>7</formula>
    </cfRule>
    <cfRule type="cellIs" dxfId="2987" priority="92061" operator="equal">
      <formula>2</formula>
    </cfRule>
    <cfRule type="cellIs" dxfId="2986" priority="92067" operator="equal">
      <formula>5</formula>
    </cfRule>
    <cfRule type="cellIs" dxfId="2985" priority="92060" operator="equal">
      <formula>4</formula>
    </cfRule>
    <cfRule type="cellIs" dxfId="2984" priority="92063" operator="equal">
      <formula>11</formula>
    </cfRule>
    <cfRule type="cellIs" dxfId="2983" priority="92062" operator="equal">
      <formula>22</formula>
    </cfRule>
  </conditionalFormatting>
  <conditionalFormatting sqref="T856:U857 Z856:AC857">
    <cfRule type="cellIs" dxfId="2982" priority="92034" operator="equal">
      <formula>11</formula>
    </cfRule>
    <cfRule type="cellIs" dxfId="2981" priority="92039" operator="equal">
      <formula>3</formula>
    </cfRule>
    <cfRule type="cellIs" dxfId="2980" priority="92032" operator="equal">
      <formula>2</formula>
    </cfRule>
    <cfRule type="cellIs" dxfId="2979" priority="92038" operator="equal">
      <formula>5</formula>
    </cfRule>
    <cfRule type="cellIs" dxfId="2978" priority="92033" operator="equal">
      <formula>22</formula>
    </cfRule>
    <cfRule type="cellIs" dxfId="2977" priority="92031" operator="equal">
      <formula>4</formula>
    </cfRule>
    <cfRule type="cellIs" dxfId="2976" priority="92037" operator="equal">
      <formula>7</formula>
    </cfRule>
    <cfRule type="cellIs" dxfId="2975" priority="92036" operator="equal">
      <formula>0</formula>
    </cfRule>
    <cfRule type="cellIs" dxfId="2974" priority="92035" operator="equal">
      <formula>9</formula>
    </cfRule>
  </conditionalFormatting>
  <conditionalFormatting sqref="T860:U860 Z860:AC860">
    <cfRule type="cellIs" dxfId="2973" priority="92003" operator="equal">
      <formula>22</formula>
    </cfRule>
    <cfRule type="cellIs" dxfId="2972" priority="92008" operator="equal">
      <formula>5</formula>
    </cfRule>
    <cfRule type="cellIs" dxfId="2971" priority="92009" operator="equal">
      <formula>3</formula>
    </cfRule>
    <cfRule type="cellIs" dxfId="2970" priority="92001" operator="equal">
      <formula>4</formula>
    </cfRule>
    <cfRule type="cellIs" dxfId="2969" priority="92007" operator="equal">
      <formula>7</formula>
    </cfRule>
    <cfRule type="cellIs" dxfId="2968" priority="92004" operator="equal">
      <formula>11</formula>
    </cfRule>
    <cfRule type="cellIs" dxfId="2967" priority="92002" operator="equal">
      <formula>2</formula>
    </cfRule>
    <cfRule type="cellIs" dxfId="2966" priority="92005" operator="equal">
      <formula>9</formula>
    </cfRule>
    <cfRule type="cellIs" dxfId="2965" priority="92006" operator="equal">
      <formula>0</formula>
    </cfRule>
  </conditionalFormatting>
  <conditionalFormatting sqref="T862:U862 Z862:AC862">
    <cfRule type="cellIs" dxfId="2964" priority="91982" operator="equal">
      <formula>0</formula>
    </cfRule>
    <cfRule type="cellIs" dxfId="2963" priority="91981" operator="equal">
      <formula>9</formula>
    </cfRule>
    <cfRule type="cellIs" dxfId="2962" priority="91985" operator="equal">
      <formula>3</formula>
    </cfRule>
    <cfRule type="cellIs" dxfId="2961" priority="91984" operator="equal">
      <formula>5</formula>
    </cfRule>
    <cfRule type="cellIs" dxfId="2960" priority="91977" operator="equal">
      <formula>4</formula>
    </cfRule>
    <cfRule type="cellIs" dxfId="2959" priority="91978" operator="equal">
      <formula>2</formula>
    </cfRule>
    <cfRule type="cellIs" dxfId="2958" priority="91979" operator="equal">
      <formula>22</formula>
    </cfRule>
    <cfRule type="cellIs" dxfId="2957" priority="91980" operator="equal">
      <formula>11</formula>
    </cfRule>
    <cfRule type="cellIs" dxfId="2956" priority="91983" operator="equal">
      <formula>7</formula>
    </cfRule>
  </conditionalFormatting>
  <conditionalFormatting sqref="T865:U865 Z865:AC865">
    <cfRule type="cellIs" dxfId="2955" priority="92162" operator="equal">
      <formula>5</formula>
    </cfRule>
    <cfRule type="cellIs" dxfId="2954" priority="92158" operator="equal">
      <formula>11</formula>
    </cfRule>
    <cfRule type="cellIs" dxfId="2953" priority="92159" operator="equal">
      <formula>9</formula>
    </cfRule>
    <cfRule type="cellIs" dxfId="2952" priority="92160" operator="equal">
      <formula>0</formula>
    </cfRule>
    <cfRule type="cellIs" dxfId="2951" priority="92163" operator="equal">
      <formula>3</formula>
    </cfRule>
    <cfRule type="cellIs" dxfId="2950" priority="92157" operator="equal">
      <formula>22</formula>
    </cfRule>
    <cfRule type="cellIs" dxfId="2949" priority="92156" operator="equal">
      <formula>2</formula>
    </cfRule>
    <cfRule type="cellIs" dxfId="2948" priority="92161" operator="equal">
      <formula>7</formula>
    </cfRule>
    <cfRule type="cellIs" dxfId="2947" priority="92155" operator="equal">
      <formula>4</formula>
    </cfRule>
  </conditionalFormatting>
  <conditionalFormatting sqref="T866:U872 Z866:AC872">
    <cfRule type="cellIs" dxfId="2946" priority="92134" operator="equal">
      <formula>11</formula>
    </cfRule>
    <cfRule type="cellIs" dxfId="2945" priority="92137" operator="equal">
      <formula>7</formula>
    </cfRule>
    <cfRule type="cellIs" dxfId="2944" priority="92139" operator="equal">
      <formula>3</formula>
    </cfRule>
    <cfRule type="cellIs" dxfId="2943" priority="92133" operator="equal">
      <formula>22</formula>
    </cfRule>
    <cfRule type="cellIs" dxfId="2942" priority="92132" operator="equal">
      <formula>2</formula>
    </cfRule>
    <cfRule type="cellIs" dxfId="2941" priority="92135" operator="equal">
      <formula>9</formula>
    </cfRule>
    <cfRule type="cellIs" dxfId="2940" priority="92131" operator="equal">
      <formula>4</formula>
    </cfRule>
    <cfRule type="cellIs" dxfId="2939" priority="92138" operator="equal">
      <formula>5</formula>
    </cfRule>
    <cfRule type="cellIs" dxfId="2938" priority="92136" operator="equal">
      <formula>0</formula>
    </cfRule>
  </conditionalFormatting>
  <conditionalFormatting sqref="T873:U873 Z873:AC873">
    <cfRule type="cellIs" dxfId="2937" priority="91949" operator="equal">
      <formula>2</formula>
    </cfRule>
    <cfRule type="cellIs" dxfId="2936" priority="91956" operator="equal">
      <formula>3</formula>
    </cfRule>
    <cfRule type="cellIs" dxfId="2935" priority="91952" operator="equal">
      <formula>9</formula>
    </cfRule>
    <cfRule type="cellIs" dxfId="2934" priority="91948" operator="equal">
      <formula>4</formula>
    </cfRule>
    <cfRule type="cellIs" dxfId="2933" priority="91953" operator="equal">
      <formula>0</formula>
    </cfRule>
    <cfRule type="cellIs" dxfId="2932" priority="91950" operator="equal">
      <formula>22</formula>
    </cfRule>
    <cfRule type="cellIs" dxfId="2931" priority="91955" operator="equal">
      <formula>5</formula>
    </cfRule>
    <cfRule type="cellIs" dxfId="2930" priority="91951" operator="equal">
      <formula>11</formula>
    </cfRule>
    <cfRule type="cellIs" dxfId="2929" priority="91954" operator="equal">
      <formula>7</formula>
    </cfRule>
  </conditionalFormatting>
  <conditionalFormatting sqref="T874:U874 Z874:AC874">
    <cfRule type="cellIs" dxfId="2928" priority="91930" operator="equal">
      <formula>0</formula>
    </cfRule>
    <cfRule type="cellIs" dxfId="2927" priority="91929" operator="equal">
      <formula>9</formula>
    </cfRule>
    <cfRule type="cellIs" dxfId="2926" priority="91928" operator="equal">
      <formula>11</formula>
    </cfRule>
    <cfRule type="cellIs" dxfId="2925" priority="91926" operator="equal">
      <formula>2</formula>
    </cfRule>
    <cfRule type="cellIs" dxfId="2924" priority="91925" operator="equal">
      <formula>4</formula>
    </cfRule>
    <cfRule type="cellIs" dxfId="2923" priority="91932" operator="equal">
      <formula>5</formula>
    </cfRule>
    <cfRule type="cellIs" dxfId="2922" priority="91933" operator="equal">
      <formula>3</formula>
    </cfRule>
    <cfRule type="cellIs" dxfId="2921" priority="91931" operator="equal">
      <formula>7</formula>
    </cfRule>
    <cfRule type="cellIs" dxfId="2920" priority="91927" operator="equal">
      <formula>22</formula>
    </cfRule>
  </conditionalFormatting>
  <conditionalFormatting sqref="T877:U877 Z877:AC877">
    <cfRule type="cellIs" dxfId="2919" priority="91899" operator="equal">
      <formula>4</formula>
    </cfRule>
    <cfRule type="cellIs" dxfId="2918" priority="91905" operator="equal">
      <formula>7</formula>
    </cfRule>
    <cfRule type="cellIs" dxfId="2917" priority="91906" operator="equal">
      <formula>5</formula>
    </cfRule>
    <cfRule type="cellIs" dxfId="2916" priority="91900" operator="equal">
      <formula>2</formula>
    </cfRule>
    <cfRule type="cellIs" dxfId="2915" priority="91901" operator="equal">
      <formula>22</formula>
    </cfRule>
    <cfRule type="cellIs" dxfId="2914" priority="91907" operator="equal">
      <formula>3</formula>
    </cfRule>
    <cfRule type="cellIs" dxfId="2913" priority="91902" operator="equal">
      <formula>11</formula>
    </cfRule>
    <cfRule type="cellIs" dxfId="2912" priority="91904" operator="equal">
      <formula>0</formula>
    </cfRule>
    <cfRule type="cellIs" dxfId="2911" priority="91903" operator="equal">
      <formula>9</formula>
    </cfRule>
  </conditionalFormatting>
  <conditionalFormatting sqref="T878:U884 Z878:AC884">
    <cfRule type="cellIs" dxfId="2910" priority="91883" operator="equal">
      <formula>3</formula>
    </cfRule>
    <cfRule type="cellIs" dxfId="2909" priority="91877" operator="equal">
      <formula>22</formula>
    </cfRule>
    <cfRule type="cellIs" dxfId="2908" priority="91875" operator="equal">
      <formula>4</formula>
    </cfRule>
    <cfRule type="cellIs" dxfId="2907" priority="91876" operator="equal">
      <formula>2</formula>
    </cfRule>
    <cfRule type="cellIs" dxfId="2906" priority="91878" operator="equal">
      <formula>11</formula>
    </cfRule>
    <cfRule type="cellIs" dxfId="2905" priority="91879" operator="equal">
      <formula>9</formula>
    </cfRule>
    <cfRule type="cellIs" dxfId="2904" priority="91880" operator="equal">
      <formula>0</formula>
    </cfRule>
    <cfRule type="cellIs" dxfId="2903" priority="91881" operator="equal">
      <formula>7</formula>
    </cfRule>
    <cfRule type="cellIs" dxfId="2902" priority="91882" operator="equal">
      <formula>5</formula>
    </cfRule>
  </conditionalFormatting>
  <conditionalFormatting sqref="T885:U885 Z885:AC885">
    <cfRule type="cellIs" dxfId="2901" priority="91859" operator="equal">
      <formula>3</formula>
    </cfRule>
    <cfRule type="cellIs" dxfId="2900" priority="91855" operator="equal">
      <formula>9</formula>
    </cfRule>
    <cfRule type="cellIs" dxfId="2899" priority="91854" operator="equal">
      <formula>11</formula>
    </cfRule>
    <cfRule type="cellIs" dxfId="2898" priority="91853" operator="equal">
      <formula>22</formula>
    </cfRule>
    <cfRule type="cellIs" dxfId="2897" priority="91851" operator="equal">
      <formula>4</formula>
    </cfRule>
    <cfRule type="cellIs" dxfId="2896" priority="91858" operator="equal">
      <formula>5</formula>
    </cfRule>
    <cfRule type="cellIs" dxfId="2895" priority="91856" operator="equal">
      <formula>0</formula>
    </cfRule>
    <cfRule type="cellIs" dxfId="2894" priority="91852" operator="equal">
      <formula>2</formula>
    </cfRule>
    <cfRule type="cellIs" dxfId="2893" priority="91857" operator="equal">
      <formula>7</formula>
    </cfRule>
  </conditionalFormatting>
  <conditionalFormatting sqref="T886:U886 Z886:AC886">
    <cfRule type="cellIs" dxfId="2892" priority="91835" operator="equal">
      <formula>5</formula>
    </cfRule>
    <cfRule type="cellIs" dxfId="2891" priority="91828" operator="equal">
      <formula>4</formula>
    </cfRule>
    <cfRule type="cellIs" dxfId="2890" priority="91829" operator="equal">
      <formula>2</formula>
    </cfRule>
    <cfRule type="cellIs" dxfId="2889" priority="91830" operator="equal">
      <formula>22</formula>
    </cfRule>
    <cfRule type="cellIs" dxfId="2888" priority="91834" operator="equal">
      <formula>7</formula>
    </cfRule>
    <cfRule type="cellIs" dxfId="2887" priority="91831" operator="equal">
      <formula>11</formula>
    </cfRule>
    <cfRule type="cellIs" dxfId="2886" priority="91836" operator="equal">
      <formula>3</formula>
    </cfRule>
    <cfRule type="cellIs" dxfId="2885" priority="91833" operator="equal">
      <formula>0</formula>
    </cfRule>
    <cfRule type="cellIs" dxfId="2884" priority="91832" operator="equal">
      <formula>9</formula>
    </cfRule>
  </conditionalFormatting>
  <conditionalFormatting sqref="T889:U889 Z889:AC889">
    <cfRule type="cellIs" dxfId="2883" priority="91805" operator="equal">
      <formula>11</formula>
    </cfRule>
    <cfRule type="cellIs" dxfId="2882" priority="91806" operator="equal">
      <formula>9</formula>
    </cfRule>
    <cfRule type="cellIs" dxfId="2881" priority="91808" operator="equal">
      <formula>7</formula>
    </cfRule>
    <cfRule type="cellIs" dxfId="2880" priority="91809" operator="equal">
      <formula>5</formula>
    </cfRule>
    <cfRule type="cellIs" dxfId="2879" priority="91804" operator="equal">
      <formula>22</formula>
    </cfRule>
    <cfRule type="cellIs" dxfId="2878" priority="91810" operator="equal">
      <formula>3</formula>
    </cfRule>
    <cfRule type="cellIs" dxfId="2877" priority="91803" operator="equal">
      <formula>2</formula>
    </cfRule>
    <cfRule type="cellIs" dxfId="2876" priority="91807" operator="equal">
      <formula>0</formula>
    </cfRule>
    <cfRule type="cellIs" dxfId="2875" priority="91802" operator="equal">
      <formula>4</formula>
    </cfRule>
  </conditionalFormatting>
  <conditionalFormatting sqref="T896:U896 Z896:AC896">
    <cfRule type="cellIs" dxfId="2874" priority="91685" operator="equal">
      <formula>7</formula>
    </cfRule>
    <cfRule type="cellIs" dxfId="2873" priority="91682" operator="equal">
      <formula>11</formula>
    </cfRule>
    <cfRule type="cellIs" dxfId="2872" priority="91686" operator="equal">
      <formula>5</formula>
    </cfRule>
    <cfRule type="cellIs" dxfId="2871" priority="91684" operator="equal">
      <formula>0</formula>
    </cfRule>
    <cfRule type="cellIs" dxfId="2870" priority="91683" operator="equal">
      <formula>9</formula>
    </cfRule>
    <cfRule type="cellIs" dxfId="2869" priority="91687" operator="equal">
      <formula>3</formula>
    </cfRule>
    <cfRule type="cellIs" dxfId="2868" priority="91681" operator="equal">
      <formula>22</formula>
    </cfRule>
    <cfRule type="cellIs" dxfId="2867" priority="91680" operator="equal">
      <formula>2</formula>
    </cfRule>
    <cfRule type="cellIs" dxfId="2866" priority="91679" operator="equal">
      <formula>4</formula>
    </cfRule>
  </conditionalFormatting>
  <conditionalFormatting sqref="T897:U897 Z897:AC897">
    <cfRule type="cellIs" dxfId="2865" priority="91706" operator="equal">
      <formula>2</formula>
    </cfRule>
    <cfRule type="cellIs" dxfId="2864" priority="91707" operator="equal">
      <formula>22</formula>
    </cfRule>
    <cfRule type="cellIs" dxfId="2863" priority="91708" operator="equal">
      <formula>11</formula>
    </cfRule>
    <cfRule type="cellIs" dxfId="2862" priority="91713" operator="equal">
      <formula>3</formula>
    </cfRule>
    <cfRule type="cellIs" dxfId="2861" priority="91709" operator="equal">
      <formula>9</formula>
    </cfRule>
    <cfRule type="cellIs" dxfId="2860" priority="91712" operator="equal">
      <formula>5</formula>
    </cfRule>
    <cfRule type="cellIs" dxfId="2859" priority="91711" operator="equal">
      <formula>7</formula>
    </cfRule>
    <cfRule type="cellIs" dxfId="2858" priority="91705" operator="equal">
      <formula>4</formula>
    </cfRule>
    <cfRule type="cellIs" dxfId="2857" priority="91710" operator="equal">
      <formula>0</formula>
    </cfRule>
  </conditionalFormatting>
  <conditionalFormatting sqref="T900:U900 Z900:AC900">
    <cfRule type="cellIs" dxfId="2856" priority="91659" operator="equal">
      <formula>9</formula>
    </cfRule>
    <cfRule type="cellIs" dxfId="2855" priority="91658" operator="equal">
      <formula>11</formula>
    </cfRule>
    <cfRule type="cellIs" dxfId="2854" priority="91657" operator="equal">
      <formula>22</formula>
    </cfRule>
    <cfRule type="cellIs" dxfId="2853" priority="91656" operator="equal">
      <formula>2</formula>
    </cfRule>
    <cfRule type="cellIs" dxfId="2852" priority="91655" operator="equal">
      <formula>4</formula>
    </cfRule>
    <cfRule type="cellIs" dxfId="2851" priority="91663" operator="equal">
      <formula>3</formula>
    </cfRule>
    <cfRule type="cellIs" dxfId="2850" priority="91662" operator="equal">
      <formula>5</formula>
    </cfRule>
    <cfRule type="cellIs" dxfId="2849" priority="91660" operator="equal">
      <formula>0</formula>
    </cfRule>
    <cfRule type="cellIs" dxfId="2848" priority="91661" operator="equal">
      <formula>7</formula>
    </cfRule>
  </conditionalFormatting>
  <conditionalFormatting sqref="T907:U907 Z907:AC907">
    <cfRule type="cellIs" dxfId="2847" priority="91581" operator="equal">
      <formula>4</formula>
    </cfRule>
    <cfRule type="cellIs" dxfId="2846" priority="91589" operator="equal">
      <formula>3</formula>
    </cfRule>
    <cfRule type="cellIs" dxfId="2845" priority="91588" operator="equal">
      <formula>5</formula>
    </cfRule>
    <cfRule type="cellIs" dxfId="2844" priority="91587" operator="equal">
      <formula>7</formula>
    </cfRule>
    <cfRule type="cellIs" dxfId="2843" priority="91582" operator="equal">
      <formula>2</formula>
    </cfRule>
    <cfRule type="cellIs" dxfId="2842" priority="91583" operator="equal">
      <formula>22</formula>
    </cfRule>
    <cfRule type="cellIs" dxfId="2841" priority="91586" operator="equal">
      <formula>0</formula>
    </cfRule>
    <cfRule type="cellIs" dxfId="2840" priority="91585" operator="equal">
      <formula>9</formula>
    </cfRule>
    <cfRule type="cellIs" dxfId="2839" priority="91584" operator="equal">
      <formula>11</formula>
    </cfRule>
  </conditionalFormatting>
  <conditionalFormatting sqref="T908:U908 Z908:AC908">
    <cfRule type="cellIs" dxfId="2838" priority="91609" operator="equal">
      <formula>22</formula>
    </cfRule>
    <cfRule type="cellIs" dxfId="2837" priority="91615" operator="equal">
      <formula>3</formula>
    </cfRule>
    <cfRule type="cellIs" dxfId="2836" priority="91614" operator="equal">
      <formula>5</formula>
    </cfRule>
    <cfRule type="cellIs" dxfId="2835" priority="91613" operator="equal">
      <formula>7</formula>
    </cfRule>
    <cfRule type="cellIs" dxfId="2834" priority="91608" operator="equal">
      <formula>2</formula>
    </cfRule>
    <cfRule type="cellIs" dxfId="2833" priority="91610" operator="equal">
      <formula>11</formula>
    </cfRule>
    <cfRule type="cellIs" dxfId="2832" priority="91607" operator="equal">
      <formula>4</formula>
    </cfRule>
    <cfRule type="cellIs" dxfId="2831" priority="91611" operator="equal">
      <formula>9</formula>
    </cfRule>
    <cfRule type="cellIs" dxfId="2830" priority="91612" operator="equal">
      <formula>0</formula>
    </cfRule>
  </conditionalFormatting>
  <conditionalFormatting sqref="T912:U912 Z912:AC912">
    <cfRule type="cellIs" dxfId="2829" priority="91565" operator="equal">
      <formula>3</formula>
    </cfRule>
    <cfRule type="cellIs" dxfId="2828" priority="91564" operator="equal">
      <formula>5</formula>
    </cfRule>
    <cfRule type="cellIs" dxfId="2827" priority="91563" operator="equal">
      <formula>7</formula>
    </cfRule>
    <cfRule type="cellIs" dxfId="2826" priority="91562" operator="equal">
      <formula>0</formula>
    </cfRule>
    <cfRule type="cellIs" dxfId="2825" priority="91561" operator="equal">
      <formula>9</formula>
    </cfRule>
    <cfRule type="cellIs" dxfId="2824" priority="91560" operator="equal">
      <formula>11</formula>
    </cfRule>
    <cfRule type="cellIs" dxfId="2823" priority="91559" operator="equal">
      <formula>22</formula>
    </cfRule>
    <cfRule type="cellIs" dxfId="2822" priority="91558" operator="equal">
      <formula>2</formula>
    </cfRule>
    <cfRule type="cellIs" dxfId="2821" priority="91557" operator="equal">
      <formula>4</formula>
    </cfRule>
  </conditionalFormatting>
  <conditionalFormatting sqref="T918:U918 Z918:AC918">
    <cfRule type="cellIs" dxfId="2820" priority="91513" operator="equal">
      <formula>9</formula>
    </cfRule>
    <cfRule type="cellIs" dxfId="2819" priority="91517" operator="equal">
      <formula>3</formula>
    </cfRule>
    <cfRule type="cellIs" dxfId="2818" priority="91514" operator="equal">
      <formula>0</formula>
    </cfRule>
    <cfRule type="cellIs" dxfId="2817" priority="91516" operator="equal">
      <formula>5</formula>
    </cfRule>
    <cfRule type="cellIs" dxfId="2816" priority="91515" operator="equal">
      <formula>7</formula>
    </cfRule>
    <cfRule type="cellIs" dxfId="2815" priority="91509" operator="equal">
      <formula>4</formula>
    </cfRule>
    <cfRule type="cellIs" dxfId="2814" priority="91512" operator="equal">
      <formula>11</formula>
    </cfRule>
    <cfRule type="cellIs" dxfId="2813" priority="91511" operator="equal">
      <formula>22</formula>
    </cfRule>
    <cfRule type="cellIs" dxfId="2812" priority="91510" operator="equal">
      <formula>2</formula>
    </cfRule>
  </conditionalFormatting>
  <conditionalFormatting sqref="T925:U925 Z925:AC925">
    <cfRule type="cellIs" dxfId="2811" priority="91465" operator="equal">
      <formula>9</formula>
    </cfRule>
    <cfRule type="cellIs" dxfId="2810" priority="91466" operator="equal">
      <formula>0</formula>
    </cfRule>
    <cfRule type="cellIs" dxfId="2809" priority="91469" operator="equal">
      <formula>3</formula>
    </cfRule>
    <cfRule type="cellIs" dxfId="2808" priority="91462" operator="equal">
      <formula>2</formula>
    </cfRule>
    <cfRule type="cellIs" dxfId="2807" priority="91464" operator="equal">
      <formula>11</formula>
    </cfRule>
    <cfRule type="cellIs" dxfId="2806" priority="91468" operator="equal">
      <formula>5</formula>
    </cfRule>
    <cfRule type="cellIs" dxfId="2805" priority="91463" operator="equal">
      <formula>22</formula>
    </cfRule>
    <cfRule type="cellIs" dxfId="2804" priority="91461" operator="equal">
      <formula>4</formula>
    </cfRule>
    <cfRule type="cellIs" dxfId="2803" priority="91467" operator="equal">
      <formula>7</formula>
    </cfRule>
  </conditionalFormatting>
  <conditionalFormatting sqref="T926:U931 Z926:AC931">
    <cfRule type="cellIs" dxfId="2802" priority="91442" operator="equal">
      <formula>0</formula>
    </cfRule>
    <cfRule type="cellIs" dxfId="2801" priority="91438" operator="equal">
      <formula>2</formula>
    </cfRule>
    <cfRule type="cellIs" dxfId="2800" priority="91439" operator="equal">
      <formula>22</formula>
    </cfRule>
    <cfRule type="cellIs" dxfId="2799" priority="91437" operator="equal">
      <formula>4</formula>
    </cfRule>
    <cfRule type="cellIs" dxfId="2798" priority="91440" operator="equal">
      <formula>11</formula>
    </cfRule>
    <cfRule type="cellIs" dxfId="2797" priority="91441" operator="equal">
      <formula>9</formula>
    </cfRule>
    <cfRule type="cellIs" dxfId="2796" priority="91445" operator="equal">
      <formula>3</formula>
    </cfRule>
    <cfRule type="cellIs" dxfId="2795" priority="91443" operator="equal">
      <formula>7</formula>
    </cfRule>
    <cfRule type="cellIs" dxfId="2794" priority="91444" operator="equal">
      <formula>5</formula>
    </cfRule>
  </conditionalFormatting>
  <conditionalFormatting sqref="T934:U934 Z934:AC934">
    <cfRule type="cellIs" dxfId="2793" priority="91419" operator="equal">
      <formula>7</formula>
    </cfRule>
    <cfRule type="cellIs" dxfId="2792" priority="91415" operator="equal">
      <formula>22</formula>
    </cfRule>
    <cfRule type="cellIs" dxfId="2791" priority="91414" operator="equal">
      <formula>2</formula>
    </cfRule>
    <cfRule type="cellIs" dxfId="2790" priority="91418" operator="equal">
      <formula>0</formula>
    </cfRule>
    <cfRule type="cellIs" dxfId="2789" priority="91413" operator="equal">
      <formula>4</formula>
    </cfRule>
    <cfRule type="cellIs" dxfId="2788" priority="91421" operator="equal">
      <formula>3</formula>
    </cfRule>
    <cfRule type="cellIs" dxfId="2787" priority="91416" operator="equal">
      <formula>11</formula>
    </cfRule>
    <cfRule type="cellIs" dxfId="2786" priority="91420" operator="equal">
      <formula>5</formula>
    </cfRule>
    <cfRule type="cellIs" dxfId="2785" priority="91417" operator="equal">
      <formula>9</formula>
    </cfRule>
  </conditionalFormatting>
  <conditionalFormatting sqref="T952:U952 Z952:AC952">
    <cfRule type="cellIs" dxfId="2784" priority="91372" operator="equal">
      <formula>5</formula>
    </cfRule>
    <cfRule type="cellIs" dxfId="2783" priority="91366" operator="equal">
      <formula>2</formula>
    </cfRule>
    <cfRule type="cellIs" dxfId="2782" priority="91373" operator="equal">
      <formula>3</formula>
    </cfRule>
    <cfRule type="cellIs" dxfId="2781" priority="91365" operator="equal">
      <formula>4</formula>
    </cfRule>
    <cfRule type="cellIs" dxfId="2780" priority="91367" operator="equal">
      <formula>22</formula>
    </cfRule>
    <cfRule type="cellIs" dxfId="2779" priority="91371" operator="equal">
      <formula>7</formula>
    </cfRule>
    <cfRule type="cellIs" dxfId="2778" priority="91370" operator="equal">
      <formula>0</formula>
    </cfRule>
    <cfRule type="cellIs" dxfId="2777" priority="91369" operator="equal">
      <formula>9</formula>
    </cfRule>
    <cfRule type="cellIs" dxfId="2776" priority="91368" operator="equal">
      <formula>11</formula>
    </cfRule>
  </conditionalFormatting>
  <conditionalFormatting sqref="T954:U955 Z954:AC955">
    <cfRule type="cellIs" dxfId="2775" priority="91346" operator="equal">
      <formula>0</formula>
    </cfRule>
    <cfRule type="cellIs" dxfId="2774" priority="91344" operator="equal">
      <formula>11</formula>
    </cfRule>
    <cfRule type="cellIs" dxfId="2773" priority="91345" operator="equal">
      <formula>9</formula>
    </cfRule>
    <cfRule type="cellIs" dxfId="2772" priority="91349" operator="equal">
      <formula>3</formula>
    </cfRule>
    <cfRule type="cellIs" dxfId="2771" priority="91343" operator="equal">
      <formula>22</formula>
    </cfRule>
    <cfRule type="cellIs" dxfId="2770" priority="91348" operator="equal">
      <formula>5</formula>
    </cfRule>
    <cfRule type="cellIs" dxfId="2769" priority="91342" operator="equal">
      <formula>2</formula>
    </cfRule>
    <cfRule type="cellIs" dxfId="2768" priority="91347" operator="equal">
      <formula>7</formula>
    </cfRule>
    <cfRule type="cellIs" dxfId="2767" priority="91341" operator="equal">
      <formula>4</formula>
    </cfRule>
  </conditionalFormatting>
  <conditionalFormatting sqref="T957:U957 Z957:AC957">
    <cfRule type="cellIs" dxfId="2766" priority="91318" operator="equal">
      <formula>2</formula>
    </cfRule>
    <cfRule type="cellIs" dxfId="2765" priority="91324" operator="equal">
      <formula>5</formula>
    </cfRule>
    <cfRule type="cellIs" dxfId="2764" priority="91317" operator="equal">
      <formula>4</formula>
    </cfRule>
    <cfRule type="cellIs" dxfId="2763" priority="91319" operator="equal">
      <formula>22</formula>
    </cfRule>
    <cfRule type="cellIs" dxfId="2762" priority="91320" operator="equal">
      <formula>11</formula>
    </cfRule>
    <cfRule type="cellIs" dxfId="2761" priority="91325" operator="equal">
      <formula>3</formula>
    </cfRule>
    <cfRule type="cellIs" dxfId="2760" priority="91321" operator="equal">
      <formula>9</formula>
    </cfRule>
    <cfRule type="cellIs" dxfId="2759" priority="91322" operator="equal">
      <formula>0</formula>
    </cfRule>
    <cfRule type="cellIs" dxfId="2758" priority="91323" operator="equal">
      <formula>7</formula>
    </cfRule>
  </conditionalFormatting>
  <conditionalFormatting sqref="T964:U964 Z964:AC964">
    <cfRule type="cellIs" dxfId="2757" priority="91273" operator="equal">
      <formula>9</formula>
    </cfRule>
    <cfRule type="cellIs" dxfId="2756" priority="91270" operator="equal">
      <formula>2</formula>
    </cfRule>
    <cfRule type="cellIs" dxfId="2755" priority="91271" operator="equal">
      <formula>22</formula>
    </cfRule>
    <cfRule type="cellIs" dxfId="2754" priority="91272" operator="equal">
      <formula>11</formula>
    </cfRule>
    <cfRule type="cellIs" dxfId="2753" priority="91269" operator="equal">
      <formula>4</formula>
    </cfRule>
    <cfRule type="cellIs" dxfId="2752" priority="91277" operator="equal">
      <formula>3</formula>
    </cfRule>
    <cfRule type="cellIs" dxfId="2751" priority="91276" operator="equal">
      <formula>5</formula>
    </cfRule>
    <cfRule type="cellIs" dxfId="2750" priority="91275" operator="equal">
      <formula>7</formula>
    </cfRule>
    <cfRule type="cellIs" dxfId="2749" priority="91274" operator="equal">
      <formula>0</formula>
    </cfRule>
  </conditionalFormatting>
  <conditionalFormatting sqref="T977:U977 Z977:AC977">
    <cfRule type="cellIs" dxfId="2748" priority="91226" operator="equal">
      <formula>0</formula>
    </cfRule>
    <cfRule type="cellIs" dxfId="2747" priority="91221" operator="equal">
      <formula>4</formula>
    </cfRule>
    <cfRule type="cellIs" dxfId="2746" priority="91222" operator="equal">
      <formula>2</formula>
    </cfRule>
    <cfRule type="cellIs" dxfId="2745" priority="91224" operator="equal">
      <formula>11</formula>
    </cfRule>
    <cfRule type="cellIs" dxfId="2744" priority="91229" operator="equal">
      <formula>3</formula>
    </cfRule>
    <cfRule type="cellIs" dxfId="2743" priority="91228" operator="equal">
      <formula>5</formula>
    </cfRule>
    <cfRule type="cellIs" dxfId="2742" priority="91227" operator="equal">
      <formula>7</formula>
    </cfRule>
    <cfRule type="cellIs" dxfId="2741" priority="91223" operator="equal">
      <formula>22</formula>
    </cfRule>
    <cfRule type="cellIs" dxfId="2740" priority="91225" operator="equal">
      <formula>9</formula>
    </cfRule>
  </conditionalFormatting>
  <conditionalFormatting sqref="T991:U991 Z991:AC991">
    <cfRule type="cellIs" dxfId="2739" priority="91154" operator="equal">
      <formula>0</formula>
    </cfRule>
    <cfRule type="cellIs" dxfId="2738" priority="91153" operator="equal">
      <formula>9</formula>
    </cfRule>
    <cfRule type="cellIs" dxfId="2737" priority="91157" operator="equal">
      <formula>3</formula>
    </cfRule>
    <cfRule type="cellIs" dxfId="2736" priority="91156" operator="equal">
      <formula>5</formula>
    </cfRule>
    <cfRule type="cellIs" dxfId="2735" priority="91155" operator="equal">
      <formula>7</formula>
    </cfRule>
    <cfRule type="cellIs" dxfId="2734" priority="91149" operator="equal">
      <formula>4</formula>
    </cfRule>
    <cfRule type="cellIs" dxfId="2733" priority="91152" operator="equal">
      <formula>11</formula>
    </cfRule>
    <cfRule type="cellIs" dxfId="2732" priority="91150" operator="equal">
      <formula>2</formula>
    </cfRule>
    <cfRule type="cellIs" dxfId="2731" priority="91151" operator="equal">
      <formula>22</formula>
    </cfRule>
  </conditionalFormatting>
  <conditionalFormatting sqref="T1007:U1007 Z1007:AC1007">
    <cfRule type="cellIs" dxfId="2730" priority="91104" operator="equal">
      <formula>11</formula>
    </cfRule>
    <cfRule type="cellIs" dxfId="2729" priority="91109" operator="equal">
      <formula>3</formula>
    </cfRule>
    <cfRule type="cellIs" dxfId="2728" priority="91103" operator="equal">
      <formula>22</formula>
    </cfRule>
    <cfRule type="cellIs" dxfId="2727" priority="91102" operator="equal">
      <formula>2</formula>
    </cfRule>
    <cfRule type="cellIs" dxfId="2726" priority="91101" operator="equal">
      <formula>4</formula>
    </cfRule>
    <cfRule type="cellIs" dxfId="2725" priority="91108" operator="equal">
      <formula>5</formula>
    </cfRule>
    <cfRule type="cellIs" dxfId="2724" priority="91107" operator="equal">
      <formula>7</formula>
    </cfRule>
    <cfRule type="cellIs" dxfId="2723" priority="91106" operator="equal">
      <formula>0</formula>
    </cfRule>
    <cfRule type="cellIs" dxfId="2722" priority="91105" operator="equal">
      <formula>9</formula>
    </cfRule>
  </conditionalFormatting>
  <conditionalFormatting sqref="T1017:U1019 Z1017:AC1019">
    <cfRule type="cellIs" dxfId="2721" priority="90912" operator="equal">
      <formula>11</formula>
    </cfRule>
    <cfRule type="cellIs" dxfId="2720" priority="90913" operator="equal">
      <formula>9</formula>
    </cfRule>
    <cfRule type="cellIs" dxfId="2719" priority="90914" operator="equal">
      <formula>0</formula>
    </cfRule>
    <cfRule type="cellIs" dxfId="2718" priority="90911" operator="equal">
      <formula>22</formula>
    </cfRule>
    <cfRule type="cellIs" dxfId="2717" priority="90915" operator="equal">
      <formula>7</formula>
    </cfRule>
    <cfRule type="cellIs" dxfId="2716" priority="90916" operator="equal">
      <formula>5</formula>
    </cfRule>
    <cfRule type="cellIs" dxfId="2715" priority="90917" operator="equal">
      <formula>3</formula>
    </cfRule>
    <cfRule type="cellIs" dxfId="2714" priority="90910" operator="equal">
      <formula>2</formula>
    </cfRule>
    <cfRule type="cellIs" dxfId="2713" priority="90909" operator="equal">
      <formula>4</formula>
    </cfRule>
  </conditionalFormatting>
  <conditionalFormatting sqref="T1020:U1020 Z1020:AC1020">
    <cfRule type="cellIs" dxfId="2712" priority="91083" operator="equal">
      <formula>7</formula>
    </cfRule>
    <cfRule type="cellIs" dxfId="2711" priority="91084" operator="equal">
      <formula>5</formula>
    </cfRule>
    <cfRule type="cellIs" dxfId="2710" priority="91082" operator="equal">
      <formula>0</formula>
    </cfRule>
    <cfRule type="cellIs" dxfId="2709" priority="91081" operator="equal">
      <formula>9</formula>
    </cfRule>
    <cfRule type="cellIs" dxfId="2708" priority="91080" operator="equal">
      <formula>11</formula>
    </cfRule>
    <cfRule type="cellIs" dxfId="2707" priority="91079" operator="equal">
      <formula>22</formula>
    </cfRule>
    <cfRule type="cellIs" dxfId="2706" priority="91078" operator="equal">
      <formula>2</formula>
    </cfRule>
    <cfRule type="cellIs" dxfId="2705" priority="91077" operator="equal">
      <formula>4</formula>
    </cfRule>
    <cfRule type="cellIs" dxfId="2704" priority="91085" operator="equal">
      <formula>3</formula>
    </cfRule>
  </conditionalFormatting>
  <conditionalFormatting sqref="T1021:U1026 Z1021:AC1026">
    <cfRule type="cellIs" dxfId="2703" priority="90892" operator="equal">
      <formula>5</formula>
    </cfRule>
    <cfRule type="cellIs" dxfId="2702" priority="90893" operator="equal">
      <formula>3</formula>
    </cfRule>
    <cfRule type="cellIs" dxfId="2701" priority="90891" operator="equal">
      <formula>7</formula>
    </cfRule>
    <cfRule type="cellIs" dxfId="2700" priority="90890" operator="equal">
      <formula>0</formula>
    </cfRule>
    <cfRule type="cellIs" dxfId="2699" priority="90888" operator="equal">
      <formula>11</formula>
    </cfRule>
    <cfRule type="cellIs" dxfId="2698" priority="90887" operator="equal">
      <formula>22</formula>
    </cfRule>
    <cfRule type="cellIs" dxfId="2697" priority="90886" operator="equal">
      <formula>2</formula>
    </cfRule>
    <cfRule type="cellIs" dxfId="2696" priority="90885" operator="equal">
      <formula>4</formula>
    </cfRule>
    <cfRule type="cellIs" dxfId="2695" priority="90889" operator="equal">
      <formula>9</formula>
    </cfRule>
  </conditionalFormatting>
  <conditionalFormatting sqref="T1029:U1029 Z1029:AC1029">
    <cfRule type="cellIs" dxfId="2694" priority="90795" operator="equal">
      <formula>3</formula>
    </cfRule>
    <cfRule type="cellIs" dxfId="2693" priority="90790" operator="equal">
      <formula>11</formula>
    </cfRule>
    <cfRule type="cellIs" dxfId="2692" priority="90794" operator="equal">
      <formula>5</formula>
    </cfRule>
    <cfRule type="cellIs" dxfId="2691" priority="90793" operator="equal">
      <formula>7</formula>
    </cfRule>
    <cfRule type="cellIs" dxfId="2690" priority="90792" operator="equal">
      <formula>0</formula>
    </cfRule>
    <cfRule type="cellIs" dxfId="2689" priority="90791" operator="equal">
      <formula>9</formula>
    </cfRule>
    <cfRule type="cellIs" dxfId="2688" priority="90789" operator="equal">
      <formula>22</formula>
    </cfRule>
    <cfRule type="cellIs" dxfId="2687" priority="90788" operator="equal">
      <formula>2</formula>
    </cfRule>
    <cfRule type="cellIs" dxfId="2686" priority="90787" operator="equal">
      <formula>4</formula>
    </cfRule>
  </conditionalFormatting>
  <conditionalFormatting sqref="T1036:U1036 Z1036:AC1036">
    <cfRule type="cellIs" dxfId="2685" priority="90742" operator="equal">
      <formula>11</formula>
    </cfRule>
    <cfRule type="cellIs" dxfId="2684" priority="90747" operator="equal">
      <formula>3</formula>
    </cfRule>
    <cfRule type="cellIs" dxfId="2683" priority="90745" operator="equal">
      <formula>7</formula>
    </cfRule>
    <cfRule type="cellIs" dxfId="2682" priority="90743" operator="equal">
      <formula>9</formula>
    </cfRule>
    <cfRule type="cellIs" dxfId="2681" priority="90740" operator="equal">
      <formula>2</formula>
    </cfRule>
    <cfRule type="cellIs" dxfId="2680" priority="90739" operator="equal">
      <formula>4</formula>
    </cfRule>
    <cfRule type="cellIs" dxfId="2679" priority="90746" operator="equal">
      <formula>5</formula>
    </cfRule>
    <cfRule type="cellIs" dxfId="2678" priority="90741" operator="equal">
      <formula>22</formula>
    </cfRule>
    <cfRule type="cellIs" dxfId="2677" priority="90744" operator="equal">
      <formula>0</formula>
    </cfRule>
  </conditionalFormatting>
  <conditionalFormatting sqref="Z46">
    <cfRule type="cellIs" dxfId="2676" priority="1532" operator="equal">
      <formula>11</formula>
    </cfRule>
    <cfRule type="cellIs" dxfId="2675" priority="1533" operator="equal">
      <formula>9</formula>
    </cfRule>
    <cfRule type="cellIs" dxfId="2674" priority="1534" operator="equal">
      <formula>0</formula>
    </cfRule>
    <cfRule type="cellIs" dxfId="2673" priority="1531" operator="equal">
      <formula>22</formula>
    </cfRule>
    <cfRule type="cellIs" dxfId="2672" priority="1530" operator="equal">
      <formula>2</formula>
    </cfRule>
    <cfRule type="cellIs" dxfId="2671" priority="1529" operator="equal">
      <formula>4</formula>
    </cfRule>
    <cfRule type="cellIs" dxfId="2670" priority="1535" operator="equal">
      <formula>7</formula>
    </cfRule>
    <cfRule type="cellIs" dxfId="2669" priority="1536" operator="equal">
      <formula>5</formula>
    </cfRule>
    <cfRule type="cellIs" dxfId="2668" priority="1537" operator="equal">
      <formula>3</formula>
    </cfRule>
    <cfRule type="cellIs" dxfId="2667" priority="1538" operator="equal">
      <formula>1</formula>
    </cfRule>
  </conditionalFormatting>
  <conditionalFormatting sqref="Z50:Z51">
    <cfRule type="cellIs" dxfId="2666" priority="1371" operator="equal">
      <formula>0</formula>
    </cfRule>
    <cfRule type="cellIs" dxfId="2665" priority="1375" operator="equal">
      <formula>1</formula>
    </cfRule>
    <cfRule type="cellIs" dxfId="2664" priority="1370" operator="equal">
      <formula>9</formula>
    </cfRule>
    <cfRule type="cellIs" dxfId="2663" priority="1373" operator="equal">
      <formula>5</formula>
    </cfRule>
    <cfRule type="cellIs" dxfId="2662" priority="1366" operator="equal">
      <formula>4</formula>
    </cfRule>
    <cfRule type="cellIs" dxfId="2661" priority="1367" operator="equal">
      <formula>2</formula>
    </cfRule>
    <cfRule type="cellIs" dxfId="2660" priority="1372" operator="equal">
      <formula>7</formula>
    </cfRule>
    <cfRule type="cellIs" dxfId="2659" priority="1369" operator="equal">
      <formula>11</formula>
    </cfRule>
    <cfRule type="cellIs" dxfId="2658" priority="1368" operator="equal">
      <formula>22</formula>
    </cfRule>
    <cfRule type="cellIs" dxfId="2657" priority="1374" operator="equal">
      <formula>3</formula>
    </cfRule>
  </conditionalFormatting>
  <conditionalFormatting sqref="Z54:Z55">
    <cfRule type="cellIs" dxfId="2656" priority="1295" operator="equal">
      <formula>22</formula>
    </cfRule>
    <cfRule type="cellIs" dxfId="2655" priority="1293" operator="equal">
      <formula>4</formula>
    </cfRule>
    <cfRule type="cellIs" dxfId="2654" priority="1294" operator="equal">
      <formula>2</formula>
    </cfRule>
    <cfRule type="cellIs" dxfId="2653" priority="1298" operator="equal">
      <formula>0</formula>
    </cfRule>
    <cfRule type="cellIs" dxfId="2652" priority="1301" operator="equal">
      <formula>3</formula>
    </cfRule>
    <cfRule type="cellIs" dxfId="2651" priority="1302" operator="equal">
      <formula>1</formula>
    </cfRule>
    <cfRule type="cellIs" dxfId="2650" priority="1296" operator="equal">
      <formula>11</formula>
    </cfRule>
    <cfRule type="cellIs" dxfId="2649" priority="1300" operator="equal">
      <formula>5</formula>
    </cfRule>
    <cfRule type="cellIs" dxfId="2648" priority="1299" operator="equal">
      <formula>7</formula>
    </cfRule>
    <cfRule type="cellIs" dxfId="2647" priority="1297" operator="equal">
      <formula>9</formula>
    </cfRule>
  </conditionalFormatting>
  <conditionalFormatting sqref="Z58:Z59">
    <cfRule type="cellIs" dxfId="2646" priority="1198" operator="equal">
      <formula>22</formula>
    </cfRule>
    <cfRule type="cellIs" dxfId="2645" priority="1196" operator="equal">
      <formula>4</formula>
    </cfRule>
    <cfRule type="cellIs" dxfId="2644" priority="1199" operator="equal">
      <formula>11</formula>
    </cfRule>
    <cfRule type="cellIs" dxfId="2643" priority="1202" operator="equal">
      <formula>7</formula>
    </cfRule>
    <cfRule type="cellIs" dxfId="2642" priority="1205" operator="equal">
      <formula>1</formula>
    </cfRule>
    <cfRule type="cellIs" dxfId="2641" priority="1200" operator="equal">
      <formula>9</formula>
    </cfRule>
    <cfRule type="cellIs" dxfId="2640" priority="1204" operator="equal">
      <formula>3</formula>
    </cfRule>
    <cfRule type="cellIs" dxfId="2639" priority="1203" operator="equal">
      <formula>5</formula>
    </cfRule>
    <cfRule type="cellIs" dxfId="2638" priority="1197" operator="equal">
      <formula>2</formula>
    </cfRule>
    <cfRule type="cellIs" dxfId="2637" priority="1201" operator="equal">
      <formula>0</formula>
    </cfRule>
  </conditionalFormatting>
  <conditionalFormatting sqref="Z62:Z63">
    <cfRule type="cellIs" dxfId="2636" priority="1123" operator="equal">
      <formula>4</formula>
    </cfRule>
    <cfRule type="cellIs" dxfId="2635" priority="1132" operator="equal">
      <formula>1</formula>
    </cfRule>
    <cfRule type="cellIs" dxfId="2634" priority="1124" operator="equal">
      <formula>2</formula>
    </cfRule>
    <cfRule type="cellIs" dxfId="2633" priority="1131" operator="equal">
      <formula>3</formula>
    </cfRule>
    <cfRule type="cellIs" dxfId="2632" priority="1130" operator="equal">
      <formula>5</formula>
    </cfRule>
    <cfRule type="cellIs" dxfId="2631" priority="1125" operator="equal">
      <formula>22</formula>
    </cfRule>
    <cfRule type="cellIs" dxfId="2630" priority="1129" operator="equal">
      <formula>7</formula>
    </cfRule>
    <cfRule type="cellIs" dxfId="2629" priority="1128" operator="equal">
      <formula>0</formula>
    </cfRule>
    <cfRule type="cellIs" dxfId="2628" priority="1126" operator="equal">
      <formula>11</formula>
    </cfRule>
    <cfRule type="cellIs" dxfId="2627" priority="1127" operator="equal">
      <formula>9</formula>
    </cfRule>
  </conditionalFormatting>
  <conditionalFormatting sqref="Z67:Z69">
    <cfRule type="cellIs" dxfId="2626" priority="1050" operator="equal">
      <formula>4</formula>
    </cfRule>
    <cfRule type="cellIs" dxfId="2625" priority="1056" operator="equal">
      <formula>7</formula>
    </cfRule>
    <cfRule type="cellIs" dxfId="2624" priority="1059" operator="equal">
      <formula>1</formula>
    </cfRule>
    <cfRule type="cellIs" dxfId="2623" priority="1051" operator="equal">
      <formula>2</formula>
    </cfRule>
    <cfRule type="cellIs" dxfId="2622" priority="1058" operator="equal">
      <formula>3</formula>
    </cfRule>
    <cfRule type="cellIs" dxfId="2621" priority="1057" operator="equal">
      <formula>5</formula>
    </cfRule>
    <cfRule type="cellIs" dxfId="2620" priority="1052" operator="equal">
      <formula>22</formula>
    </cfRule>
    <cfRule type="cellIs" dxfId="2619" priority="1053" operator="equal">
      <formula>11</formula>
    </cfRule>
    <cfRule type="cellIs" dxfId="2618" priority="1054" operator="equal">
      <formula>9</formula>
    </cfRule>
    <cfRule type="cellIs" dxfId="2617" priority="1055" operator="equal">
      <formula>0</formula>
    </cfRule>
  </conditionalFormatting>
  <conditionalFormatting sqref="Z73:Z74">
    <cfRule type="cellIs" dxfId="2616" priority="1001" operator="equal">
      <formula>1</formula>
    </cfRule>
    <cfRule type="cellIs" dxfId="2615" priority="999" operator="equal">
      <formula>5</formula>
    </cfRule>
    <cfRule type="cellIs" dxfId="2614" priority="1000" operator="equal">
      <formula>3</formula>
    </cfRule>
    <cfRule type="cellIs" dxfId="2613" priority="998" operator="equal">
      <formula>7</formula>
    </cfRule>
    <cfRule type="cellIs" dxfId="2612" priority="992" operator="equal">
      <formula>4</formula>
    </cfRule>
    <cfRule type="cellIs" dxfId="2611" priority="993" operator="equal">
      <formula>2</formula>
    </cfRule>
    <cfRule type="cellIs" dxfId="2610" priority="994" operator="equal">
      <formula>22</formula>
    </cfRule>
    <cfRule type="cellIs" dxfId="2609" priority="995" operator="equal">
      <formula>11</formula>
    </cfRule>
    <cfRule type="cellIs" dxfId="2608" priority="996" operator="equal">
      <formula>9</formula>
    </cfRule>
    <cfRule type="cellIs" dxfId="2607" priority="997" operator="equal">
      <formula>0</formula>
    </cfRule>
  </conditionalFormatting>
  <conditionalFormatting sqref="Z89">
    <cfRule type="cellIs" dxfId="2606" priority="852" operator="equal">
      <formula>3</formula>
    </cfRule>
    <cfRule type="cellIs" dxfId="2605" priority="853" operator="equal">
      <formula>1</formula>
    </cfRule>
    <cfRule type="cellIs" dxfId="2604" priority="846" operator="equal">
      <formula>22</formula>
    </cfRule>
    <cfRule type="cellIs" dxfId="2603" priority="845" operator="equal">
      <formula>2</formula>
    </cfRule>
    <cfRule type="cellIs" dxfId="2602" priority="851" operator="equal">
      <formula>5</formula>
    </cfRule>
    <cfRule type="cellIs" dxfId="2601" priority="850" operator="equal">
      <formula>7</formula>
    </cfRule>
    <cfRule type="cellIs" dxfId="2600" priority="849" operator="equal">
      <formula>0</formula>
    </cfRule>
    <cfRule type="cellIs" dxfId="2599" priority="848" operator="equal">
      <formula>9</formula>
    </cfRule>
    <cfRule type="cellIs" dxfId="2598" priority="847" operator="equal">
      <formula>11</formula>
    </cfRule>
    <cfRule type="cellIs" dxfId="2597" priority="844" operator="equal">
      <formula>4</formula>
    </cfRule>
  </conditionalFormatting>
  <conditionalFormatting sqref="Z90:Z92">
    <cfRule type="cellIs" dxfId="2596" priority="794" operator="equal">
      <formula>22</formula>
    </cfRule>
    <cfRule type="cellIs" dxfId="2595" priority="801" operator="equal">
      <formula>1</formula>
    </cfRule>
    <cfRule type="cellIs" dxfId="2594" priority="800" operator="equal">
      <formula>3</formula>
    </cfRule>
    <cfRule type="cellIs" dxfId="2593" priority="795" operator="equal">
      <formula>11</formula>
    </cfRule>
    <cfRule type="cellIs" dxfId="2592" priority="796" operator="equal">
      <formula>9</formula>
    </cfRule>
    <cfRule type="cellIs" dxfId="2591" priority="797" operator="equal">
      <formula>0</formula>
    </cfRule>
    <cfRule type="cellIs" dxfId="2590" priority="798" operator="equal">
      <formula>7</formula>
    </cfRule>
    <cfRule type="cellIs" dxfId="2589" priority="792" operator="equal">
      <formula>4</formula>
    </cfRule>
    <cfRule type="cellIs" dxfId="2588" priority="799" operator="equal">
      <formula>5</formula>
    </cfRule>
    <cfRule type="cellIs" dxfId="2587" priority="793" operator="equal">
      <formula>2</formula>
    </cfRule>
  </conditionalFormatting>
  <conditionalFormatting sqref="Z95">
    <cfRule type="cellIs" dxfId="2586" priority="737" operator="equal">
      <formula>11</formula>
    </cfRule>
    <cfRule type="cellIs" dxfId="2585" priority="742" operator="equal">
      <formula>3</formula>
    </cfRule>
    <cfRule type="cellIs" dxfId="2584" priority="739" operator="equal">
      <formula>0</formula>
    </cfRule>
    <cfRule type="cellIs" dxfId="2583" priority="740" operator="equal">
      <formula>7</formula>
    </cfRule>
    <cfRule type="cellIs" dxfId="2582" priority="741" operator="equal">
      <formula>5</formula>
    </cfRule>
    <cfRule type="cellIs" dxfId="2581" priority="743" operator="equal">
      <formula>1</formula>
    </cfRule>
    <cfRule type="cellIs" dxfId="2580" priority="738" operator="equal">
      <formula>9</formula>
    </cfRule>
    <cfRule type="cellIs" dxfId="2579" priority="734" operator="equal">
      <formula>4</formula>
    </cfRule>
    <cfRule type="cellIs" dxfId="2578" priority="735" operator="equal">
      <formula>2</formula>
    </cfRule>
    <cfRule type="cellIs" dxfId="2577" priority="736" operator="equal">
      <formula>22</formula>
    </cfRule>
  </conditionalFormatting>
  <conditionalFormatting sqref="Z96:Z98">
    <cfRule type="cellIs" dxfId="2576" priority="693" operator="equal">
      <formula>3</formula>
    </cfRule>
    <cfRule type="cellIs" dxfId="2575" priority="688" operator="equal">
      <formula>11</formula>
    </cfRule>
    <cfRule type="cellIs" dxfId="2574" priority="685" operator="equal">
      <formula>4</formula>
    </cfRule>
    <cfRule type="cellIs" dxfId="2573" priority="686" operator="equal">
      <formula>2</formula>
    </cfRule>
    <cfRule type="cellIs" dxfId="2572" priority="687" operator="equal">
      <formula>22</formula>
    </cfRule>
    <cfRule type="cellIs" dxfId="2571" priority="691" operator="equal">
      <formula>7</formula>
    </cfRule>
    <cfRule type="cellIs" dxfId="2570" priority="694" operator="equal">
      <formula>1</formula>
    </cfRule>
    <cfRule type="cellIs" dxfId="2569" priority="690" operator="equal">
      <formula>0</formula>
    </cfRule>
    <cfRule type="cellIs" dxfId="2568" priority="689" operator="equal">
      <formula>9</formula>
    </cfRule>
    <cfRule type="cellIs" dxfId="2567" priority="692" operator="equal">
      <formula>5</formula>
    </cfRule>
  </conditionalFormatting>
  <conditionalFormatting sqref="Z117:Z118">
    <cfRule type="cellIs" dxfId="2566" priority="461" operator="equal">
      <formula>22</formula>
    </cfRule>
    <cfRule type="cellIs" dxfId="2565" priority="462" operator="equal">
      <formula>11</formula>
    </cfRule>
    <cfRule type="cellIs" dxfId="2564" priority="463" operator="equal">
      <formula>9</formula>
    </cfRule>
    <cfRule type="cellIs" dxfId="2563" priority="459" operator="equal">
      <formula>4</formula>
    </cfRule>
    <cfRule type="cellIs" dxfId="2562" priority="464" operator="equal">
      <formula>0</formula>
    </cfRule>
    <cfRule type="cellIs" dxfId="2561" priority="468" operator="equal">
      <formula>1</formula>
    </cfRule>
    <cfRule type="cellIs" dxfId="2560" priority="467" operator="equal">
      <formula>3</formula>
    </cfRule>
    <cfRule type="cellIs" dxfId="2559" priority="460" operator="equal">
      <formula>2</formula>
    </cfRule>
    <cfRule type="cellIs" dxfId="2558" priority="466" operator="equal">
      <formula>5</formula>
    </cfRule>
    <cfRule type="cellIs" dxfId="2557" priority="465" operator="equal">
      <formula>7</formula>
    </cfRule>
  </conditionalFormatting>
  <conditionalFormatting sqref="Z120:Z121">
    <cfRule type="cellIs" dxfId="2556" priority="430" operator="equal">
      <formula>0</formula>
    </cfRule>
    <cfRule type="cellIs" dxfId="2555" priority="431" operator="equal">
      <formula>7</formula>
    </cfRule>
    <cfRule type="cellIs" dxfId="2554" priority="432" operator="equal">
      <formula>5</formula>
    </cfRule>
    <cfRule type="cellIs" dxfId="2553" priority="433" operator="equal">
      <formula>3</formula>
    </cfRule>
    <cfRule type="cellIs" dxfId="2552" priority="429" operator="equal">
      <formula>9</formula>
    </cfRule>
    <cfRule type="cellIs" dxfId="2551" priority="425" operator="equal">
      <formula>4</formula>
    </cfRule>
    <cfRule type="cellIs" dxfId="2550" priority="434" operator="equal">
      <formula>1</formula>
    </cfRule>
    <cfRule type="cellIs" dxfId="2549" priority="428" operator="equal">
      <formula>11</formula>
    </cfRule>
    <cfRule type="cellIs" dxfId="2548" priority="427" operator="equal">
      <formula>22</formula>
    </cfRule>
    <cfRule type="cellIs" dxfId="2547" priority="426" operator="equal">
      <formula>2</formula>
    </cfRule>
  </conditionalFormatting>
  <conditionalFormatting sqref="Z123:Z124">
    <cfRule type="cellIs" dxfId="2546" priority="396" operator="equal">
      <formula>0</formula>
    </cfRule>
    <cfRule type="cellIs" dxfId="2545" priority="395" operator="equal">
      <formula>9</formula>
    </cfRule>
    <cfRule type="cellIs" dxfId="2544" priority="394" operator="equal">
      <formula>11</formula>
    </cfRule>
    <cfRule type="cellIs" dxfId="2543" priority="399" operator="equal">
      <formula>3</formula>
    </cfRule>
    <cfRule type="cellIs" dxfId="2542" priority="400" operator="equal">
      <formula>1</formula>
    </cfRule>
    <cfRule type="cellIs" dxfId="2541" priority="392" operator="equal">
      <formula>2</formula>
    </cfRule>
    <cfRule type="cellIs" dxfId="2540" priority="391" operator="equal">
      <formula>4</formula>
    </cfRule>
    <cfRule type="cellIs" dxfId="2539" priority="398" operator="equal">
      <formula>5</formula>
    </cfRule>
    <cfRule type="cellIs" dxfId="2538" priority="397" operator="equal">
      <formula>7</formula>
    </cfRule>
    <cfRule type="cellIs" dxfId="2537" priority="393" operator="equal">
      <formula>22</formula>
    </cfRule>
  </conditionalFormatting>
  <conditionalFormatting sqref="Z136">
    <cfRule type="cellIs" dxfId="2536" priority="125" operator="equal">
      <formula>3</formula>
    </cfRule>
    <cfRule type="cellIs" dxfId="2535" priority="118" operator="equal">
      <formula>2</formula>
    </cfRule>
    <cfRule type="cellIs" dxfId="2534" priority="117" operator="equal">
      <formula>4</formula>
    </cfRule>
    <cfRule type="cellIs" dxfId="2533" priority="126" operator="equal">
      <formula>1</formula>
    </cfRule>
    <cfRule type="cellIs" dxfId="2532" priority="124" operator="equal">
      <formula>5</formula>
    </cfRule>
    <cfRule type="cellIs" dxfId="2531" priority="122" operator="equal">
      <formula>0</formula>
    </cfRule>
    <cfRule type="cellIs" dxfId="2530" priority="123" operator="equal">
      <formula>7</formula>
    </cfRule>
    <cfRule type="cellIs" dxfId="2529" priority="121" operator="equal">
      <formula>9</formula>
    </cfRule>
    <cfRule type="cellIs" dxfId="2528" priority="120" operator="equal">
      <formula>11</formula>
    </cfRule>
    <cfRule type="cellIs" dxfId="2527" priority="119" operator="equal">
      <formula>22</formula>
    </cfRule>
  </conditionalFormatting>
  <conditionalFormatting sqref="Z140">
    <cfRule type="cellIs" dxfId="2526" priority="68" operator="equal">
      <formula>1</formula>
    </cfRule>
    <cfRule type="cellIs" dxfId="2525" priority="67" operator="equal">
      <formula>3</formula>
    </cfRule>
    <cfRule type="cellIs" dxfId="2524" priority="59" operator="equal">
      <formula>4</formula>
    </cfRule>
    <cfRule type="cellIs" dxfId="2523" priority="62" operator="equal">
      <formula>11</formula>
    </cfRule>
    <cfRule type="cellIs" dxfId="2522" priority="61" operator="equal">
      <formula>22</formula>
    </cfRule>
    <cfRule type="cellIs" dxfId="2521" priority="63" operator="equal">
      <formula>9</formula>
    </cfRule>
    <cfRule type="cellIs" dxfId="2520" priority="64" operator="equal">
      <formula>0</formula>
    </cfRule>
    <cfRule type="cellIs" dxfId="2519" priority="65" operator="equal">
      <formula>7</formula>
    </cfRule>
    <cfRule type="cellIs" dxfId="2518" priority="66" operator="equal">
      <formula>5</formula>
    </cfRule>
    <cfRule type="cellIs" dxfId="2517" priority="60" operator="equal">
      <formula>2</formula>
    </cfRule>
  </conditionalFormatting>
  <conditionalFormatting sqref="Z142">
    <cfRule type="cellIs" dxfId="2516" priority="27" operator="equal">
      <formula>22</formula>
    </cfRule>
    <cfRule type="cellIs" dxfId="2515" priority="34" operator="equal">
      <formula>1</formula>
    </cfRule>
    <cfRule type="cellIs" dxfId="2514" priority="33" operator="equal">
      <formula>3</formula>
    </cfRule>
    <cfRule type="cellIs" dxfId="2513" priority="31" operator="equal">
      <formula>7</formula>
    </cfRule>
    <cfRule type="cellIs" dxfId="2512" priority="26" operator="equal">
      <formula>2</formula>
    </cfRule>
    <cfRule type="cellIs" dxfId="2511" priority="25" operator="equal">
      <formula>4</formula>
    </cfRule>
    <cfRule type="cellIs" dxfId="2510" priority="28" operator="equal">
      <formula>11</formula>
    </cfRule>
    <cfRule type="cellIs" dxfId="2509" priority="29" operator="equal">
      <formula>9</formula>
    </cfRule>
    <cfRule type="cellIs" dxfId="2508" priority="30" operator="equal">
      <formula>0</formula>
    </cfRule>
    <cfRule type="cellIs" dxfId="2507" priority="32" operator="equal">
      <formula>5</formula>
    </cfRule>
  </conditionalFormatting>
  <conditionalFormatting sqref="Z255:AA255 T255:U255 AC255">
    <cfRule type="cellIs" dxfId="2506" priority="16063" operator="equal">
      <formula>5</formula>
    </cfRule>
    <cfRule type="cellIs" dxfId="2505" priority="16058" operator="equal">
      <formula>22</formula>
    </cfRule>
    <cfRule type="cellIs" dxfId="2504" priority="16059" operator="equal">
      <formula>11</formula>
    </cfRule>
    <cfRule type="cellIs" dxfId="2503" priority="16060" operator="equal">
      <formula>9</formula>
    </cfRule>
    <cfRule type="cellIs" dxfId="2502" priority="16061" operator="equal">
      <formula>0</formula>
    </cfRule>
    <cfRule type="cellIs" dxfId="2501" priority="16056" operator="equal">
      <formula>4</formula>
    </cfRule>
    <cfRule type="cellIs" dxfId="2500" priority="16064" operator="equal">
      <formula>3</formula>
    </cfRule>
    <cfRule type="cellIs" dxfId="2499" priority="16062" operator="equal">
      <formula>7</formula>
    </cfRule>
    <cfRule type="cellIs" dxfId="2498" priority="16057" operator="equal">
      <formula>2</formula>
    </cfRule>
  </conditionalFormatting>
  <conditionalFormatting sqref="Z265:AA265">
    <cfRule type="cellIs" dxfId="2497" priority="4307" operator="equal">
      <formula>9</formula>
    </cfRule>
    <cfRule type="cellIs" dxfId="2496" priority="4306" operator="equal">
      <formula>11</formula>
    </cfRule>
    <cfRule type="cellIs" dxfId="2495" priority="4312" operator="equal">
      <formula>1</formula>
    </cfRule>
    <cfRule type="cellIs" dxfId="2494" priority="4305" operator="equal">
      <formula>22</formula>
    </cfRule>
    <cfRule type="cellIs" dxfId="2493" priority="4304" operator="equal">
      <formula>2</formula>
    </cfRule>
    <cfRule type="cellIs" dxfId="2492" priority="4303" operator="equal">
      <formula>4</formula>
    </cfRule>
    <cfRule type="cellIs" dxfId="2491" priority="4311" operator="equal">
      <formula>3</formula>
    </cfRule>
    <cfRule type="cellIs" dxfId="2490" priority="4308" operator="equal">
      <formula>0</formula>
    </cfRule>
    <cfRule type="cellIs" dxfId="2489" priority="4310" operator="equal">
      <formula>5</formula>
    </cfRule>
    <cfRule type="cellIs" dxfId="2488" priority="4309" operator="equal">
      <formula>7</formula>
    </cfRule>
  </conditionalFormatting>
  <conditionalFormatting sqref="Z266:AA266">
    <cfRule type="cellIs" dxfId="2487" priority="4341" operator="equal">
      <formula>11</formula>
    </cfRule>
    <cfRule type="cellIs" dxfId="2486" priority="4338" operator="equal">
      <formula>4</formula>
    </cfRule>
    <cfRule type="cellIs" dxfId="2485" priority="4339" operator="equal">
      <formula>2</formula>
    </cfRule>
    <cfRule type="cellIs" dxfId="2484" priority="4342" operator="equal">
      <formula>9</formula>
    </cfRule>
    <cfRule type="cellIs" dxfId="2483" priority="4343" operator="equal">
      <formula>0</formula>
    </cfRule>
    <cfRule type="cellIs" dxfId="2482" priority="4344" operator="equal">
      <formula>7</formula>
    </cfRule>
    <cfRule type="cellIs" dxfId="2481" priority="4346" operator="equal">
      <formula>3</formula>
    </cfRule>
    <cfRule type="cellIs" dxfId="2480" priority="4347" operator="equal">
      <formula>1</formula>
    </cfRule>
    <cfRule type="cellIs" dxfId="2479" priority="4340" operator="equal">
      <formula>22</formula>
    </cfRule>
    <cfRule type="cellIs" dxfId="2478" priority="4345" operator="equal">
      <formula>5</formula>
    </cfRule>
  </conditionalFormatting>
  <conditionalFormatting sqref="Z667:AA667">
    <cfRule type="cellIs" dxfId="2477" priority="59884" operator="equal">
      <formula>5</formula>
    </cfRule>
    <cfRule type="cellIs" dxfId="2476" priority="59885" operator="equal">
      <formula>3</formula>
    </cfRule>
    <cfRule type="cellIs" dxfId="2475" priority="59883" operator="equal">
      <formula>7</formula>
    </cfRule>
    <cfRule type="cellIs" dxfId="2474" priority="59882" operator="equal">
      <formula>0</formula>
    </cfRule>
    <cfRule type="cellIs" dxfId="2473" priority="59877" operator="equal">
      <formula>4</formula>
    </cfRule>
    <cfRule type="cellIs" dxfId="2472" priority="59878" operator="equal">
      <formula>2</formula>
    </cfRule>
    <cfRule type="cellIs" dxfId="2471" priority="59879" operator="equal">
      <formula>22</formula>
    </cfRule>
    <cfRule type="cellIs" dxfId="2470" priority="59880" operator="equal">
      <formula>11</formula>
    </cfRule>
    <cfRule type="cellIs" dxfId="2469" priority="59881" operator="equal">
      <formula>9</formula>
    </cfRule>
  </conditionalFormatting>
  <conditionalFormatting sqref="Z670:AA671">
    <cfRule type="cellIs" dxfId="2468" priority="59890" operator="equal">
      <formula>11</formula>
    </cfRule>
    <cfRule type="cellIs" dxfId="2467" priority="59889" operator="equal">
      <formula>22</formula>
    </cfRule>
    <cfRule type="cellIs" dxfId="2466" priority="59891" operator="equal">
      <formula>9</formula>
    </cfRule>
    <cfRule type="cellIs" dxfId="2465" priority="59894" operator="equal">
      <formula>5</formula>
    </cfRule>
    <cfRule type="cellIs" dxfId="2464" priority="59892" operator="equal">
      <formula>0</formula>
    </cfRule>
    <cfRule type="cellIs" dxfId="2463" priority="59888" operator="equal">
      <formula>2</formula>
    </cfRule>
    <cfRule type="cellIs" dxfId="2462" priority="59887" operator="equal">
      <formula>4</formula>
    </cfRule>
    <cfRule type="cellIs" dxfId="2461" priority="59893" operator="equal">
      <formula>7</formula>
    </cfRule>
    <cfRule type="cellIs" dxfId="2460" priority="59895" operator="equal">
      <formula>3</formula>
    </cfRule>
  </conditionalFormatting>
  <conditionalFormatting sqref="Z677:AA678">
    <cfRule type="cellIs" dxfId="2459" priority="59761" operator="equal">
      <formula>4</formula>
    </cfRule>
    <cfRule type="cellIs" dxfId="2458" priority="59769" operator="equal">
      <formula>3</formula>
    </cfRule>
    <cfRule type="cellIs" dxfId="2457" priority="59762" operator="equal">
      <formula>2</formula>
    </cfRule>
    <cfRule type="cellIs" dxfId="2456" priority="59763" operator="equal">
      <formula>22</formula>
    </cfRule>
    <cfRule type="cellIs" dxfId="2455" priority="59764" operator="equal">
      <formula>11</formula>
    </cfRule>
    <cfRule type="cellIs" dxfId="2454" priority="59765" operator="equal">
      <formula>9</formula>
    </cfRule>
    <cfRule type="cellIs" dxfId="2453" priority="59766" operator="equal">
      <formula>0</formula>
    </cfRule>
    <cfRule type="cellIs" dxfId="2452" priority="59767" operator="equal">
      <formula>7</formula>
    </cfRule>
    <cfRule type="cellIs" dxfId="2451" priority="59768" operator="equal">
      <formula>5</formula>
    </cfRule>
  </conditionalFormatting>
  <conditionalFormatting sqref="Z680:AA681">
    <cfRule type="cellIs" dxfId="2450" priority="59779" operator="equal">
      <formula>3</formula>
    </cfRule>
    <cfRule type="cellIs" dxfId="2449" priority="59778" operator="equal">
      <formula>5</formula>
    </cfRule>
    <cfRule type="cellIs" dxfId="2448" priority="59777" operator="equal">
      <formula>7</formula>
    </cfRule>
    <cfRule type="cellIs" dxfId="2447" priority="59776" operator="equal">
      <formula>0</formula>
    </cfRule>
    <cfRule type="cellIs" dxfId="2446" priority="59775" operator="equal">
      <formula>9</formula>
    </cfRule>
    <cfRule type="cellIs" dxfId="2445" priority="59774" operator="equal">
      <formula>11</formula>
    </cfRule>
    <cfRule type="cellIs" dxfId="2444" priority="59773" operator="equal">
      <formula>22</formula>
    </cfRule>
    <cfRule type="cellIs" dxfId="2443" priority="59772" operator="equal">
      <formula>2</formula>
    </cfRule>
    <cfRule type="cellIs" dxfId="2442" priority="59771" operator="equal">
      <formula>4</formula>
    </cfRule>
  </conditionalFormatting>
  <conditionalFormatting sqref="Z12:AC12 T12:U12">
    <cfRule type="cellIs" dxfId="2441" priority="129981" operator="equal">
      <formula>2</formula>
    </cfRule>
    <cfRule type="cellIs" dxfId="2440" priority="129988" operator="equal">
      <formula>3</formula>
    </cfRule>
    <cfRule type="cellIs" dxfId="2439" priority="129987" operator="equal">
      <formula>5</formula>
    </cfRule>
    <cfRule type="cellIs" dxfId="2438" priority="129986" operator="equal">
      <formula>7</formula>
    </cfRule>
    <cfRule type="cellIs" dxfId="2437" priority="129985" operator="equal">
      <formula>0</formula>
    </cfRule>
    <cfRule type="cellIs" dxfId="2436" priority="129984" operator="equal">
      <formula>9</formula>
    </cfRule>
    <cfRule type="cellIs" dxfId="2435" priority="129983" operator="equal">
      <formula>11</formula>
    </cfRule>
    <cfRule type="cellIs" dxfId="2434" priority="129982" operator="equal">
      <formula>22</formula>
    </cfRule>
    <cfRule type="cellIs" dxfId="2433" priority="129980" operator="equal">
      <formula>4</formula>
    </cfRule>
  </conditionalFormatting>
  <conditionalFormatting sqref="Z13:AC13 T13:U13">
    <cfRule type="cellIs" dxfId="2432" priority="1865" operator="equal">
      <formula>4</formula>
    </cfRule>
    <cfRule type="cellIs" dxfId="2431" priority="1872" operator="equal">
      <formula>5</formula>
    </cfRule>
    <cfRule type="cellIs" dxfId="2430" priority="1866" operator="equal">
      <formula>2</formula>
    </cfRule>
    <cfRule type="cellIs" dxfId="2429" priority="1867" operator="equal">
      <formula>22</formula>
    </cfRule>
    <cfRule type="cellIs" dxfId="2428" priority="1868" operator="equal">
      <formula>11</formula>
    </cfRule>
    <cfRule type="cellIs" dxfId="2427" priority="1869" operator="equal">
      <formula>9</formula>
    </cfRule>
    <cfRule type="cellIs" dxfId="2426" priority="1870" operator="equal">
      <formula>0</formula>
    </cfRule>
    <cfRule type="cellIs" dxfId="2425" priority="1874" operator="equal">
      <formula>1</formula>
    </cfRule>
    <cfRule type="cellIs" dxfId="2424" priority="1873" operator="equal">
      <formula>3</formula>
    </cfRule>
    <cfRule type="cellIs" dxfId="2423" priority="1871" operator="equal">
      <formula>7</formula>
    </cfRule>
  </conditionalFormatting>
  <conditionalFormatting sqref="Z14:AC16 T14:U16 T18:U18 Z18:AC18">
    <cfRule type="cellIs" dxfId="2422" priority="1845" operator="equal">
      <formula>9</formula>
    </cfRule>
    <cfRule type="cellIs" dxfId="2421" priority="1848" operator="equal">
      <formula>5</formula>
    </cfRule>
    <cfRule type="cellIs" dxfId="2420" priority="1847" operator="equal">
      <formula>7</formula>
    </cfRule>
    <cfRule type="cellIs" dxfId="2419" priority="1849" operator="equal">
      <formula>3</formula>
    </cfRule>
    <cfRule type="cellIs" dxfId="2418" priority="1850" operator="equal">
      <formula>1</formula>
    </cfRule>
    <cfRule type="cellIs" dxfId="2417" priority="1846" operator="equal">
      <formula>0</formula>
    </cfRule>
    <cfRule type="cellIs" dxfId="2416" priority="1841" operator="equal">
      <formula>4</formula>
    </cfRule>
    <cfRule type="cellIs" dxfId="2415" priority="1842" operator="equal">
      <formula>2</formula>
    </cfRule>
    <cfRule type="cellIs" dxfId="2414" priority="1843" operator="equal">
      <formula>22</formula>
    </cfRule>
    <cfRule type="cellIs" dxfId="2413" priority="1844" operator="equal">
      <formula>11</formula>
    </cfRule>
  </conditionalFormatting>
  <conditionalFormatting sqref="Z19:AC19 T19:U19">
    <cfRule type="cellIs" dxfId="2412" priority="7774" operator="equal">
      <formula>7</formula>
    </cfRule>
    <cfRule type="cellIs" dxfId="2411" priority="7769" operator="equal">
      <formula>2</formula>
    </cfRule>
    <cfRule type="cellIs" dxfId="2410" priority="7770" operator="equal">
      <formula>22</formula>
    </cfRule>
    <cfRule type="cellIs" dxfId="2409" priority="7776" operator="equal">
      <formula>3</formula>
    </cfRule>
    <cfRule type="cellIs" dxfId="2408" priority="7771" operator="equal">
      <formula>11</formula>
    </cfRule>
    <cfRule type="cellIs" dxfId="2407" priority="7772" operator="equal">
      <formula>9</formula>
    </cfRule>
    <cfRule type="cellIs" dxfId="2406" priority="7773" operator="equal">
      <formula>0</formula>
    </cfRule>
    <cfRule type="cellIs" dxfId="2405" priority="7768" operator="equal">
      <formula>4</formula>
    </cfRule>
    <cfRule type="cellIs" dxfId="2404" priority="7775" operator="equal">
      <formula>5</formula>
    </cfRule>
  </conditionalFormatting>
  <conditionalFormatting sqref="Z21:AC23 T21:U23 T25:U25 Z25:AC25">
    <cfRule type="cellIs" dxfId="2403" priority="1798" operator="equal">
      <formula>0</formula>
    </cfRule>
    <cfRule type="cellIs" dxfId="2402" priority="1797" operator="equal">
      <formula>9</formula>
    </cfRule>
    <cfRule type="cellIs" dxfId="2401" priority="1796" operator="equal">
      <formula>11</formula>
    </cfRule>
    <cfRule type="cellIs" dxfId="2400" priority="1795" operator="equal">
      <formula>22</formula>
    </cfRule>
    <cfRule type="cellIs" dxfId="2399" priority="1794" operator="equal">
      <formula>2</formula>
    </cfRule>
    <cfRule type="cellIs" dxfId="2398" priority="1799" operator="equal">
      <formula>7</formula>
    </cfRule>
    <cfRule type="cellIs" dxfId="2397" priority="1800" operator="equal">
      <formula>5</formula>
    </cfRule>
    <cfRule type="cellIs" dxfId="2396" priority="1801" operator="equal">
      <formula>3</formula>
    </cfRule>
    <cfRule type="cellIs" dxfId="2395" priority="1802" operator="equal">
      <formula>1</formula>
    </cfRule>
    <cfRule type="cellIs" dxfId="2394" priority="1793" operator="equal">
      <formula>4</formula>
    </cfRule>
  </conditionalFormatting>
  <conditionalFormatting sqref="Z26:AC27 T26:U27">
    <cfRule type="cellIs" dxfId="2393" priority="7560" operator="equal">
      <formula>3</formula>
    </cfRule>
    <cfRule type="cellIs" dxfId="2392" priority="7552" operator="equal">
      <formula>4</formula>
    </cfRule>
    <cfRule type="cellIs" dxfId="2391" priority="7553" operator="equal">
      <formula>2</formula>
    </cfRule>
    <cfRule type="cellIs" dxfId="2390" priority="7554" operator="equal">
      <formula>22</formula>
    </cfRule>
    <cfRule type="cellIs" dxfId="2389" priority="7558" operator="equal">
      <formula>7</formula>
    </cfRule>
    <cfRule type="cellIs" dxfId="2388" priority="7559" operator="equal">
      <formula>5</formula>
    </cfRule>
    <cfRule type="cellIs" dxfId="2387" priority="7555" operator="equal">
      <formula>11</formula>
    </cfRule>
    <cfRule type="cellIs" dxfId="2386" priority="7557" operator="equal">
      <formula>0</formula>
    </cfRule>
    <cfRule type="cellIs" dxfId="2385" priority="7556" operator="equal">
      <formula>9</formula>
    </cfRule>
  </conditionalFormatting>
  <conditionalFormatting sqref="Z28:AC30 T28:U30 T32:U32 Z32:AC32">
    <cfRule type="cellIs" dxfId="2384" priority="1745" operator="equal">
      <formula>4</formula>
    </cfRule>
    <cfRule type="cellIs" dxfId="2383" priority="1746" operator="equal">
      <formula>2</formula>
    </cfRule>
    <cfRule type="cellIs" dxfId="2382" priority="1747" operator="equal">
      <formula>22</formula>
    </cfRule>
    <cfRule type="cellIs" dxfId="2381" priority="1748" operator="equal">
      <formula>11</formula>
    </cfRule>
    <cfRule type="cellIs" dxfId="2380" priority="1749" operator="equal">
      <formula>9</formula>
    </cfRule>
    <cfRule type="cellIs" dxfId="2379" priority="1753" operator="equal">
      <formula>3</formula>
    </cfRule>
    <cfRule type="cellIs" dxfId="2378" priority="1750" operator="equal">
      <formula>0</formula>
    </cfRule>
    <cfRule type="cellIs" dxfId="2377" priority="1754" operator="equal">
      <formula>1</formula>
    </cfRule>
    <cfRule type="cellIs" dxfId="2376" priority="1751" operator="equal">
      <formula>7</formula>
    </cfRule>
    <cfRule type="cellIs" dxfId="2375" priority="1752" operator="equal">
      <formula>5</formula>
    </cfRule>
  </conditionalFormatting>
  <conditionalFormatting sqref="Z33:AC33 T33:U33">
    <cfRule type="cellIs" dxfId="2374" priority="7512" operator="equal">
      <formula>3</formula>
    </cfRule>
    <cfRule type="cellIs" dxfId="2373" priority="7505" operator="equal">
      <formula>2</formula>
    </cfRule>
    <cfRule type="cellIs" dxfId="2372" priority="7506" operator="equal">
      <formula>22</formula>
    </cfRule>
    <cfRule type="cellIs" dxfId="2371" priority="7507" operator="equal">
      <formula>11</formula>
    </cfRule>
    <cfRule type="cellIs" dxfId="2370" priority="7508" operator="equal">
      <formula>9</formula>
    </cfRule>
    <cfRule type="cellIs" dxfId="2369" priority="7509" operator="equal">
      <formula>0</formula>
    </cfRule>
    <cfRule type="cellIs" dxfId="2368" priority="7510" operator="equal">
      <formula>7</formula>
    </cfRule>
    <cfRule type="cellIs" dxfId="2367" priority="7511" operator="equal">
      <formula>5</formula>
    </cfRule>
    <cfRule type="cellIs" dxfId="2366" priority="7504" operator="equal">
      <formula>4</formula>
    </cfRule>
  </conditionalFormatting>
  <conditionalFormatting sqref="Z34:AC36 T34:U36 T38:U38 Z38:AC38">
    <cfRule type="cellIs" dxfId="2365" priority="1705" operator="equal">
      <formula>3</formula>
    </cfRule>
    <cfRule type="cellIs" dxfId="2364" priority="1706" operator="equal">
      <formula>1</formula>
    </cfRule>
    <cfRule type="cellIs" dxfId="2363" priority="1701" operator="equal">
      <formula>9</formula>
    </cfRule>
    <cfRule type="cellIs" dxfId="2362" priority="1700" operator="equal">
      <formula>11</formula>
    </cfRule>
    <cfRule type="cellIs" dxfId="2361" priority="1699" operator="equal">
      <formula>22</formula>
    </cfRule>
    <cfRule type="cellIs" dxfId="2360" priority="1698" operator="equal">
      <formula>2</formula>
    </cfRule>
    <cfRule type="cellIs" dxfId="2359" priority="1697" operator="equal">
      <formula>4</formula>
    </cfRule>
    <cfRule type="cellIs" dxfId="2358" priority="1704" operator="equal">
      <formula>5</formula>
    </cfRule>
    <cfRule type="cellIs" dxfId="2357" priority="1703" operator="equal">
      <formula>7</formula>
    </cfRule>
    <cfRule type="cellIs" dxfId="2356" priority="1702" operator="equal">
      <formula>0</formula>
    </cfRule>
  </conditionalFormatting>
  <conditionalFormatting sqref="Z39:AC39 T39:U39">
    <cfRule type="cellIs" dxfId="2355" priority="7241" operator="equal">
      <formula>2</formula>
    </cfRule>
    <cfRule type="cellIs" dxfId="2354" priority="7243" operator="equal">
      <formula>11</formula>
    </cfRule>
    <cfRule type="cellIs" dxfId="2353" priority="7240" operator="equal">
      <formula>4</formula>
    </cfRule>
    <cfRule type="cellIs" dxfId="2352" priority="7246" operator="equal">
      <formula>7</formula>
    </cfRule>
    <cfRule type="cellIs" dxfId="2351" priority="7242" operator="equal">
      <formula>22</formula>
    </cfRule>
    <cfRule type="cellIs" dxfId="2350" priority="7247" operator="equal">
      <formula>5</formula>
    </cfRule>
    <cfRule type="cellIs" dxfId="2349" priority="7244" operator="equal">
      <formula>9</formula>
    </cfRule>
    <cfRule type="cellIs" dxfId="2348" priority="7245" operator="equal">
      <formula>0</formula>
    </cfRule>
    <cfRule type="cellIs" dxfId="2347" priority="7248" operator="equal">
      <formula>3</formula>
    </cfRule>
  </conditionalFormatting>
  <conditionalFormatting sqref="Z41:AC41 T41:U41">
    <cfRule type="cellIs" dxfId="2346" priority="7219" operator="equal">
      <formula>11</formula>
    </cfRule>
    <cfRule type="cellIs" dxfId="2345" priority="7223" operator="equal">
      <formula>5</formula>
    </cfRule>
    <cfRule type="cellIs" dxfId="2344" priority="7222" operator="equal">
      <formula>7</formula>
    </cfRule>
    <cfRule type="cellIs" dxfId="2343" priority="7224" operator="equal">
      <formula>3</formula>
    </cfRule>
    <cfRule type="cellIs" dxfId="2342" priority="7216" operator="equal">
      <formula>4</formula>
    </cfRule>
    <cfRule type="cellIs" dxfId="2341" priority="7220" operator="equal">
      <formula>9</formula>
    </cfRule>
    <cfRule type="cellIs" dxfId="2340" priority="7218" operator="equal">
      <formula>22</formula>
    </cfRule>
    <cfRule type="cellIs" dxfId="2339" priority="7217" operator="equal">
      <formula>2</formula>
    </cfRule>
    <cfRule type="cellIs" dxfId="2338" priority="7221" operator="equal">
      <formula>0</formula>
    </cfRule>
  </conditionalFormatting>
  <conditionalFormatting sqref="Z42:AC43 T42:U43">
    <cfRule type="cellIs" dxfId="2337" priority="1609" operator="equal">
      <formula>1</formula>
    </cfRule>
    <cfRule type="cellIs" dxfId="2336" priority="1608" operator="equal">
      <formula>3</formula>
    </cfRule>
    <cfRule type="cellIs" dxfId="2335" priority="1606" operator="equal">
      <formula>7</formula>
    </cfRule>
    <cfRule type="cellIs" dxfId="2334" priority="1600" operator="equal">
      <formula>4</formula>
    </cfRule>
    <cfRule type="cellIs" dxfId="2333" priority="1601" operator="equal">
      <formula>2</formula>
    </cfRule>
    <cfRule type="cellIs" dxfId="2332" priority="1605" operator="equal">
      <formula>0</formula>
    </cfRule>
    <cfRule type="cellIs" dxfId="2331" priority="1604" operator="equal">
      <formula>9</formula>
    </cfRule>
    <cfRule type="cellIs" dxfId="2330" priority="1607" operator="equal">
      <formula>5</formula>
    </cfRule>
    <cfRule type="cellIs" dxfId="2329" priority="1602" operator="equal">
      <formula>22</formula>
    </cfRule>
    <cfRule type="cellIs" dxfId="2328" priority="1603" operator="equal">
      <formula>11</formula>
    </cfRule>
  </conditionalFormatting>
  <conditionalFormatting sqref="Z44:AC44 T44:U44">
    <cfRule type="cellIs" dxfId="2327" priority="15153" operator="equal">
      <formula>7</formula>
    </cfRule>
    <cfRule type="cellIs" dxfId="2326" priority="15154" operator="equal">
      <formula>5</formula>
    </cfRule>
    <cfRule type="cellIs" dxfId="2325" priority="15155" operator="equal">
      <formula>3</formula>
    </cfRule>
    <cfRule type="cellIs" dxfId="2324" priority="15152" operator="equal">
      <formula>0</formula>
    </cfRule>
    <cfRule type="cellIs" dxfId="2323" priority="15151" operator="equal">
      <formula>9</formula>
    </cfRule>
    <cfRule type="cellIs" dxfId="2322" priority="15149" operator="equal">
      <formula>22</formula>
    </cfRule>
    <cfRule type="cellIs" dxfId="2321" priority="15148" operator="equal">
      <formula>2</formula>
    </cfRule>
    <cfRule type="cellIs" dxfId="2320" priority="15147" operator="equal">
      <formula>4</formula>
    </cfRule>
    <cfRule type="cellIs" dxfId="2319" priority="15150" operator="equal">
      <formula>11</formula>
    </cfRule>
  </conditionalFormatting>
  <conditionalFormatting sqref="Z45:AC45 T45:U45">
    <cfRule type="cellIs" dxfId="2318" priority="1585" operator="equal">
      <formula>1</formula>
    </cfRule>
    <cfRule type="cellIs" dxfId="2317" priority="1581" operator="equal">
      <formula>0</formula>
    </cfRule>
    <cfRule type="cellIs" dxfId="2316" priority="1584" operator="equal">
      <formula>3</formula>
    </cfRule>
    <cfRule type="cellIs" dxfId="2315" priority="1578" operator="equal">
      <formula>22</formula>
    </cfRule>
    <cfRule type="cellIs" dxfId="2314" priority="1579" operator="equal">
      <formula>11</formula>
    </cfRule>
    <cfRule type="cellIs" dxfId="2313" priority="1576" operator="equal">
      <formula>4</formula>
    </cfRule>
    <cfRule type="cellIs" dxfId="2312" priority="1580" operator="equal">
      <formula>9</formula>
    </cfRule>
    <cfRule type="cellIs" dxfId="2311" priority="1577" operator="equal">
      <formula>2</formula>
    </cfRule>
    <cfRule type="cellIs" dxfId="2310" priority="1582" operator="equal">
      <formula>7</formula>
    </cfRule>
    <cfRule type="cellIs" dxfId="2309" priority="1583" operator="equal">
      <formula>5</formula>
    </cfRule>
  </conditionalFormatting>
  <conditionalFormatting sqref="Z47:AC48 T47:U48">
    <cfRule type="cellIs" dxfId="2308" priority="7126" operator="equal">
      <formula>5</formula>
    </cfRule>
    <cfRule type="cellIs" dxfId="2307" priority="7125" operator="equal">
      <formula>7</formula>
    </cfRule>
    <cfRule type="cellIs" dxfId="2306" priority="7124" operator="equal">
      <formula>0</formula>
    </cfRule>
    <cfRule type="cellIs" dxfId="2305" priority="7123" operator="equal">
      <formula>9</formula>
    </cfRule>
    <cfRule type="cellIs" dxfId="2304" priority="7122" operator="equal">
      <formula>11</formula>
    </cfRule>
    <cfRule type="cellIs" dxfId="2303" priority="7127" operator="equal">
      <formula>3</formula>
    </cfRule>
    <cfRule type="cellIs" dxfId="2302" priority="7119" operator="equal">
      <formula>4</formula>
    </cfRule>
    <cfRule type="cellIs" dxfId="2301" priority="7121" operator="equal">
      <formula>22</formula>
    </cfRule>
    <cfRule type="cellIs" dxfId="2300" priority="7120" operator="equal">
      <formula>2</formula>
    </cfRule>
  </conditionalFormatting>
  <conditionalFormatting sqref="Z49:AC49 T49:U49">
    <cfRule type="cellIs" dxfId="2299" priority="1522" operator="equal">
      <formula>9</formula>
    </cfRule>
    <cfRule type="cellIs" dxfId="2298" priority="1523" operator="equal">
      <formula>0</formula>
    </cfRule>
    <cfRule type="cellIs" dxfId="2297" priority="1524" operator="equal">
      <formula>7</formula>
    </cfRule>
    <cfRule type="cellIs" dxfId="2296" priority="1520" operator="equal">
      <formula>22</formula>
    </cfRule>
    <cfRule type="cellIs" dxfId="2295" priority="1519" operator="equal">
      <formula>2</formula>
    </cfRule>
    <cfRule type="cellIs" dxfId="2294" priority="1518" operator="equal">
      <formula>4</formula>
    </cfRule>
    <cfRule type="cellIs" dxfId="2293" priority="1521" operator="equal">
      <formula>11</formula>
    </cfRule>
    <cfRule type="cellIs" dxfId="2292" priority="1525" operator="equal">
      <formula>5</formula>
    </cfRule>
    <cfRule type="cellIs" dxfId="2291" priority="1526" operator="equal">
      <formula>3</formula>
    </cfRule>
    <cfRule type="cellIs" dxfId="2290" priority="1527" operator="equal">
      <formula>1</formula>
    </cfRule>
  </conditionalFormatting>
  <conditionalFormatting sqref="Z52:AC52 T52:U52">
    <cfRule type="cellIs" dxfId="2289" priority="1439" operator="equal">
      <formula>22</formula>
    </cfRule>
    <cfRule type="cellIs" dxfId="2288" priority="1445" operator="equal">
      <formula>3</formula>
    </cfRule>
    <cfRule type="cellIs" dxfId="2287" priority="1440" operator="equal">
      <formula>11</formula>
    </cfRule>
    <cfRule type="cellIs" dxfId="2286" priority="1446" operator="equal">
      <formula>1</formula>
    </cfRule>
    <cfRule type="cellIs" dxfId="2285" priority="1438" operator="equal">
      <formula>2</formula>
    </cfRule>
    <cfRule type="cellIs" dxfId="2284" priority="1441" operator="equal">
      <formula>9</formula>
    </cfRule>
    <cfRule type="cellIs" dxfId="2283" priority="1442" operator="equal">
      <formula>0</formula>
    </cfRule>
    <cfRule type="cellIs" dxfId="2282" priority="1443" operator="equal">
      <formula>7</formula>
    </cfRule>
    <cfRule type="cellIs" dxfId="2281" priority="1444" operator="equal">
      <formula>5</formula>
    </cfRule>
    <cfRule type="cellIs" dxfId="2280" priority="1437" operator="equal">
      <formula>4</formula>
    </cfRule>
  </conditionalFormatting>
  <conditionalFormatting sqref="Z53:AC53 T53:U53">
    <cfRule type="cellIs" dxfId="2279" priority="1349" operator="equal">
      <formula>1</formula>
    </cfRule>
    <cfRule type="cellIs" dxfId="2278" priority="1342" operator="equal">
      <formula>22</formula>
    </cfRule>
    <cfRule type="cellIs" dxfId="2277" priority="1341" operator="equal">
      <formula>2</formula>
    </cfRule>
    <cfRule type="cellIs" dxfId="2276" priority="1340" operator="equal">
      <formula>4</formula>
    </cfRule>
    <cfRule type="cellIs" dxfId="2275" priority="1348" operator="equal">
      <formula>3</formula>
    </cfRule>
    <cfRule type="cellIs" dxfId="2274" priority="1347" operator="equal">
      <formula>5</formula>
    </cfRule>
    <cfRule type="cellIs" dxfId="2273" priority="1346" operator="equal">
      <formula>7</formula>
    </cfRule>
    <cfRule type="cellIs" dxfId="2272" priority="1343" operator="equal">
      <formula>11</formula>
    </cfRule>
    <cfRule type="cellIs" dxfId="2271" priority="1345" operator="equal">
      <formula>0</formula>
    </cfRule>
    <cfRule type="cellIs" dxfId="2270" priority="1344" operator="equal">
      <formula>9</formula>
    </cfRule>
  </conditionalFormatting>
  <conditionalFormatting sqref="Z57:AC57 T57:U57">
    <cfRule type="cellIs" dxfId="2269" priority="1276" operator="equal">
      <formula>1</formula>
    </cfRule>
    <cfRule type="cellIs" dxfId="2268" priority="1274" operator="equal">
      <formula>5</formula>
    </cfRule>
    <cfRule type="cellIs" dxfId="2267" priority="1273" operator="equal">
      <formula>7</formula>
    </cfRule>
    <cfRule type="cellIs" dxfId="2266" priority="1272" operator="equal">
      <formula>0</formula>
    </cfRule>
    <cfRule type="cellIs" dxfId="2265" priority="1271" operator="equal">
      <formula>9</formula>
    </cfRule>
    <cfRule type="cellIs" dxfId="2264" priority="1270" operator="equal">
      <formula>11</formula>
    </cfRule>
    <cfRule type="cellIs" dxfId="2263" priority="1269" operator="equal">
      <formula>22</formula>
    </cfRule>
    <cfRule type="cellIs" dxfId="2262" priority="1268" operator="equal">
      <formula>2</formula>
    </cfRule>
    <cfRule type="cellIs" dxfId="2261" priority="1267" operator="equal">
      <formula>4</formula>
    </cfRule>
    <cfRule type="cellIs" dxfId="2260" priority="1275" operator="equal">
      <formula>3</formula>
    </cfRule>
  </conditionalFormatting>
  <conditionalFormatting sqref="Z60:AC60 T60:U60">
    <cfRule type="cellIs" dxfId="2259" priority="1250" operator="equal">
      <formula>5</formula>
    </cfRule>
    <cfRule type="cellIs" dxfId="2258" priority="1252" operator="equal">
      <formula>1</formula>
    </cfRule>
    <cfRule type="cellIs" dxfId="2257" priority="1249" operator="equal">
      <formula>7</formula>
    </cfRule>
    <cfRule type="cellIs" dxfId="2256" priority="1248" operator="equal">
      <formula>0</formula>
    </cfRule>
    <cfRule type="cellIs" dxfId="2255" priority="1247" operator="equal">
      <formula>9</formula>
    </cfRule>
    <cfRule type="cellIs" dxfId="2254" priority="1246" operator="equal">
      <formula>11</formula>
    </cfRule>
    <cfRule type="cellIs" dxfId="2253" priority="1245" operator="equal">
      <formula>22</formula>
    </cfRule>
    <cfRule type="cellIs" dxfId="2252" priority="1244" operator="equal">
      <formula>2</formula>
    </cfRule>
    <cfRule type="cellIs" dxfId="2251" priority="1243" operator="equal">
      <formula>4</formula>
    </cfRule>
    <cfRule type="cellIs" dxfId="2250" priority="1251" operator="equal">
      <formula>3</formula>
    </cfRule>
  </conditionalFormatting>
  <conditionalFormatting sqref="Z61:AC61 T61:U61">
    <cfRule type="cellIs" dxfId="2249" priority="1178" operator="equal">
      <formula>3</formula>
    </cfRule>
    <cfRule type="cellIs" dxfId="2248" priority="1170" operator="equal">
      <formula>4</formula>
    </cfRule>
    <cfRule type="cellIs" dxfId="2247" priority="1177" operator="equal">
      <formula>5</formula>
    </cfRule>
    <cfRule type="cellIs" dxfId="2246" priority="1176" operator="equal">
      <formula>7</formula>
    </cfRule>
    <cfRule type="cellIs" dxfId="2245" priority="1175" operator="equal">
      <formula>0</formula>
    </cfRule>
    <cfRule type="cellIs" dxfId="2244" priority="1174" operator="equal">
      <formula>9</formula>
    </cfRule>
    <cfRule type="cellIs" dxfId="2243" priority="1173" operator="equal">
      <formula>11</formula>
    </cfRule>
    <cfRule type="cellIs" dxfId="2242" priority="1172" operator="equal">
      <formula>22</formula>
    </cfRule>
    <cfRule type="cellIs" dxfId="2241" priority="1171" operator="equal">
      <formula>2</formula>
    </cfRule>
    <cfRule type="cellIs" dxfId="2240" priority="1179" operator="equal">
      <formula>1</formula>
    </cfRule>
  </conditionalFormatting>
  <conditionalFormatting sqref="Z64:AC64 T64:U64">
    <cfRule type="cellIs" dxfId="2239" priority="6958" operator="equal">
      <formula>3</formula>
    </cfRule>
    <cfRule type="cellIs" dxfId="2238" priority="6957" operator="equal">
      <formula>5</formula>
    </cfRule>
    <cfRule type="cellIs" dxfId="2237" priority="6956" operator="equal">
      <formula>7</formula>
    </cfRule>
    <cfRule type="cellIs" dxfId="2236" priority="6955" operator="equal">
      <formula>0</formula>
    </cfRule>
    <cfRule type="cellIs" dxfId="2235" priority="6954" operator="equal">
      <formula>9</formula>
    </cfRule>
    <cfRule type="cellIs" dxfId="2234" priority="6953" operator="equal">
      <formula>11</formula>
    </cfRule>
    <cfRule type="cellIs" dxfId="2233" priority="6952" operator="equal">
      <formula>22</formula>
    </cfRule>
    <cfRule type="cellIs" dxfId="2232" priority="6951" operator="equal">
      <formula>2</formula>
    </cfRule>
    <cfRule type="cellIs" dxfId="2231" priority="6950" operator="equal">
      <formula>4</formula>
    </cfRule>
  </conditionalFormatting>
  <conditionalFormatting sqref="Z66:AC66 T66:U66">
    <cfRule type="cellIs" dxfId="2230" priority="1105" operator="equal">
      <formula>3</formula>
    </cfRule>
    <cfRule type="cellIs" dxfId="2229" priority="1104" operator="equal">
      <formula>5</formula>
    </cfRule>
    <cfRule type="cellIs" dxfId="2228" priority="1097" operator="equal">
      <formula>4</formula>
    </cfRule>
    <cfRule type="cellIs" dxfId="2227" priority="1098" operator="equal">
      <formula>2</formula>
    </cfRule>
    <cfRule type="cellIs" dxfId="2226" priority="1099" operator="equal">
      <formula>22</formula>
    </cfRule>
    <cfRule type="cellIs" dxfId="2225" priority="1100" operator="equal">
      <formula>11</formula>
    </cfRule>
    <cfRule type="cellIs" dxfId="2224" priority="1101" operator="equal">
      <formula>9</formula>
    </cfRule>
    <cfRule type="cellIs" dxfId="2223" priority="1102" operator="equal">
      <formula>0</formula>
    </cfRule>
    <cfRule type="cellIs" dxfId="2222" priority="1106" operator="equal">
      <formula>1</formula>
    </cfRule>
    <cfRule type="cellIs" dxfId="2221" priority="1103" operator="equal">
      <formula>7</formula>
    </cfRule>
  </conditionalFormatting>
  <conditionalFormatting sqref="Z70:AC71 T70:U71">
    <cfRule type="cellIs" dxfId="2220" priority="6806" operator="equal">
      <formula>4</formula>
    </cfRule>
    <cfRule type="cellIs" dxfId="2219" priority="6808" operator="equal">
      <formula>22</formula>
    </cfRule>
    <cfRule type="cellIs" dxfId="2218" priority="6809" operator="equal">
      <formula>11</formula>
    </cfRule>
    <cfRule type="cellIs" dxfId="2217" priority="6810" operator="equal">
      <formula>9</formula>
    </cfRule>
    <cfRule type="cellIs" dxfId="2216" priority="6811" operator="equal">
      <formula>0</formula>
    </cfRule>
    <cfRule type="cellIs" dxfId="2215" priority="6812" operator="equal">
      <formula>7</formula>
    </cfRule>
    <cfRule type="cellIs" dxfId="2214" priority="6813" operator="equal">
      <formula>5</formula>
    </cfRule>
    <cfRule type="cellIs" dxfId="2213" priority="6814" operator="equal">
      <formula>3</formula>
    </cfRule>
    <cfRule type="cellIs" dxfId="2212" priority="6807" operator="equal">
      <formula>2</formula>
    </cfRule>
  </conditionalFormatting>
  <conditionalFormatting sqref="Z72:AC72 T72:U72">
    <cfRule type="cellIs" dxfId="2211" priority="1039" operator="equal">
      <formula>4</formula>
    </cfRule>
    <cfRule type="cellIs" dxfId="2210" priority="1046" operator="equal">
      <formula>5</formula>
    </cfRule>
    <cfRule type="cellIs" dxfId="2209" priority="1045" operator="equal">
      <formula>7</formula>
    </cfRule>
    <cfRule type="cellIs" dxfId="2208" priority="1044" operator="equal">
      <formula>0</formula>
    </cfRule>
    <cfRule type="cellIs" dxfId="2207" priority="1043" operator="equal">
      <formula>9</formula>
    </cfRule>
    <cfRule type="cellIs" dxfId="2206" priority="1042" operator="equal">
      <formula>11</formula>
    </cfRule>
    <cfRule type="cellIs" dxfId="2205" priority="1048" operator="equal">
      <formula>1</formula>
    </cfRule>
    <cfRule type="cellIs" dxfId="2204" priority="1040" operator="equal">
      <formula>2</formula>
    </cfRule>
    <cfRule type="cellIs" dxfId="2203" priority="1041" operator="equal">
      <formula>22</formula>
    </cfRule>
    <cfRule type="cellIs" dxfId="2202" priority="1047" operator="equal">
      <formula>3</formula>
    </cfRule>
  </conditionalFormatting>
  <conditionalFormatting sqref="Z75:AC75 T75:U75">
    <cfRule type="cellIs" dxfId="2201" priority="6760" operator="equal">
      <formula>22</formula>
    </cfRule>
    <cfRule type="cellIs" dxfId="2200" priority="6762" operator="equal">
      <formula>9</formula>
    </cfRule>
    <cfRule type="cellIs" dxfId="2199" priority="6763" operator="equal">
      <formula>0</formula>
    </cfRule>
    <cfRule type="cellIs" dxfId="2198" priority="6764" operator="equal">
      <formula>7</formula>
    </cfRule>
    <cfRule type="cellIs" dxfId="2197" priority="6765" operator="equal">
      <formula>5</formula>
    </cfRule>
    <cfRule type="cellIs" dxfId="2196" priority="6766" operator="equal">
      <formula>3</formula>
    </cfRule>
    <cfRule type="cellIs" dxfId="2195" priority="6759" operator="equal">
      <formula>2</formula>
    </cfRule>
    <cfRule type="cellIs" dxfId="2194" priority="6758" operator="equal">
      <formula>4</formula>
    </cfRule>
    <cfRule type="cellIs" dxfId="2193" priority="6761" operator="equal">
      <formula>11</formula>
    </cfRule>
  </conditionalFormatting>
  <conditionalFormatting sqref="Z77:AC77 T77:U77">
    <cfRule type="cellIs" dxfId="2192" priority="6740" operator="equal">
      <formula>0</formula>
    </cfRule>
    <cfRule type="cellIs" dxfId="2191" priority="6739" operator="equal">
      <formula>9</formula>
    </cfRule>
    <cfRule type="cellIs" dxfId="2190" priority="6738" operator="equal">
      <formula>11</formula>
    </cfRule>
    <cfRule type="cellIs" dxfId="2189" priority="6743" operator="equal">
      <formula>3</formula>
    </cfRule>
    <cfRule type="cellIs" dxfId="2188" priority="6741" operator="equal">
      <formula>7</formula>
    </cfRule>
    <cfRule type="cellIs" dxfId="2187" priority="6742" operator="equal">
      <formula>5</formula>
    </cfRule>
    <cfRule type="cellIs" dxfId="2186" priority="6737" operator="equal">
      <formula>22</formula>
    </cfRule>
    <cfRule type="cellIs" dxfId="2185" priority="6735" operator="equal">
      <formula>4</formula>
    </cfRule>
    <cfRule type="cellIs" dxfId="2184" priority="6736" operator="equal">
      <formula>2</formula>
    </cfRule>
  </conditionalFormatting>
  <conditionalFormatting sqref="Z78:AC81 T78:U81">
    <cfRule type="cellIs" dxfId="2183" priority="968" operator="equal">
      <formula>0</formula>
    </cfRule>
    <cfRule type="cellIs" dxfId="2182" priority="967" operator="equal">
      <formula>9</formula>
    </cfRule>
    <cfRule type="cellIs" dxfId="2181" priority="966" operator="equal">
      <formula>11</formula>
    </cfRule>
    <cfRule type="cellIs" dxfId="2180" priority="969" operator="equal">
      <formula>7</formula>
    </cfRule>
    <cfRule type="cellIs" dxfId="2179" priority="972" operator="equal">
      <formula>1</formula>
    </cfRule>
    <cfRule type="cellIs" dxfId="2178" priority="971" operator="equal">
      <formula>3</formula>
    </cfRule>
    <cfRule type="cellIs" dxfId="2177" priority="965" operator="equal">
      <formula>22</formula>
    </cfRule>
    <cfRule type="cellIs" dxfId="2176" priority="964" operator="equal">
      <formula>2</formula>
    </cfRule>
    <cfRule type="cellIs" dxfId="2175" priority="963" operator="equal">
      <formula>4</formula>
    </cfRule>
    <cfRule type="cellIs" dxfId="2174" priority="970" operator="equal">
      <formula>5</formula>
    </cfRule>
  </conditionalFormatting>
  <conditionalFormatting sqref="Z82:AC82 T82:U82">
    <cfRule type="cellIs" dxfId="2173" priority="6691" operator="equal">
      <formula>0</formula>
    </cfRule>
    <cfRule type="cellIs" dxfId="2172" priority="6686" operator="equal">
      <formula>4</formula>
    </cfRule>
    <cfRule type="cellIs" dxfId="2171" priority="6688" operator="equal">
      <formula>22</formula>
    </cfRule>
    <cfRule type="cellIs" dxfId="2170" priority="6687" operator="equal">
      <formula>2</formula>
    </cfRule>
    <cfRule type="cellIs" dxfId="2169" priority="6689" operator="equal">
      <formula>11</formula>
    </cfRule>
    <cfRule type="cellIs" dxfId="2168" priority="6690" operator="equal">
      <formula>9</formula>
    </cfRule>
    <cfRule type="cellIs" dxfId="2167" priority="6692" operator="equal">
      <formula>7</formula>
    </cfRule>
    <cfRule type="cellIs" dxfId="2166" priority="6694" operator="equal">
      <formula>3</formula>
    </cfRule>
    <cfRule type="cellIs" dxfId="2165" priority="6693" operator="equal">
      <formula>5</formula>
    </cfRule>
  </conditionalFormatting>
  <conditionalFormatting sqref="Z86:AC86 T86:U86">
    <cfRule type="cellIs" dxfId="2164" priority="6669" operator="equal">
      <formula>5</formula>
    </cfRule>
    <cfRule type="cellIs" dxfId="2163" priority="6663" operator="equal">
      <formula>2</formula>
    </cfRule>
    <cfRule type="cellIs" dxfId="2162" priority="6670" operator="equal">
      <formula>3</formula>
    </cfRule>
    <cfRule type="cellIs" dxfId="2161" priority="6668" operator="equal">
      <formula>7</formula>
    </cfRule>
    <cfRule type="cellIs" dxfId="2160" priority="6667" operator="equal">
      <formula>0</formula>
    </cfRule>
    <cfRule type="cellIs" dxfId="2159" priority="6666" operator="equal">
      <formula>9</formula>
    </cfRule>
    <cfRule type="cellIs" dxfId="2158" priority="6665" operator="equal">
      <formula>11</formula>
    </cfRule>
    <cfRule type="cellIs" dxfId="2157" priority="6664" operator="equal">
      <formula>22</formula>
    </cfRule>
    <cfRule type="cellIs" dxfId="2156" priority="6662" operator="equal">
      <formula>4</formula>
    </cfRule>
  </conditionalFormatting>
  <conditionalFormatting sqref="Z87:AC87 T87:U87">
    <cfRule type="cellIs" dxfId="2155" priority="923" operator="equal">
      <formula>3</formula>
    </cfRule>
    <cfRule type="cellIs" dxfId="2154" priority="919" operator="equal">
      <formula>9</formula>
    </cfRule>
    <cfRule type="cellIs" dxfId="2153" priority="922" operator="equal">
      <formula>5</formula>
    </cfRule>
    <cfRule type="cellIs" dxfId="2152" priority="921" operator="equal">
      <formula>7</formula>
    </cfRule>
    <cfRule type="cellIs" dxfId="2151" priority="920" operator="equal">
      <formula>0</formula>
    </cfRule>
    <cfRule type="cellIs" dxfId="2150" priority="916" operator="equal">
      <formula>2</formula>
    </cfRule>
    <cfRule type="cellIs" dxfId="2149" priority="924" operator="equal">
      <formula>1</formula>
    </cfRule>
    <cfRule type="cellIs" dxfId="2148" priority="917" operator="equal">
      <formula>22</formula>
    </cfRule>
    <cfRule type="cellIs" dxfId="2147" priority="918" operator="equal">
      <formula>11</formula>
    </cfRule>
    <cfRule type="cellIs" dxfId="2146" priority="915" operator="equal">
      <formula>4</formula>
    </cfRule>
  </conditionalFormatting>
  <conditionalFormatting sqref="Z88:AC88 T88:U88">
    <cfRule type="cellIs" dxfId="2145" priority="891" operator="equal">
      <formula>4</formula>
    </cfRule>
    <cfRule type="cellIs" dxfId="2144" priority="894" operator="equal">
      <formula>11</formula>
    </cfRule>
    <cfRule type="cellIs" dxfId="2143" priority="892" operator="equal">
      <formula>2</formula>
    </cfRule>
    <cfRule type="cellIs" dxfId="2142" priority="893" operator="equal">
      <formula>22</formula>
    </cfRule>
    <cfRule type="cellIs" dxfId="2141" priority="895" operator="equal">
      <formula>9</formula>
    </cfRule>
    <cfRule type="cellIs" dxfId="2140" priority="896" operator="equal">
      <formula>0</formula>
    </cfRule>
    <cfRule type="cellIs" dxfId="2139" priority="897" operator="equal">
      <formula>7</formula>
    </cfRule>
    <cfRule type="cellIs" dxfId="2138" priority="898" operator="equal">
      <formula>5</formula>
    </cfRule>
    <cfRule type="cellIs" dxfId="2137" priority="899" operator="equal">
      <formula>3</formula>
    </cfRule>
    <cfRule type="cellIs" dxfId="2136" priority="900" operator="equal">
      <formula>1</formula>
    </cfRule>
  </conditionalFormatting>
  <conditionalFormatting sqref="Z93:AC93 T93:U93">
    <cfRule type="cellIs" dxfId="2135" priority="6598" operator="equal">
      <formula>3</formula>
    </cfRule>
    <cfRule type="cellIs" dxfId="2134" priority="6597" operator="equal">
      <formula>5</formula>
    </cfRule>
    <cfRule type="cellIs" dxfId="2133" priority="6596" operator="equal">
      <formula>7</formula>
    </cfRule>
    <cfRule type="cellIs" dxfId="2132" priority="6595" operator="equal">
      <formula>0</formula>
    </cfRule>
    <cfRule type="cellIs" dxfId="2131" priority="6594" operator="equal">
      <formula>9</formula>
    </cfRule>
    <cfRule type="cellIs" dxfId="2130" priority="6593" operator="equal">
      <formula>11</formula>
    </cfRule>
    <cfRule type="cellIs" dxfId="2129" priority="6592" operator="equal">
      <formula>22</formula>
    </cfRule>
    <cfRule type="cellIs" dxfId="2128" priority="6591" operator="equal">
      <formula>2</formula>
    </cfRule>
    <cfRule type="cellIs" dxfId="2127" priority="6590" operator="equal">
      <formula>4</formula>
    </cfRule>
  </conditionalFormatting>
  <conditionalFormatting sqref="Z94:AC94 T94:U94">
    <cfRule type="cellIs" dxfId="2126" priority="790" operator="equal">
      <formula>1</formula>
    </cfRule>
    <cfRule type="cellIs" dxfId="2125" priority="789" operator="equal">
      <formula>3</formula>
    </cfRule>
    <cfRule type="cellIs" dxfId="2124" priority="788" operator="equal">
      <formula>5</formula>
    </cfRule>
    <cfRule type="cellIs" dxfId="2123" priority="787" operator="equal">
      <formula>7</formula>
    </cfRule>
    <cfRule type="cellIs" dxfId="2122" priority="786" operator="equal">
      <formula>0</formula>
    </cfRule>
    <cfRule type="cellIs" dxfId="2121" priority="785" operator="equal">
      <formula>9</formula>
    </cfRule>
    <cfRule type="cellIs" dxfId="2120" priority="781" operator="equal">
      <formula>4</formula>
    </cfRule>
    <cfRule type="cellIs" dxfId="2119" priority="784" operator="equal">
      <formula>11</formula>
    </cfRule>
    <cfRule type="cellIs" dxfId="2118" priority="782" operator="equal">
      <formula>2</formula>
    </cfRule>
    <cfRule type="cellIs" dxfId="2117" priority="783" operator="equal">
      <formula>22</formula>
    </cfRule>
  </conditionalFormatting>
  <conditionalFormatting sqref="Z101:AC102 T101:U102">
    <cfRule type="cellIs" dxfId="2116" priority="627" operator="equal">
      <formula>2</formula>
    </cfRule>
    <cfRule type="cellIs" dxfId="2115" priority="629" operator="equal">
      <formula>11</formula>
    </cfRule>
    <cfRule type="cellIs" dxfId="2114" priority="635" operator="equal">
      <formula>1</formula>
    </cfRule>
    <cfRule type="cellIs" dxfId="2113" priority="634" operator="equal">
      <formula>3</formula>
    </cfRule>
    <cfRule type="cellIs" dxfId="2112" priority="633" operator="equal">
      <formula>5</formula>
    </cfRule>
    <cfRule type="cellIs" dxfId="2111" priority="626" operator="equal">
      <formula>4</formula>
    </cfRule>
    <cfRule type="cellIs" dxfId="2110" priority="632" operator="equal">
      <formula>7</formula>
    </cfRule>
    <cfRule type="cellIs" dxfId="2109" priority="631" operator="equal">
      <formula>0</formula>
    </cfRule>
    <cfRule type="cellIs" dxfId="2108" priority="630" operator="equal">
      <formula>9</formula>
    </cfRule>
    <cfRule type="cellIs" dxfId="2107" priority="628" operator="equal">
      <formula>22</formula>
    </cfRule>
  </conditionalFormatting>
  <conditionalFormatting sqref="Z104:AC106 T104:U106">
    <cfRule type="cellIs" dxfId="2106" priority="610" operator="equal">
      <formula>3</formula>
    </cfRule>
    <cfRule type="cellIs" dxfId="2105" priority="608" operator="equal">
      <formula>7</formula>
    </cfRule>
    <cfRule type="cellIs" dxfId="2104" priority="607" operator="equal">
      <formula>0</formula>
    </cfRule>
    <cfRule type="cellIs" dxfId="2103" priority="609" operator="equal">
      <formula>5</formula>
    </cfRule>
    <cfRule type="cellIs" dxfId="2102" priority="611" operator="equal">
      <formula>1</formula>
    </cfRule>
    <cfRule type="cellIs" dxfId="2101" priority="606" operator="equal">
      <formula>9</formula>
    </cfRule>
    <cfRule type="cellIs" dxfId="2100" priority="602" operator="equal">
      <formula>4</formula>
    </cfRule>
    <cfRule type="cellIs" dxfId="2099" priority="603" operator="equal">
      <formula>2</formula>
    </cfRule>
    <cfRule type="cellIs" dxfId="2098" priority="605" operator="equal">
      <formula>11</formula>
    </cfRule>
    <cfRule type="cellIs" dxfId="2097" priority="604" operator="equal">
      <formula>22</formula>
    </cfRule>
  </conditionalFormatting>
  <conditionalFormatting sqref="Z108:AC110 T108:U110">
    <cfRule type="cellIs" dxfId="2096" priority="587" operator="equal">
      <formula>1</formula>
    </cfRule>
    <cfRule type="cellIs" dxfId="2095" priority="582" operator="equal">
      <formula>9</formula>
    </cfRule>
    <cfRule type="cellIs" dxfId="2094" priority="579" operator="equal">
      <formula>2</formula>
    </cfRule>
    <cfRule type="cellIs" dxfId="2093" priority="580" operator="equal">
      <formula>22</formula>
    </cfRule>
    <cfRule type="cellIs" dxfId="2092" priority="581" operator="equal">
      <formula>11</formula>
    </cfRule>
    <cfRule type="cellIs" dxfId="2091" priority="578" operator="equal">
      <formula>4</formula>
    </cfRule>
    <cfRule type="cellIs" dxfId="2090" priority="583" operator="equal">
      <formula>0</formula>
    </cfRule>
    <cfRule type="cellIs" dxfId="2089" priority="584" operator="equal">
      <formula>7</formula>
    </cfRule>
    <cfRule type="cellIs" dxfId="2088" priority="585" operator="equal">
      <formula>5</formula>
    </cfRule>
    <cfRule type="cellIs" dxfId="2087" priority="586" operator="equal">
      <formula>3</formula>
    </cfRule>
  </conditionalFormatting>
  <conditionalFormatting sqref="Z112:AC114 T112:U114">
    <cfRule type="cellIs" dxfId="2086" priority="508" operator="equal">
      <formula>22</formula>
    </cfRule>
    <cfRule type="cellIs" dxfId="2085" priority="512" operator="equal">
      <formula>7</formula>
    </cfRule>
    <cfRule type="cellIs" dxfId="2084" priority="511" operator="equal">
      <formula>0</formula>
    </cfRule>
    <cfRule type="cellIs" dxfId="2083" priority="513" operator="equal">
      <formula>5</formula>
    </cfRule>
    <cfRule type="cellIs" dxfId="2082" priority="514" operator="equal">
      <formula>3</formula>
    </cfRule>
    <cfRule type="cellIs" dxfId="2081" priority="510" operator="equal">
      <formula>9</formula>
    </cfRule>
    <cfRule type="cellIs" dxfId="2080" priority="506" operator="equal">
      <formula>4</formula>
    </cfRule>
    <cfRule type="cellIs" dxfId="2079" priority="507" operator="equal">
      <formula>2</formula>
    </cfRule>
    <cfRule type="cellIs" dxfId="2078" priority="515" operator="equal">
      <formula>1</formula>
    </cfRule>
    <cfRule type="cellIs" dxfId="2077" priority="509" operator="equal">
      <formula>11</formula>
    </cfRule>
  </conditionalFormatting>
  <conditionalFormatting sqref="Z115:AC115 T115:U115 T119:U119 Z119:AC119 Z122:AC122 T122:U122 T125:U126 Z125:AC126 Z130:AC130 T130:U130">
    <cfRule type="cellIs" dxfId="2076" priority="6305" operator="equal">
      <formula>9</formula>
    </cfRule>
    <cfRule type="cellIs" dxfId="2075" priority="6301" operator="equal">
      <formula>4</formula>
    </cfRule>
    <cfRule type="cellIs" dxfId="2074" priority="6303" operator="equal">
      <formula>22</formula>
    </cfRule>
    <cfRule type="cellIs" dxfId="2073" priority="6309" operator="equal">
      <formula>3</formula>
    </cfRule>
    <cfRule type="cellIs" dxfId="2072" priority="6304" operator="equal">
      <formula>11</formula>
    </cfRule>
    <cfRule type="cellIs" dxfId="2071" priority="6308" operator="equal">
      <formula>5</formula>
    </cfRule>
    <cfRule type="cellIs" dxfId="2070" priority="6307" operator="equal">
      <formula>7</formula>
    </cfRule>
    <cfRule type="cellIs" dxfId="2069" priority="6302" operator="equal">
      <formula>2</formula>
    </cfRule>
    <cfRule type="cellIs" dxfId="2068" priority="6306" operator="equal">
      <formula>0</formula>
    </cfRule>
  </conditionalFormatting>
  <conditionalFormatting sqref="Z116:AC116 T116:U116">
    <cfRule type="cellIs" dxfId="2067" priority="539" operator="equal">
      <formula>1</formula>
    </cfRule>
    <cfRule type="cellIs" dxfId="2066" priority="535" operator="equal">
      <formula>0</formula>
    </cfRule>
    <cfRule type="cellIs" dxfId="2065" priority="536" operator="equal">
      <formula>7</formula>
    </cfRule>
    <cfRule type="cellIs" dxfId="2064" priority="537" operator="equal">
      <formula>5</formula>
    </cfRule>
    <cfRule type="cellIs" dxfId="2063" priority="538" operator="equal">
      <formula>3</formula>
    </cfRule>
    <cfRule type="cellIs" dxfId="2062" priority="530" operator="equal">
      <formula>4</formula>
    </cfRule>
    <cfRule type="cellIs" dxfId="2061" priority="534" operator="equal">
      <formula>9</formula>
    </cfRule>
    <cfRule type="cellIs" dxfId="2060" priority="533" operator="equal">
      <formula>11</formula>
    </cfRule>
    <cfRule type="cellIs" dxfId="2059" priority="532" operator="equal">
      <formula>22</formula>
    </cfRule>
    <cfRule type="cellIs" dxfId="2058" priority="531" operator="equal">
      <formula>2</formula>
    </cfRule>
  </conditionalFormatting>
  <conditionalFormatting sqref="Z127:AC128 T127:U128">
    <cfRule type="cellIs" dxfId="2057" priority="220" operator="equal">
      <formula>3</formula>
    </cfRule>
    <cfRule type="cellIs" dxfId="2056" priority="212" operator="equal">
      <formula>4</formula>
    </cfRule>
    <cfRule type="cellIs" dxfId="2055" priority="214" operator="equal">
      <formula>22</formula>
    </cfRule>
    <cfRule type="cellIs" dxfId="2054" priority="218" operator="equal">
      <formula>7</formula>
    </cfRule>
    <cfRule type="cellIs" dxfId="2053" priority="213" operator="equal">
      <formula>2</formula>
    </cfRule>
    <cfRule type="cellIs" dxfId="2052" priority="215" operator="equal">
      <formula>11</formula>
    </cfRule>
    <cfRule type="cellIs" dxfId="2051" priority="217" operator="equal">
      <formula>0</formula>
    </cfRule>
    <cfRule type="cellIs" dxfId="2050" priority="216" operator="equal">
      <formula>9</formula>
    </cfRule>
    <cfRule type="cellIs" dxfId="2049" priority="221" operator="equal">
      <formula>1</formula>
    </cfRule>
    <cfRule type="cellIs" dxfId="2048" priority="219" operator="equal">
      <formula>5</formula>
    </cfRule>
  </conditionalFormatting>
  <conditionalFormatting sqref="Z129:AC129 T129:U129">
    <cfRule type="cellIs" dxfId="2047" priority="386" operator="equal">
      <formula>7</formula>
    </cfRule>
    <cfRule type="cellIs" dxfId="2046" priority="381" operator="equal">
      <formula>2</formula>
    </cfRule>
    <cfRule type="cellIs" dxfId="2045" priority="387" operator="equal">
      <formula>5</formula>
    </cfRule>
    <cfRule type="cellIs" dxfId="2044" priority="380" operator="equal">
      <formula>4</formula>
    </cfRule>
    <cfRule type="cellIs" dxfId="2043" priority="383" operator="equal">
      <formula>11</formula>
    </cfRule>
    <cfRule type="cellIs" dxfId="2042" priority="382" operator="equal">
      <formula>22</formula>
    </cfRule>
    <cfRule type="cellIs" dxfId="2041" priority="389" operator="equal">
      <formula>1</formula>
    </cfRule>
    <cfRule type="cellIs" dxfId="2040" priority="384" operator="equal">
      <formula>9</formula>
    </cfRule>
    <cfRule type="cellIs" dxfId="2039" priority="385" operator="equal">
      <formula>0</formula>
    </cfRule>
    <cfRule type="cellIs" dxfId="2038" priority="388" operator="equal">
      <formula>3</formula>
    </cfRule>
  </conditionalFormatting>
  <conditionalFormatting sqref="Z131:AC132 T131:U132">
    <cfRule type="cellIs" dxfId="2037" priority="192" operator="equal">
      <formula>9</formula>
    </cfRule>
    <cfRule type="cellIs" dxfId="2036" priority="189" operator="equal">
      <formula>2</formula>
    </cfRule>
    <cfRule type="cellIs" dxfId="2035" priority="191" operator="equal">
      <formula>11</formula>
    </cfRule>
    <cfRule type="cellIs" dxfId="2034" priority="195" operator="equal">
      <formula>5</formula>
    </cfRule>
    <cfRule type="cellIs" dxfId="2033" priority="197" operator="equal">
      <formula>1</formula>
    </cfRule>
    <cfRule type="cellIs" dxfId="2032" priority="196" operator="equal">
      <formula>3</formula>
    </cfRule>
    <cfRule type="cellIs" dxfId="2031" priority="188" operator="equal">
      <formula>4</formula>
    </cfRule>
    <cfRule type="cellIs" dxfId="2030" priority="194" operator="equal">
      <formula>7</formula>
    </cfRule>
    <cfRule type="cellIs" dxfId="2029" priority="190" operator="equal">
      <formula>22</formula>
    </cfRule>
    <cfRule type="cellIs" dxfId="2028" priority="193" operator="equal">
      <formula>0</formula>
    </cfRule>
  </conditionalFormatting>
  <conditionalFormatting sqref="Z133:AC133 T133:U133">
    <cfRule type="cellIs" dxfId="2027" priority="164" operator="equal">
      <formula>4</formula>
    </cfRule>
    <cfRule type="cellIs" dxfId="2026" priority="166" operator="equal">
      <formula>22</formula>
    </cfRule>
    <cfRule type="cellIs" dxfId="2025" priority="173" operator="equal">
      <formula>1</formula>
    </cfRule>
    <cfRule type="cellIs" dxfId="2024" priority="168" operator="equal">
      <formula>9</formula>
    </cfRule>
    <cfRule type="cellIs" dxfId="2023" priority="172" operator="equal">
      <formula>3</formula>
    </cfRule>
    <cfRule type="cellIs" dxfId="2022" priority="171" operator="equal">
      <formula>5</formula>
    </cfRule>
    <cfRule type="cellIs" dxfId="2021" priority="170" operator="equal">
      <formula>7</formula>
    </cfRule>
    <cfRule type="cellIs" dxfId="2020" priority="165" operator="equal">
      <formula>2</formula>
    </cfRule>
    <cfRule type="cellIs" dxfId="2019" priority="169" operator="equal">
      <formula>0</formula>
    </cfRule>
    <cfRule type="cellIs" dxfId="2018" priority="167" operator="equal">
      <formula>11</formula>
    </cfRule>
  </conditionalFormatting>
  <conditionalFormatting sqref="Z135:AC135 T135:U135">
    <cfRule type="cellIs" dxfId="2017" priority="356" operator="equal">
      <formula>4</formula>
    </cfRule>
    <cfRule type="cellIs" dxfId="2016" priority="361" operator="equal">
      <formula>0</formula>
    </cfRule>
    <cfRule type="cellIs" dxfId="2015" priority="357" operator="equal">
      <formula>2</formula>
    </cfRule>
    <cfRule type="cellIs" dxfId="2014" priority="360" operator="equal">
      <formula>9</formula>
    </cfRule>
    <cfRule type="cellIs" dxfId="2013" priority="362" operator="equal">
      <formula>7</formula>
    </cfRule>
    <cfRule type="cellIs" dxfId="2012" priority="363" operator="equal">
      <formula>5</formula>
    </cfRule>
    <cfRule type="cellIs" dxfId="2011" priority="364" operator="equal">
      <formula>3</formula>
    </cfRule>
    <cfRule type="cellIs" dxfId="2010" priority="365" operator="equal">
      <formula>1</formula>
    </cfRule>
    <cfRule type="cellIs" dxfId="2009" priority="358" operator="equal">
      <formula>22</formula>
    </cfRule>
    <cfRule type="cellIs" dxfId="2008" priority="359" operator="equal">
      <formula>11</formula>
    </cfRule>
  </conditionalFormatting>
  <conditionalFormatting sqref="Z137:AC137 T137:U137 T139:U139 Z139:AC139">
    <cfRule type="cellIs" dxfId="2007" priority="6257" operator="equal">
      <formula>9</formula>
    </cfRule>
    <cfRule type="cellIs" dxfId="2006" priority="6260" operator="equal">
      <formula>5</formula>
    </cfRule>
    <cfRule type="cellIs" dxfId="2005" priority="6259" operator="equal">
      <formula>7</formula>
    </cfRule>
    <cfRule type="cellIs" dxfId="2004" priority="6258" operator="equal">
      <formula>0</formula>
    </cfRule>
    <cfRule type="cellIs" dxfId="2003" priority="6256" operator="equal">
      <formula>11</formula>
    </cfRule>
    <cfRule type="cellIs" dxfId="2002" priority="6255" operator="equal">
      <formula>22</formula>
    </cfRule>
    <cfRule type="cellIs" dxfId="2001" priority="6261" operator="equal">
      <formula>3</formula>
    </cfRule>
    <cfRule type="cellIs" dxfId="2000" priority="6253" operator="equal">
      <formula>4</formula>
    </cfRule>
    <cfRule type="cellIs" dxfId="1999" priority="6254" operator="equal">
      <formula>2</formula>
    </cfRule>
  </conditionalFormatting>
  <conditionalFormatting sqref="Z138:AC138 T138:U138">
    <cfRule type="cellIs" dxfId="1998" priority="106" operator="equal">
      <formula>4</formula>
    </cfRule>
    <cfRule type="cellIs" dxfId="1997" priority="115" operator="equal">
      <formula>1</formula>
    </cfRule>
    <cfRule type="cellIs" dxfId="1996" priority="114" operator="equal">
      <formula>3</formula>
    </cfRule>
    <cfRule type="cellIs" dxfId="1995" priority="113" operator="equal">
      <formula>5</formula>
    </cfRule>
    <cfRule type="cellIs" dxfId="1994" priority="108" operator="equal">
      <formula>22</formula>
    </cfRule>
    <cfRule type="cellIs" dxfId="1993" priority="107" operator="equal">
      <formula>2</formula>
    </cfRule>
    <cfRule type="cellIs" dxfId="1992" priority="109" operator="equal">
      <formula>11</formula>
    </cfRule>
    <cfRule type="cellIs" dxfId="1991" priority="110" operator="equal">
      <formula>9</formula>
    </cfRule>
    <cfRule type="cellIs" dxfId="1990" priority="111" operator="equal">
      <formula>0</formula>
    </cfRule>
    <cfRule type="cellIs" dxfId="1989" priority="112" operator="equal">
      <formula>7</formula>
    </cfRule>
  </conditionalFormatting>
  <conditionalFormatting sqref="Z141:AC141 T141:U141">
    <cfRule type="cellIs" dxfId="1988" priority="21049" operator="equal">
      <formula>4</formula>
    </cfRule>
    <cfRule type="cellIs" dxfId="1987" priority="21054" operator="equal">
      <formula>0</formula>
    </cfRule>
    <cfRule type="cellIs" dxfId="1986" priority="21057" operator="equal">
      <formula>3</formula>
    </cfRule>
    <cfRule type="cellIs" dxfId="1985" priority="21053" operator="equal">
      <formula>9</formula>
    </cfRule>
    <cfRule type="cellIs" dxfId="1984" priority="21052" operator="equal">
      <formula>11</formula>
    </cfRule>
    <cfRule type="cellIs" dxfId="1983" priority="21050" operator="equal">
      <formula>2</formula>
    </cfRule>
    <cfRule type="cellIs" dxfId="1982" priority="21056" operator="equal">
      <formula>5</formula>
    </cfRule>
    <cfRule type="cellIs" dxfId="1981" priority="21055" operator="equal">
      <formula>7</formula>
    </cfRule>
    <cfRule type="cellIs" dxfId="1980" priority="21051" operator="equal">
      <formula>22</formula>
    </cfRule>
  </conditionalFormatting>
  <conditionalFormatting sqref="Z144:AC198 T144:U198">
    <cfRule type="cellIs" dxfId="1979" priority="15" operator="equal">
      <formula>2</formula>
    </cfRule>
    <cfRule type="cellIs" dxfId="1978" priority="20" operator="equal">
      <formula>7</formula>
    </cfRule>
    <cfRule type="cellIs" dxfId="1977" priority="14" operator="equal">
      <formula>4</formula>
    </cfRule>
    <cfRule type="cellIs" dxfId="1976" priority="17" operator="equal">
      <formula>11</formula>
    </cfRule>
    <cfRule type="cellIs" dxfId="1975" priority="23" operator="equal">
      <formula>1</formula>
    </cfRule>
    <cfRule type="cellIs" dxfId="1974" priority="18" operator="equal">
      <formula>9</formula>
    </cfRule>
    <cfRule type="cellIs" dxfId="1973" priority="19" operator="equal">
      <formula>0</formula>
    </cfRule>
    <cfRule type="cellIs" dxfId="1972" priority="16" operator="equal">
      <formula>22</formula>
    </cfRule>
    <cfRule type="cellIs" dxfId="1971" priority="21" operator="equal">
      <formula>5</formula>
    </cfRule>
    <cfRule type="cellIs" dxfId="1970" priority="22" operator="equal">
      <formula>3</formula>
    </cfRule>
  </conditionalFormatting>
  <conditionalFormatting sqref="Z203:AC203 T203:U203">
    <cfRule type="cellIs" dxfId="1969" priority="5069" operator="equal">
      <formula>9</formula>
    </cfRule>
    <cfRule type="cellIs" dxfId="1968" priority="5068" operator="equal">
      <formula>11</formula>
    </cfRule>
    <cfRule type="cellIs" dxfId="1967" priority="5067" operator="equal">
      <formula>22</formula>
    </cfRule>
    <cfRule type="cellIs" dxfId="1966" priority="5073" operator="equal">
      <formula>3</formula>
    </cfRule>
    <cfRule type="cellIs" dxfId="1965" priority="5066" operator="equal">
      <formula>2</formula>
    </cfRule>
    <cfRule type="cellIs" dxfId="1964" priority="5072" operator="equal">
      <formula>5</formula>
    </cfRule>
    <cfRule type="cellIs" dxfId="1963" priority="5065" operator="equal">
      <formula>4</formula>
    </cfRule>
    <cfRule type="cellIs" dxfId="1962" priority="5071" operator="equal">
      <formula>7</formula>
    </cfRule>
    <cfRule type="cellIs" dxfId="1961" priority="5070" operator="equal">
      <formula>0</formula>
    </cfRule>
  </conditionalFormatting>
  <conditionalFormatting sqref="Z204:AC204 T204:U204">
    <cfRule type="cellIs" dxfId="1960" priority="13367" operator="equal">
      <formula>5</formula>
    </cfRule>
    <cfRule type="cellIs" dxfId="1959" priority="13366" operator="equal">
      <formula>7</formula>
    </cfRule>
    <cfRule type="cellIs" dxfId="1958" priority="13365" operator="equal">
      <formula>0</formula>
    </cfRule>
    <cfRule type="cellIs" dxfId="1957" priority="13364" operator="equal">
      <formula>9</formula>
    </cfRule>
    <cfRule type="cellIs" dxfId="1956" priority="13360" operator="equal">
      <formula>4</formula>
    </cfRule>
    <cfRule type="cellIs" dxfId="1955" priority="13361" operator="equal">
      <formula>2</formula>
    </cfRule>
    <cfRule type="cellIs" dxfId="1954" priority="13363" operator="equal">
      <formula>11</formula>
    </cfRule>
    <cfRule type="cellIs" dxfId="1953" priority="13362" operator="equal">
      <formula>22</formula>
    </cfRule>
    <cfRule type="cellIs" dxfId="1952" priority="13368" operator="equal">
      <formula>3</formula>
    </cfRule>
  </conditionalFormatting>
  <conditionalFormatting sqref="Z205:AC205 T205:U205">
    <cfRule type="cellIs" dxfId="1951" priority="4946" operator="equal">
      <formula>2</formula>
    </cfRule>
    <cfRule type="cellIs" dxfId="1950" priority="4950" operator="equal">
      <formula>0</formula>
    </cfRule>
    <cfRule type="cellIs" dxfId="1949" priority="4945" operator="equal">
      <formula>4</formula>
    </cfRule>
    <cfRule type="cellIs" dxfId="1948" priority="4954" operator="equal">
      <formula>1</formula>
    </cfRule>
    <cfRule type="cellIs" dxfId="1947" priority="4953" operator="equal">
      <formula>3</formula>
    </cfRule>
    <cfRule type="cellIs" dxfId="1946" priority="4951" operator="equal">
      <formula>7</formula>
    </cfRule>
    <cfRule type="cellIs" dxfId="1945" priority="4949" operator="equal">
      <formula>9</formula>
    </cfRule>
    <cfRule type="cellIs" dxfId="1944" priority="4947" operator="equal">
      <formula>22</formula>
    </cfRule>
    <cfRule type="cellIs" dxfId="1943" priority="4948" operator="equal">
      <formula>11</formula>
    </cfRule>
    <cfRule type="cellIs" dxfId="1942" priority="4952" operator="equal">
      <formula>5</formula>
    </cfRule>
  </conditionalFormatting>
  <conditionalFormatting sqref="Z223:AC223 T223:U223">
    <cfRule type="cellIs" dxfId="1941" priority="4925" operator="equal">
      <formula>0</formula>
    </cfRule>
    <cfRule type="cellIs" dxfId="1940" priority="4921" operator="equal">
      <formula>2</formula>
    </cfRule>
    <cfRule type="cellIs" dxfId="1939" priority="4924" operator="equal">
      <formula>9</formula>
    </cfRule>
    <cfRule type="cellIs" dxfId="1938" priority="4929" operator="equal">
      <formula>1</formula>
    </cfRule>
    <cfRule type="cellIs" dxfId="1937" priority="4928" operator="equal">
      <formula>3</formula>
    </cfRule>
    <cfRule type="cellIs" dxfId="1936" priority="4920" operator="equal">
      <formula>4</formula>
    </cfRule>
    <cfRule type="cellIs" dxfId="1935" priority="4926" operator="equal">
      <formula>7</formula>
    </cfRule>
    <cfRule type="cellIs" dxfId="1934" priority="4922" operator="equal">
      <formula>22</formula>
    </cfRule>
    <cfRule type="cellIs" dxfId="1933" priority="4923" operator="equal">
      <formula>11</formula>
    </cfRule>
    <cfRule type="cellIs" dxfId="1932" priority="4927" operator="equal">
      <formula>5</formula>
    </cfRule>
  </conditionalFormatting>
  <conditionalFormatting sqref="Z230:AC230 T230:U230">
    <cfRule type="cellIs" dxfId="1931" priority="4846" operator="equal">
      <formula>2</formula>
    </cfRule>
    <cfRule type="cellIs" dxfId="1930" priority="4851" operator="equal">
      <formula>7</formula>
    </cfRule>
    <cfRule type="cellIs" dxfId="1929" priority="4845" operator="equal">
      <formula>4</formula>
    </cfRule>
    <cfRule type="cellIs" dxfId="1928" priority="4847" operator="equal">
      <formula>22</formula>
    </cfRule>
    <cfRule type="cellIs" dxfId="1927" priority="4848" operator="equal">
      <formula>11</formula>
    </cfRule>
    <cfRule type="cellIs" dxfId="1926" priority="4849" operator="equal">
      <formula>9</formula>
    </cfRule>
    <cfRule type="cellIs" dxfId="1925" priority="4853" operator="equal">
      <formula>3</formula>
    </cfRule>
    <cfRule type="cellIs" dxfId="1924" priority="4852" operator="equal">
      <formula>5</formula>
    </cfRule>
    <cfRule type="cellIs" dxfId="1923" priority="4854" operator="equal">
      <formula>1</formula>
    </cfRule>
    <cfRule type="cellIs" dxfId="1922" priority="4850" operator="equal">
      <formula>0</formula>
    </cfRule>
  </conditionalFormatting>
  <conditionalFormatting sqref="Z244:AC244 T244:U244">
    <cfRule type="cellIs" dxfId="1921" priority="4681" operator="equal">
      <formula>0</formula>
    </cfRule>
    <cfRule type="cellIs" dxfId="1920" priority="4680" operator="equal">
      <formula>9</formula>
    </cfRule>
    <cfRule type="cellIs" dxfId="1919" priority="4679" operator="equal">
      <formula>11</formula>
    </cfRule>
    <cfRule type="cellIs" dxfId="1918" priority="4678" operator="equal">
      <formula>22</formula>
    </cfRule>
    <cfRule type="cellIs" dxfId="1917" priority="4682" operator="equal">
      <formula>7</formula>
    </cfRule>
    <cfRule type="cellIs" dxfId="1916" priority="4683" operator="equal">
      <formula>5</formula>
    </cfRule>
    <cfRule type="cellIs" dxfId="1915" priority="4684" operator="equal">
      <formula>3</formula>
    </cfRule>
    <cfRule type="cellIs" dxfId="1914" priority="4685" operator="equal">
      <formula>1</formula>
    </cfRule>
    <cfRule type="cellIs" dxfId="1913" priority="4677" operator="equal">
      <formula>2</formula>
    </cfRule>
    <cfRule type="cellIs" dxfId="1912" priority="4676" operator="equal">
      <formula>4</formula>
    </cfRule>
  </conditionalFormatting>
  <conditionalFormatting sqref="Z257:AC257 T257:U257">
    <cfRule type="cellIs" dxfId="1911" priority="4435" operator="equal">
      <formula>2</formula>
    </cfRule>
    <cfRule type="cellIs" dxfId="1910" priority="4443" operator="equal">
      <formula>1</formula>
    </cfRule>
    <cfRule type="cellIs" dxfId="1909" priority="4442" operator="equal">
      <formula>3</formula>
    </cfRule>
    <cfRule type="cellIs" dxfId="1908" priority="4441" operator="equal">
      <formula>5</formula>
    </cfRule>
    <cfRule type="cellIs" dxfId="1907" priority="4440" operator="equal">
      <formula>7</formula>
    </cfRule>
    <cfRule type="cellIs" dxfId="1906" priority="4439" operator="equal">
      <formula>0</formula>
    </cfRule>
    <cfRule type="cellIs" dxfId="1905" priority="4438" operator="equal">
      <formula>9</formula>
    </cfRule>
    <cfRule type="cellIs" dxfId="1904" priority="4437" operator="equal">
      <formula>11</formula>
    </cfRule>
    <cfRule type="cellIs" dxfId="1903" priority="4436" operator="equal">
      <formula>22</formula>
    </cfRule>
    <cfRule type="cellIs" dxfId="1902" priority="4434" operator="equal">
      <formula>4</formula>
    </cfRule>
  </conditionalFormatting>
  <conditionalFormatting sqref="Z267:AC267 T267:U267">
    <cfRule type="cellIs" dxfId="1901" priority="4264" operator="equal">
      <formula>3</formula>
    </cfRule>
    <cfRule type="cellIs" dxfId="1900" priority="4259" operator="equal">
      <formula>11</formula>
    </cfRule>
    <cfRule type="cellIs" dxfId="1899" priority="4263" operator="equal">
      <formula>5</formula>
    </cfRule>
    <cfRule type="cellIs" dxfId="1898" priority="4262" operator="equal">
      <formula>7</formula>
    </cfRule>
    <cfRule type="cellIs" dxfId="1897" priority="4261" operator="equal">
      <formula>0</formula>
    </cfRule>
    <cfRule type="cellIs" dxfId="1896" priority="4260" operator="equal">
      <formula>9</formula>
    </cfRule>
    <cfRule type="cellIs" dxfId="1895" priority="4265" operator="equal">
      <formula>1</formula>
    </cfRule>
    <cfRule type="cellIs" dxfId="1894" priority="4258" operator="equal">
      <formula>22</formula>
    </cfRule>
    <cfRule type="cellIs" dxfId="1893" priority="4257" operator="equal">
      <formula>2</formula>
    </cfRule>
    <cfRule type="cellIs" dxfId="1892" priority="4256" operator="equal">
      <formula>4</formula>
    </cfRule>
  </conditionalFormatting>
  <conditionalFormatting sqref="Z268:AC274 T268:U274">
    <cfRule type="cellIs" dxfId="1891" priority="4241" operator="equal">
      <formula>1</formula>
    </cfRule>
    <cfRule type="cellIs" dxfId="1890" priority="4240" operator="equal">
      <formula>3</formula>
    </cfRule>
    <cfRule type="cellIs" dxfId="1889" priority="4239" operator="equal">
      <formula>5</formula>
    </cfRule>
    <cfRule type="cellIs" dxfId="1888" priority="4232" operator="equal">
      <formula>4</formula>
    </cfRule>
    <cfRule type="cellIs" dxfId="1887" priority="4234" operator="equal">
      <formula>22</formula>
    </cfRule>
    <cfRule type="cellIs" dxfId="1886" priority="4235" operator="equal">
      <formula>11</formula>
    </cfRule>
    <cfRule type="cellIs" dxfId="1885" priority="4238" operator="equal">
      <formula>7</formula>
    </cfRule>
    <cfRule type="cellIs" dxfId="1884" priority="4237" operator="equal">
      <formula>0</formula>
    </cfRule>
    <cfRule type="cellIs" dxfId="1883" priority="4233" operator="equal">
      <formula>2</formula>
    </cfRule>
    <cfRule type="cellIs" dxfId="1882" priority="4236" operator="equal">
      <formula>9</formula>
    </cfRule>
  </conditionalFormatting>
  <conditionalFormatting sqref="Z276:AC276 T276:U276">
    <cfRule type="cellIs" dxfId="1881" priority="4164" operator="equal">
      <formula>9</formula>
    </cfRule>
    <cfRule type="cellIs" dxfId="1880" priority="4163" operator="equal">
      <formula>11</formula>
    </cfRule>
    <cfRule type="cellIs" dxfId="1879" priority="4162" operator="equal">
      <formula>22</formula>
    </cfRule>
    <cfRule type="cellIs" dxfId="1878" priority="4161" operator="equal">
      <formula>2</formula>
    </cfRule>
    <cfRule type="cellIs" dxfId="1877" priority="4165" operator="equal">
      <formula>0</formula>
    </cfRule>
    <cfRule type="cellIs" dxfId="1876" priority="4166" operator="equal">
      <formula>7</formula>
    </cfRule>
    <cfRule type="cellIs" dxfId="1875" priority="4167" operator="equal">
      <formula>5</formula>
    </cfRule>
    <cfRule type="cellIs" dxfId="1874" priority="4169" operator="equal">
      <formula>1</formula>
    </cfRule>
    <cfRule type="cellIs" dxfId="1873" priority="4168" operator="equal">
      <formula>3</formula>
    </cfRule>
    <cfRule type="cellIs" dxfId="1872" priority="4160" operator="equal">
      <formula>4</formula>
    </cfRule>
  </conditionalFormatting>
  <conditionalFormatting sqref="Z279:AC281 T279:U281">
    <cfRule type="cellIs" dxfId="1871" priority="12184" operator="equal">
      <formula>2</formula>
    </cfRule>
    <cfRule type="cellIs" dxfId="1870" priority="12183" operator="equal">
      <formula>4</formula>
    </cfRule>
    <cfRule type="cellIs" dxfId="1869" priority="12191" operator="equal">
      <formula>3</formula>
    </cfRule>
    <cfRule type="cellIs" dxfId="1868" priority="12185" operator="equal">
      <formula>22</formula>
    </cfRule>
    <cfRule type="cellIs" dxfId="1867" priority="12186" operator="equal">
      <formula>11</formula>
    </cfRule>
    <cfRule type="cellIs" dxfId="1866" priority="12187" operator="equal">
      <formula>9</formula>
    </cfRule>
    <cfRule type="cellIs" dxfId="1865" priority="12188" operator="equal">
      <formula>0</formula>
    </cfRule>
    <cfRule type="cellIs" dxfId="1864" priority="12190" operator="equal">
      <formula>5</formula>
    </cfRule>
    <cfRule type="cellIs" dxfId="1863" priority="12189" operator="equal">
      <formula>7</formula>
    </cfRule>
  </conditionalFormatting>
  <conditionalFormatting sqref="Z282:AC282 T282:U282">
    <cfRule type="cellIs" dxfId="1862" priority="4136" operator="equal">
      <formula>2</formula>
    </cfRule>
    <cfRule type="cellIs" dxfId="1861" priority="4135" operator="equal">
      <formula>4</formula>
    </cfRule>
    <cfRule type="cellIs" dxfId="1860" priority="4137" operator="equal">
      <formula>22</formula>
    </cfRule>
    <cfRule type="cellIs" dxfId="1859" priority="4138" operator="equal">
      <formula>11</formula>
    </cfRule>
    <cfRule type="cellIs" dxfId="1858" priority="4139" operator="equal">
      <formula>9</formula>
    </cfRule>
    <cfRule type="cellIs" dxfId="1857" priority="4140" operator="equal">
      <formula>0</formula>
    </cfRule>
    <cfRule type="cellIs" dxfId="1856" priority="4142" operator="equal">
      <formula>5</formula>
    </cfRule>
    <cfRule type="cellIs" dxfId="1855" priority="4143" operator="equal">
      <formula>3</formula>
    </cfRule>
    <cfRule type="cellIs" dxfId="1854" priority="4144" operator="equal">
      <formula>1</formula>
    </cfRule>
    <cfRule type="cellIs" dxfId="1853" priority="4141" operator="equal">
      <formula>7</formula>
    </cfRule>
  </conditionalFormatting>
  <conditionalFormatting sqref="Z283:AC290 T283:U290">
    <cfRule type="cellIs" dxfId="1852" priority="4117" operator="equal">
      <formula>7</formula>
    </cfRule>
    <cfRule type="cellIs" dxfId="1851" priority="4115" operator="equal">
      <formula>9</formula>
    </cfRule>
    <cfRule type="cellIs" dxfId="1850" priority="4119" operator="equal">
      <formula>3</formula>
    </cfRule>
    <cfRule type="cellIs" dxfId="1849" priority="4118" operator="equal">
      <formula>5</formula>
    </cfRule>
    <cfRule type="cellIs" dxfId="1848" priority="4112" operator="equal">
      <formula>2</formula>
    </cfRule>
    <cfRule type="cellIs" dxfId="1847" priority="4113" operator="equal">
      <formula>22</formula>
    </cfRule>
    <cfRule type="cellIs" dxfId="1846" priority="4114" operator="equal">
      <formula>11</formula>
    </cfRule>
    <cfRule type="cellIs" dxfId="1845" priority="4120" operator="equal">
      <formula>1</formula>
    </cfRule>
    <cfRule type="cellIs" dxfId="1844" priority="4111" operator="equal">
      <formula>4</formula>
    </cfRule>
    <cfRule type="cellIs" dxfId="1843" priority="4116" operator="equal">
      <formula>0</formula>
    </cfRule>
  </conditionalFormatting>
  <conditionalFormatting sqref="Z293:AC293 T293:U293">
    <cfRule type="cellIs" dxfId="1842" priority="4090" operator="equal">
      <formula>11</formula>
    </cfRule>
    <cfRule type="cellIs" dxfId="1841" priority="4091" operator="equal">
      <formula>9</formula>
    </cfRule>
    <cfRule type="cellIs" dxfId="1840" priority="4092" operator="equal">
      <formula>0</formula>
    </cfRule>
    <cfRule type="cellIs" dxfId="1839" priority="4093" operator="equal">
      <formula>7</formula>
    </cfRule>
    <cfRule type="cellIs" dxfId="1838" priority="4089" operator="equal">
      <formula>22</formula>
    </cfRule>
    <cfRule type="cellIs" dxfId="1837" priority="4088" operator="equal">
      <formula>2</formula>
    </cfRule>
    <cfRule type="cellIs" dxfId="1836" priority="4095" operator="equal">
      <formula>3</formula>
    </cfRule>
    <cfRule type="cellIs" dxfId="1835" priority="4087" operator="equal">
      <formula>4</formula>
    </cfRule>
    <cfRule type="cellIs" dxfId="1834" priority="4094" operator="equal">
      <formula>5</formula>
    </cfRule>
    <cfRule type="cellIs" dxfId="1833" priority="4096" operator="equal">
      <formula>1</formula>
    </cfRule>
  </conditionalFormatting>
  <conditionalFormatting sqref="Z300:AC300 T300:U300">
    <cfRule type="cellIs" dxfId="1832" priority="4022" operator="equal">
      <formula>3</formula>
    </cfRule>
    <cfRule type="cellIs" dxfId="1831" priority="4017" operator="equal">
      <formula>11</formula>
    </cfRule>
    <cfRule type="cellIs" dxfId="1830" priority="4023" operator="equal">
      <formula>1</formula>
    </cfRule>
    <cfRule type="cellIs" dxfId="1829" priority="4021" operator="equal">
      <formula>5</formula>
    </cfRule>
    <cfRule type="cellIs" dxfId="1828" priority="4015" operator="equal">
      <formula>2</formula>
    </cfRule>
    <cfRule type="cellIs" dxfId="1827" priority="4018" operator="equal">
      <formula>9</formula>
    </cfRule>
    <cfRule type="cellIs" dxfId="1826" priority="4019" operator="equal">
      <formula>0</formula>
    </cfRule>
    <cfRule type="cellIs" dxfId="1825" priority="4020" operator="equal">
      <formula>7</formula>
    </cfRule>
    <cfRule type="cellIs" dxfId="1824" priority="4016" operator="equal">
      <formula>22</formula>
    </cfRule>
    <cfRule type="cellIs" dxfId="1823" priority="4014" operator="equal">
      <formula>4</formula>
    </cfRule>
  </conditionalFormatting>
  <conditionalFormatting sqref="Z303:AC303 T303:U303">
    <cfRule type="cellIs" dxfId="1822" priority="3994" operator="equal">
      <formula>9</formula>
    </cfRule>
    <cfRule type="cellIs" dxfId="1821" priority="3995" operator="equal">
      <formula>0</formula>
    </cfRule>
    <cfRule type="cellIs" dxfId="1820" priority="3998" operator="equal">
      <formula>3</formula>
    </cfRule>
    <cfRule type="cellIs" dxfId="1819" priority="3999" operator="equal">
      <formula>1</formula>
    </cfRule>
    <cfRule type="cellIs" dxfId="1818" priority="3993" operator="equal">
      <formula>11</formula>
    </cfRule>
    <cfRule type="cellIs" dxfId="1817" priority="3992" operator="equal">
      <formula>22</formula>
    </cfRule>
    <cfRule type="cellIs" dxfId="1816" priority="3997" operator="equal">
      <formula>5</formula>
    </cfRule>
    <cfRule type="cellIs" dxfId="1815" priority="3990" operator="equal">
      <formula>4</formula>
    </cfRule>
    <cfRule type="cellIs" dxfId="1814" priority="3996" operator="equal">
      <formula>7</formula>
    </cfRule>
    <cfRule type="cellIs" dxfId="1813" priority="3991" operator="equal">
      <formula>2</formula>
    </cfRule>
  </conditionalFormatting>
  <conditionalFormatting sqref="Z304:AC311 T304:U311">
    <cfRule type="cellIs" dxfId="1812" priority="3970" operator="equal">
      <formula>9</formula>
    </cfRule>
    <cfRule type="cellIs" dxfId="1811" priority="3975" operator="equal">
      <formula>1</formula>
    </cfRule>
    <cfRule type="cellIs" dxfId="1810" priority="3966" operator="equal">
      <formula>4</formula>
    </cfRule>
    <cfRule type="cellIs" dxfId="1809" priority="3972" operator="equal">
      <formula>7</formula>
    </cfRule>
    <cfRule type="cellIs" dxfId="1808" priority="3967" operator="equal">
      <formula>2</formula>
    </cfRule>
    <cfRule type="cellIs" dxfId="1807" priority="3968" operator="equal">
      <formula>22</formula>
    </cfRule>
    <cfRule type="cellIs" dxfId="1806" priority="3973" operator="equal">
      <formula>5</formula>
    </cfRule>
    <cfRule type="cellIs" dxfId="1805" priority="3971" operator="equal">
      <formula>0</formula>
    </cfRule>
    <cfRule type="cellIs" dxfId="1804" priority="3969" operator="equal">
      <formula>11</formula>
    </cfRule>
    <cfRule type="cellIs" dxfId="1803" priority="3974" operator="equal">
      <formula>3</formula>
    </cfRule>
  </conditionalFormatting>
  <conditionalFormatting sqref="Z314:AC314 T314:U314">
    <cfRule type="cellIs" dxfId="1802" priority="3945" operator="equal">
      <formula>11</formula>
    </cfRule>
    <cfRule type="cellIs" dxfId="1801" priority="3944" operator="equal">
      <formula>22</formula>
    </cfRule>
    <cfRule type="cellIs" dxfId="1800" priority="3950" operator="equal">
      <formula>3</formula>
    </cfRule>
    <cfRule type="cellIs" dxfId="1799" priority="3946" operator="equal">
      <formula>9</formula>
    </cfRule>
    <cfRule type="cellIs" dxfId="1798" priority="3951" operator="equal">
      <formula>1</formula>
    </cfRule>
    <cfRule type="cellIs" dxfId="1797" priority="3943" operator="equal">
      <formula>2</formula>
    </cfRule>
    <cfRule type="cellIs" dxfId="1796" priority="3947" operator="equal">
      <formula>0</formula>
    </cfRule>
    <cfRule type="cellIs" dxfId="1795" priority="3942" operator="equal">
      <formula>4</formula>
    </cfRule>
    <cfRule type="cellIs" dxfId="1794" priority="3948" operator="equal">
      <formula>7</formula>
    </cfRule>
    <cfRule type="cellIs" dxfId="1793" priority="3949" operator="equal">
      <formula>5</formula>
    </cfRule>
  </conditionalFormatting>
  <conditionalFormatting sqref="Z321:AC321 T321:U321">
    <cfRule type="cellIs" dxfId="1792" priority="3871" operator="equal">
      <formula>22</formula>
    </cfRule>
    <cfRule type="cellIs" dxfId="1791" priority="3876" operator="equal">
      <formula>5</formula>
    </cfRule>
    <cfRule type="cellIs" dxfId="1790" priority="3875" operator="equal">
      <formula>7</formula>
    </cfRule>
    <cfRule type="cellIs" dxfId="1789" priority="3870" operator="equal">
      <formula>2</formula>
    </cfRule>
    <cfRule type="cellIs" dxfId="1788" priority="3872" operator="equal">
      <formula>11</formula>
    </cfRule>
    <cfRule type="cellIs" dxfId="1787" priority="3877" operator="equal">
      <formula>3</formula>
    </cfRule>
    <cfRule type="cellIs" dxfId="1786" priority="3869" operator="equal">
      <formula>4</formula>
    </cfRule>
    <cfRule type="cellIs" dxfId="1785" priority="3878" operator="equal">
      <formula>1</formula>
    </cfRule>
    <cfRule type="cellIs" dxfId="1784" priority="3873" operator="equal">
      <formula>9</formula>
    </cfRule>
    <cfRule type="cellIs" dxfId="1783" priority="3874" operator="equal">
      <formula>0</formula>
    </cfRule>
  </conditionalFormatting>
  <conditionalFormatting sqref="Z322:AC322 T322:U322">
    <cfRule type="cellIs" dxfId="1782" priority="3850" operator="equal">
      <formula>0</formula>
    </cfRule>
    <cfRule type="cellIs" dxfId="1781" priority="3846" operator="equal">
      <formula>2</formula>
    </cfRule>
    <cfRule type="cellIs" dxfId="1780" priority="3854" operator="equal">
      <formula>1</formula>
    </cfRule>
    <cfRule type="cellIs" dxfId="1779" priority="3845" operator="equal">
      <formula>4</formula>
    </cfRule>
    <cfRule type="cellIs" dxfId="1778" priority="3853" operator="equal">
      <formula>3</formula>
    </cfRule>
    <cfRule type="cellIs" dxfId="1777" priority="3852" operator="equal">
      <formula>5</formula>
    </cfRule>
    <cfRule type="cellIs" dxfId="1776" priority="3849" operator="equal">
      <formula>9</formula>
    </cfRule>
    <cfRule type="cellIs" dxfId="1775" priority="3848" operator="equal">
      <formula>11</formula>
    </cfRule>
    <cfRule type="cellIs" dxfId="1774" priority="3851" operator="equal">
      <formula>7</formula>
    </cfRule>
    <cfRule type="cellIs" dxfId="1773" priority="3847" operator="equal">
      <formula>22</formula>
    </cfRule>
  </conditionalFormatting>
  <conditionalFormatting sqref="Z323:AC323 T323:U323">
    <cfRule type="cellIs" dxfId="1772" priority="11817" operator="equal">
      <formula>2</formula>
    </cfRule>
    <cfRule type="cellIs" dxfId="1771" priority="11822" operator="equal">
      <formula>7</formula>
    </cfRule>
    <cfRule type="cellIs" dxfId="1770" priority="11823" operator="equal">
      <formula>5</formula>
    </cfRule>
    <cfRule type="cellIs" dxfId="1769" priority="11824" operator="equal">
      <formula>3</formula>
    </cfRule>
    <cfRule type="cellIs" dxfId="1768" priority="11821" operator="equal">
      <formula>0</formula>
    </cfRule>
    <cfRule type="cellIs" dxfId="1767" priority="11820" operator="equal">
      <formula>9</formula>
    </cfRule>
    <cfRule type="cellIs" dxfId="1766" priority="11819" operator="equal">
      <formula>11</formula>
    </cfRule>
    <cfRule type="cellIs" dxfId="1765" priority="11818" operator="equal">
      <formula>22</formula>
    </cfRule>
    <cfRule type="cellIs" dxfId="1764" priority="11816" operator="equal">
      <formula>4</formula>
    </cfRule>
  </conditionalFormatting>
  <conditionalFormatting sqref="Z324:AC324 T324:U324">
    <cfRule type="cellIs" dxfId="1763" priority="3825" operator="equal">
      <formula>9</formula>
    </cfRule>
    <cfRule type="cellIs" dxfId="1762" priority="3821" operator="equal">
      <formula>4</formula>
    </cfRule>
    <cfRule type="cellIs" dxfId="1761" priority="3827" operator="equal">
      <formula>7</formula>
    </cfRule>
    <cfRule type="cellIs" dxfId="1760" priority="3823" operator="equal">
      <formula>22</formula>
    </cfRule>
    <cfRule type="cellIs" dxfId="1759" priority="3830" operator="equal">
      <formula>1</formula>
    </cfRule>
    <cfRule type="cellIs" dxfId="1758" priority="3826" operator="equal">
      <formula>0</formula>
    </cfRule>
    <cfRule type="cellIs" dxfId="1757" priority="3824" operator="equal">
      <formula>11</formula>
    </cfRule>
    <cfRule type="cellIs" dxfId="1756" priority="3829" operator="equal">
      <formula>3</formula>
    </cfRule>
    <cfRule type="cellIs" dxfId="1755" priority="3828" operator="equal">
      <formula>5</formula>
    </cfRule>
    <cfRule type="cellIs" dxfId="1754" priority="3822" operator="equal">
      <formula>2</formula>
    </cfRule>
  </conditionalFormatting>
  <conditionalFormatting sqref="Z325:AC332 T325:U332">
    <cfRule type="cellIs" dxfId="1753" priority="3750" operator="equal">
      <formula>11</formula>
    </cfRule>
    <cfRule type="cellIs" dxfId="1752" priority="3751" operator="equal">
      <formula>9</formula>
    </cfRule>
    <cfRule type="cellIs" dxfId="1751" priority="3749" operator="equal">
      <formula>22</formula>
    </cfRule>
    <cfRule type="cellIs" dxfId="1750" priority="3748" operator="equal">
      <formula>2</formula>
    </cfRule>
    <cfRule type="cellIs" dxfId="1749" priority="3755" operator="equal">
      <formula>3</formula>
    </cfRule>
    <cfRule type="cellIs" dxfId="1748" priority="3754" operator="equal">
      <formula>5</formula>
    </cfRule>
    <cfRule type="cellIs" dxfId="1747" priority="3753" operator="equal">
      <formula>7</formula>
    </cfRule>
    <cfRule type="cellIs" dxfId="1746" priority="3747" operator="equal">
      <formula>4</formula>
    </cfRule>
    <cfRule type="cellIs" dxfId="1745" priority="3756" operator="equal">
      <formula>1</formula>
    </cfRule>
    <cfRule type="cellIs" dxfId="1744" priority="3752" operator="equal">
      <formula>0</formula>
    </cfRule>
  </conditionalFormatting>
  <conditionalFormatting sqref="Z333:AC334 T333:U334">
    <cfRule type="cellIs" dxfId="1743" priority="11721" operator="equal">
      <formula>2</formula>
    </cfRule>
    <cfRule type="cellIs" dxfId="1742" priority="11720" operator="equal">
      <formula>4</formula>
    </cfRule>
    <cfRule type="cellIs" dxfId="1741" priority="11722" operator="equal">
      <formula>22</formula>
    </cfRule>
    <cfRule type="cellIs" dxfId="1740" priority="11723" operator="equal">
      <formula>11</formula>
    </cfRule>
    <cfRule type="cellIs" dxfId="1739" priority="11725" operator="equal">
      <formula>0</formula>
    </cfRule>
    <cfRule type="cellIs" dxfId="1738" priority="11728" operator="equal">
      <formula>3</formula>
    </cfRule>
    <cfRule type="cellIs" dxfId="1737" priority="11724" operator="equal">
      <formula>9</formula>
    </cfRule>
    <cfRule type="cellIs" dxfId="1736" priority="11726" operator="equal">
      <formula>7</formula>
    </cfRule>
    <cfRule type="cellIs" dxfId="1735" priority="11727" operator="equal">
      <formula>5</formula>
    </cfRule>
  </conditionalFormatting>
  <conditionalFormatting sqref="Z335:AC335 T335:U335">
    <cfRule type="cellIs" dxfId="1734" priority="3680" operator="equal">
      <formula>5</formula>
    </cfRule>
    <cfRule type="cellIs" dxfId="1733" priority="3678" operator="equal">
      <formula>0</formula>
    </cfRule>
    <cfRule type="cellIs" dxfId="1732" priority="3681" operator="equal">
      <formula>3</formula>
    </cfRule>
    <cfRule type="cellIs" dxfId="1731" priority="3677" operator="equal">
      <formula>9</formula>
    </cfRule>
    <cfRule type="cellIs" dxfId="1730" priority="3676" operator="equal">
      <formula>11</formula>
    </cfRule>
    <cfRule type="cellIs" dxfId="1729" priority="3675" operator="equal">
      <formula>22</formula>
    </cfRule>
    <cfRule type="cellIs" dxfId="1728" priority="3679" operator="equal">
      <formula>7</formula>
    </cfRule>
    <cfRule type="cellIs" dxfId="1727" priority="3674" operator="equal">
      <formula>2</formula>
    </cfRule>
    <cfRule type="cellIs" dxfId="1726" priority="3673" operator="equal">
      <formula>4</formula>
    </cfRule>
    <cfRule type="cellIs" dxfId="1725" priority="3682" operator="equal">
      <formula>1</formula>
    </cfRule>
  </conditionalFormatting>
  <conditionalFormatting sqref="Z336:AC342 T336:U342">
    <cfRule type="cellIs" dxfId="1724" priority="3653" operator="equal">
      <formula>9</formula>
    </cfRule>
    <cfRule type="cellIs" dxfId="1723" priority="3650" operator="equal">
      <formula>2</formula>
    </cfRule>
    <cfRule type="cellIs" dxfId="1722" priority="3657" operator="equal">
      <formula>3</formula>
    </cfRule>
    <cfRule type="cellIs" dxfId="1721" priority="3656" operator="equal">
      <formula>5</formula>
    </cfRule>
    <cfRule type="cellIs" dxfId="1720" priority="3655" operator="equal">
      <formula>7</formula>
    </cfRule>
    <cfRule type="cellIs" dxfId="1719" priority="3658" operator="equal">
      <formula>1</formula>
    </cfRule>
    <cfRule type="cellIs" dxfId="1718" priority="3652" operator="equal">
      <formula>11</formula>
    </cfRule>
    <cfRule type="cellIs" dxfId="1717" priority="3649" operator="equal">
      <formula>4</formula>
    </cfRule>
    <cfRule type="cellIs" dxfId="1716" priority="3654" operator="equal">
      <formula>0</formula>
    </cfRule>
    <cfRule type="cellIs" dxfId="1715" priority="3651" operator="equal">
      <formula>22</formula>
    </cfRule>
  </conditionalFormatting>
  <conditionalFormatting sqref="Z345:AC345 T345:U345">
    <cfRule type="cellIs" dxfId="1714" priority="3610" operator="equal">
      <formula>1</formula>
    </cfRule>
    <cfRule type="cellIs" dxfId="1713" priority="3603" operator="equal">
      <formula>22</formula>
    </cfRule>
    <cfRule type="cellIs" dxfId="1712" priority="3601" operator="equal">
      <formula>4</formula>
    </cfRule>
    <cfRule type="cellIs" dxfId="1711" priority="3605" operator="equal">
      <formula>9</formula>
    </cfRule>
    <cfRule type="cellIs" dxfId="1710" priority="3602" operator="equal">
      <formula>2</formula>
    </cfRule>
    <cfRule type="cellIs" dxfId="1709" priority="3608" operator="equal">
      <formula>5</formula>
    </cfRule>
    <cfRule type="cellIs" dxfId="1708" priority="3607" operator="equal">
      <formula>7</formula>
    </cfRule>
    <cfRule type="cellIs" dxfId="1707" priority="3609" operator="equal">
      <formula>3</formula>
    </cfRule>
    <cfRule type="cellIs" dxfId="1706" priority="3604" operator="equal">
      <formula>11</formula>
    </cfRule>
    <cfRule type="cellIs" dxfId="1705" priority="3606" operator="equal">
      <formula>0</formula>
    </cfRule>
  </conditionalFormatting>
  <conditionalFormatting sqref="Z346:AC355 T346:U355">
    <cfRule type="cellIs" dxfId="1704" priority="3585" operator="equal">
      <formula>3</formula>
    </cfRule>
    <cfRule type="cellIs" dxfId="1703" priority="3582" operator="equal">
      <formula>0</formula>
    </cfRule>
    <cfRule type="cellIs" dxfId="1702" priority="3579" operator="equal">
      <formula>22</formula>
    </cfRule>
    <cfRule type="cellIs" dxfId="1701" priority="3586" operator="equal">
      <formula>1</formula>
    </cfRule>
    <cfRule type="cellIs" dxfId="1700" priority="3578" operator="equal">
      <formula>2</formula>
    </cfRule>
    <cfRule type="cellIs" dxfId="1699" priority="3584" operator="equal">
      <formula>5</formula>
    </cfRule>
    <cfRule type="cellIs" dxfId="1698" priority="3583" operator="equal">
      <formula>7</formula>
    </cfRule>
    <cfRule type="cellIs" dxfId="1697" priority="3577" operator="equal">
      <formula>4</formula>
    </cfRule>
    <cfRule type="cellIs" dxfId="1696" priority="3580" operator="equal">
      <formula>11</formula>
    </cfRule>
    <cfRule type="cellIs" dxfId="1695" priority="3581" operator="equal">
      <formula>9</formula>
    </cfRule>
  </conditionalFormatting>
  <conditionalFormatting sqref="Z358:AC358 T358:U358">
    <cfRule type="cellIs" dxfId="1694" priority="3562" operator="equal">
      <formula>1</formula>
    </cfRule>
    <cfRule type="cellIs" dxfId="1693" priority="3561" operator="equal">
      <formula>3</formula>
    </cfRule>
    <cfRule type="cellIs" dxfId="1692" priority="3560" operator="equal">
      <formula>5</formula>
    </cfRule>
    <cfRule type="cellIs" dxfId="1691" priority="3559" operator="equal">
      <formula>7</formula>
    </cfRule>
    <cfRule type="cellIs" dxfId="1690" priority="3558" operator="equal">
      <formula>0</formula>
    </cfRule>
    <cfRule type="cellIs" dxfId="1689" priority="3557" operator="equal">
      <formula>9</formula>
    </cfRule>
    <cfRule type="cellIs" dxfId="1688" priority="3556" operator="equal">
      <formula>11</formula>
    </cfRule>
    <cfRule type="cellIs" dxfId="1687" priority="3555" operator="equal">
      <formula>22</formula>
    </cfRule>
    <cfRule type="cellIs" dxfId="1686" priority="3554" operator="equal">
      <formula>2</formula>
    </cfRule>
    <cfRule type="cellIs" dxfId="1685" priority="3553" operator="equal">
      <formula>4</formula>
    </cfRule>
  </conditionalFormatting>
  <conditionalFormatting sqref="Z376:AC376 T376:U376">
    <cfRule type="cellIs" dxfId="1684" priority="3534" operator="equal">
      <formula>7</formula>
    </cfRule>
    <cfRule type="cellIs" dxfId="1683" priority="3531" operator="equal">
      <formula>11</formula>
    </cfRule>
    <cfRule type="cellIs" dxfId="1682" priority="3529" operator="equal">
      <formula>2</formula>
    </cfRule>
    <cfRule type="cellIs" dxfId="1681" priority="3532" operator="equal">
      <formula>9</formula>
    </cfRule>
    <cfRule type="cellIs" dxfId="1680" priority="3530" operator="equal">
      <formula>22</formula>
    </cfRule>
    <cfRule type="cellIs" dxfId="1679" priority="3528" operator="equal">
      <formula>4</formula>
    </cfRule>
    <cfRule type="cellIs" dxfId="1678" priority="3537" operator="equal">
      <formula>1</formula>
    </cfRule>
    <cfRule type="cellIs" dxfId="1677" priority="3535" operator="equal">
      <formula>5</formula>
    </cfRule>
    <cfRule type="cellIs" dxfId="1676" priority="3533" operator="equal">
      <formula>0</formula>
    </cfRule>
    <cfRule type="cellIs" dxfId="1675" priority="3536" operator="equal">
      <formula>3</formula>
    </cfRule>
  </conditionalFormatting>
  <conditionalFormatting sqref="Z383:AC383 T383:U383">
    <cfRule type="cellIs" dxfId="1674" priority="3456" operator="equal">
      <formula>11</formula>
    </cfRule>
    <cfRule type="cellIs" dxfId="1673" priority="3459" operator="equal">
      <formula>7</formula>
    </cfRule>
    <cfRule type="cellIs" dxfId="1672" priority="3454" operator="equal">
      <formula>2</formula>
    </cfRule>
    <cfRule type="cellIs" dxfId="1671" priority="3462" operator="equal">
      <formula>1</formula>
    </cfRule>
    <cfRule type="cellIs" dxfId="1670" priority="3457" operator="equal">
      <formula>9</formula>
    </cfRule>
    <cfRule type="cellIs" dxfId="1669" priority="3453" operator="equal">
      <formula>4</formula>
    </cfRule>
    <cfRule type="cellIs" dxfId="1668" priority="3460" operator="equal">
      <formula>5</formula>
    </cfRule>
    <cfRule type="cellIs" dxfId="1667" priority="3455" operator="equal">
      <formula>22</formula>
    </cfRule>
    <cfRule type="cellIs" dxfId="1666" priority="3461" operator="equal">
      <formula>3</formula>
    </cfRule>
    <cfRule type="cellIs" dxfId="1665" priority="3458" operator="equal">
      <formula>0</formula>
    </cfRule>
  </conditionalFormatting>
  <conditionalFormatting sqref="Z384:AC390 T384:U390">
    <cfRule type="cellIs" dxfId="1664" priority="3433" operator="equal">
      <formula>9</formula>
    </cfRule>
    <cfRule type="cellIs" dxfId="1663" priority="3431" operator="equal">
      <formula>22</formula>
    </cfRule>
    <cfRule type="cellIs" dxfId="1662" priority="3434" operator="equal">
      <formula>0</formula>
    </cfRule>
    <cfRule type="cellIs" dxfId="1661" priority="3435" operator="equal">
      <formula>7</formula>
    </cfRule>
    <cfRule type="cellIs" dxfId="1660" priority="3432" operator="equal">
      <formula>11</formula>
    </cfRule>
    <cfRule type="cellIs" dxfId="1659" priority="3430" operator="equal">
      <formula>2</formula>
    </cfRule>
    <cfRule type="cellIs" dxfId="1658" priority="3436" operator="equal">
      <formula>5</formula>
    </cfRule>
    <cfRule type="cellIs" dxfId="1657" priority="3437" operator="equal">
      <formula>3</formula>
    </cfRule>
    <cfRule type="cellIs" dxfId="1656" priority="3438" operator="equal">
      <formula>1</formula>
    </cfRule>
    <cfRule type="cellIs" dxfId="1655" priority="3429" operator="equal">
      <formula>4</formula>
    </cfRule>
  </conditionalFormatting>
  <conditionalFormatting sqref="Z392:AC392 T392:U392">
    <cfRule type="cellIs" dxfId="1654" priority="23203" operator="equal">
      <formula>5</formula>
    </cfRule>
    <cfRule type="cellIs" dxfId="1653" priority="23197" operator="equal">
      <formula>2</formula>
    </cfRule>
    <cfRule type="cellIs" dxfId="1652" priority="23204" operator="equal">
      <formula>3</formula>
    </cfRule>
    <cfRule type="cellIs" dxfId="1651" priority="23202" operator="equal">
      <formula>7</formula>
    </cfRule>
    <cfRule type="cellIs" dxfId="1650" priority="23201" operator="equal">
      <formula>0</formula>
    </cfRule>
    <cfRule type="cellIs" dxfId="1649" priority="23200" operator="equal">
      <formula>9</formula>
    </cfRule>
    <cfRule type="cellIs" dxfId="1648" priority="23199" operator="equal">
      <formula>11</formula>
    </cfRule>
    <cfRule type="cellIs" dxfId="1647" priority="23198" operator="equal">
      <formula>22</formula>
    </cfRule>
    <cfRule type="cellIs" dxfId="1646" priority="23196" operator="equal">
      <formula>4</formula>
    </cfRule>
  </conditionalFormatting>
  <conditionalFormatting sqref="Z393:AC393 T393:U393">
    <cfRule type="cellIs" dxfId="1645" priority="3360" operator="equal">
      <formula>11</formula>
    </cfRule>
    <cfRule type="cellIs" dxfId="1644" priority="3365" operator="equal">
      <formula>3</formula>
    </cfRule>
    <cfRule type="cellIs" dxfId="1643" priority="3361" operator="equal">
      <formula>9</formula>
    </cfRule>
    <cfRule type="cellIs" dxfId="1642" priority="3363" operator="equal">
      <formula>7</formula>
    </cfRule>
    <cfRule type="cellIs" dxfId="1641" priority="3357" operator="equal">
      <formula>4</formula>
    </cfRule>
    <cfRule type="cellIs" dxfId="1640" priority="3366" operator="equal">
      <formula>1</formula>
    </cfRule>
    <cfRule type="cellIs" dxfId="1639" priority="3362" operator="equal">
      <formula>0</formula>
    </cfRule>
    <cfRule type="cellIs" dxfId="1638" priority="3364" operator="equal">
      <formula>5</formula>
    </cfRule>
    <cfRule type="cellIs" dxfId="1637" priority="3359" operator="equal">
      <formula>22</formula>
    </cfRule>
    <cfRule type="cellIs" dxfId="1636" priority="3358" operator="equal">
      <formula>2</formula>
    </cfRule>
  </conditionalFormatting>
  <conditionalFormatting sqref="Z394:AC398 T394:U398 T400:U401 Z400:AC401">
    <cfRule type="cellIs" dxfId="1635" priority="3338" operator="equal">
      <formula>0</formula>
    </cfRule>
    <cfRule type="cellIs" dxfId="1634" priority="3340" operator="equal">
      <formula>5</formula>
    </cfRule>
    <cfRule type="cellIs" dxfId="1633" priority="3342" operator="equal">
      <formula>1</formula>
    </cfRule>
    <cfRule type="cellIs" dxfId="1632" priority="3339" operator="equal">
      <formula>7</formula>
    </cfRule>
    <cfRule type="cellIs" dxfId="1631" priority="3333" operator="equal">
      <formula>4</formula>
    </cfRule>
    <cfRule type="cellIs" dxfId="1630" priority="3341" operator="equal">
      <formula>3</formula>
    </cfRule>
    <cfRule type="cellIs" dxfId="1629" priority="3337" operator="equal">
      <formula>9</formula>
    </cfRule>
    <cfRule type="cellIs" dxfId="1628" priority="3336" operator="equal">
      <formula>11</formula>
    </cfRule>
    <cfRule type="cellIs" dxfId="1627" priority="3335" operator="equal">
      <formula>22</formula>
    </cfRule>
    <cfRule type="cellIs" dxfId="1626" priority="3334" operator="equal">
      <formula>2</formula>
    </cfRule>
  </conditionalFormatting>
  <conditionalFormatting sqref="Z402:AC402 T402:U402">
    <cfRule type="cellIs" dxfId="1625" priority="23060" operator="equal">
      <formula>3</formula>
    </cfRule>
    <cfRule type="cellIs" dxfId="1624" priority="23057" operator="equal">
      <formula>0</formula>
    </cfRule>
    <cfRule type="cellIs" dxfId="1623" priority="23058" operator="equal">
      <formula>7</formula>
    </cfRule>
    <cfRule type="cellIs" dxfId="1622" priority="23056" operator="equal">
      <formula>9</formula>
    </cfRule>
    <cfRule type="cellIs" dxfId="1621" priority="23059" operator="equal">
      <formula>5</formula>
    </cfRule>
    <cfRule type="cellIs" dxfId="1620" priority="23052" operator="equal">
      <formula>4</formula>
    </cfRule>
    <cfRule type="cellIs" dxfId="1619" priority="23055" operator="equal">
      <formula>11</formula>
    </cfRule>
    <cfRule type="cellIs" dxfId="1618" priority="23054" operator="equal">
      <formula>22</formula>
    </cfRule>
    <cfRule type="cellIs" dxfId="1617" priority="23053" operator="equal">
      <formula>2</formula>
    </cfRule>
  </conditionalFormatting>
  <conditionalFormatting sqref="Z404:AC404 T404:U404">
    <cfRule type="cellIs" dxfId="1616" priority="3189" operator="equal">
      <formula>4</formula>
    </cfRule>
    <cfRule type="cellIs" dxfId="1615" priority="3192" operator="equal">
      <formula>11</formula>
    </cfRule>
    <cfRule type="cellIs" dxfId="1614" priority="3195" operator="equal">
      <formula>7</formula>
    </cfRule>
    <cfRule type="cellIs" dxfId="1613" priority="3191" operator="equal">
      <formula>22</formula>
    </cfRule>
    <cfRule type="cellIs" dxfId="1612" priority="3198" operator="equal">
      <formula>1</formula>
    </cfRule>
    <cfRule type="cellIs" dxfId="1611" priority="3193" operator="equal">
      <formula>9</formula>
    </cfRule>
    <cfRule type="cellIs" dxfId="1610" priority="3194" operator="equal">
      <formula>0</formula>
    </cfRule>
    <cfRule type="cellIs" dxfId="1609" priority="3190" operator="equal">
      <formula>2</formula>
    </cfRule>
    <cfRule type="cellIs" dxfId="1608" priority="3196" operator="equal">
      <formula>5</formula>
    </cfRule>
    <cfRule type="cellIs" dxfId="1607" priority="3197" operator="equal">
      <formula>3</formula>
    </cfRule>
  </conditionalFormatting>
  <conditionalFormatting sqref="Z405:AC413 T405:U413">
    <cfRule type="cellIs" dxfId="1606" priority="3174" operator="equal">
      <formula>1</formula>
    </cfRule>
    <cfRule type="cellIs" dxfId="1605" priority="3167" operator="equal">
      <formula>22</formula>
    </cfRule>
    <cfRule type="cellIs" dxfId="1604" priority="3172" operator="equal">
      <formula>5</formula>
    </cfRule>
    <cfRule type="cellIs" dxfId="1603" priority="3171" operator="equal">
      <formula>7</formula>
    </cfRule>
    <cfRule type="cellIs" dxfId="1602" priority="3165" operator="equal">
      <formula>4</formula>
    </cfRule>
    <cfRule type="cellIs" dxfId="1601" priority="3170" operator="equal">
      <formula>0</formula>
    </cfRule>
    <cfRule type="cellIs" dxfId="1600" priority="3169" operator="equal">
      <formula>9</formula>
    </cfRule>
    <cfRule type="cellIs" dxfId="1599" priority="3166" operator="equal">
      <formula>2</formula>
    </cfRule>
    <cfRule type="cellIs" dxfId="1598" priority="3168" operator="equal">
      <formula>11</formula>
    </cfRule>
    <cfRule type="cellIs" dxfId="1597" priority="3173" operator="equal">
      <formula>3</formula>
    </cfRule>
  </conditionalFormatting>
  <conditionalFormatting sqref="Z416:AC416 T416:U416">
    <cfRule type="cellIs" dxfId="1596" priority="3145" operator="equal">
      <formula>9</formula>
    </cfRule>
    <cfRule type="cellIs" dxfId="1595" priority="3142" operator="equal">
      <formula>2</formula>
    </cfRule>
    <cfRule type="cellIs" dxfId="1594" priority="3149" operator="equal">
      <formula>3</formula>
    </cfRule>
    <cfRule type="cellIs" dxfId="1593" priority="3143" operator="equal">
      <formula>22</formula>
    </cfRule>
    <cfRule type="cellIs" dxfId="1592" priority="3147" operator="equal">
      <formula>7</formula>
    </cfRule>
    <cfRule type="cellIs" dxfId="1591" priority="3148" operator="equal">
      <formula>5</formula>
    </cfRule>
    <cfRule type="cellIs" dxfId="1590" priority="3146" operator="equal">
      <formula>0</formula>
    </cfRule>
    <cfRule type="cellIs" dxfId="1589" priority="3150" operator="equal">
      <formula>1</formula>
    </cfRule>
    <cfRule type="cellIs" dxfId="1588" priority="3144" operator="equal">
      <formula>11</formula>
    </cfRule>
    <cfRule type="cellIs" dxfId="1587" priority="3141" operator="equal">
      <formula>4</formula>
    </cfRule>
  </conditionalFormatting>
  <conditionalFormatting sqref="Z417:AC426 T417:U426">
    <cfRule type="cellIs" dxfId="1586" priority="3122" operator="equal">
      <formula>0</formula>
    </cfRule>
    <cfRule type="cellIs" dxfId="1585" priority="3123" operator="equal">
      <formula>7</formula>
    </cfRule>
    <cfRule type="cellIs" dxfId="1584" priority="3117" operator="equal">
      <formula>4</formula>
    </cfRule>
    <cfRule type="cellIs" dxfId="1583" priority="3126" operator="equal">
      <formula>1</formula>
    </cfRule>
    <cfRule type="cellIs" dxfId="1582" priority="3125" operator="equal">
      <formula>3</formula>
    </cfRule>
    <cfRule type="cellIs" dxfId="1581" priority="3118" operator="equal">
      <formula>2</formula>
    </cfRule>
    <cfRule type="cellIs" dxfId="1580" priority="3124" operator="equal">
      <formula>5</formula>
    </cfRule>
    <cfRule type="cellIs" dxfId="1579" priority="3121" operator="equal">
      <formula>9</formula>
    </cfRule>
    <cfRule type="cellIs" dxfId="1578" priority="3120" operator="equal">
      <formula>11</formula>
    </cfRule>
    <cfRule type="cellIs" dxfId="1577" priority="3119" operator="equal">
      <formula>22</formula>
    </cfRule>
  </conditionalFormatting>
  <conditionalFormatting sqref="Z430:AC430 T430:U430">
    <cfRule type="cellIs" dxfId="1576" priority="3095" operator="equal">
      <formula>22</formula>
    </cfRule>
    <cfRule type="cellIs" dxfId="1575" priority="3100" operator="equal">
      <formula>5</formula>
    </cfRule>
    <cfRule type="cellIs" dxfId="1574" priority="3102" operator="equal">
      <formula>1</formula>
    </cfRule>
    <cfRule type="cellIs" dxfId="1573" priority="3093" operator="equal">
      <formula>4</formula>
    </cfRule>
    <cfRule type="cellIs" dxfId="1572" priority="3098" operator="equal">
      <formula>0</formula>
    </cfRule>
    <cfRule type="cellIs" dxfId="1571" priority="3097" operator="equal">
      <formula>9</formula>
    </cfRule>
    <cfRule type="cellIs" dxfId="1570" priority="3101" operator="equal">
      <formula>3</formula>
    </cfRule>
    <cfRule type="cellIs" dxfId="1569" priority="3096" operator="equal">
      <formula>11</formula>
    </cfRule>
    <cfRule type="cellIs" dxfId="1568" priority="3094" operator="equal">
      <formula>2</formula>
    </cfRule>
    <cfRule type="cellIs" dxfId="1567" priority="3099" operator="equal">
      <formula>7</formula>
    </cfRule>
  </conditionalFormatting>
  <conditionalFormatting sqref="Z431:AC440 T431:U440">
    <cfRule type="cellIs" dxfId="1566" priority="3074" operator="equal">
      <formula>0</formula>
    </cfRule>
    <cfRule type="cellIs" dxfId="1565" priority="3071" operator="equal">
      <formula>22</formula>
    </cfRule>
    <cfRule type="cellIs" dxfId="1564" priority="3072" operator="equal">
      <formula>11</formula>
    </cfRule>
    <cfRule type="cellIs" dxfId="1563" priority="3075" operator="equal">
      <formula>7</formula>
    </cfRule>
    <cfRule type="cellIs" dxfId="1562" priority="3076" operator="equal">
      <formula>5</formula>
    </cfRule>
    <cfRule type="cellIs" dxfId="1561" priority="3069" operator="equal">
      <formula>4</formula>
    </cfRule>
    <cfRule type="cellIs" dxfId="1560" priority="3078" operator="equal">
      <formula>1</formula>
    </cfRule>
    <cfRule type="cellIs" dxfId="1559" priority="3077" operator="equal">
      <formula>3</formula>
    </cfRule>
    <cfRule type="cellIs" dxfId="1558" priority="3070" operator="equal">
      <formula>2</formula>
    </cfRule>
    <cfRule type="cellIs" dxfId="1557" priority="3073" operator="equal">
      <formula>9</formula>
    </cfRule>
  </conditionalFormatting>
  <conditionalFormatting sqref="Z443:AC443 T443:U443">
    <cfRule type="cellIs" dxfId="1556" priority="3021" operator="equal">
      <formula>9</formula>
    </cfRule>
    <cfRule type="cellIs" dxfId="1555" priority="3019" operator="equal">
      <formula>22</formula>
    </cfRule>
    <cfRule type="cellIs" dxfId="1554" priority="3024" operator="equal">
      <formula>5</formula>
    </cfRule>
    <cfRule type="cellIs" dxfId="1553" priority="3023" operator="equal">
      <formula>7</formula>
    </cfRule>
    <cfRule type="cellIs" dxfId="1552" priority="3017" operator="equal">
      <formula>4</formula>
    </cfRule>
    <cfRule type="cellIs" dxfId="1551" priority="3026" operator="equal">
      <formula>1</formula>
    </cfRule>
    <cfRule type="cellIs" dxfId="1550" priority="3020" operator="equal">
      <formula>11</formula>
    </cfRule>
    <cfRule type="cellIs" dxfId="1549" priority="3018" operator="equal">
      <formula>2</formula>
    </cfRule>
    <cfRule type="cellIs" dxfId="1548" priority="3025" operator="equal">
      <formula>3</formula>
    </cfRule>
    <cfRule type="cellIs" dxfId="1547" priority="3022" operator="equal">
      <formula>0</formula>
    </cfRule>
  </conditionalFormatting>
  <conditionalFormatting sqref="Z444:AC451 T444:U451">
    <cfRule type="cellIs" dxfId="1546" priority="2993" operator="equal">
      <formula>4</formula>
    </cfRule>
    <cfRule type="cellIs" dxfId="1545" priority="2999" operator="equal">
      <formula>7</formula>
    </cfRule>
    <cfRule type="cellIs" dxfId="1544" priority="2998" operator="equal">
      <formula>0</formula>
    </cfRule>
    <cfRule type="cellIs" dxfId="1543" priority="2995" operator="equal">
      <formula>22</formula>
    </cfRule>
    <cfRule type="cellIs" dxfId="1542" priority="3000" operator="equal">
      <formula>5</formula>
    </cfRule>
    <cfRule type="cellIs" dxfId="1541" priority="3001" operator="equal">
      <formula>3</formula>
    </cfRule>
    <cfRule type="cellIs" dxfId="1540" priority="3002" operator="equal">
      <formula>1</formula>
    </cfRule>
    <cfRule type="cellIs" dxfId="1539" priority="2996" operator="equal">
      <formula>11</formula>
    </cfRule>
    <cfRule type="cellIs" dxfId="1538" priority="2994" operator="equal">
      <formula>2</formula>
    </cfRule>
    <cfRule type="cellIs" dxfId="1537" priority="2997" operator="equal">
      <formula>9</formula>
    </cfRule>
  </conditionalFormatting>
  <conditionalFormatting sqref="Z454:AC454 T454:U454">
    <cfRule type="cellIs" dxfId="1536" priority="2970" operator="equal">
      <formula>2</formula>
    </cfRule>
    <cfRule type="cellIs" dxfId="1535" priority="2973" operator="equal">
      <formula>9</formula>
    </cfRule>
    <cfRule type="cellIs" dxfId="1534" priority="2969" operator="equal">
      <formula>4</formula>
    </cfRule>
    <cfRule type="cellIs" dxfId="1533" priority="2972" operator="equal">
      <formula>11</formula>
    </cfRule>
    <cfRule type="cellIs" dxfId="1532" priority="2971" operator="equal">
      <formula>22</formula>
    </cfRule>
    <cfRule type="cellIs" dxfId="1531" priority="2976" operator="equal">
      <formula>5</formula>
    </cfRule>
    <cfRule type="cellIs" dxfId="1530" priority="2974" operator="equal">
      <formula>0</formula>
    </cfRule>
    <cfRule type="cellIs" dxfId="1529" priority="2975" operator="equal">
      <formula>7</formula>
    </cfRule>
    <cfRule type="cellIs" dxfId="1528" priority="2977" operator="equal">
      <formula>3</formula>
    </cfRule>
    <cfRule type="cellIs" dxfId="1527" priority="2978" operator="equal">
      <formula>1</formula>
    </cfRule>
  </conditionalFormatting>
  <conditionalFormatting sqref="Z455:AC462 T455:U462">
    <cfRule type="cellIs" dxfId="1526" priority="2949" operator="equal">
      <formula>9</formula>
    </cfRule>
    <cfRule type="cellIs" dxfId="1525" priority="2950" operator="equal">
      <formula>0</formula>
    </cfRule>
    <cfRule type="cellIs" dxfId="1524" priority="2946" operator="equal">
      <formula>2</formula>
    </cfRule>
    <cfRule type="cellIs" dxfId="1523" priority="2945" operator="equal">
      <formula>4</formula>
    </cfRule>
    <cfRule type="cellIs" dxfId="1522" priority="2951" operator="equal">
      <formula>7</formula>
    </cfRule>
    <cfRule type="cellIs" dxfId="1521" priority="2952" operator="equal">
      <formula>5</formula>
    </cfRule>
    <cfRule type="cellIs" dxfId="1520" priority="2948" operator="equal">
      <formula>11</formula>
    </cfRule>
    <cfRule type="cellIs" dxfId="1519" priority="2953" operator="equal">
      <formula>3</formula>
    </cfRule>
    <cfRule type="cellIs" dxfId="1518" priority="2947" operator="equal">
      <formula>22</formula>
    </cfRule>
    <cfRule type="cellIs" dxfId="1517" priority="2954" operator="equal">
      <formula>1</formula>
    </cfRule>
  </conditionalFormatting>
  <conditionalFormatting sqref="Z463:AC464 T463:U464">
    <cfRule type="cellIs" dxfId="1516" priority="22670" operator="equal">
      <formula>11</formula>
    </cfRule>
    <cfRule type="cellIs" dxfId="1515" priority="22669" operator="equal">
      <formula>22</formula>
    </cfRule>
    <cfRule type="cellIs" dxfId="1514" priority="22668" operator="equal">
      <formula>2</formula>
    </cfRule>
    <cfRule type="cellIs" dxfId="1513" priority="22672" operator="equal">
      <formula>0</formula>
    </cfRule>
    <cfRule type="cellIs" dxfId="1512" priority="22673" operator="equal">
      <formula>7</formula>
    </cfRule>
    <cfRule type="cellIs" dxfId="1511" priority="22675" operator="equal">
      <formula>3</formula>
    </cfRule>
    <cfRule type="cellIs" dxfId="1510" priority="22667" operator="equal">
      <formula>4</formula>
    </cfRule>
    <cfRule type="cellIs" dxfId="1509" priority="22671" operator="equal">
      <formula>9</formula>
    </cfRule>
    <cfRule type="cellIs" dxfId="1508" priority="22674" operator="equal">
      <formula>5</formula>
    </cfRule>
  </conditionalFormatting>
  <conditionalFormatting sqref="Z465:AC465 T465:U465">
    <cfRule type="cellIs" dxfId="1507" priority="2921" operator="equal">
      <formula>4</formula>
    </cfRule>
    <cfRule type="cellIs" dxfId="1506" priority="2924" operator="equal">
      <formula>11</formula>
    </cfRule>
    <cfRule type="cellIs" dxfId="1505" priority="2929" operator="equal">
      <formula>3</formula>
    </cfRule>
    <cfRule type="cellIs" dxfId="1504" priority="2928" operator="equal">
      <formula>5</formula>
    </cfRule>
    <cfRule type="cellIs" dxfId="1503" priority="2930" operator="equal">
      <formula>1</formula>
    </cfRule>
    <cfRule type="cellIs" dxfId="1502" priority="2925" operator="equal">
      <formula>9</formula>
    </cfRule>
    <cfRule type="cellIs" dxfId="1501" priority="2922" operator="equal">
      <formula>2</formula>
    </cfRule>
    <cfRule type="cellIs" dxfId="1500" priority="2926" operator="equal">
      <formula>0</formula>
    </cfRule>
    <cfRule type="cellIs" dxfId="1499" priority="2923" operator="equal">
      <formula>22</formula>
    </cfRule>
    <cfRule type="cellIs" dxfId="1498" priority="2927" operator="equal">
      <formula>7</formula>
    </cfRule>
  </conditionalFormatting>
  <conditionalFormatting sqref="Z466:AC473 T466:U473">
    <cfRule type="cellIs" dxfId="1497" priority="2901" operator="equal">
      <formula>9</formula>
    </cfRule>
    <cfRule type="cellIs" dxfId="1496" priority="2902" operator="equal">
      <formula>0</formula>
    </cfRule>
    <cfRule type="cellIs" dxfId="1495" priority="2898" operator="equal">
      <formula>2</formula>
    </cfRule>
    <cfRule type="cellIs" dxfId="1494" priority="2900" operator="equal">
      <formula>11</formula>
    </cfRule>
    <cfRule type="cellIs" dxfId="1493" priority="2904" operator="equal">
      <formula>5</formula>
    </cfRule>
    <cfRule type="cellIs" dxfId="1492" priority="2899" operator="equal">
      <formula>22</formula>
    </cfRule>
    <cfRule type="cellIs" dxfId="1491" priority="2906" operator="equal">
      <formula>1</formula>
    </cfRule>
    <cfRule type="cellIs" dxfId="1490" priority="2903" operator="equal">
      <formula>7</formula>
    </cfRule>
    <cfRule type="cellIs" dxfId="1489" priority="2897" operator="equal">
      <formula>4</formula>
    </cfRule>
    <cfRule type="cellIs" dxfId="1488" priority="2905" operator="equal">
      <formula>3</formula>
    </cfRule>
  </conditionalFormatting>
  <conditionalFormatting sqref="Z475:AC475 T475:U475">
    <cfRule type="cellIs" dxfId="1487" priority="2874" operator="equal">
      <formula>2</formula>
    </cfRule>
    <cfRule type="cellIs" dxfId="1486" priority="2873" operator="equal">
      <formula>4</formula>
    </cfRule>
    <cfRule type="cellIs" dxfId="1485" priority="2876" operator="equal">
      <formula>11</formula>
    </cfRule>
    <cfRule type="cellIs" dxfId="1484" priority="2879" operator="equal">
      <formula>7</formula>
    </cfRule>
    <cfRule type="cellIs" dxfId="1483" priority="2877" operator="equal">
      <formula>9</formula>
    </cfRule>
    <cfRule type="cellIs" dxfId="1482" priority="2878" operator="equal">
      <formula>0</formula>
    </cfRule>
    <cfRule type="cellIs" dxfId="1481" priority="2880" operator="equal">
      <formula>5</formula>
    </cfRule>
    <cfRule type="cellIs" dxfId="1480" priority="2881" operator="equal">
      <formula>3</formula>
    </cfRule>
    <cfRule type="cellIs" dxfId="1479" priority="2875" operator="equal">
      <formula>22</formula>
    </cfRule>
    <cfRule type="cellIs" dxfId="1478" priority="2882" operator="equal">
      <formula>1</formula>
    </cfRule>
  </conditionalFormatting>
  <conditionalFormatting sqref="Z476:AC483 T476:U483">
    <cfRule type="cellIs" dxfId="1477" priority="2856" operator="equal">
      <formula>5</formula>
    </cfRule>
    <cfRule type="cellIs" dxfId="1476" priority="2855" operator="equal">
      <formula>7</formula>
    </cfRule>
    <cfRule type="cellIs" dxfId="1475" priority="2849" operator="equal">
      <formula>4</formula>
    </cfRule>
    <cfRule type="cellIs" dxfId="1474" priority="2858" operator="equal">
      <formula>1</formula>
    </cfRule>
    <cfRule type="cellIs" dxfId="1473" priority="2850" operator="equal">
      <formula>2</formula>
    </cfRule>
    <cfRule type="cellIs" dxfId="1472" priority="2851" operator="equal">
      <formula>22</formula>
    </cfRule>
    <cfRule type="cellIs" dxfId="1471" priority="2852" operator="equal">
      <formula>11</formula>
    </cfRule>
    <cfRule type="cellIs" dxfId="1470" priority="2857" operator="equal">
      <formula>3</formula>
    </cfRule>
    <cfRule type="cellIs" dxfId="1469" priority="2853" operator="equal">
      <formula>9</formula>
    </cfRule>
    <cfRule type="cellIs" dxfId="1468" priority="2854" operator="equal">
      <formula>0</formula>
    </cfRule>
  </conditionalFormatting>
  <conditionalFormatting sqref="Z484:AC484 T484:U484">
    <cfRule type="cellIs" dxfId="1467" priority="2831" operator="equal">
      <formula>7</formula>
    </cfRule>
    <cfRule type="cellIs" dxfId="1466" priority="2832" operator="equal">
      <formula>5</formula>
    </cfRule>
    <cfRule type="cellIs" dxfId="1465" priority="2828" operator="equal">
      <formula>11</formula>
    </cfRule>
    <cfRule type="cellIs" dxfId="1464" priority="2829" operator="equal">
      <formula>9</formula>
    </cfRule>
    <cfRule type="cellIs" dxfId="1463" priority="2830" operator="equal">
      <formula>0</formula>
    </cfRule>
    <cfRule type="cellIs" dxfId="1462" priority="2833" operator="equal">
      <formula>3</formula>
    </cfRule>
    <cfRule type="cellIs" dxfId="1461" priority="2827" operator="equal">
      <formula>22</formula>
    </cfRule>
    <cfRule type="cellIs" dxfId="1460" priority="2826" operator="equal">
      <formula>2</formula>
    </cfRule>
    <cfRule type="cellIs" dxfId="1459" priority="2825" operator="equal">
      <formula>4</formula>
    </cfRule>
    <cfRule type="cellIs" dxfId="1458" priority="2834" operator="equal">
      <formula>1</formula>
    </cfRule>
  </conditionalFormatting>
  <conditionalFormatting sqref="Z485:AC485 T485:U485">
    <cfRule type="cellIs" dxfId="1457" priority="22555" operator="equal">
      <formula>3</formula>
    </cfRule>
    <cfRule type="cellIs" dxfId="1456" priority="22549" operator="equal">
      <formula>22</formula>
    </cfRule>
    <cfRule type="cellIs" dxfId="1455" priority="22550" operator="equal">
      <formula>11</formula>
    </cfRule>
    <cfRule type="cellIs" dxfId="1454" priority="22554" operator="equal">
      <formula>5</formula>
    </cfRule>
    <cfRule type="cellIs" dxfId="1453" priority="22551" operator="equal">
      <formula>9</formula>
    </cfRule>
    <cfRule type="cellIs" dxfId="1452" priority="22552" operator="equal">
      <formula>0</formula>
    </cfRule>
    <cfRule type="cellIs" dxfId="1451" priority="22547" operator="equal">
      <formula>4</formula>
    </cfRule>
    <cfRule type="cellIs" dxfId="1450" priority="22553" operator="equal">
      <formula>7</formula>
    </cfRule>
    <cfRule type="cellIs" dxfId="1449" priority="22548" operator="equal">
      <formula>2</formula>
    </cfRule>
  </conditionalFormatting>
  <conditionalFormatting sqref="Z486:AC486 T486:U486">
    <cfRule type="cellIs" dxfId="1448" priority="2757" operator="equal">
      <formula>9</formula>
    </cfRule>
    <cfRule type="cellIs" dxfId="1447" priority="2756" operator="equal">
      <formula>11</formula>
    </cfRule>
    <cfRule type="cellIs" dxfId="1446" priority="2755" operator="equal">
      <formula>22</formula>
    </cfRule>
    <cfRule type="cellIs" dxfId="1445" priority="2758" operator="equal">
      <formula>0</formula>
    </cfRule>
    <cfRule type="cellIs" dxfId="1444" priority="2759" operator="equal">
      <formula>7</formula>
    </cfRule>
    <cfRule type="cellIs" dxfId="1443" priority="2754" operator="equal">
      <formula>2</formula>
    </cfRule>
    <cfRule type="cellIs" dxfId="1442" priority="2753" operator="equal">
      <formula>4</formula>
    </cfRule>
    <cfRule type="cellIs" dxfId="1441" priority="2761" operator="equal">
      <formula>3</formula>
    </cfRule>
    <cfRule type="cellIs" dxfId="1440" priority="2762" operator="equal">
      <formula>1</formula>
    </cfRule>
    <cfRule type="cellIs" dxfId="1439" priority="2760" operator="equal">
      <formula>5</formula>
    </cfRule>
  </conditionalFormatting>
  <conditionalFormatting sqref="Z487:AC496 T487:U496">
    <cfRule type="cellIs" dxfId="1438" priority="2729" operator="equal">
      <formula>4</formula>
    </cfRule>
    <cfRule type="cellIs" dxfId="1437" priority="2735" operator="equal">
      <formula>7</formula>
    </cfRule>
    <cfRule type="cellIs" dxfId="1436" priority="2730" operator="equal">
      <formula>2</formula>
    </cfRule>
    <cfRule type="cellIs" dxfId="1435" priority="2734" operator="equal">
      <formula>0</formula>
    </cfRule>
    <cfRule type="cellIs" dxfId="1434" priority="2733" operator="equal">
      <formula>9</formula>
    </cfRule>
    <cfRule type="cellIs" dxfId="1433" priority="2731" operator="equal">
      <formula>22</formula>
    </cfRule>
    <cfRule type="cellIs" dxfId="1432" priority="2732" operator="equal">
      <formula>11</formula>
    </cfRule>
    <cfRule type="cellIs" dxfId="1431" priority="2736" operator="equal">
      <formula>5</formula>
    </cfRule>
    <cfRule type="cellIs" dxfId="1430" priority="2737" operator="equal">
      <formula>3</formula>
    </cfRule>
    <cfRule type="cellIs" dxfId="1429" priority="2738" operator="equal">
      <formula>1</formula>
    </cfRule>
  </conditionalFormatting>
  <conditionalFormatting sqref="Z498:AC498 T498:U498">
    <cfRule type="cellIs" dxfId="1428" priority="2712" operator="equal">
      <formula>5</formula>
    </cfRule>
    <cfRule type="cellIs" dxfId="1427" priority="2706" operator="equal">
      <formula>2</formula>
    </cfRule>
    <cfRule type="cellIs" dxfId="1426" priority="2705" operator="equal">
      <formula>4</formula>
    </cfRule>
    <cfRule type="cellIs" dxfId="1425" priority="2713" operator="equal">
      <formula>3</formula>
    </cfRule>
    <cfRule type="cellIs" dxfId="1424" priority="2708" operator="equal">
      <formula>11</formula>
    </cfRule>
    <cfRule type="cellIs" dxfId="1423" priority="2709" operator="equal">
      <formula>9</formula>
    </cfRule>
    <cfRule type="cellIs" dxfId="1422" priority="2714" operator="equal">
      <formula>1</formula>
    </cfRule>
    <cfRule type="cellIs" dxfId="1421" priority="2707" operator="equal">
      <formula>22</formula>
    </cfRule>
    <cfRule type="cellIs" dxfId="1420" priority="2710" operator="equal">
      <formula>0</formula>
    </cfRule>
    <cfRule type="cellIs" dxfId="1419" priority="2711" operator="equal">
      <formula>7</formula>
    </cfRule>
  </conditionalFormatting>
  <conditionalFormatting sqref="Z499:AC499 T499:U499">
    <cfRule type="cellIs" dxfId="1418" priority="2685" operator="equal">
      <formula>9</formula>
    </cfRule>
    <cfRule type="cellIs" dxfId="1417" priority="2690" operator="equal">
      <formula>1</formula>
    </cfRule>
    <cfRule type="cellIs" dxfId="1416" priority="2681" operator="equal">
      <formula>4</formula>
    </cfRule>
    <cfRule type="cellIs" dxfId="1415" priority="2689" operator="equal">
      <formula>3</formula>
    </cfRule>
    <cfRule type="cellIs" dxfId="1414" priority="2688" operator="equal">
      <formula>5</formula>
    </cfRule>
    <cfRule type="cellIs" dxfId="1413" priority="2687" operator="equal">
      <formula>7</formula>
    </cfRule>
    <cfRule type="cellIs" dxfId="1412" priority="2682" operator="equal">
      <formula>2</formula>
    </cfRule>
    <cfRule type="cellIs" dxfId="1411" priority="2686" operator="equal">
      <formula>0</formula>
    </cfRule>
    <cfRule type="cellIs" dxfId="1410" priority="2683" operator="equal">
      <formula>22</formula>
    </cfRule>
    <cfRule type="cellIs" dxfId="1409" priority="2684" operator="equal">
      <formula>11</formula>
    </cfRule>
  </conditionalFormatting>
  <conditionalFormatting sqref="Z500:AC507 T500:U507">
    <cfRule type="cellIs" dxfId="1408" priority="2662" operator="equal">
      <formula>0</formula>
    </cfRule>
    <cfRule type="cellIs" dxfId="1407" priority="2660" operator="equal">
      <formula>11</formula>
    </cfRule>
    <cfRule type="cellIs" dxfId="1406" priority="2659" operator="equal">
      <formula>22</formula>
    </cfRule>
    <cfRule type="cellIs" dxfId="1405" priority="2658" operator="equal">
      <formula>2</formula>
    </cfRule>
    <cfRule type="cellIs" dxfId="1404" priority="2657" operator="equal">
      <formula>4</formula>
    </cfRule>
    <cfRule type="cellIs" dxfId="1403" priority="2666" operator="equal">
      <formula>1</formula>
    </cfRule>
    <cfRule type="cellIs" dxfId="1402" priority="2661" operator="equal">
      <formula>9</formula>
    </cfRule>
    <cfRule type="cellIs" dxfId="1401" priority="2665" operator="equal">
      <formula>3</formula>
    </cfRule>
    <cfRule type="cellIs" dxfId="1400" priority="2664" operator="equal">
      <formula>5</formula>
    </cfRule>
    <cfRule type="cellIs" dxfId="1399" priority="2663" operator="equal">
      <formula>7</formula>
    </cfRule>
  </conditionalFormatting>
  <conditionalFormatting sqref="Z508:AC508 T508:U508">
    <cfRule type="cellIs" dxfId="1398" priority="47823" operator="equal">
      <formula>9</formula>
    </cfRule>
    <cfRule type="cellIs" dxfId="1397" priority="47824" operator="equal">
      <formula>0</formula>
    </cfRule>
    <cfRule type="cellIs" dxfId="1396" priority="47822" operator="equal">
      <formula>11</formula>
    </cfRule>
    <cfRule type="cellIs" dxfId="1395" priority="47821" operator="equal">
      <formula>22</formula>
    </cfRule>
    <cfRule type="cellIs" dxfId="1394" priority="47820" operator="equal">
      <formula>2</formula>
    </cfRule>
    <cfRule type="cellIs" dxfId="1393" priority="47819" operator="equal">
      <formula>4</formula>
    </cfRule>
    <cfRule type="cellIs" dxfId="1392" priority="47826" operator="equal">
      <formula>5</formula>
    </cfRule>
    <cfRule type="cellIs" dxfId="1391" priority="47827" operator="equal">
      <formula>3</formula>
    </cfRule>
    <cfRule type="cellIs" dxfId="1390" priority="47825" operator="equal">
      <formula>7</formula>
    </cfRule>
  </conditionalFormatting>
  <conditionalFormatting sqref="Z509:AC509 T509:U509">
    <cfRule type="cellIs" dxfId="1389" priority="2609" operator="equal">
      <formula>4</formula>
    </cfRule>
    <cfRule type="cellIs" dxfId="1388" priority="2613" operator="equal">
      <formula>9</formula>
    </cfRule>
    <cfRule type="cellIs" dxfId="1387" priority="2614" operator="equal">
      <formula>0</formula>
    </cfRule>
    <cfRule type="cellIs" dxfId="1386" priority="2615" operator="equal">
      <formula>7</formula>
    </cfRule>
    <cfRule type="cellIs" dxfId="1385" priority="2616" operator="equal">
      <formula>5</formula>
    </cfRule>
    <cfRule type="cellIs" dxfId="1384" priority="2610" operator="equal">
      <formula>2</formula>
    </cfRule>
    <cfRule type="cellIs" dxfId="1383" priority="2617" operator="equal">
      <formula>3</formula>
    </cfRule>
    <cfRule type="cellIs" dxfId="1382" priority="2612" operator="equal">
      <formula>11</formula>
    </cfRule>
    <cfRule type="cellIs" dxfId="1381" priority="2618" operator="equal">
      <formula>1</formula>
    </cfRule>
    <cfRule type="cellIs" dxfId="1380" priority="2611" operator="equal">
      <formula>22</formula>
    </cfRule>
  </conditionalFormatting>
  <conditionalFormatting sqref="Z510:AC510 T510:U510">
    <cfRule type="cellIs" dxfId="1379" priority="2633" operator="equal">
      <formula>4</formula>
    </cfRule>
    <cfRule type="cellIs" dxfId="1378" priority="2642" operator="equal">
      <formula>1</formula>
    </cfRule>
    <cfRule type="cellIs" dxfId="1377" priority="2641" operator="equal">
      <formula>3</formula>
    </cfRule>
    <cfRule type="cellIs" dxfId="1376" priority="2640" operator="equal">
      <formula>5</formula>
    </cfRule>
    <cfRule type="cellIs" dxfId="1375" priority="2639" operator="equal">
      <formula>7</formula>
    </cfRule>
    <cfRule type="cellIs" dxfId="1374" priority="2638" operator="equal">
      <formula>0</formula>
    </cfRule>
    <cfRule type="cellIs" dxfId="1373" priority="2637" operator="equal">
      <formula>9</formula>
    </cfRule>
    <cfRule type="cellIs" dxfId="1372" priority="2636" operator="equal">
      <formula>11</formula>
    </cfRule>
    <cfRule type="cellIs" dxfId="1371" priority="2634" operator="equal">
      <formula>2</formula>
    </cfRule>
    <cfRule type="cellIs" dxfId="1370" priority="2635" operator="equal">
      <formula>22</formula>
    </cfRule>
  </conditionalFormatting>
  <conditionalFormatting sqref="Z511:AC518 T511:U518">
    <cfRule type="cellIs" dxfId="1369" priority="2567" operator="equal">
      <formula>7</formula>
    </cfRule>
    <cfRule type="cellIs" dxfId="1368" priority="2566" operator="equal">
      <formula>0</formula>
    </cfRule>
    <cfRule type="cellIs" dxfId="1367" priority="2562" operator="equal">
      <formula>2</formula>
    </cfRule>
    <cfRule type="cellIs" dxfId="1366" priority="2570" operator="equal">
      <formula>1</formula>
    </cfRule>
    <cfRule type="cellIs" dxfId="1365" priority="2561" operator="equal">
      <formula>4</formula>
    </cfRule>
    <cfRule type="cellIs" dxfId="1364" priority="2568" operator="equal">
      <formula>5</formula>
    </cfRule>
    <cfRule type="cellIs" dxfId="1363" priority="2563" operator="equal">
      <formula>22</formula>
    </cfRule>
    <cfRule type="cellIs" dxfId="1362" priority="2569" operator="equal">
      <formula>3</formula>
    </cfRule>
    <cfRule type="cellIs" dxfId="1361" priority="2565" operator="equal">
      <formula>9</formula>
    </cfRule>
    <cfRule type="cellIs" dxfId="1360" priority="2564" operator="equal">
      <formula>11</formula>
    </cfRule>
  </conditionalFormatting>
  <conditionalFormatting sqref="Z519:AC519 T519:U519">
    <cfRule type="cellIs" dxfId="1359" priority="47628" operator="equal">
      <formula>2</formula>
    </cfRule>
    <cfRule type="cellIs" dxfId="1358" priority="47632" operator="equal">
      <formula>0</formula>
    </cfRule>
    <cfRule type="cellIs" dxfId="1357" priority="47627" operator="equal">
      <formula>4</formula>
    </cfRule>
    <cfRule type="cellIs" dxfId="1356" priority="47631" operator="equal">
      <formula>9</formula>
    </cfRule>
    <cfRule type="cellIs" dxfId="1355" priority="47630" operator="equal">
      <formula>11</formula>
    </cfRule>
    <cfRule type="cellIs" dxfId="1354" priority="47633" operator="equal">
      <formula>7</formula>
    </cfRule>
    <cfRule type="cellIs" dxfId="1353" priority="47634" operator="equal">
      <formula>5</formula>
    </cfRule>
    <cfRule type="cellIs" dxfId="1352" priority="47629" operator="equal">
      <formula>22</formula>
    </cfRule>
    <cfRule type="cellIs" dxfId="1351" priority="47635" operator="equal">
      <formula>3</formula>
    </cfRule>
  </conditionalFormatting>
  <conditionalFormatting sqref="Z520:AC520 T520:U520">
    <cfRule type="cellIs" dxfId="1350" priority="2539" operator="equal">
      <formula>22</formula>
    </cfRule>
    <cfRule type="cellIs" dxfId="1349" priority="2541" operator="equal">
      <formula>9</formula>
    </cfRule>
    <cfRule type="cellIs" dxfId="1348" priority="2546" operator="equal">
      <formula>1</formula>
    </cfRule>
    <cfRule type="cellIs" dxfId="1347" priority="2540" operator="equal">
      <formula>11</formula>
    </cfRule>
    <cfRule type="cellIs" dxfId="1346" priority="2538" operator="equal">
      <formula>2</formula>
    </cfRule>
    <cfRule type="cellIs" dxfId="1345" priority="2537" operator="equal">
      <formula>4</formula>
    </cfRule>
    <cfRule type="cellIs" dxfId="1344" priority="2542" operator="equal">
      <formula>0</formula>
    </cfRule>
    <cfRule type="cellIs" dxfId="1343" priority="2543" operator="equal">
      <formula>7</formula>
    </cfRule>
    <cfRule type="cellIs" dxfId="1342" priority="2544" operator="equal">
      <formula>5</formula>
    </cfRule>
    <cfRule type="cellIs" dxfId="1341" priority="2545" operator="equal">
      <formula>3</formula>
    </cfRule>
  </conditionalFormatting>
  <conditionalFormatting sqref="Z521:AC521 T521:U521">
    <cfRule type="cellIs" dxfId="1340" priority="2489" operator="equal">
      <formula>4</formula>
    </cfRule>
    <cfRule type="cellIs" dxfId="1339" priority="2495" operator="equal">
      <formula>7</formula>
    </cfRule>
    <cfRule type="cellIs" dxfId="1338" priority="2494" operator="equal">
      <formula>0</formula>
    </cfRule>
    <cfRule type="cellIs" dxfId="1337" priority="2497" operator="equal">
      <formula>3</formula>
    </cfRule>
    <cfRule type="cellIs" dxfId="1336" priority="2493" operator="equal">
      <formula>9</formula>
    </cfRule>
    <cfRule type="cellIs" dxfId="1335" priority="2498" operator="equal">
      <formula>1</formula>
    </cfRule>
    <cfRule type="cellIs" dxfId="1334" priority="2492" operator="equal">
      <formula>11</formula>
    </cfRule>
    <cfRule type="cellIs" dxfId="1333" priority="2491" operator="equal">
      <formula>22</formula>
    </cfRule>
    <cfRule type="cellIs" dxfId="1332" priority="2490" operator="equal">
      <formula>2</formula>
    </cfRule>
    <cfRule type="cellIs" dxfId="1331" priority="2496" operator="equal">
      <formula>5</formula>
    </cfRule>
  </conditionalFormatting>
  <conditionalFormatting sqref="Z522:AC529 T522:U529">
    <cfRule type="cellIs" dxfId="1330" priority="2472" operator="equal">
      <formula>5</formula>
    </cfRule>
    <cfRule type="cellIs" dxfId="1329" priority="2469" operator="equal">
      <formula>9</formula>
    </cfRule>
    <cfRule type="cellIs" dxfId="1328" priority="2474" operator="equal">
      <formula>1</formula>
    </cfRule>
    <cfRule type="cellIs" dxfId="1327" priority="2465" operator="equal">
      <formula>4</formula>
    </cfRule>
    <cfRule type="cellIs" dxfId="1326" priority="2466" operator="equal">
      <formula>2</formula>
    </cfRule>
    <cfRule type="cellIs" dxfId="1325" priority="2467" operator="equal">
      <formula>22</formula>
    </cfRule>
    <cfRule type="cellIs" dxfId="1324" priority="2468" operator="equal">
      <formula>11</formula>
    </cfRule>
    <cfRule type="cellIs" dxfId="1323" priority="2473" operator="equal">
      <formula>3</formula>
    </cfRule>
    <cfRule type="cellIs" dxfId="1322" priority="2471" operator="equal">
      <formula>7</formula>
    </cfRule>
    <cfRule type="cellIs" dxfId="1321" priority="2470" operator="equal">
      <formula>0</formula>
    </cfRule>
  </conditionalFormatting>
  <conditionalFormatting sqref="Z530:AC531 T530:U531">
    <cfRule type="cellIs" dxfId="1320" priority="52836" operator="equal">
      <formula>2</formula>
    </cfRule>
    <cfRule type="cellIs" dxfId="1319" priority="52839" operator="equal">
      <formula>9</formula>
    </cfRule>
    <cfRule type="cellIs" dxfId="1318" priority="52838" operator="equal">
      <formula>11</formula>
    </cfRule>
    <cfRule type="cellIs" dxfId="1317" priority="52842" operator="equal">
      <formula>5</formula>
    </cfRule>
    <cfRule type="cellIs" dxfId="1316" priority="52840" operator="equal">
      <formula>0</formula>
    </cfRule>
    <cfRule type="cellIs" dxfId="1315" priority="52841" operator="equal">
      <formula>7</formula>
    </cfRule>
    <cfRule type="cellIs" dxfId="1314" priority="52835" operator="equal">
      <formula>4</formula>
    </cfRule>
    <cfRule type="cellIs" dxfId="1313" priority="52843" operator="equal">
      <formula>3</formula>
    </cfRule>
    <cfRule type="cellIs" dxfId="1312" priority="52837" operator="equal">
      <formula>22</formula>
    </cfRule>
  </conditionalFormatting>
  <conditionalFormatting sqref="Z532:AC532 T532:U532">
    <cfRule type="cellIs" dxfId="1311" priority="2444" operator="equal">
      <formula>11</formula>
    </cfRule>
    <cfRule type="cellIs" dxfId="1310" priority="2448" operator="equal">
      <formula>5</formula>
    </cfRule>
    <cfRule type="cellIs" dxfId="1309" priority="2443" operator="equal">
      <formula>22</formula>
    </cfRule>
    <cfRule type="cellIs" dxfId="1308" priority="2442" operator="equal">
      <formula>2</formula>
    </cfRule>
    <cfRule type="cellIs" dxfId="1307" priority="2441" operator="equal">
      <formula>4</formula>
    </cfRule>
    <cfRule type="cellIs" dxfId="1306" priority="2445" operator="equal">
      <formula>9</formula>
    </cfRule>
    <cfRule type="cellIs" dxfId="1305" priority="2450" operator="equal">
      <formula>1</formula>
    </cfRule>
    <cfRule type="cellIs" dxfId="1304" priority="2449" operator="equal">
      <formula>3</formula>
    </cfRule>
    <cfRule type="cellIs" dxfId="1303" priority="2446" operator="equal">
      <formula>0</formula>
    </cfRule>
    <cfRule type="cellIs" dxfId="1302" priority="2447" operator="equal">
      <formula>7</formula>
    </cfRule>
  </conditionalFormatting>
  <conditionalFormatting sqref="Z533:AC540 T533:U540">
    <cfRule type="cellIs" dxfId="1301" priority="2418" operator="equal">
      <formula>2</formula>
    </cfRule>
    <cfRule type="cellIs" dxfId="1300" priority="2425" operator="equal">
      <formula>3</formula>
    </cfRule>
    <cfRule type="cellIs" dxfId="1299" priority="2426" operator="equal">
      <formula>1</formula>
    </cfRule>
    <cfRule type="cellIs" dxfId="1298" priority="2424" operator="equal">
      <formula>5</formula>
    </cfRule>
    <cfRule type="cellIs" dxfId="1297" priority="2423" operator="equal">
      <formula>7</formula>
    </cfRule>
    <cfRule type="cellIs" dxfId="1296" priority="2422" operator="equal">
      <formula>0</formula>
    </cfRule>
    <cfRule type="cellIs" dxfId="1295" priority="2421" operator="equal">
      <formula>9</formula>
    </cfRule>
    <cfRule type="cellIs" dxfId="1294" priority="2420" operator="equal">
      <formula>11</formula>
    </cfRule>
    <cfRule type="cellIs" dxfId="1293" priority="2419" operator="equal">
      <formula>22</formula>
    </cfRule>
    <cfRule type="cellIs" dxfId="1292" priority="2417" operator="equal">
      <formula>4</formula>
    </cfRule>
  </conditionalFormatting>
  <conditionalFormatting sqref="Z541:AC541 T541:U541">
    <cfRule type="cellIs" dxfId="1291" priority="2372" operator="equal">
      <formula>11</formula>
    </cfRule>
    <cfRule type="cellIs" dxfId="1290" priority="2370" operator="equal">
      <formula>2</formula>
    </cfRule>
    <cfRule type="cellIs" dxfId="1289" priority="2376" operator="equal">
      <formula>5</formula>
    </cfRule>
    <cfRule type="cellIs" dxfId="1288" priority="2378" operator="equal">
      <formula>1</formula>
    </cfRule>
    <cfRule type="cellIs" dxfId="1287" priority="2377" operator="equal">
      <formula>3</formula>
    </cfRule>
    <cfRule type="cellIs" dxfId="1286" priority="2375" operator="equal">
      <formula>7</formula>
    </cfRule>
    <cfRule type="cellIs" dxfId="1285" priority="2371" operator="equal">
      <formula>22</formula>
    </cfRule>
    <cfRule type="cellIs" dxfId="1284" priority="2374" operator="equal">
      <formula>0</formula>
    </cfRule>
    <cfRule type="cellIs" dxfId="1283" priority="2373" operator="equal">
      <formula>9</formula>
    </cfRule>
    <cfRule type="cellIs" dxfId="1282" priority="2369" operator="equal">
      <formula>4</formula>
    </cfRule>
  </conditionalFormatting>
  <conditionalFormatting sqref="Z542:AC542 T542:U542">
    <cfRule type="cellIs" dxfId="1281" priority="2396" operator="equal">
      <formula>11</formula>
    </cfRule>
    <cfRule type="cellIs" dxfId="1280" priority="2397" operator="equal">
      <formula>9</formula>
    </cfRule>
    <cfRule type="cellIs" dxfId="1279" priority="2401" operator="equal">
      <formula>3</formula>
    </cfRule>
    <cfRule type="cellIs" dxfId="1278" priority="2395" operator="equal">
      <formula>22</formula>
    </cfRule>
    <cfRule type="cellIs" dxfId="1277" priority="2402" operator="equal">
      <formula>1</formula>
    </cfRule>
    <cfRule type="cellIs" dxfId="1276" priority="2393" operator="equal">
      <formula>4</formula>
    </cfRule>
    <cfRule type="cellIs" dxfId="1275" priority="2398" operator="equal">
      <formula>0</formula>
    </cfRule>
    <cfRule type="cellIs" dxfId="1274" priority="2399" operator="equal">
      <formula>7</formula>
    </cfRule>
    <cfRule type="cellIs" dxfId="1273" priority="2400" operator="equal">
      <formula>5</formula>
    </cfRule>
    <cfRule type="cellIs" dxfId="1272" priority="2394" operator="equal">
      <formula>2</formula>
    </cfRule>
  </conditionalFormatting>
  <conditionalFormatting sqref="Z543:AC543 T543:U543">
    <cfRule type="cellIs" dxfId="1271" priority="2324" operator="equal">
      <formula>11</formula>
    </cfRule>
    <cfRule type="cellIs" dxfId="1270" priority="2321" operator="equal">
      <formula>4</formula>
    </cfRule>
    <cfRule type="cellIs" dxfId="1269" priority="2323" operator="equal">
      <formula>22</formula>
    </cfRule>
    <cfRule type="cellIs" dxfId="1268" priority="2329" operator="equal">
      <formula>3</formula>
    </cfRule>
    <cfRule type="cellIs" dxfId="1267" priority="2322" operator="equal">
      <formula>2</formula>
    </cfRule>
    <cfRule type="cellIs" dxfId="1266" priority="2327" operator="equal">
      <formula>7</formula>
    </cfRule>
    <cfRule type="cellIs" dxfId="1265" priority="2330" operator="equal">
      <formula>1</formula>
    </cfRule>
    <cfRule type="cellIs" dxfId="1264" priority="2325" operator="equal">
      <formula>9</formula>
    </cfRule>
    <cfRule type="cellIs" dxfId="1263" priority="2328" operator="equal">
      <formula>5</formula>
    </cfRule>
    <cfRule type="cellIs" dxfId="1262" priority="2326" operator="equal">
      <formula>0</formula>
    </cfRule>
  </conditionalFormatting>
  <conditionalFormatting sqref="Z544:AC548 T544:U548 T550:U551 Z550:AC551">
    <cfRule type="cellIs" dxfId="1261" priority="2303" operator="equal">
      <formula>7</formula>
    </cfRule>
    <cfRule type="cellIs" dxfId="1260" priority="2298" operator="equal">
      <formula>2</formula>
    </cfRule>
    <cfRule type="cellIs" dxfId="1259" priority="2302" operator="equal">
      <formula>0</formula>
    </cfRule>
    <cfRule type="cellIs" dxfId="1258" priority="2297" operator="equal">
      <formula>4</formula>
    </cfRule>
    <cfRule type="cellIs" dxfId="1257" priority="2301" operator="equal">
      <formula>9</formula>
    </cfRule>
    <cfRule type="cellIs" dxfId="1256" priority="2306" operator="equal">
      <formula>1</formula>
    </cfRule>
    <cfRule type="cellIs" dxfId="1255" priority="2305" operator="equal">
      <formula>3</formula>
    </cfRule>
    <cfRule type="cellIs" dxfId="1254" priority="2304" operator="equal">
      <formula>5</formula>
    </cfRule>
    <cfRule type="cellIs" dxfId="1253" priority="2300" operator="equal">
      <formula>11</formula>
    </cfRule>
    <cfRule type="cellIs" dxfId="1252" priority="2299" operator="equal">
      <formula>22</formula>
    </cfRule>
  </conditionalFormatting>
  <conditionalFormatting sqref="Z554:AC554 T554:U554">
    <cfRule type="cellIs" dxfId="1251" priority="2256" operator="equal">
      <formula>5</formula>
    </cfRule>
    <cfRule type="cellIs" dxfId="1250" priority="2254" operator="equal">
      <formula>0</formula>
    </cfRule>
    <cfRule type="cellIs" dxfId="1249" priority="2250" operator="equal">
      <formula>2</formula>
    </cfRule>
    <cfRule type="cellIs" dxfId="1248" priority="2249" operator="equal">
      <formula>4</formula>
    </cfRule>
    <cfRule type="cellIs" dxfId="1247" priority="2257" operator="equal">
      <formula>3</formula>
    </cfRule>
    <cfRule type="cellIs" dxfId="1246" priority="2253" operator="equal">
      <formula>9</formula>
    </cfRule>
    <cfRule type="cellIs" dxfId="1245" priority="2251" operator="equal">
      <formula>22</formula>
    </cfRule>
    <cfRule type="cellIs" dxfId="1244" priority="2252" operator="equal">
      <formula>11</formula>
    </cfRule>
    <cfRule type="cellIs" dxfId="1243" priority="2258" operator="equal">
      <formula>1</formula>
    </cfRule>
    <cfRule type="cellIs" dxfId="1242" priority="2255" operator="equal">
      <formula>7</formula>
    </cfRule>
  </conditionalFormatting>
  <conditionalFormatting sqref="Z555:AC559 T555:U559">
    <cfRule type="cellIs" dxfId="1241" priority="2233" operator="equal">
      <formula>3</formula>
    </cfRule>
    <cfRule type="cellIs" dxfId="1240" priority="2231" operator="equal">
      <formula>7</formula>
    </cfRule>
    <cfRule type="cellIs" dxfId="1239" priority="2230" operator="equal">
      <formula>0</formula>
    </cfRule>
    <cfRule type="cellIs" dxfId="1238" priority="2226" operator="equal">
      <formula>2</formula>
    </cfRule>
    <cfRule type="cellIs" dxfId="1237" priority="2227" operator="equal">
      <formula>22</formula>
    </cfRule>
    <cfRule type="cellIs" dxfId="1236" priority="2234" operator="equal">
      <formula>1</formula>
    </cfRule>
    <cfRule type="cellIs" dxfId="1235" priority="2232" operator="equal">
      <formula>5</formula>
    </cfRule>
    <cfRule type="cellIs" dxfId="1234" priority="2229" operator="equal">
      <formula>9</formula>
    </cfRule>
    <cfRule type="cellIs" dxfId="1233" priority="2228" operator="equal">
      <formula>11</formula>
    </cfRule>
    <cfRule type="cellIs" dxfId="1232" priority="2225" operator="equal">
      <formula>4</formula>
    </cfRule>
  </conditionalFormatting>
  <conditionalFormatting sqref="Z563:AC563 T563:U563">
    <cfRule type="cellIs" dxfId="1231" priority="60561" operator="equal">
      <formula>22</formula>
    </cfRule>
    <cfRule type="cellIs" dxfId="1230" priority="60563" operator="equal">
      <formula>9</formula>
    </cfRule>
    <cfRule type="cellIs" dxfId="1229" priority="60564" operator="equal">
      <formula>0</formula>
    </cfRule>
    <cfRule type="cellIs" dxfId="1228" priority="60562" operator="equal">
      <formula>11</formula>
    </cfRule>
    <cfRule type="cellIs" dxfId="1227" priority="60567" operator="equal">
      <formula>3</formula>
    </cfRule>
    <cfRule type="cellIs" dxfId="1226" priority="60566" operator="equal">
      <formula>5</formula>
    </cfRule>
    <cfRule type="cellIs" dxfId="1225" priority="60559" operator="equal">
      <formula>4</formula>
    </cfRule>
    <cfRule type="cellIs" dxfId="1224" priority="60560" operator="equal">
      <formula>2</formula>
    </cfRule>
    <cfRule type="cellIs" dxfId="1223" priority="60565" operator="equal">
      <formula>7</formula>
    </cfRule>
  </conditionalFormatting>
  <conditionalFormatting sqref="Z565:AC565 T565:U565">
    <cfRule type="cellIs" dxfId="1222" priority="2085" operator="equal">
      <formula>9</formula>
    </cfRule>
    <cfRule type="cellIs" dxfId="1221" priority="2083" operator="equal">
      <formula>22</formula>
    </cfRule>
    <cfRule type="cellIs" dxfId="1220" priority="2088" operator="equal">
      <formula>5</formula>
    </cfRule>
    <cfRule type="cellIs" dxfId="1219" priority="2090" operator="equal">
      <formula>1</formula>
    </cfRule>
    <cfRule type="cellIs" dxfId="1218" priority="2082" operator="equal">
      <formula>2</formula>
    </cfRule>
    <cfRule type="cellIs" dxfId="1217" priority="2081" operator="equal">
      <formula>4</formula>
    </cfRule>
    <cfRule type="cellIs" dxfId="1216" priority="2084" operator="equal">
      <formula>11</formula>
    </cfRule>
    <cfRule type="cellIs" dxfId="1215" priority="2086" operator="equal">
      <formula>0</formula>
    </cfRule>
    <cfRule type="cellIs" dxfId="1214" priority="2089" operator="equal">
      <formula>3</formula>
    </cfRule>
    <cfRule type="cellIs" dxfId="1213" priority="2087" operator="equal">
      <formula>7</formula>
    </cfRule>
  </conditionalFormatting>
  <conditionalFormatting sqref="Z566:AC575 T566:U575">
    <cfRule type="cellIs" dxfId="1212" priority="2063" operator="equal">
      <formula>7</formula>
    </cfRule>
    <cfRule type="cellIs" dxfId="1211" priority="2057" operator="equal">
      <formula>4</formula>
    </cfRule>
    <cfRule type="cellIs" dxfId="1210" priority="2064" operator="equal">
      <formula>5</formula>
    </cfRule>
    <cfRule type="cellIs" dxfId="1209" priority="2065" operator="equal">
      <formula>3</formula>
    </cfRule>
    <cfRule type="cellIs" dxfId="1208" priority="2062" operator="equal">
      <formula>0</formula>
    </cfRule>
    <cfRule type="cellIs" dxfId="1207" priority="2066" operator="equal">
      <formula>1</formula>
    </cfRule>
    <cfRule type="cellIs" dxfId="1206" priority="2061" operator="equal">
      <formula>9</formula>
    </cfRule>
    <cfRule type="cellIs" dxfId="1205" priority="2060" operator="equal">
      <formula>11</formula>
    </cfRule>
    <cfRule type="cellIs" dxfId="1204" priority="2059" operator="equal">
      <formula>22</formula>
    </cfRule>
    <cfRule type="cellIs" dxfId="1203" priority="2058" operator="equal">
      <formula>2</formula>
    </cfRule>
  </conditionalFormatting>
  <conditionalFormatting sqref="Z576:AC576 T576:U576">
    <cfRule type="cellIs" dxfId="1202" priority="60519" operator="equal">
      <formula>3</formula>
    </cfRule>
    <cfRule type="cellIs" dxfId="1201" priority="60518" operator="equal">
      <formula>5</formula>
    </cfRule>
    <cfRule type="cellIs" dxfId="1200" priority="60517" operator="equal">
      <formula>7</formula>
    </cfRule>
    <cfRule type="cellIs" dxfId="1199" priority="60516" operator="equal">
      <formula>0</formula>
    </cfRule>
    <cfRule type="cellIs" dxfId="1198" priority="60515" operator="equal">
      <formula>9</formula>
    </cfRule>
    <cfRule type="cellIs" dxfId="1197" priority="60513" operator="equal">
      <formula>22</formula>
    </cfRule>
    <cfRule type="cellIs" dxfId="1196" priority="60512" operator="equal">
      <formula>2</formula>
    </cfRule>
    <cfRule type="cellIs" dxfId="1195" priority="60511" operator="equal">
      <formula>4</formula>
    </cfRule>
    <cfRule type="cellIs" dxfId="1194" priority="60514" operator="equal">
      <formula>11</formula>
    </cfRule>
  </conditionalFormatting>
  <conditionalFormatting sqref="Z578:AC578 T578:U578">
    <cfRule type="cellIs" dxfId="1193" priority="1989" operator="equal">
      <formula>9</formula>
    </cfRule>
    <cfRule type="cellIs" dxfId="1192" priority="1988" operator="equal">
      <formula>11</formula>
    </cfRule>
    <cfRule type="cellIs" dxfId="1191" priority="1987" operator="equal">
      <formula>22</formula>
    </cfRule>
    <cfRule type="cellIs" dxfId="1190" priority="1992" operator="equal">
      <formula>5</formula>
    </cfRule>
    <cfRule type="cellIs" dxfId="1189" priority="1991" operator="equal">
      <formula>7</formula>
    </cfRule>
    <cfRule type="cellIs" dxfId="1188" priority="1986" operator="equal">
      <formula>2</formula>
    </cfRule>
    <cfRule type="cellIs" dxfId="1187" priority="1985" operator="equal">
      <formula>4</formula>
    </cfRule>
    <cfRule type="cellIs" dxfId="1186" priority="1993" operator="equal">
      <formula>3</formula>
    </cfRule>
    <cfRule type="cellIs" dxfId="1185" priority="1990" operator="equal">
      <formula>0</formula>
    </cfRule>
    <cfRule type="cellIs" dxfId="1184" priority="1994" operator="equal">
      <formula>1</formula>
    </cfRule>
  </conditionalFormatting>
  <conditionalFormatting sqref="Z579:AC586 T579:U586">
    <cfRule type="cellIs" dxfId="1183" priority="1963" operator="equal">
      <formula>22</formula>
    </cfRule>
    <cfRule type="cellIs" dxfId="1182" priority="1964" operator="equal">
      <formula>11</formula>
    </cfRule>
    <cfRule type="cellIs" dxfId="1181" priority="1965" operator="equal">
      <formula>9</formula>
    </cfRule>
    <cfRule type="cellIs" dxfId="1180" priority="1966" operator="equal">
      <formula>0</formula>
    </cfRule>
    <cfRule type="cellIs" dxfId="1179" priority="1961" operator="equal">
      <formula>4</formula>
    </cfRule>
    <cfRule type="cellIs" dxfId="1178" priority="1962" operator="equal">
      <formula>2</formula>
    </cfRule>
    <cfRule type="cellIs" dxfId="1177" priority="1970" operator="equal">
      <formula>1</formula>
    </cfRule>
    <cfRule type="cellIs" dxfId="1176" priority="1967" operator="equal">
      <formula>7</formula>
    </cfRule>
    <cfRule type="cellIs" dxfId="1175" priority="1969" operator="equal">
      <formula>3</formula>
    </cfRule>
    <cfRule type="cellIs" dxfId="1174" priority="1968" operator="equal">
      <formula>5</formula>
    </cfRule>
  </conditionalFormatting>
  <conditionalFormatting sqref="Z587:AC587 T587:U587">
    <cfRule type="cellIs" dxfId="1173" priority="1940" operator="equal">
      <formula>11</formula>
    </cfRule>
    <cfRule type="cellIs" dxfId="1172" priority="1945" operator="equal">
      <formula>3</formula>
    </cfRule>
    <cfRule type="cellIs" dxfId="1171" priority="1942" operator="equal">
      <formula>0</formula>
    </cfRule>
    <cfRule type="cellIs" dxfId="1170" priority="1944" operator="equal">
      <formula>5</formula>
    </cfRule>
    <cfRule type="cellIs" dxfId="1169" priority="1937" operator="equal">
      <formula>4</formula>
    </cfRule>
    <cfRule type="cellIs" dxfId="1168" priority="1943" operator="equal">
      <formula>7</formula>
    </cfRule>
    <cfRule type="cellIs" dxfId="1167" priority="1938" operator="equal">
      <formula>2</formula>
    </cfRule>
    <cfRule type="cellIs" dxfId="1166" priority="1939" operator="equal">
      <formula>22</formula>
    </cfRule>
    <cfRule type="cellIs" dxfId="1165" priority="1946" operator="equal">
      <formula>1</formula>
    </cfRule>
    <cfRule type="cellIs" dxfId="1164" priority="1941" operator="equal">
      <formula>9</formula>
    </cfRule>
  </conditionalFormatting>
  <conditionalFormatting sqref="Z588:AC590 T588:U590 T592:U592 Z592:AC592 Z594:AC594 T594:U594">
    <cfRule type="cellIs" dxfId="1163" priority="60419" operator="equal">
      <formula>0</formula>
    </cfRule>
    <cfRule type="cellIs" dxfId="1162" priority="60420" operator="equal">
      <formula>7</formula>
    </cfRule>
    <cfRule type="cellIs" dxfId="1161" priority="60418" operator="equal">
      <formula>9</formula>
    </cfRule>
    <cfRule type="cellIs" dxfId="1160" priority="60417" operator="equal">
      <formula>11</formula>
    </cfRule>
    <cfRule type="cellIs" dxfId="1159" priority="60416" operator="equal">
      <formula>22</formula>
    </cfRule>
    <cfRule type="cellIs" dxfId="1158" priority="60415" operator="equal">
      <formula>2</formula>
    </cfRule>
    <cfRule type="cellIs" dxfId="1157" priority="60414" operator="equal">
      <formula>4</formula>
    </cfRule>
    <cfRule type="cellIs" dxfId="1156" priority="60422" operator="equal">
      <formula>3</formula>
    </cfRule>
    <cfRule type="cellIs" dxfId="1155" priority="60421" operator="equal">
      <formula>5</formula>
    </cfRule>
  </conditionalFormatting>
  <conditionalFormatting sqref="Z604:AC604 T604:U604">
    <cfRule type="cellIs" dxfId="1154" priority="60374" operator="equal">
      <formula>3</formula>
    </cfRule>
    <cfRule type="cellIs" dxfId="1153" priority="60366" operator="equal">
      <formula>4</formula>
    </cfRule>
    <cfRule type="cellIs" dxfId="1152" priority="60373" operator="equal">
      <formula>5</formula>
    </cfRule>
    <cfRule type="cellIs" dxfId="1151" priority="60372" operator="equal">
      <formula>7</formula>
    </cfRule>
    <cfRule type="cellIs" dxfId="1150" priority="60371" operator="equal">
      <formula>0</formula>
    </cfRule>
    <cfRule type="cellIs" dxfId="1149" priority="60370" operator="equal">
      <formula>9</formula>
    </cfRule>
    <cfRule type="cellIs" dxfId="1148" priority="60369" operator="equal">
      <formula>11</formula>
    </cfRule>
    <cfRule type="cellIs" dxfId="1147" priority="60368" operator="equal">
      <formula>22</formula>
    </cfRule>
    <cfRule type="cellIs" dxfId="1146" priority="60367" operator="equal">
      <formula>2</formula>
    </cfRule>
  </conditionalFormatting>
  <conditionalFormatting sqref="Z605:AC612 T605:U612">
    <cfRule type="cellIs" dxfId="1145" priority="60318" operator="equal">
      <formula>4</formula>
    </cfRule>
    <cfRule type="cellIs" dxfId="1144" priority="60320" operator="equal">
      <formula>22</formula>
    </cfRule>
    <cfRule type="cellIs" dxfId="1143" priority="60321" operator="equal">
      <formula>11</formula>
    </cfRule>
    <cfRule type="cellIs" dxfId="1142" priority="60322" operator="equal">
      <formula>9</formula>
    </cfRule>
    <cfRule type="cellIs" dxfId="1141" priority="60323" operator="equal">
      <formula>0</formula>
    </cfRule>
    <cfRule type="cellIs" dxfId="1140" priority="60324" operator="equal">
      <formula>7</formula>
    </cfRule>
    <cfRule type="cellIs" dxfId="1139" priority="60325" operator="equal">
      <formula>5</formula>
    </cfRule>
    <cfRule type="cellIs" dxfId="1138" priority="60326" operator="equal">
      <formula>3</formula>
    </cfRule>
    <cfRule type="cellIs" dxfId="1137" priority="60319" operator="equal">
      <formula>2</formula>
    </cfRule>
  </conditionalFormatting>
  <conditionalFormatting sqref="Z616:AC621 T616:U621">
    <cfRule type="cellIs" dxfId="1136" priority="60252" operator="equal">
      <formula>7</formula>
    </cfRule>
    <cfRule type="cellIs" dxfId="1135" priority="60254" operator="equal">
      <formula>3</formula>
    </cfRule>
    <cfRule type="cellIs" dxfId="1134" priority="60251" operator="equal">
      <formula>0</formula>
    </cfRule>
    <cfRule type="cellIs" dxfId="1133" priority="60250" operator="equal">
      <formula>9</formula>
    </cfRule>
    <cfRule type="cellIs" dxfId="1132" priority="60249" operator="equal">
      <formula>11</formula>
    </cfRule>
    <cfRule type="cellIs" dxfId="1131" priority="60248" operator="equal">
      <formula>22</formula>
    </cfRule>
    <cfRule type="cellIs" dxfId="1130" priority="60247" operator="equal">
      <formula>2</formula>
    </cfRule>
    <cfRule type="cellIs" dxfId="1129" priority="60246" operator="equal">
      <formula>4</formula>
    </cfRule>
    <cfRule type="cellIs" dxfId="1128" priority="60253" operator="equal">
      <formula>5</formula>
    </cfRule>
  </conditionalFormatting>
  <conditionalFormatting sqref="Z623:AC625 T623:U625">
    <cfRule type="cellIs" dxfId="1127" priority="60225" operator="equal">
      <formula>11</formula>
    </cfRule>
    <cfRule type="cellIs" dxfId="1126" priority="60224" operator="equal">
      <formula>22</formula>
    </cfRule>
    <cfRule type="cellIs" dxfId="1125" priority="60223" operator="equal">
      <formula>2</formula>
    </cfRule>
    <cfRule type="cellIs" dxfId="1124" priority="60222" operator="equal">
      <formula>4</formula>
    </cfRule>
    <cfRule type="cellIs" dxfId="1123" priority="60228" operator="equal">
      <formula>7</formula>
    </cfRule>
    <cfRule type="cellIs" dxfId="1122" priority="60229" operator="equal">
      <formula>5</formula>
    </cfRule>
    <cfRule type="cellIs" dxfId="1121" priority="60226" operator="equal">
      <formula>9</formula>
    </cfRule>
    <cfRule type="cellIs" dxfId="1120" priority="60227" operator="equal">
      <formula>0</formula>
    </cfRule>
    <cfRule type="cellIs" dxfId="1119" priority="60230" operator="equal">
      <formula>3</formula>
    </cfRule>
  </conditionalFormatting>
  <conditionalFormatting sqref="Z627:AC627 T627:U627">
    <cfRule type="cellIs" dxfId="1118" priority="60182" operator="equal">
      <formula>3</formula>
    </cfRule>
    <cfRule type="cellIs" dxfId="1117" priority="60175" operator="equal">
      <formula>2</formula>
    </cfRule>
    <cfRule type="cellIs" dxfId="1116" priority="60180" operator="equal">
      <formula>7</formula>
    </cfRule>
    <cfRule type="cellIs" dxfId="1115" priority="60179" operator="equal">
      <formula>0</formula>
    </cfRule>
    <cfRule type="cellIs" dxfId="1114" priority="60178" operator="equal">
      <formula>9</formula>
    </cfRule>
    <cfRule type="cellIs" dxfId="1113" priority="60177" operator="equal">
      <formula>11</formula>
    </cfRule>
    <cfRule type="cellIs" dxfId="1112" priority="60176" operator="equal">
      <formula>22</formula>
    </cfRule>
    <cfRule type="cellIs" dxfId="1111" priority="60174" operator="equal">
      <formula>4</formula>
    </cfRule>
    <cfRule type="cellIs" dxfId="1110" priority="60181" operator="equal">
      <formula>5</formula>
    </cfRule>
  </conditionalFormatting>
  <conditionalFormatting sqref="Z629:AC634 T629:U634">
    <cfRule type="cellIs" dxfId="1109" priority="60103" operator="equal">
      <formula>2</formula>
    </cfRule>
    <cfRule type="cellIs" dxfId="1108" priority="60102" operator="equal">
      <formula>4</formula>
    </cfRule>
    <cfRule type="cellIs" dxfId="1107" priority="60105" operator="equal">
      <formula>11</formula>
    </cfRule>
    <cfRule type="cellIs" dxfId="1106" priority="60106" operator="equal">
      <formula>9</formula>
    </cfRule>
    <cfRule type="cellIs" dxfId="1105" priority="60107" operator="equal">
      <formula>0</formula>
    </cfRule>
    <cfRule type="cellIs" dxfId="1104" priority="60108" operator="equal">
      <formula>7</formula>
    </cfRule>
    <cfRule type="cellIs" dxfId="1103" priority="60109" operator="equal">
      <formula>5</formula>
    </cfRule>
    <cfRule type="cellIs" dxfId="1102" priority="60110" operator="equal">
      <formula>3</formula>
    </cfRule>
    <cfRule type="cellIs" dxfId="1101" priority="60104" operator="equal">
      <formula>22</formula>
    </cfRule>
  </conditionalFormatting>
  <conditionalFormatting sqref="Z635:AC635 T635:U635">
    <cfRule type="cellIs" dxfId="1100" priority="60130" operator="equal">
      <formula>9</formula>
    </cfRule>
    <cfRule type="cellIs" dxfId="1099" priority="60126" operator="equal">
      <formula>4</formula>
    </cfRule>
    <cfRule type="cellIs" dxfId="1098" priority="60132" operator="equal">
      <formula>7</formula>
    </cfRule>
    <cfRule type="cellIs" dxfId="1097" priority="60133" operator="equal">
      <formula>5</formula>
    </cfRule>
    <cfRule type="cellIs" dxfId="1096" priority="60134" operator="equal">
      <formula>3</formula>
    </cfRule>
    <cfRule type="cellIs" dxfId="1095" priority="60129" operator="equal">
      <formula>11</formula>
    </cfRule>
    <cfRule type="cellIs" dxfId="1094" priority="60128" operator="equal">
      <formula>22</formula>
    </cfRule>
    <cfRule type="cellIs" dxfId="1093" priority="60127" operator="equal">
      <formula>2</formula>
    </cfRule>
    <cfRule type="cellIs" dxfId="1092" priority="60131" operator="equal">
      <formula>0</formula>
    </cfRule>
  </conditionalFormatting>
  <conditionalFormatting sqref="Z636:AC638 T636:U638">
    <cfRule type="cellIs" dxfId="1091" priority="60085" operator="equal">
      <formula>5</formula>
    </cfRule>
    <cfRule type="cellIs" dxfId="1090" priority="60082" operator="equal">
      <formula>9</formula>
    </cfRule>
    <cfRule type="cellIs" dxfId="1089" priority="60083" operator="equal">
      <formula>0</formula>
    </cfRule>
    <cfRule type="cellIs" dxfId="1088" priority="60078" operator="equal">
      <formula>4</formula>
    </cfRule>
    <cfRule type="cellIs" dxfId="1087" priority="60086" operator="equal">
      <formula>3</formula>
    </cfRule>
    <cfRule type="cellIs" dxfId="1086" priority="60084" operator="equal">
      <formula>7</formula>
    </cfRule>
    <cfRule type="cellIs" dxfId="1085" priority="60079" operator="equal">
      <formula>2</formula>
    </cfRule>
    <cfRule type="cellIs" dxfId="1084" priority="60080" operator="equal">
      <formula>22</formula>
    </cfRule>
    <cfRule type="cellIs" dxfId="1083" priority="60081" operator="equal">
      <formula>11</formula>
    </cfRule>
  </conditionalFormatting>
  <conditionalFormatting sqref="Z642:AC653 T642:U653">
    <cfRule type="cellIs" dxfId="1082" priority="60031" operator="equal">
      <formula>2</formula>
    </cfRule>
    <cfRule type="cellIs" dxfId="1081" priority="60037" operator="equal">
      <formula>5</formula>
    </cfRule>
    <cfRule type="cellIs" dxfId="1080" priority="60032" operator="equal">
      <formula>22</formula>
    </cfRule>
    <cfRule type="cellIs" dxfId="1079" priority="60033" operator="equal">
      <formula>11</formula>
    </cfRule>
    <cfRule type="cellIs" dxfId="1078" priority="60038" operator="equal">
      <formula>3</formula>
    </cfRule>
    <cfRule type="cellIs" dxfId="1077" priority="60036" operator="equal">
      <formula>7</formula>
    </cfRule>
    <cfRule type="cellIs" dxfId="1076" priority="60035" operator="equal">
      <formula>0</formula>
    </cfRule>
    <cfRule type="cellIs" dxfId="1075" priority="60030" operator="equal">
      <formula>4</formula>
    </cfRule>
    <cfRule type="cellIs" dxfId="1074" priority="60034" operator="equal">
      <formula>9</formula>
    </cfRule>
  </conditionalFormatting>
  <conditionalFormatting sqref="Z657:AC661 T657:U661">
    <cfRule type="cellIs" dxfId="1073" priority="59987" operator="equal">
      <formula>0</formula>
    </cfRule>
    <cfRule type="cellIs" dxfId="1072" priority="59986" operator="equal">
      <formula>9</formula>
    </cfRule>
    <cfRule type="cellIs" dxfId="1071" priority="59985" operator="equal">
      <formula>11</formula>
    </cfRule>
    <cfRule type="cellIs" dxfId="1070" priority="59988" operator="equal">
      <formula>7</formula>
    </cfRule>
    <cfRule type="cellIs" dxfId="1069" priority="59983" operator="equal">
      <formula>2</formula>
    </cfRule>
    <cfRule type="cellIs" dxfId="1068" priority="59989" operator="equal">
      <formula>5</formula>
    </cfRule>
    <cfRule type="cellIs" dxfId="1067" priority="59990" operator="equal">
      <formula>3</formula>
    </cfRule>
    <cfRule type="cellIs" dxfId="1066" priority="59982" operator="equal">
      <formula>4</formula>
    </cfRule>
    <cfRule type="cellIs" dxfId="1065" priority="59984" operator="equal">
      <formula>22</formula>
    </cfRule>
  </conditionalFormatting>
  <conditionalFormatting sqref="Z665:AC666 T665:U667 AB667:AC667">
    <cfRule type="cellIs" dxfId="1064" priority="59942" operator="equal">
      <formula>3</formula>
    </cfRule>
    <cfRule type="cellIs" dxfId="1063" priority="59937" operator="equal">
      <formula>11</formula>
    </cfRule>
    <cfRule type="cellIs" dxfId="1062" priority="59936" operator="equal">
      <formula>22</formula>
    </cfRule>
    <cfRule type="cellIs" dxfId="1061" priority="59938" operator="equal">
      <formula>9</formula>
    </cfRule>
    <cfRule type="cellIs" dxfId="1060" priority="59939" operator="equal">
      <formula>0</formula>
    </cfRule>
    <cfRule type="cellIs" dxfId="1059" priority="59935" operator="equal">
      <formula>2</formula>
    </cfRule>
    <cfRule type="cellIs" dxfId="1058" priority="59934" operator="equal">
      <formula>4</formula>
    </cfRule>
    <cfRule type="cellIs" dxfId="1057" priority="59940" operator="equal">
      <formula>7</formula>
    </cfRule>
    <cfRule type="cellIs" dxfId="1056" priority="59941" operator="equal">
      <formula>5</formula>
    </cfRule>
  </conditionalFormatting>
  <conditionalFormatting sqref="Z675:AC676 T675:U678 AB677:AC678">
    <cfRule type="cellIs" dxfId="1055" priority="59819" operator="equal">
      <formula>2</formula>
    </cfRule>
    <cfRule type="cellIs" dxfId="1054" priority="59820" operator="equal">
      <formula>22</formula>
    </cfRule>
    <cfRule type="cellIs" dxfId="1053" priority="59821" operator="equal">
      <formula>11</formula>
    </cfRule>
    <cfRule type="cellIs" dxfId="1052" priority="59822" operator="equal">
      <formula>9</formula>
    </cfRule>
    <cfRule type="cellIs" dxfId="1051" priority="59823" operator="equal">
      <formula>0</formula>
    </cfRule>
    <cfRule type="cellIs" dxfId="1050" priority="59818" operator="equal">
      <formula>4</formula>
    </cfRule>
    <cfRule type="cellIs" dxfId="1049" priority="59824" operator="equal">
      <formula>7</formula>
    </cfRule>
    <cfRule type="cellIs" dxfId="1048" priority="59826" operator="equal">
      <formula>3</formula>
    </cfRule>
    <cfRule type="cellIs" dxfId="1047" priority="59825" operator="equal">
      <formula>5</formula>
    </cfRule>
  </conditionalFormatting>
  <conditionalFormatting sqref="Z685:AC689 T685:U689 T693:U695 Z693:AC695 T691:U691 Z691:AC691">
    <cfRule type="cellIs" dxfId="1046" priority="59732" operator="equal">
      <formula>7</formula>
    </cfRule>
    <cfRule type="cellIs" dxfId="1045" priority="59731" operator="equal">
      <formula>0</formula>
    </cfRule>
    <cfRule type="cellIs" dxfId="1044" priority="59730" operator="equal">
      <formula>9</formula>
    </cfRule>
    <cfRule type="cellIs" dxfId="1043" priority="59729" operator="equal">
      <formula>11</formula>
    </cfRule>
    <cfRule type="cellIs" dxfId="1042" priority="59728" operator="equal">
      <formula>22</formula>
    </cfRule>
    <cfRule type="cellIs" dxfId="1041" priority="59733" operator="equal">
      <formula>5</formula>
    </cfRule>
    <cfRule type="cellIs" dxfId="1040" priority="59727" operator="equal">
      <formula>2</formula>
    </cfRule>
    <cfRule type="cellIs" dxfId="1039" priority="59726" operator="equal">
      <formula>4</formula>
    </cfRule>
    <cfRule type="cellIs" dxfId="1038" priority="59734" operator="equal">
      <formula>3</formula>
    </cfRule>
  </conditionalFormatting>
  <conditionalFormatting sqref="Z690:AC690 T690:U690">
    <cfRule type="cellIs" dxfId="1037" priority="59637" operator="equal">
      <formula>5</formula>
    </cfRule>
    <cfRule type="cellIs" dxfId="1036" priority="59636" operator="equal">
      <formula>7</formula>
    </cfRule>
    <cfRule type="cellIs" dxfId="1035" priority="59635" operator="equal">
      <formula>0</formula>
    </cfRule>
    <cfRule type="cellIs" dxfId="1034" priority="59634" operator="equal">
      <formula>9</formula>
    </cfRule>
    <cfRule type="cellIs" dxfId="1033" priority="59638" operator="equal">
      <formula>3</formula>
    </cfRule>
    <cfRule type="cellIs" dxfId="1032" priority="59633" operator="equal">
      <formula>11</formula>
    </cfRule>
    <cfRule type="cellIs" dxfId="1031" priority="59632" operator="equal">
      <formula>22</formula>
    </cfRule>
    <cfRule type="cellIs" dxfId="1030" priority="59631" operator="equal">
      <formula>2</formula>
    </cfRule>
    <cfRule type="cellIs" dxfId="1029" priority="59630" operator="equal">
      <formula>4</formula>
    </cfRule>
  </conditionalFormatting>
  <conditionalFormatting sqref="Z692:AC692 T692:U692">
    <cfRule type="cellIs" dxfId="1028" priority="59658" operator="equal">
      <formula>9</formula>
    </cfRule>
    <cfRule type="cellIs" dxfId="1027" priority="59659" operator="equal">
      <formula>0</formula>
    </cfRule>
    <cfRule type="cellIs" dxfId="1026" priority="59660" operator="equal">
      <formula>7</formula>
    </cfRule>
    <cfRule type="cellIs" dxfId="1025" priority="59661" operator="equal">
      <formula>5</formula>
    </cfRule>
    <cfRule type="cellIs" dxfId="1024" priority="59656" operator="equal">
      <formula>22</formula>
    </cfRule>
    <cfRule type="cellIs" dxfId="1023" priority="59662" operator="equal">
      <formula>3</formula>
    </cfRule>
    <cfRule type="cellIs" dxfId="1022" priority="59657" operator="equal">
      <formula>11</formula>
    </cfRule>
    <cfRule type="cellIs" dxfId="1021" priority="59655" operator="equal">
      <formula>2</formula>
    </cfRule>
    <cfRule type="cellIs" dxfId="1020" priority="59654" operator="equal">
      <formula>4</formula>
    </cfRule>
  </conditionalFormatting>
  <conditionalFormatting sqref="Z696:AC696 T696:U696">
    <cfRule type="cellIs" dxfId="1019" priority="59702" operator="equal">
      <formula>4</formula>
    </cfRule>
    <cfRule type="cellIs" dxfId="1018" priority="59709" operator="equal">
      <formula>5</formula>
    </cfRule>
    <cfRule type="cellIs" dxfId="1017" priority="59708" operator="equal">
      <formula>7</formula>
    </cfRule>
    <cfRule type="cellIs" dxfId="1016" priority="59703" operator="equal">
      <formula>2</formula>
    </cfRule>
    <cfRule type="cellIs" dxfId="1015" priority="59704" operator="equal">
      <formula>22</formula>
    </cfRule>
    <cfRule type="cellIs" dxfId="1014" priority="59705" operator="equal">
      <formula>11</formula>
    </cfRule>
    <cfRule type="cellIs" dxfId="1013" priority="59710" operator="equal">
      <formula>3</formula>
    </cfRule>
    <cfRule type="cellIs" dxfId="1012" priority="59707" operator="equal">
      <formula>0</formula>
    </cfRule>
    <cfRule type="cellIs" dxfId="1011" priority="59706" operator="equal">
      <formula>9</formula>
    </cfRule>
  </conditionalFormatting>
  <conditionalFormatting sqref="Z698:AC698 T698:U698">
    <cfRule type="cellIs" dxfId="1010" priority="59683" operator="equal">
      <formula>0</formula>
    </cfRule>
    <cfRule type="cellIs" dxfId="1009" priority="59684" operator="equal">
      <formula>7</formula>
    </cfRule>
    <cfRule type="cellIs" dxfId="1008" priority="59680" operator="equal">
      <formula>22</formula>
    </cfRule>
    <cfRule type="cellIs" dxfId="1007" priority="59681" operator="equal">
      <formula>11</formula>
    </cfRule>
    <cfRule type="cellIs" dxfId="1006" priority="59682" operator="equal">
      <formula>9</formula>
    </cfRule>
    <cfRule type="cellIs" dxfId="1005" priority="59679" operator="equal">
      <formula>2</formula>
    </cfRule>
    <cfRule type="cellIs" dxfId="1004" priority="59686" operator="equal">
      <formula>3</formula>
    </cfRule>
    <cfRule type="cellIs" dxfId="1003" priority="59685" operator="equal">
      <formula>5</formula>
    </cfRule>
    <cfRule type="cellIs" dxfId="1002" priority="59678" operator="equal">
      <formula>4</formula>
    </cfRule>
  </conditionalFormatting>
  <conditionalFormatting sqref="Z708:AC708 T708:U708">
    <cfRule type="cellIs" dxfId="1001" priority="59587" operator="equal">
      <formula>0</formula>
    </cfRule>
    <cfRule type="cellIs" dxfId="1000" priority="59588" operator="equal">
      <formula>7</formula>
    </cfRule>
    <cfRule type="cellIs" dxfId="999" priority="59589" operator="equal">
      <formula>5</formula>
    </cfRule>
    <cfRule type="cellIs" dxfId="998" priority="59590" operator="equal">
      <formula>3</formula>
    </cfRule>
    <cfRule type="cellIs" dxfId="997" priority="59586" operator="equal">
      <formula>9</formula>
    </cfRule>
    <cfRule type="cellIs" dxfId="996" priority="59585" operator="equal">
      <formula>11</formula>
    </cfRule>
    <cfRule type="cellIs" dxfId="995" priority="59584" operator="equal">
      <formula>22</formula>
    </cfRule>
    <cfRule type="cellIs" dxfId="994" priority="59582" operator="equal">
      <formula>4</formula>
    </cfRule>
    <cfRule type="cellIs" dxfId="993" priority="59583" operator="equal">
      <formula>2</formula>
    </cfRule>
  </conditionalFormatting>
  <conditionalFormatting sqref="Z709:AC716 T709:U716">
    <cfRule type="cellIs" dxfId="992" priority="59541" operator="equal">
      <formula>5</formula>
    </cfRule>
    <cfRule type="cellIs" dxfId="991" priority="59540" operator="equal">
      <formula>7</formula>
    </cfRule>
    <cfRule type="cellIs" dxfId="990" priority="59535" operator="equal">
      <formula>2</formula>
    </cfRule>
    <cfRule type="cellIs" dxfId="989" priority="59538" operator="equal">
      <formula>9</formula>
    </cfRule>
    <cfRule type="cellIs" dxfId="988" priority="59542" operator="equal">
      <formula>3</formula>
    </cfRule>
    <cfRule type="cellIs" dxfId="987" priority="59539" operator="equal">
      <formula>0</formula>
    </cfRule>
    <cfRule type="cellIs" dxfId="986" priority="59534" operator="equal">
      <formula>4</formula>
    </cfRule>
    <cfRule type="cellIs" dxfId="985" priority="59536" operator="equal">
      <formula>22</formula>
    </cfRule>
    <cfRule type="cellIs" dxfId="984" priority="59537" operator="equal">
      <formula>11</formula>
    </cfRule>
  </conditionalFormatting>
  <conditionalFormatting sqref="Z726:AC726 T726:U726">
    <cfRule type="cellIs" dxfId="983" priority="59486" operator="equal">
      <formula>4</formula>
    </cfRule>
    <cfRule type="cellIs" dxfId="982" priority="59493" operator="equal">
      <formula>5</formula>
    </cfRule>
    <cfRule type="cellIs" dxfId="981" priority="59488" operator="equal">
      <formula>22</formula>
    </cfRule>
    <cfRule type="cellIs" dxfId="980" priority="59489" operator="equal">
      <formula>11</formula>
    </cfRule>
    <cfRule type="cellIs" dxfId="979" priority="59494" operator="equal">
      <formula>3</formula>
    </cfRule>
    <cfRule type="cellIs" dxfId="978" priority="59487" operator="equal">
      <formula>2</formula>
    </cfRule>
    <cfRule type="cellIs" dxfId="977" priority="59491" operator="equal">
      <formula>0</formula>
    </cfRule>
    <cfRule type="cellIs" dxfId="976" priority="59490" operator="equal">
      <formula>9</formula>
    </cfRule>
    <cfRule type="cellIs" dxfId="975" priority="59492" operator="equal">
      <formula>7</formula>
    </cfRule>
  </conditionalFormatting>
  <conditionalFormatting sqref="Z727:AC734 T727:U734">
    <cfRule type="cellIs" dxfId="974" priority="59442" operator="equal">
      <formula>9</formula>
    </cfRule>
    <cfRule type="cellIs" dxfId="973" priority="59441" operator="equal">
      <formula>11</formula>
    </cfRule>
    <cfRule type="cellIs" dxfId="972" priority="59439" operator="equal">
      <formula>2</formula>
    </cfRule>
    <cfRule type="cellIs" dxfId="971" priority="59440" operator="equal">
      <formula>22</formula>
    </cfRule>
    <cfRule type="cellIs" dxfId="970" priority="59443" operator="equal">
      <formula>0</formula>
    </cfRule>
    <cfRule type="cellIs" dxfId="969" priority="59444" operator="equal">
      <formula>7</formula>
    </cfRule>
    <cfRule type="cellIs" dxfId="968" priority="59445" operator="equal">
      <formula>5</formula>
    </cfRule>
    <cfRule type="cellIs" dxfId="967" priority="59438" operator="equal">
      <formula>4</formula>
    </cfRule>
    <cfRule type="cellIs" dxfId="966" priority="59446" operator="equal">
      <formula>3</formula>
    </cfRule>
  </conditionalFormatting>
  <conditionalFormatting sqref="Z744:AC744 T744:U744">
    <cfRule type="cellIs" dxfId="965" priority="59395" operator="equal">
      <formula>0</formula>
    </cfRule>
    <cfRule type="cellIs" dxfId="964" priority="59394" operator="equal">
      <formula>9</formula>
    </cfRule>
    <cfRule type="cellIs" dxfId="963" priority="59390" operator="equal">
      <formula>4</formula>
    </cfRule>
    <cfRule type="cellIs" dxfId="962" priority="59391" operator="equal">
      <formula>2</formula>
    </cfRule>
    <cfRule type="cellIs" dxfId="961" priority="59396" operator="equal">
      <formula>7</formula>
    </cfRule>
    <cfRule type="cellIs" dxfId="960" priority="59392" operator="equal">
      <formula>22</formula>
    </cfRule>
    <cfRule type="cellIs" dxfId="959" priority="59397" operator="equal">
      <formula>5</formula>
    </cfRule>
    <cfRule type="cellIs" dxfId="958" priority="59398" operator="equal">
      <formula>3</formula>
    </cfRule>
    <cfRule type="cellIs" dxfId="957" priority="59393" operator="equal">
      <formula>11</formula>
    </cfRule>
  </conditionalFormatting>
  <conditionalFormatting sqref="Z745:AC752 T745:U752">
    <cfRule type="cellIs" dxfId="956" priority="59350" operator="equal">
      <formula>3</formula>
    </cfRule>
    <cfRule type="cellIs" dxfId="955" priority="59346" operator="equal">
      <formula>9</formula>
    </cfRule>
    <cfRule type="cellIs" dxfId="954" priority="59344" operator="equal">
      <formula>22</formula>
    </cfRule>
    <cfRule type="cellIs" dxfId="953" priority="59343" operator="equal">
      <formula>2</formula>
    </cfRule>
    <cfRule type="cellIs" dxfId="952" priority="59342" operator="equal">
      <formula>4</formula>
    </cfRule>
    <cfRule type="cellIs" dxfId="951" priority="59347" operator="equal">
      <formula>0</formula>
    </cfRule>
    <cfRule type="cellIs" dxfId="950" priority="59348" operator="equal">
      <formula>7</formula>
    </cfRule>
    <cfRule type="cellIs" dxfId="949" priority="59349" operator="equal">
      <formula>5</formula>
    </cfRule>
    <cfRule type="cellIs" dxfId="948" priority="59345" operator="equal">
      <formula>11</formula>
    </cfRule>
  </conditionalFormatting>
  <conditionalFormatting sqref="Z766:AC766 T766:U766">
    <cfRule type="cellIs" dxfId="947" priority="125158" operator="equal">
      <formula>3</formula>
    </cfRule>
    <cfRule type="cellIs" dxfId="946" priority="125153" operator="equal">
      <formula>11</formula>
    </cfRule>
    <cfRule type="cellIs" dxfId="945" priority="125154" operator="equal">
      <formula>9</formula>
    </cfRule>
    <cfRule type="cellIs" dxfId="944" priority="125152" operator="equal">
      <formula>22</formula>
    </cfRule>
    <cfRule type="cellIs" dxfId="943" priority="125151" operator="equal">
      <formula>2</formula>
    </cfRule>
    <cfRule type="cellIs" dxfId="942" priority="125157" operator="equal">
      <formula>5</formula>
    </cfRule>
    <cfRule type="cellIs" dxfId="941" priority="125156" operator="equal">
      <formula>7</formula>
    </cfRule>
    <cfRule type="cellIs" dxfId="940" priority="125155" operator="equal">
      <formula>0</formula>
    </cfRule>
    <cfRule type="cellIs" dxfId="939" priority="125150" operator="equal">
      <formula>4</formula>
    </cfRule>
  </conditionalFormatting>
  <conditionalFormatting sqref="Z767:AC769 T767:U769">
    <cfRule type="cellIs" dxfId="938" priority="59273" operator="equal">
      <formula>11</formula>
    </cfRule>
    <cfRule type="cellIs" dxfId="937" priority="59272" operator="equal">
      <formula>22</formula>
    </cfRule>
    <cfRule type="cellIs" dxfId="936" priority="59271" operator="equal">
      <formula>2</formula>
    </cfRule>
    <cfRule type="cellIs" dxfId="935" priority="59270" operator="equal">
      <formula>4</formula>
    </cfRule>
    <cfRule type="cellIs" dxfId="934" priority="59278" operator="equal">
      <formula>3</formula>
    </cfRule>
    <cfRule type="cellIs" dxfId="933" priority="59277" operator="equal">
      <formula>5</formula>
    </cfRule>
    <cfRule type="cellIs" dxfId="932" priority="59276" operator="equal">
      <formula>7</formula>
    </cfRule>
    <cfRule type="cellIs" dxfId="931" priority="59274" operator="equal">
      <formula>9</formula>
    </cfRule>
    <cfRule type="cellIs" dxfId="930" priority="59275" operator="equal">
      <formula>0</formula>
    </cfRule>
  </conditionalFormatting>
  <conditionalFormatting sqref="Z781:AC781 T781:U781">
    <cfRule type="cellIs" dxfId="929" priority="59197" operator="equal">
      <formula>4</formula>
    </cfRule>
    <cfRule type="cellIs" dxfId="928" priority="59198" operator="equal">
      <formula>2</formula>
    </cfRule>
    <cfRule type="cellIs" dxfId="927" priority="59199" operator="equal">
      <formula>22</formula>
    </cfRule>
    <cfRule type="cellIs" dxfId="926" priority="59200" operator="equal">
      <formula>11</formula>
    </cfRule>
    <cfRule type="cellIs" dxfId="925" priority="59201" operator="equal">
      <formula>9</formula>
    </cfRule>
    <cfRule type="cellIs" dxfId="924" priority="59202" operator="equal">
      <formula>0</formula>
    </cfRule>
    <cfRule type="cellIs" dxfId="923" priority="59203" operator="equal">
      <formula>7</formula>
    </cfRule>
    <cfRule type="cellIs" dxfId="922" priority="59204" operator="equal">
      <formula>5</formula>
    </cfRule>
    <cfRule type="cellIs" dxfId="921" priority="59205" operator="equal">
      <formula>3</formula>
    </cfRule>
  </conditionalFormatting>
  <conditionalFormatting sqref="Z782:AC784 T782:U784">
    <cfRule type="cellIs" dxfId="920" priority="59179" operator="equal">
      <formula>7</formula>
    </cfRule>
    <cfRule type="cellIs" dxfId="919" priority="59181" operator="equal">
      <formula>3</formula>
    </cfRule>
    <cfRule type="cellIs" dxfId="918" priority="59173" operator="equal">
      <formula>4</formula>
    </cfRule>
    <cfRule type="cellIs" dxfId="917" priority="59174" operator="equal">
      <formula>2</formula>
    </cfRule>
    <cfRule type="cellIs" dxfId="916" priority="59175" operator="equal">
      <formula>22</formula>
    </cfRule>
    <cfRule type="cellIs" dxfId="915" priority="59180" operator="equal">
      <formula>5</formula>
    </cfRule>
    <cfRule type="cellIs" dxfId="914" priority="59176" operator="equal">
      <formula>11</formula>
    </cfRule>
    <cfRule type="cellIs" dxfId="913" priority="59178" operator="equal">
      <formula>0</formula>
    </cfRule>
    <cfRule type="cellIs" dxfId="912" priority="59177" operator="equal">
      <formula>9</formula>
    </cfRule>
  </conditionalFormatting>
  <conditionalFormatting sqref="Z785:AC786 T785:U786">
    <cfRule type="cellIs" dxfId="911" priority="92932" operator="equal">
      <formula>2</formula>
    </cfRule>
    <cfRule type="cellIs" dxfId="910" priority="92939" operator="equal">
      <formula>3</formula>
    </cfRule>
    <cfRule type="cellIs" dxfId="909" priority="92933" operator="equal">
      <formula>22</formula>
    </cfRule>
    <cfRule type="cellIs" dxfId="908" priority="92938" operator="equal">
      <formula>5</formula>
    </cfRule>
    <cfRule type="cellIs" dxfId="907" priority="92937" operator="equal">
      <formula>7</formula>
    </cfRule>
    <cfRule type="cellIs" dxfId="906" priority="92936" operator="equal">
      <formula>0</formula>
    </cfRule>
    <cfRule type="cellIs" dxfId="905" priority="92934" operator="equal">
      <formula>11</formula>
    </cfRule>
    <cfRule type="cellIs" dxfId="904" priority="92935" operator="equal">
      <formula>9</formula>
    </cfRule>
    <cfRule type="cellIs" dxfId="903" priority="92931" operator="equal">
      <formula>4</formula>
    </cfRule>
  </conditionalFormatting>
  <conditionalFormatting sqref="Z796:AC803 T796:U803">
    <cfRule type="cellIs" dxfId="902" priority="59054" operator="equal">
      <formula>2</formula>
    </cfRule>
    <cfRule type="cellIs" dxfId="901" priority="59055" operator="equal">
      <formula>22</formula>
    </cfRule>
    <cfRule type="cellIs" dxfId="900" priority="59056" operator="equal">
      <formula>11</formula>
    </cfRule>
    <cfRule type="cellIs" dxfId="899" priority="59057" operator="equal">
      <formula>9</formula>
    </cfRule>
    <cfRule type="cellIs" dxfId="898" priority="59053" operator="equal">
      <formula>4</formula>
    </cfRule>
    <cfRule type="cellIs" dxfId="897" priority="59058" operator="equal">
      <formula>0</formula>
    </cfRule>
    <cfRule type="cellIs" dxfId="896" priority="59059" operator="equal">
      <formula>7</formula>
    </cfRule>
    <cfRule type="cellIs" dxfId="895" priority="59060" operator="equal">
      <formula>5</formula>
    </cfRule>
    <cfRule type="cellIs" dxfId="894" priority="59061" operator="equal">
      <formula>3</formula>
    </cfRule>
  </conditionalFormatting>
  <conditionalFormatting sqref="Z805:AC805 T805:U805">
    <cfRule type="cellIs" dxfId="893" priority="59028" operator="equal">
      <formula>4</formula>
    </cfRule>
    <cfRule type="cellIs" dxfId="892" priority="59029" operator="equal">
      <formula>2</formula>
    </cfRule>
    <cfRule type="cellIs" dxfId="891" priority="59030" operator="equal">
      <formula>22</formula>
    </cfRule>
    <cfRule type="cellIs" dxfId="890" priority="59031" operator="equal">
      <formula>11</formula>
    </cfRule>
    <cfRule type="cellIs" dxfId="889" priority="59036" operator="equal">
      <formula>3</formula>
    </cfRule>
    <cfRule type="cellIs" dxfId="888" priority="59032" operator="equal">
      <formula>9</formula>
    </cfRule>
    <cfRule type="cellIs" dxfId="887" priority="59033" operator="equal">
      <formula>0</formula>
    </cfRule>
    <cfRule type="cellIs" dxfId="886" priority="59034" operator="equal">
      <formula>7</formula>
    </cfRule>
    <cfRule type="cellIs" dxfId="885" priority="59035" operator="equal">
      <formula>5</formula>
    </cfRule>
  </conditionalFormatting>
  <conditionalFormatting sqref="Z807:AC812 T807:U812">
    <cfRule type="cellIs" dxfId="884" priority="58963" operator="equal">
      <formula>3</formula>
    </cfRule>
    <cfRule type="cellIs" dxfId="883" priority="58962" operator="equal">
      <formula>5</formula>
    </cfRule>
    <cfRule type="cellIs" dxfId="882" priority="58961" operator="equal">
      <formula>7</formula>
    </cfRule>
    <cfRule type="cellIs" dxfId="881" priority="58960" operator="equal">
      <formula>0</formula>
    </cfRule>
    <cfRule type="cellIs" dxfId="880" priority="58959" operator="equal">
      <formula>9</formula>
    </cfRule>
    <cfRule type="cellIs" dxfId="879" priority="58955" operator="equal">
      <formula>4</formula>
    </cfRule>
    <cfRule type="cellIs" dxfId="878" priority="58956" operator="equal">
      <formula>2</formula>
    </cfRule>
    <cfRule type="cellIs" dxfId="877" priority="58957" operator="equal">
      <formula>22</formula>
    </cfRule>
    <cfRule type="cellIs" dxfId="876" priority="58958" operator="equal">
      <formula>11</formula>
    </cfRule>
  </conditionalFormatting>
  <conditionalFormatting sqref="Z813:AC813 T813:U813">
    <cfRule type="cellIs" dxfId="875" priority="58980" operator="equal">
      <formula>2</formula>
    </cfRule>
    <cfRule type="cellIs" dxfId="874" priority="58982" operator="equal">
      <formula>11</formula>
    </cfRule>
    <cfRule type="cellIs" dxfId="873" priority="58987" operator="equal">
      <formula>3</formula>
    </cfRule>
    <cfRule type="cellIs" dxfId="872" priority="58986" operator="equal">
      <formula>5</formula>
    </cfRule>
    <cfRule type="cellIs" dxfId="871" priority="58985" operator="equal">
      <formula>7</formula>
    </cfRule>
    <cfRule type="cellIs" dxfId="870" priority="58984" operator="equal">
      <formula>0</formula>
    </cfRule>
    <cfRule type="cellIs" dxfId="869" priority="58983" operator="equal">
      <formula>9</formula>
    </cfRule>
    <cfRule type="cellIs" dxfId="868" priority="58979" operator="equal">
      <formula>4</formula>
    </cfRule>
    <cfRule type="cellIs" dxfId="867" priority="58981" operator="equal">
      <formula>22</formula>
    </cfRule>
  </conditionalFormatting>
  <conditionalFormatting sqref="Z814:AC816 T814:U816">
    <cfRule type="cellIs" dxfId="866" priority="58937" operator="equal">
      <formula>7</formula>
    </cfRule>
    <cfRule type="cellIs" dxfId="865" priority="58938" operator="equal">
      <formula>5</formula>
    </cfRule>
    <cfRule type="cellIs" dxfId="864" priority="58932" operator="equal">
      <formula>2</formula>
    </cfRule>
    <cfRule type="cellIs" dxfId="863" priority="58936" operator="equal">
      <formula>0</formula>
    </cfRule>
    <cfRule type="cellIs" dxfId="862" priority="58931" operator="equal">
      <formula>4</formula>
    </cfRule>
    <cfRule type="cellIs" dxfId="861" priority="58933" operator="equal">
      <formula>22</formula>
    </cfRule>
    <cfRule type="cellIs" dxfId="860" priority="58934" operator="equal">
      <formula>11</formula>
    </cfRule>
    <cfRule type="cellIs" dxfId="859" priority="58935" operator="equal">
      <formula>9</formula>
    </cfRule>
    <cfRule type="cellIs" dxfId="858" priority="58939" operator="equal">
      <formula>3</formula>
    </cfRule>
  </conditionalFormatting>
  <conditionalFormatting sqref="Z817:AC818 T817:U818">
    <cfRule type="cellIs" dxfId="857" priority="92597" operator="equal">
      <formula>0</formula>
    </cfRule>
    <cfRule type="cellIs" dxfId="856" priority="92598" operator="equal">
      <formula>7</formula>
    </cfRule>
    <cfRule type="cellIs" dxfId="855" priority="92599" operator="equal">
      <formula>5</formula>
    </cfRule>
    <cfRule type="cellIs" dxfId="854" priority="92600" operator="equal">
      <formula>3</formula>
    </cfRule>
    <cfRule type="cellIs" dxfId="853" priority="92592" operator="equal">
      <formula>4</formula>
    </cfRule>
    <cfRule type="cellIs" dxfId="852" priority="92593" operator="equal">
      <formula>2</formula>
    </cfRule>
    <cfRule type="cellIs" dxfId="851" priority="92596" operator="equal">
      <formula>9</formula>
    </cfRule>
    <cfRule type="cellIs" dxfId="850" priority="92594" operator="equal">
      <formula>22</formula>
    </cfRule>
    <cfRule type="cellIs" dxfId="849" priority="92595" operator="equal">
      <formula>11</formula>
    </cfRule>
  </conditionalFormatting>
  <conditionalFormatting sqref="Z822:AC826 T822:U826">
    <cfRule type="cellIs" dxfId="848" priority="92446" operator="equal">
      <formula>4</formula>
    </cfRule>
    <cfRule type="cellIs" dxfId="847" priority="92451" operator="equal">
      <formula>0</formula>
    </cfRule>
    <cfRule type="cellIs" dxfId="846" priority="92453" operator="equal">
      <formula>5</formula>
    </cfRule>
    <cfRule type="cellIs" dxfId="845" priority="92454" operator="equal">
      <formula>3</formula>
    </cfRule>
    <cfRule type="cellIs" dxfId="844" priority="92447" operator="equal">
      <formula>2</formula>
    </cfRule>
    <cfRule type="cellIs" dxfId="843" priority="92452" operator="equal">
      <formula>7</formula>
    </cfRule>
    <cfRule type="cellIs" dxfId="842" priority="92450" operator="equal">
      <formula>9</formula>
    </cfRule>
    <cfRule type="cellIs" dxfId="841" priority="92449" operator="equal">
      <formula>11</formula>
    </cfRule>
    <cfRule type="cellIs" dxfId="840" priority="92448" operator="equal">
      <formula>22</formula>
    </cfRule>
  </conditionalFormatting>
  <conditionalFormatting sqref="Z827:AC827 T827:U827">
    <cfRule type="cellIs" dxfId="839" priority="92479" operator="equal">
      <formula>3</formula>
    </cfRule>
    <cfRule type="cellIs" dxfId="838" priority="92478" operator="equal">
      <formula>5</formula>
    </cfRule>
    <cfRule type="cellIs" dxfId="837" priority="92473" operator="equal">
      <formula>22</formula>
    </cfRule>
    <cfRule type="cellIs" dxfId="836" priority="92472" operator="equal">
      <formula>2</formula>
    </cfRule>
    <cfRule type="cellIs" dxfId="835" priority="92471" operator="equal">
      <formula>4</formula>
    </cfRule>
    <cfRule type="cellIs" dxfId="834" priority="92475" operator="equal">
      <formula>9</formula>
    </cfRule>
    <cfRule type="cellIs" dxfId="833" priority="92476" operator="equal">
      <formula>0</formula>
    </cfRule>
    <cfRule type="cellIs" dxfId="832" priority="92474" operator="equal">
      <formula>11</formula>
    </cfRule>
    <cfRule type="cellIs" dxfId="831" priority="92477" operator="equal">
      <formula>7</formula>
    </cfRule>
  </conditionalFormatting>
  <conditionalFormatting sqref="Z832:AC836 T832:U836">
    <cfRule type="cellIs" dxfId="830" priority="92355" operator="equal">
      <formula>5</formula>
    </cfRule>
    <cfRule type="cellIs" dxfId="829" priority="92348" operator="equal">
      <formula>4</formula>
    </cfRule>
    <cfRule type="cellIs" dxfId="828" priority="92353" operator="equal">
      <formula>0</formula>
    </cfRule>
    <cfRule type="cellIs" dxfId="827" priority="92352" operator="equal">
      <formula>9</formula>
    </cfRule>
    <cfRule type="cellIs" dxfId="826" priority="92349" operator="equal">
      <formula>2</formula>
    </cfRule>
    <cfRule type="cellIs" dxfId="825" priority="92351" operator="equal">
      <formula>11</formula>
    </cfRule>
    <cfRule type="cellIs" dxfId="824" priority="92350" operator="equal">
      <formula>22</formula>
    </cfRule>
    <cfRule type="cellIs" dxfId="823" priority="92354" operator="equal">
      <formula>7</formula>
    </cfRule>
    <cfRule type="cellIs" dxfId="822" priority="92356" operator="equal">
      <formula>3</formula>
    </cfRule>
  </conditionalFormatting>
  <conditionalFormatting sqref="Z837:AC837 T837:U837">
    <cfRule type="cellIs" dxfId="821" priority="92375" operator="equal">
      <formula>22</formula>
    </cfRule>
    <cfRule type="cellIs" dxfId="820" priority="92379" operator="equal">
      <formula>7</formula>
    </cfRule>
    <cfRule type="cellIs" dxfId="819" priority="92377" operator="equal">
      <formula>9</formula>
    </cfRule>
    <cfRule type="cellIs" dxfId="818" priority="92373" operator="equal">
      <formula>4</formula>
    </cfRule>
    <cfRule type="cellIs" dxfId="817" priority="92381" operator="equal">
      <formula>3</formula>
    </cfRule>
    <cfRule type="cellIs" dxfId="816" priority="92376" operator="equal">
      <formula>11</formula>
    </cfRule>
    <cfRule type="cellIs" dxfId="815" priority="92374" operator="equal">
      <formula>2</formula>
    </cfRule>
    <cfRule type="cellIs" dxfId="814" priority="92380" operator="equal">
      <formula>5</formula>
    </cfRule>
    <cfRule type="cellIs" dxfId="813" priority="92378" operator="equal">
      <formula>0</formula>
    </cfRule>
  </conditionalFormatting>
  <conditionalFormatting sqref="Z842:AC845 T842:U845">
    <cfRule type="cellIs" dxfId="812" priority="92179" operator="equal">
      <formula>4</formula>
    </cfRule>
    <cfRule type="cellIs" dxfId="811" priority="92181" operator="equal">
      <formula>22</formula>
    </cfRule>
    <cfRule type="cellIs" dxfId="810" priority="92187" operator="equal">
      <formula>3</formula>
    </cfRule>
    <cfRule type="cellIs" dxfId="809" priority="92186" operator="equal">
      <formula>5</formula>
    </cfRule>
    <cfRule type="cellIs" dxfId="808" priority="92185" operator="equal">
      <formula>7</formula>
    </cfRule>
    <cfRule type="cellIs" dxfId="807" priority="92180" operator="equal">
      <formula>2</formula>
    </cfRule>
    <cfRule type="cellIs" dxfId="806" priority="92184" operator="equal">
      <formula>0</formula>
    </cfRule>
    <cfRule type="cellIs" dxfId="805" priority="92183" operator="equal">
      <formula>9</formula>
    </cfRule>
    <cfRule type="cellIs" dxfId="804" priority="92182" operator="equal">
      <formula>11</formula>
    </cfRule>
  </conditionalFormatting>
  <conditionalFormatting sqref="Z849:AC852 T849:U852">
    <cfRule type="cellIs" dxfId="803" priority="92083" operator="equal">
      <formula>4</formula>
    </cfRule>
    <cfRule type="cellIs" dxfId="802" priority="92087" operator="equal">
      <formula>9</formula>
    </cfRule>
    <cfRule type="cellIs" dxfId="801" priority="92088" operator="equal">
      <formula>0</formula>
    </cfRule>
    <cfRule type="cellIs" dxfId="800" priority="92086" operator="equal">
      <formula>11</formula>
    </cfRule>
    <cfRule type="cellIs" dxfId="799" priority="92090" operator="equal">
      <formula>5</formula>
    </cfRule>
    <cfRule type="cellIs" dxfId="798" priority="92085" operator="equal">
      <formula>22</formula>
    </cfRule>
    <cfRule type="cellIs" dxfId="797" priority="92084" operator="equal">
      <formula>2</formula>
    </cfRule>
    <cfRule type="cellIs" dxfId="796" priority="92089" operator="equal">
      <formula>7</formula>
    </cfRule>
    <cfRule type="cellIs" dxfId="795" priority="92091" operator="equal">
      <formula>3</formula>
    </cfRule>
  </conditionalFormatting>
  <conditionalFormatting sqref="Z890:AC895 T890:U895">
    <cfRule type="cellIs" dxfId="794" priority="91760" operator="equal">
      <formula>5</formula>
    </cfRule>
    <cfRule type="cellIs" dxfId="793" priority="91754" operator="equal">
      <formula>2</formula>
    </cfRule>
    <cfRule type="cellIs" dxfId="792" priority="91755" operator="equal">
      <formula>22</formula>
    </cfRule>
    <cfRule type="cellIs" dxfId="791" priority="91756" operator="equal">
      <formula>11</formula>
    </cfRule>
    <cfRule type="cellIs" dxfId="790" priority="91757" operator="equal">
      <formula>9</formula>
    </cfRule>
    <cfRule type="cellIs" dxfId="789" priority="91758" operator="equal">
      <formula>0</formula>
    </cfRule>
    <cfRule type="cellIs" dxfId="788" priority="91753" operator="equal">
      <formula>4</formula>
    </cfRule>
    <cfRule type="cellIs" dxfId="787" priority="91761" operator="equal">
      <formula>3</formula>
    </cfRule>
    <cfRule type="cellIs" dxfId="786" priority="91759" operator="equal">
      <formula>7</formula>
    </cfRule>
  </conditionalFormatting>
  <conditionalFormatting sqref="Z901:AC906 T901:U906">
    <cfRule type="cellIs" dxfId="785" priority="91634" operator="equal">
      <formula>9</formula>
    </cfRule>
    <cfRule type="cellIs" dxfId="784" priority="91636" operator="equal">
      <formula>7</formula>
    </cfRule>
    <cfRule type="cellIs" dxfId="783" priority="91637" operator="equal">
      <formula>5</formula>
    </cfRule>
    <cfRule type="cellIs" dxfId="782" priority="91631" operator="equal">
      <formula>2</formula>
    </cfRule>
    <cfRule type="cellIs" dxfId="781" priority="91635" operator="equal">
      <formula>0</formula>
    </cfRule>
    <cfRule type="cellIs" dxfId="780" priority="91630" operator="equal">
      <formula>4</formula>
    </cfRule>
    <cfRule type="cellIs" dxfId="779" priority="91632" operator="equal">
      <formula>22</formula>
    </cfRule>
    <cfRule type="cellIs" dxfId="778" priority="91633" operator="equal">
      <formula>11</formula>
    </cfRule>
    <cfRule type="cellIs" dxfId="777" priority="91638" operator="equal">
      <formula>3</formula>
    </cfRule>
  </conditionalFormatting>
  <conditionalFormatting sqref="Z913:AC916 T913:U916">
    <cfRule type="cellIs" dxfId="776" priority="91541" operator="equal">
      <formula>3</formula>
    </cfRule>
    <cfRule type="cellIs" dxfId="775" priority="91534" operator="equal">
      <formula>2</formula>
    </cfRule>
    <cfRule type="cellIs" dxfId="774" priority="91535" operator="equal">
      <formula>22</formula>
    </cfRule>
    <cfRule type="cellIs" dxfId="773" priority="91536" operator="equal">
      <formula>11</formula>
    </cfRule>
    <cfRule type="cellIs" dxfId="772" priority="91537" operator="equal">
      <formula>9</formula>
    </cfRule>
    <cfRule type="cellIs" dxfId="771" priority="91538" operator="equal">
      <formula>0</formula>
    </cfRule>
    <cfRule type="cellIs" dxfId="770" priority="91539" operator="equal">
      <formula>7</formula>
    </cfRule>
    <cfRule type="cellIs" dxfId="769" priority="91533" operator="equal">
      <formula>4</formula>
    </cfRule>
    <cfRule type="cellIs" dxfId="768" priority="91540" operator="equal">
      <formula>5</formula>
    </cfRule>
  </conditionalFormatting>
  <conditionalFormatting sqref="Z919:AC922 T919:U922">
    <cfRule type="cellIs" dxfId="767" priority="91485" operator="equal">
      <formula>4</formula>
    </cfRule>
    <cfRule type="cellIs" dxfId="766" priority="91488" operator="equal">
      <formula>11</formula>
    </cfRule>
    <cfRule type="cellIs" dxfId="765" priority="91493" operator="equal">
      <formula>3</formula>
    </cfRule>
    <cfRule type="cellIs" dxfId="764" priority="91492" operator="equal">
      <formula>5</formula>
    </cfRule>
    <cfRule type="cellIs" dxfId="763" priority="91491" operator="equal">
      <formula>7</formula>
    </cfRule>
    <cfRule type="cellIs" dxfId="762" priority="91490" operator="equal">
      <formula>0</formula>
    </cfRule>
    <cfRule type="cellIs" dxfId="761" priority="91486" operator="equal">
      <formula>2</formula>
    </cfRule>
    <cfRule type="cellIs" dxfId="760" priority="91487" operator="equal">
      <formula>22</formula>
    </cfRule>
    <cfRule type="cellIs" dxfId="759" priority="91489" operator="equal">
      <formula>9</formula>
    </cfRule>
  </conditionalFormatting>
  <conditionalFormatting sqref="Z935:AC949 T935:U949">
    <cfRule type="cellIs" dxfId="758" priority="91389" operator="equal">
      <formula>4</formula>
    </cfRule>
    <cfRule type="cellIs" dxfId="757" priority="91391" operator="equal">
      <formula>22</formula>
    </cfRule>
    <cfRule type="cellIs" dxfId="756" priority="91397" operator="equal">
      <formula>3</formula>
    </cfRule>
    <cfRule type="cellIs" dxfId="755" priority="91395" operator="equal">
      <formula>7</formula>
    </cfRule>
    <cfRule type="cellIs" dxfId="754" priority="91390" operator="equal">
      <formula>2</formula>
    </cfRule>
    <cfRule type="cellIs" dxfId="753" priority="91396" operator="equal">
      <formula>5</formula>
    </cfRule>
    <cfRule type="cellIs" dxfId="752" priority="91394" operator="equal">
      <formula>0</formula>
    </cfRule>
    <cfRule type="cellIs" dxfId="751" priority="91393" operator="equal">
      <formula>9</formula>
    </cfRule>
    <cfRule type="cellIs" dxfId="750" priority="91392" operator="equal">
      <formula>11</formula>
    </cfRule>
  </conditionalFormatting>
  <conditionalFormatting sqref="Z959:AC961 T959:U961">
    <cfRule type="cellIs" dxfId="749" priority="91301" operator="equal">
      <formula>3</formula>
    </cfRule>
    <cfRule type="cellIs" dxfId="748" priority="91297" operator="equal">
      <formula>9</formula>
    </cfRule>
    <cfRule type="cellIs" dxfId="747" priority="91296" operator="equal">
      <formula>11</formula>
    </cfRule>
    <cfRule type="cellIs" dxfId="746" priority="91295" operator="equal">
      <formula>22</formula>
    </cfRule>
    <cfRule type="cellIs" dxfId="745" priority="91294" operator="equal">
      <formula>2</formula>
    </cfRule>
    <cfRule type="cellIs" dxfId="744" priority="91293" operator="equal">
      <formula>4</formula>
    </cfRule>
    <cfRule type="cellIs" dxfId="743" priority="91298" operator="equal">
      <formula>0</formula>
    </cfRule>
    <cfRule type="cellIs" dxfId="742" priority="91299" operator="equal">
      <formula>7</formula>
    </cfRule>
    <cfRule type="cellIs" dxfId="741" priority="91300" operator="equal">
      <formula>5</formula>
    </cfRule>
  </conditionalFormatting>
  <conditionalFormatting sqref="Z965:AC974 T965:U974">
    <cfRule type="cellIs" dxfId="740" priority="91250" operator="equal">
      <formula>0</formula>
    </cfRule>
    <cfRule type="cellIs" dxfId="739" priority="91253" operator="equal">
      <formula>3</formula>
    </cfRule>
    <cfRule type="cellIs" dxfId="738" priority="91245" operator="equal">
      <formula>4</formula>
    </cfRule>
    <cfRule type="cellIs" dxfId="737" priority="91246" operator="equal">
      <formula>2</formula>
    </cfRule>
    <cfRule type="cellIs" dxfId="736" priority="91247" operator="equal">
      <formula>22</formula>
    </cfRule>
    <cfRule type="cellIs" dxfId="735" priority="91248" operator="equal">
      <formula>11</formula>
    </cfRule>
    <cfRule type="cellIs" dxfId="734" priority="91249" operator="equal">
      <formula>9</formula>
    </cfRule>
    <cfRule type="cellIs" dxfId="733" priority="91251" operator="equal">
      <formula>7</formula>
    </cfRule>
    <cfRule type="cellIs" dxfId="732" priority="91252" operator="equal">
      <formula>5</formula>
    </cfRule>
  </conditionalFormatting>
  <conditionalFormatting sqref="Z978:AC982 T978:U982 T984:U988 Z984:AC988">
    <cfRule type="cellIs" dxfId="731" priority="91203" operator="equal">
      <formula>7</formula>
    </cfRule>
    <cfRule type="cellIs" dxfId="730" priority="91201" operator="equal">
      <formula>9</formula>
    </cfRule>
    <cfRule type="cellIs" dxfId="729" priority="91197" operator="equal">
      <formula>4</formula>
    </cfRule>
    <cfRule type="cellIs" dxfId="728" priority="91198" operator="equal">
      <formula>2</formula>
    </cfRule>
    <cfRule type="cellIs" dxfId="727" priority="91199" operator="equal">
      <formula>22</formula>
    </cfRule>
    <cfRule type="cellIs" dxfId="726" priority="91200" operator="equal">
      <formula>11</formula>
    </cfRule>
    <cfRule type="cellIs" dxfId="725" priority="91202" operator="equal">
      <formula>0</formula>
    </cfRule>
    <cfRule type="cellIs" dxfId="724" priority="91205" operator="equal">
      <formula>3</formula>
    </cfRule>
    <cfRule type="cellIs" dxfId="723" priority="91204" operator="equal">
      <formula>5</formula>
    </cfRule>
  </conditionalFormatting>
  <conditionalFormatting sqref="Z983:AC983 T983:U983">
    <cfRule type="cellIs" dxfId="722" priority="91181" operator="equal">
      <formula>3</formula>
    </cfRule>
    <cfRule type="cellIs" dxfId="721" priority="91176" operator="equal">
      <formula>11</formula>
    </cfRule>
    <cfRule type="cellIs" dxfId="720" priority="91177" operator="equal">
      <formula>9</formula>
    </cfRule>
    <cfRule type="cellIs" dxfId="719" priority="91178" operator="equal">
      <formula>0</formula>
    </cfRule>
    <cfRule type="cellIs" dxfId="718" priority="91179" operator="equal">
      <formula>7</formula>
    </cfRule>
    <cfRule type="cellIs" dxfId="717" priority="91180" operator="equal">
      <formula>5</formula>
    </cfRule>
    <cfRule type="cellIs" dxfId="716" priority="91173" operator="equal">
      <formula>4</formula>
    </cfRule>
    <cfRule type="cellIs" dxfId="715" priority="91174" operator="equal">
      <formula>2</formula>
    </cfRule>
    <cfRule type="cellIs" dxfId="714" priority="91175" operator="equal">
      <formula>22</formula>
    </cfRule>
  </conditionalFormatting>
  <conditionalFormatting sqref="Z992:AC996 T992:U996">
    <cfRule type="cellIs" dxfId="713" priority="91055" operator="equal">
      <formula>22</formula>
    </cfRule>
    <cfRule type="cellIs" dxfId="712" priority="91053" operator="equal">
      <formula>4</formula>
    </cfRule>
    <cfRule type="cellIs" dxfId="711" priority="91056" operator="equal">
      <formula>11</formula>
    </cfRule>
    <cfRule type="cellIs" dxfId="710" priority="91057" operator="equal">
      <formula>9</formula>
    </cfRule>
    <cfRule type="cellIs" dxfId="709" priority="91058" operator="equal">
      <formula>0</formula>
    </cfRule>
    <cfRule type="cellIs" dxfId="708" priority="91059" operator="equal">
      <formula>7</formula>
    </cfRule>
    <cfRule type="cellIs" dxfId="707" priority="91060" operator="equal">
      <formula>5</formula>
    </cfRule>
    <cfRule type="cellIs" dxfId="706" priority="91061" operator="equal">
      <formula>3</formula>
    </cfRule>
    <cfRule type="cellIs" dxfId="705" priority="91054" operator="equal">
      <formula>2</formula>
    </cfRule>
  </conditionalFormatting>
  <conditionalFormatting sqref="Z997:AC998 T997:U998">
    <cfRule type="cellIs" dxfId="704" priority="90818" operator="equal">
      <formula>5</formula>
    </cfRule>
    <cfRule type="cellIs" dxfId="703" priority="90817" operator="equal">
      <formula>7</formula>
    </cfRule>
    <cfRule type="cellIs" dxfId="702" priority="90816" operator="equal">
      <formula>0</formula>
    </cfRule>
    <cfRule type="cellIs" dxfId="701" priority="90815" operator="equal">
      <formula>9</formula>
    </cfRule>
    <cfRule type="cellIs" dxfId="700" priority="90814" operator="equal">
      <formula>11</formula>
    </cfRule>
    <cfRule type="cellIs" dxfId="699" priority="90813" operator="equal">
      <formula>22</formula>
    </cfRule>
    <cfRule type="cellIs" dxfId="698" priority="90819" operator="equal">
      <formula>3</formula>
    </cfRule>
    <cfRule type="cellIs" dxfId="697" priority="90812" operator="equal">
      <formula>2</formula>
    </cfRule>
    <cfRule type="cellIs" dxfId="696" priority="90811" operator="equal">
      <formula>4</formula>
    </cfRule>
  </conditionalFormatting>
  <conditionalFormatting sqref="Z999:AC1001 T999:U1001">
    <cfRule type="cellIs" dxfId="695" priority="90862" operator="equal">
      <formula>22</formula>
    </cfRule>
    <cfRule type="cellIs" dxfId="694" priority="90863" operator="equal">
      <formula>11</formula>
    </cfRule>
    <cfRule type="cellIs" dxfId="693" priority="90864" operator="equal">
      <formula>9</formula>
    </cfRule>
    <cfRule type="cellIs" dxfId="692" priority="90865" operator="equal">
      <formula>0</formula>
    </cfRule>
    <cfRule type="cellIs" dxfId="691" priority="90866" operator="equal">
      <formula>7</formula>
    </cfRule>
    <cfRule type="cellIs" dxfId="690" priority="90867" operator="equal">
      <formula>5</formula>
    </cfRule>
    <cfRule type="cellIs" dxfId="689" priority="90868" operator="equal">
      <formula>3</formula>
    </cfRule>
    <cfRule type="cellIs" dxfId="688" priority="90861" operator="equal">
      <formula>2</formula>
    </cfRule>
    <cfRule type="cellIs" dxfId="687" priority="90860" operator="equal">
      <formula>4</formula>
    </cfRule>
  </conditionalFormatting>
  <conditionalFormatting sqref="Z1002:AC1006 T1002:U1006">
    <cfRule type="cellIs" dxfId="686" priority="91032" operator="equal">
      <formula>11</formula>
    </cfRule>
    <cfRule type="cellIs" dxfId="685" priority="91031" operator="equal">
      <formula>22</formula>
    </cfRule>
    <cfRule type="cellIs" dxfId="684" priority="91030" operator="equal">
      <formula>2</formula>
    </cfRule>
    <cfRule type="cellIs" dxfId="683" priority="91029" operator="equal">
      <formula>4</formula>
    </cfRule>
    <cfRule type="cellIs" dxfId="682" priority="91037" operator="equal">
      <formula>3</formula>
    </cfRule>
    <cfRule type="cellIs" dxfId="681" priority="91036" operator="equal">
      <formula>5</formula>
    </cfRule>
    <cfRule type="cellIs" dxfId="680" priority="91035" operator="equal">
      <formula>7</formula>
    </cfRule>
    <cfRule type="cellIs" dxfId="679" priority="91034" operator="equal">
      <formula>0</formula>
    </cfRule>
    <cfRule type="cellIs" dxfId="678" priority="91033" operator="equal">
      <formula>9</formula>
    </cfRule>
  </conditionalFormatting>
  <conditionalFormatting sqref="Z1008:AC1010 T1008:U1010">
    <cfRule type="cellIs" dxfId="677" priority="90837" operator="equal">
      <formula>22</formula>
    </cfRule>
    <cfRule type="cellIs" dxfId="676" priority="90836" operator="equal">
      <formula>2</formula>
    </cfRule>
    <cfRule type="cellIs" dxfId="675" priority="90843" operator="equal">
      <formula>3</formula>
    </cfRule>
    <cfRule type="cellIs" dxfId="674" priority="90842" operator="equal">
      <formula>5</formula>
    </cfRule>
    <cfRule type="cellIs" dxfId="673" priority="90841" operator="equal">
      <formula>7</formula>
    </cfRule>
    <cfRule type="cellIs" dxfId="672" priority="90840" operator="equal">
      <formula>0</formula>
    </cfRule>
    <cfRule type="cellIs" dxfId="671" priority="90839" operator="equal">
      <formula>9</formula>
    </cfRule>
    <cfRule type="cellIs" dxfId="670" priority="90835" operator="equal">
      <formula>4</formula>
    </cfRule>
    <cfRule type="cellIs" dxfId="669" priority="90838" operator="equal">
      <formula>11</formula>
    </cfRule>
  </conditionalFormatting>
  <conditionalFormatting sqref="Z1011:AC1015 T1011:U1015">
    <cfRule type="cellIs" dxfId="668" priority="90982" operator="equal">
      <formula>2</formula>
    </cfRule>
    <cfRule type="cellIs" dxfId="667" priority="90983" operator="equal">
      <formula>22</formula>
    </cfRule>
    <cfRule type="cellIs" dxfId="666" priority="90984" operator="equal">
      <formula>11</formula>
    </cfRule>
    <cfRule type="cellIs" dxfId="665" priority="90985" operator="equal">
      <formula>9</formula>
    </cfRule>
    <cfRule type="cellIs" dxfId="664" priority="90986" operator="equal">
      <formula>0</formula>
    </cfRule>
    <cfRule type="cellIs" dxfId="663" priority="90987" operator="equal">
      <formula>7</formula>
    </cfRule>
    <cfRule type="cellIs" dxfId="662" priority="90981" operator="equal">
      <formula>4</formula>
    </cfRule>
    <cfRule type="cellIs" dxfId="661" priority="90988" operator="equal">
      <formula>5</formula>
    </cfRule>
    <cfRule type="cellIs" dxfId="660" priority="90989" operator="equal">
      <formula>3</formula>
    </cfRule>
  </conditionalFormatting>
  <conditionalFormatting sqref="Z1016:AC1016 T1016:U1016">
    <cfRule type="cellIs" dxfId="659" priority="90941" operator="equal">
      <formula>3</formula>
    </cfRule>
    <cfRule type="cellIs" dxfId="658" priority="90933" operator="equal">
      <formula>4</formula>
    </cfRule>
    <cfRule type="cellIs" dxfId="657" priority="90934" operator="equal">
      <formula>2</formula>
    </cfRule>
    <cfRule type="cellIs" dxfId="656" priority="90935" operator="equal">
      <formula>22</formula>
    </cfRule>
    <cfRule type="cellIs" dxfId="655" priority="90936" operator="equal">
      <formula>11</formula>
    </cfRule>
    <cfRule type="cellIs" dxfId="654" priority="90937" operator="equal">
      <formula>9</formula>
    </cfRule>
    <cfRule type="cellIs" dxfId="653" priority="90938" operator="equal">
      <formula>0</formula>
    </cfRule>
    <cfRule type="cellIs" dxfId="652" priority="90940" operator="equal">
      <formula>5</formula>
    </cfRule>
    <cfRule type="cellIs" dxfId="651" priority="90939" operator="equal">
      <formula>7</formula>
    </cfRule>
  </conditionalFormatting>
  <conditionalFormatting sqref="Z1030:AC1033 T1030:U1033">
    <cfRule type="cellIs" dxfId="650" priority="90763" operator="equal">
      <formula>4</formula>
    </cfRule>
    <cfRule type="cellIs" dxfId="649" priority="90764" operator="equal">
      <formula>2</formula>
    </cfRule>
    <cfRule type="cellIs" dxfId="648" priority="90765" operator="equal">
      <formula>22</formula>
    </cfRule>
    <cfRule type="cellIs" dxfId="647" priority="90766" operator="equal">
      <formula>11</formula>
    </cfRule>
    <cfRule type="cellIs" dxfId="646" priority="90767" operator="equal">
      <formula>9</formula>
    </cfRule>
    <cfRule type="cellIs" dxfId="645" priority="90768" operator="equal">
      <formula>0</formula>
    </cfRule>
    <cfRule type="cellIs" dxfId="644" priority="90769" operator="equal">
      <formula>7</formula>
    </cfRule>
    <cfRule type="cellIs" dxfId="643" priority="90770" operator="equal">
      <formula>5</formula>
    </cfRule>
    <cfRule type="cellIs" dxfId="642" priority="90771" operator="equal">
      <formula>3</formula>
    </cfRule>
  </conditionalFormatting>
  <conditionalFormatting sqref="Z1037:AC1040 T1037:U1040">
    <cfRule type="cellIs" dxfId="641" priority="90719" operator="equal">
      <formula>9</formula>
    </cfRule>
    <cfRule type="cellIs" dxfId="640" priority="90720" operator="equal">
      <formula>0</formula>
    </cfRule>
    <cfRule type="cellIs" dxfId="639" priority="90718" operator="equal">
      <formula>11</formula>
    </cfRule>
    <cfRule type="cellIs" dxfId="638" priority="90717" operator="equal">
      <formula>22</formula>
    </cfRule>
    <cfRule type="cellIs" dxfId="637" priority="90716" operator="equal">
      <formula>2</formula>
    </cfRule>
    <cfRule type="cellIs" dxfId="636" priority="90715" operator="equal">
      <formula>4</formula>
    </cfRule>
    <cfRule type="cellIs" dxfId="635" priority="90721" operator="equal">
      <formula>7</formula>
    </cfRule>
    <cfRule type="cellIs" dxfId="634" priority="90722" operator="equal">
      <formula>5</formula>
    </cfRule>
    <cfRule type="cellIs" dxfId="633" priority="90723" operator="equal">
      <formula>3</formula>
    </cfRule>
  </conditionalFormatting>
  <conditionalFormatting sqref="Z1042:AC1044 T1042:U1044">
    <cfRule type="cellIs" dxfId="632" priority="90692" operator="equal">
      <formula>2</formula>
    </cfRule>
    <cfRule type="cellIs" dxfId="631" priority="90699" operator="equal">
      <formula>3</formula>
    </cfRule>
    <cfRule type="cellIs" dxfId="630" priority="90693" operator="equal">
      <formula>22</formula>
    </cfRule>
    <cfRule type="cellIs" dxfId="629" priority="90694" operator="equal">
      <formula>11</formula>
    </cfRule>
    <cfRule type="cellIs" dxfId="628" priority="90691" operator="equal">
      <formula>4</formula>
    </cfRule>
    <cfRule type="cellIs" dxfId="627" priority="90698" operator="equal">
      <formula>5</formula>
    </cfRule>
    <cfRule type="cellIs" dxfId="626" priority="90697" operator="equal">
      <formula>7</formula>
    </cfRule>
    <cfRule type="cellIs" dxfId="625" priority="90695" operator="equal">
      <formula>9</formula>
    </cfRule>
    <cfRule type="cellIs" dxfId="624" priority="90696" operator="equal">
      <formula>0</formula>
    </cfRule>
  </conditionalFormatting>
  <conditionalFormatting sqref="Z1046:AC1046 T1046:U1046">
    <cfRule type="cellIs" dxfId="623" priority="90674" operator="equal">
      <formula>5</formula>
    </cfRule>
    <cfRule type="cellIs" dxfId="622" priority="90669" operator="equal">
      <formula>22</formula>
    </cfRule>
    <cfRule type="cellIs" dxfId="621" priority="90670" operator="equal">
      <formula>11</formula>
    </cfRule>
    <cfRule type="cellIs" dxfId="620" priority="90671" operator="equal">
      <formula>9</formula>
    </cfRule>
    <cfRule type="cellIs" dxfId="619" priority="90673" operator="equal">
      <formula>7</formula>
    </cfRule>
    <cfRule type="cellIs" dxfId="618" priority="90675" operator="equal">
      <formula>3</formula>
    </cfRule>
    <cfRule type="cellIs" dxfId="617" priority="90672" operator="equal">
      <formula>0</formula>
    </cfRule>
    <cfRule type="cellIs" dxfId="616" priority="90668" operator="equal">
      <formula>2</formula>
    </cfRule>
    <cfRule type="cellIs" dxfId="615" priority="90667" operator="equal">
      <formula>4</formula>
    </cfRule>
  </conditionalFormatting>
  <conditionalFormatting sqref="Z1047:AC1048 T1047:U1048">
    <cfRule type="cellIs" dxfId="614" priority="90651" operator="equal">
      <formula>3</formula>
    </cfRule>
    <cfRule type="cellIs" dxfId="613" priority="90645" operator="equal">
      <formula>22</formula>
    </cfRule>
    <cfRule type="cellIs" dxfId="612" priority="90646" operator="equal">
      <formula>11</formula>
    </cfRule>
    <cfRule type="cellIs" dxfId="611" priority="90647" operator="equal">
      <formula>9</formula>
    </cfRule>
    <cfRule type="cellIs" dxfId="610" priority="90650" operator="equal">
      <formula>5</formula>
    </cfRule>
    <cfRule type="cellIs" dxfId="609" priority="90649" operator="equal">
      <formula>7</formula>
    </cfRule>
    <cfRule type="cellIs" dxfId="608" priority="90648" operator="equal">
      <formula>0</formula>
    </cfRule>
    <cfRule type="cellIs" dxfId="607" priority="90644" operator="equal">
      <formula>2</formula>
    </cfRule>
    <cfRule type="cellIs" dxfId="606" priority="90643" operator="equal">
      <formula>4</formula>
    </cfRule>
  </conditionalFormatting>
  <conditionalFormatting sqref="AA46:AC46 T46:U46">
    <cfRule type="cellIs" dxfId="605" priority="1560" operator="equal">
      <formula>3</formula>
    </cfRule>
    <cfRule type="cellIs" dxfId="604" priority="1552" operator="equal">
      <formula>4</formula>
    </cfRule>
    <cfRule type="cellIs" dxfId="603" priority="1561" operator="equal">
      <formula>1</formula>
    </cfRule>
    <cfRule type="cellIs" dxfId="602" priority="1556" operator="equal">
      <formula>9</formula>
    </cfRule>
    <cfRule type="cellIs" dxfId="601" priority="1559" operator="equal">
      <formula>5</formula>
    </cfRule>
    <cfRule type="cellIs" dxfId="600" priority="1558" operator="equal">
      <formula>7</formula>
    </cfRule>
    <cfRule type="cellIs" dxfId="599" priority="1553" operator="equal">
      <formula>2</formula>
    </cfRule>
    <cfRule type="cellIs" dxfId="598" priority="1554" operator="equal">
      <formula>22</formula>
    </cfRule>
    <cfRule type="cellIs" dxfId="597" priority="1557" operator="equal">
      <formula>0</formula>
    </cfRule>
    <cfRule type="cellIs" dxfId="596" priority="1555" operator="equal">
      <formula>11</formula>
    </cfRule>
  </conditionalFormatting>
  <conditionalFormatting sqref="AA50:AC51 T50:U50 U51">
    <cfRule type="cellIs" dxfId="595" priority="1390" operator="equal">
      <formula>2</formula>
    </cfRule>
    <cfRule type="cellIs" dxfId="594" priority="1392" operator="equal">
      <formula>11</formula>
    </cfRule>
    <cfRule type="cellIs" dxfId="593" priority="1391" operator="equal">
      <formula>22</formula>
    </cfRule>
    <cfRule type="cellIs" dxfId="592" priority="1398" operator="equal">
      <formula>1</formula>
    </cfRule>
    <cfRule type="cellIs" dxfId="591" priority="1397" operator="equal">
      <formula>3</formula>
    </cfRule>
    <cfRule type="cellIs" dxfId="590" priority="1393" operator="equal">
      <formula>9</formula>
    </cfRule>
    <cfRule type="cellIs" dxfId="589" priority="1389" operator="equal">
      <formula>4</formula>
    </cfRule>
    <cfRule type="cellIs" dxfId="588" priority="1395" operator="equal">
      <formula>7</formula>
    </cfRule>
    <cfRule type="cellIs" dxfId="587" priority="1394" operator="equal">
      <formula>0</formula>
    </cfRule>
    <cfRule type="cellIs" dxfId="586" priority="1396" operator="equal">
      <formula>5</formula>
    </cfRule>
  </conditionalFormatting>
  <conditionalFormatting sqref="AA54:AC55 T54:U54 U55">
    <cfRule type="cellIs" dxfId="585" priority="1322" operator="equal">
      <formula>7</formula>
    </cfRule>
    <cfRule type="cellIs" dxfId="584" priority="1324" operator="equal">
      <formula>3</formula>
    </cfRule>
    <cfRule type="cellIs" dxfId="583" priority="1323" operator="equal">
      <formula>5</formula>
    </cfRule>
    <cfRule type="cellIs" dxfId="582" priority="1325" operator="equal">
      <formula>1</formula>
    </cfRule>
    <cfRule type="cellIs" dxfId="581" priority="1321" operator="equal">
      <formula>0</formula>
    </cfRule>
    <cfRule type="cellIs" dxfId="580" priority="1316" operator="equal">
      <formula>4</formula>
    </cfRule>
    <cfRule type="cellIs" dxfId="579" priority="1320" operator="equal">
      <formula>9</formula>
    </cfRule>
    <cfRule type="cellIs" dxfId="578" priority="1319" operator="equal">
      <formula>11</formula>
    </cfRule>
    <cfRule type="cellIs" dxfId="577" priority="1317" operator="equal">
      <formula>2</formula>
    </cfRule>
    <cfRule type="cellIs" dxfId="576" priority="1318" operator="equal">
      <formula>22</formula>
    </cfRule>
  </conditionalFormatting>
  <conditionalFormatting sqref="AA58:AC59 T58:U58 U59">
    <cfRule type="cellIs" dxfId="575" priority="1220" operator="equal">
      <formula>2</formula>
    </cfRule>
    <cfRule type="cellIs" dxfId="574" priority="1223" operator="equal">
      <formula>9</formula>
    </cfRule>
    <cfRule type="cellIs" dxfId="573" priority="1228" operator="equal">
      <formula>1</formula>
    </cfRule>
    <cfRule type="cellIs" dxfId="572" priority="1227" operator="equal">
      <formula>3</formula>
    </cfRule>
    <cfRule type="cellIs" dxfId="571" priority="1224" operator="equal">
      <formula>0</formula>
    </cfRule>
    <cfRule type="cellIs" dxfId="570" priority="1225" operator="equal">
      <formula>7</formula>
    </cfRule>
    <cfRule type="cellIs" dxfId="569" priority="1226" operator="equal">
      <formula>5</formula>
    </cfRule>
    <cfRule type="cellIs" dxfId="568" priority="1222" operator="equal">
      <formula>11</formula>
    </cfRule>
    <cfRule type="cellIs" dxfId="567" priority="1221" operator="equal">
      <formula>22</formula>
    </cfRule>
    <cfRule type="cellIs" dxfId="566" priority="1219" operator="equal">
      <formula>4</formula>
    </cfRule>
  </conditionalFormatting>
  <conditionalFormatting sqref="AA62:AC63 T62:U62 U63">
    <cfRule type="cellIs" dxfId="565" priority="1155" operator="equal">
      <formula>1</formula>
    </cfRule>
    <cfRule type="cellIs" dxfId="564" priority="1146" operator="equal">
      <formula>4</formula>
    </cfRule>
    <cfRule type="cellIs" dxfId="563" priority="1152" operator="equal">
      <formula>7</formula>
    </cfRule>
    <cfRule type="cellIs" dxfId="562" priority="1147" operator="equal">
      <formula>2</formula>
    </cfRule>
    <cfRule type="cellIs" dxfId="561" priority="1153" operator="equal">
      <formula>5</formula>
    </cfRule>
    <cfRule type="cellIs" dxfId="560" priority="1148" operator="equal">
      <formula>22</formula>
    </cfRule>
    <cfRule type="cellIs" dxfId="559" priority="1154" operator="equal">
      <formula>3</formula>
    </cfRule>
    <cfRule type="cellIs" dxfId="558" priority="1149" operator="equal">
      <formula>11</formula>
    </cfRule>
    <cfRule type="cellIs" dxfId="557" priority="1151" operator="equal">
      <formula>0</formula>
    </cfRule>
    <cfRule type="cellIs" dxfId="556" priority="1150" operator="equal">
      <formula>9</formula>
    </cfRule>
  </conditionalFormatting>
  <conditionalFormatting sqref="AA67:AC69 T67:U69">
    <cfRule type="cellIs" dxfId="555" priority="1076" operator="equal">
      <formula>11</formula>
    </cfRule>
    <cfRule type="cellIs" dxfId="554" priority="1078" operator="equal">
      <formula>0</formula>
    </cfRule>
    <cfRule type="cellIs" dxfId="553" priority="1082" operator="equal">
      <formula>1</formula>
    </cfRule>
    <cfRule type="cellIs" dxfId="552" priority="1077" operator="equal">
      <formula>9</formula>
    </cfRule>
    <cfRule type="cellIs" dxfId="551" priority="1081" operator="equal">
      <formula>3</formula>
    </cfRule>
    <cfRule type="cellIs" dxfId="550" priority="1080" operator="equal">
      <formula>5</formula>
    </cfRule>
    <cfRule type="cellIs" dxfId="549" priority="1079" operator="equal">
      <formula>7</formula>
    </cfRule>
    <cfRule type="cellIs" dxfId="548" priority="1073" operator="equal">
      <formula>4</formula>
    </cfRule>
    <cfRule type="cellIs" dxfId="547" priority="1074" operator="equal">
      <formula>2</formula>
    </cfRule>
    <cfRule type="cellIs" dxfId="546" priority="1075" operator="equal">
      <formula>22</formula>
    </cfRule>
  </conditionalFormatting>
  <conditionalFormatting sqref="AA73:AC74 U73:U74">
    <cfRule type="cellIs" dxfId="545" priority="1016" operator="equal">
      <formula>2</formula>
    </cfRule>
    <cfRule type="cellIs" dxfId="544" priority="1021" operator="equal">
      <formula>7</formula>
    </cfRule>
    <cfRule type="cellIs" dxfId="543" priority="1024" operator="equal">
      <formula>1</formula>
    </cfRule>
    <cfRule type="cellIs" dxfId="542" priority="1018" operator="equal">
      <formula>11</formula>
    </cfRule>
    <cfRule type="cellIs" dxfId="541" priority="1020" operator="equal">
      <formula>0</formula>
    </cfRule>
    <cfRule type="cellIs" dxfId="540" priority="1019" operator="equal">
      <formula>9</formula>
    </cfRule>
    <cfRule type="cellIs" dxfId="539" priority="1023" operator="equal">
      <formula>3</formula>
    </cfRule>
    <cfRule type="cellIs" dxfId="538" priority="1017" operator="equal">
      <formula>22</formula>
    </cfRule>
    <cfRule type="cellIs" dxfId="537" priority="1015" operator="equal">
      <formula>4</formula>
    </cfRule>
    <cfRule type="cellIs" dxfId="536" priority="1022" operator="equal">
      <formula>5</formula>
    </cfRule>
  </conditionalFormatting>
  <conditionalFormatting sqref="AA89:AC89 U89">
    <cfRule type="cellIs" dxfId="535" priority="868" operator="equal">
      <formula>2</formula>
    </cfRule>
    <cfRule type="cellIs" dxfId="534" priority="871" operator="equal">
      <formula>9</formula>
    </cfRule>
    <cfRule type="cellIs" dxfId="533" priority="870" operator="equal">
      <formula>11</formula>
    </cfRule>
    <cfRule type="cellIs" dxfId="532" priority="872" operator="equal">
      <formula>0</formula>
    </cfRule>
    <cfRule type="cellIs" dxfId="531" priority="867" operator="equal">
      <formula>4</formula>
    </cfRule>
    <cfRule type="cellIs" dxfId="530" priority="873" operator="equal">
      <formula>7</formula>
    </cfRule>
    <cfRule type="cellIs" dxfId="529" priority="876" operator="equal">
      <formula>1</formula>
    </cfRule>
    <cfRule type="cellIs" dxfId="528" priority="874" operator="equal">
      <formula>5</formula>
    </cfRule>
    <cfRule type="cellIs" dxfId="527" priority="875" operator="equal">
      <formula>3</formula>
    </cfRule>
    <cfRule type="cellIs" dxfId="526" priority="869" operator="equal">
      <formula>22</formula>
    </cfRule>
  </conditionalFormatting>
  <conditionalFormatting sqref="AA90:AC92 T90:U92">
    <cfRule type="cellIs" dxfId="525" priority="821" operator="equal">
      <formula>7</formula>
    </cfRule>
    <cfRule type="cellIs" dxfId="524" priority="822" operator="equal">
      <formula>5</formula>
    </cfRule>
    <cfRule type="cellIs" dxfId="523" priority="823" operator="equal">
      <formula>3</formula>
    </cfRule>
    <cfRule type="cellIs" dxfId="522" priority="817" operator="equal">
      <formula>22</formula>
    </cfRule>
    <cfRule type="cellIs" dxfId="521" priority="819" operator="equal">
      <formula>9</formula>
    </cfRule>
    <cfRule type="cellIs" dxfId="520" priority="818" operator="equal">
      <formula>11</formula>
    </cfRule>
    <cfRule type="cellIs" dxfId="519" priority="816" operator="equal">
      <formula>2</formula>
    </cfRule>
    <cfRule type="cellIs" dxfId="518" priority="824" operator="equal">
      <formula>1</formula>
    </cfRule>
    <cfRule type="cellIs" dxfId="517" priority="815" operator="equal">
      <formula>4</formula>
    </cfRule>
    <cfRule type="cellIs" dxfId="516" priority="820" operator="equal">
      <formula>0</formula>
    </cfRule>
  </conditionalFormatting>
  <conditionalFormatting sqref="AA95:AC95 U95">
    <cfRule type="cellIs" dxfId="515" priority="766" operator="equal">
      <formula>1</formula>
    </cfRule>
    <cfRule type="cellIs" dxfId="514" priority="765" operator="equal">
      <formula>3</formula>
    </cfRule>
    <cfRule type="cellIs" dxfId="513" priority="757" operator="equal">
      <formula>4</formula>
    </cfRule>
    <cfRule type="cellIs" dxfId="512" priority="758" operator="equal">
      <formula>2</formula>
    </cfRule>
    <cfRule type="cellIs" dxfId="511" priority="759" operator="equal">
      <formula>22</formula>
    </cfRule>
    <cfRule type="cellIs" dxfId="510" priority="760" operator="equal">
      <formula>11</formula>
    </cfRule>
    <cfRule type="cellIs" dxfId="509" priority="764" operator="equal">
      <formula>5</formula>
    </cfRule>
    <cfRule type="cellIs" dxfId="508" priority="763" operator="equal">
      <formula>7</formula>
    </cfRule>
    <cfRule type="cellIs" dxfId="507" priority="761" operator="equal">
      <formula>9</formula>
    </cfRule>
    <cfRule type="cellIs" dxfId="506" priority="762" operator="equal">
      <formula>0</formula>
    </cfRule>
  </conditionalFormatting>
  <conditionalFormatting sqref="AA96:AC98 T96:U98">
    <cfRule type="cellIs" dxfId="505" priority="712" operator="equal">
      <formula>9</formula>
    </cfRule>
    <cfRule type="cellIs" dxfId="504" priority="711" operator="equal">
      <formula>11</formula>
    </cfRule>
    <cfRule type="cellIs" dxfId="503" priority="710" operator="equal">
      <formula>22</formula>
    </cfRule>
    <cfRule type="cellIs" dxfId="502" priority="709" operator="equal">
      <formula>2</formula>
    </cfRule>
    <cfRule type="cellIs" dxfId="501" priority="714" operator="equal">
      <formula>7</formula>
    </cfRule>
    <cfRule type="cellIs" dxfId="500" priority="708" operator="equal">
      <formula>4</formula>
    </cfRule>
    <cfRule type="cellIs" dxfId="499" priority="717" operator="equal">
      <formula>1</formula>
    </cfRule>
    <cfRule type="cellIs" dxfId="498" priority="713" operator="equal">
      <formula>0</formula>
    </cfRule>
    <cfRule type="cellIs" dxfId="497" priority="715" operator="equal">
      <formula>5</formula>
    </cfRule>
    <cfRule type="cellIs" dxfId="496" priority="716" operator="equal">
      <formula>3</formula>
    </cfRule>
  </conditionalFormatting>
  <conditionalFormatting sqref="AA117:AC118 T117:U118">
    <cfRule type="cellIs" dxfId="495" priority="486" operator="equal">
      <formula>9</formula>
    </cfRule>
    <cfRule type="cellIs" dxfId="494" priority="484" operator="equal">
      <formula>22</formula>
    </cfRule>
    <cfRule type="cellIs" dxfId="493" priority="490" operator="equal">
      <formula>3</formula>
    </cfRule>
    <cfRule type="cellIs" dxfId="492" priority="487" operator="equal">
      <formula>0</formula>
    </cfRule>
    <cfRule type="cellIs" dxfId="491" priority="491" operator="equal">
      <formula>1</formula>
    </cfRule>
    <cfRule type="cellIs" dxfId="490" priority="485" operator="equal">
      <formula>11</formula>
    </cfRule>
    <cfRule type="cellIs" dxfId="489" priority="488" operator="equal">
      <formula>7</formula>
    </cfRule>
    <cfRule type="cellIs" dxfId="488" priority="489" operator="equal">
      <formula>5</formula>
    </cfRule>
    <cfRule type="cellIs" dxfId="487" priority="482" operator="equal">
      <formula>4</formula>
    </cfRule>
    <cfRule type="cellIs" dxfId="486" priority="483" operator="equal">
      <formula>2</formula>
    </cfRule>
  </conditionalFormatting>
  <conditionalFormatting sqref="AA120:AC121 T120:U121">
    <cfRule type="cellIs" dxfId="485" priority="451" operator="equal">
      <formula>11</formula>
    </cfRule>
    <cfRule type="cellIs" dxfId="484" priority="456" operator="equal">
      <formula>3</formula>
    </cfRule>
    <cfRule type="cellIs" dxfId="483" priority="450" operator="equal">
      <formula>22</formula>
    </cfRule>
    <cfRule type="cellIs" dxfId="482" priority="449" operator="equal">
      <formula>2</formula>
    </cfRule>
    <cfRule type="cellIs" dxfId="481" priority="448" operator="equal">
      <formula>4</formula>
    </cfRule>
    <cfRule type="cellIs" dxfId="480" priority="452" operator="equal">
      <formula>9</formula>
    </cfRule>
    <cfRule type="cellIs" dxfId="479" priority="453" operator="equal">
      <formula>0</formula>
    </cfRule>
    <cfRule type="cellIs" dxfId="478" priority="454" operator="equal">
      <formula>7</formula>
    </cfRule>
    <cfRule type="cellIs" dxfId="477" priority="455" operator="equal">
      <formula>5</formula>
    </cfRule>
    <cfRule type="cellIs" dxfId="476" priority="457" operator="equal">
      <formula>1</formula>
    </cfRule>
  </conditionalFormatting>
  <conditionalFormatting sqref="AA123:AC124 T123:U124">
    <cfRule type="cellIs" dxfId="475" priority="422" operator="equal">
      <formula>3</formula>
    </cfRule>
    <cfRule type="cellIs" dxfId="474" priority="415" operator="equal">
      <formula>2</formula>
    </cfRule>
    <cfRule type="cellIs" dxfId="473" priority="414" operator="equal">
      <formula>4</formula>
    </cfRule>
    <cfRule type="cellIs" dxfId="472" priority="416" operator="equal">
      <formula>22</formula>
    </cfRule>
    <cfRule type="cellIs" dxfId="471" priority="417" operator="equal">
      <formula>11</formula>
    </cfRule>
    <cfRule type="cellIs" dxfId="470" priority="418" operator="equal">
      <formula>9</formula>
    </cfRule>
    <cfRule type="cellIs" dxfId="469" priority="419" operator="equal">
      <formula>0</formula>
    </cfRule>
    <cfRule type="cellIs" dxfId="468" priority="423" operator="equal">
      <formula>1</formula>
    </cfRule>
    <cfRule type="cellIs" dxfId="467" priority="421" operator="equal">
      <formula>5</formula>
    </cfRule>
    <cfRule type="cellIs" dxfId="466" priority="420" operator="equal">
      <formula>7</formula>
    </cfRule>
  </conditionalFormatting>
  <conditionalFormatting sqref="AA136:AC136 T136:U136">
    <cfRule type="cellIs" dxfId="465" priority="141" operator="equal">
      <formula>2</formula>
    </cfRule>
    <cfRule type="cellIs" dxfId="464" priority="144" operator="equal">
      <formula>9</formula>
    </cfRule>
    <cfRule type="cellIs" dxfId="463" priority="140" operator="equal">
      <formula>4</formula>
    </cfRule>
    <cfRule type="cellIs" dxfId="462" priority="145" operator="equal">
      <formula>0</formula>
    </cfRule>
    <cfRule type="cellIs" dxfId="461" priority="146" operator="equal">
      <formula>7</formula>
    </cfRule>
    <cfRule type="cellIs" dxfId="460" priority="147" operator="equal">
      <formula>5</formula>
    </cfRule>
    <cfRule type="cellIs" dxfId="459" priority="142" operator="equal">
      <formula>22</formula>
    </cfRule>
    <cfRule type="cellIs" dxfId="458" priority="148" operator="equal">
      <formula>3</formula>
    </cfRule>
    <cfRule type="cellIs" dxfId="457" priority="143" operator="equal">
      <formula>11</formula>
    </cfRule>
    <cfRule type="cellIs" dxfId="456" priority="149" operator="equal">
      <formula>1</formula>
    </cfRule>
  </conditionalFormatting>
  <conditionalFormatting sqref="AA140:AC140 T140:U140">
    <cfRule type="cellIs" dxfId="455" priority="89" operator="equal">
      <formula>5</formula>
    </cfRule>
    <cfRule type="cellIs" dxfId="454" priority="88" operator="equal">
      <formula>7</formula>
    </cfRule>
    <cfRule type="cellIs" dxfId="453" priority="85" operator="equal">
      <formula>11</formula>
    </cfRule>
    <cfRule type="cellIs" dxfId="452" priority="84" operator="equal">
      <formula>22</formula>
    </cfRule>
    <cfRule type="cellIs" dxfId="451" priority="90" operator="equal">
      <formula>3</formula>
    </cfRule>
    <cfRule type="cellIs" dxfId="450" priority="83" operator="equal">
      <formula>2</formula>
    </cfRule>
    <cfRule type="cellIs" dxfId="449" priority="82" operator="equal">
      <formula>4</formula>
    </cfRule>
    <cfRule type="cellIs" dxfId="448" priority="87" operator="equal">
      <formula>0</formula>
    </cfRule>
    <cfRule type="cellIs" dxfId="447" priority="86" operator="equal">
      <formula>9</formula>
    </cfRule>
    <cfRule type="cellIs" dxfId="446" priority="91" operator="equal">
      <formula>1</formula>
    </cfRule>
  </conditionalFormatting>
  <conditionalFormatting sqref="AA142:AC142 T142:U142">
    <cfRule type="cellIs" dxfId="445" priority="50" operator="equal">
      <formula>22</formula>
    </cfRule>
    <cfRule type="cellIs" dxfId="444" priority="48" operator="equal">
      <formula>4</formula>
    </cfRule>
    <cfRule type="cellIs" dxfId="443" priority="51" operator="equal">
      <formula>11</formula>
    </cfRule>
    <cfRule type="cellIs" dxfId="442" priority="54" operator="equal">
      <formula>7</formula>
    </cfRule>
    <cfRule type="cellIs" dxfId="441" priority="52" operator="equal">
      <formula>9</formula>
    </cfRule>
    <cfRule type="cellIs" dxfId="440" priority="56" operator="equal">
      <formula>3</formula>
    </cfRule>
    <cfRule type="cellIs" dxfId="439" priority="57" operator="equal">
      <formula>1</formula>
    </cfRule>
    <cfRule type="cellIs" dxfId="438" priority="55" operator="equal">
      <formula>5</formula>
    </cfRule>
    <cfRule type="cellIs" dxfId="437" priority="49" operator="equal">
      <formula>2</formula>
    </cfRule>
    <cfRule type="cellIs" dxfId="436" priority="53" operator="equal">
      <formula>0</formula>
    </cfRule>
  </conditionalFormatting>
  <conditionalFormatting sqref="AB255">
    <cfRule type="cellIs" dxfId="435" priority="16083" operator="equal">
      <formula>11</formula>
    </cfRule>
    <cfRule type="cellIs" dxfId="434" priority="16082" operator="equal">
      <formula>22</formula>
    </cfRule>
    <cfRule type="cellIs" dxfId="433" priority="16084" operator="equal">
      <formula>9</formula>
    </cfRule>
    <cfRule type="cellIs" dxfId="432" priority="16085" operator="equal">
      <formula>0</formula>
    </cfRule>
    <cfRule type="cellIs" dxfId="431" priority="16086" operator="equal">
      <formula>7</formula>
    </cfRule>
    <cfRule type="cellIs" dxfId="430" priority="16087" operator="equal">
      <formula>5</formula>
    </cfRule>
    <cfRule type="cellIs" dxfId="429" priority="16081" operator="equal">
      <formula>2</formula>
    </cfRule>
    <cfRule type="cellIs" dxfId="428" priority="16088" operator="equal">
      <formula>3</formula>
    </cfRule>
    <cfRule type="cellIs" dxfId="427" priority="16080" operator="equal">
      <formula>4</formula>
    </cfRule>
  </conditionalFormatting>
  <conditionalFormatting sqref="AB670:AC671 T670:U671">
    <cfRule type="cellIs" dxfId="426" priority="59916" operator="equal">
      <formula>7</formula>
    </cfRule>
    <cfRule type="cellIs" dxfId="425" priority="59917" operator="equal">
      <formula>5</formula>
    </cfRule>
    <cfRule type="cellIs" dxfId="424" priority="59915" operator="equal">
      <formula>0</formula>
    </cfRule>
    <cfRule type="cellIs" dxfId="423" priority="59918" operator="equal">
      <formula>3</formula>
    </cfRule>
    <cfRule type="cellIs" dxfId="422" priority="59910" operator="equal">
      <formula>4</formula>
    </cfRule>
    <cfRule type="cellIs" dxfId="421" priority="59911" operator="equal">
      <formula>2</formula>
    </cfRule>
    <cfRule type="cellIs" dxfId="420" priority="59912" operator="equal">
      <formula>22</formula>
    </cfRule>
    <cfRule type="cellIs" dxfId="419" priority="59913" operator="equal">
      <formula>11</formula>
    </cfRule>
    <cfRule type="cellIs" dxfId="418" priority="59914" operator="equal">
      <formula>9</formula>
    </cfRule>
  </conditionalFormatting>
  <conditionalFormatting sqref="AB680:AC681 T680:U681">
    <cfRule type="cellIs" dxfId="417" priority="59796" operator="equal">
      <formula>22</formula>
    </cfRule>
    <cfRule type="cellIs" dxfId="416" priority="59794" operator="equal">
      <formula>4</formula>
    </cfRule>
    <cfRule type="cellIs" dxfId="415" priority="59802" operator="equal">
      <formula>3</formula>
    </cfRule>
    <cfRule type="cellIs" dxfId="414" priority="59795" operator="equal">
      <formula>2</formula>
    </cfRule>
    <cfRule type="cellIs" dxfId="413" priority="59797" operator="equal">
      <formula>11</formula>
    </cfRule>
    <cfRule type="cellIs" dxfId="412" priority="59798" operator="equal">
      <formula>9</formula>
    </cfRule>
    <cfRule type="cellIs" dxfId="411" priority="59801" operator="equal">
      <formula>5</formula>
    </cfRule>
    <cfRule type="cellIs" dxfId="410" priority="59800" operator="equal">
      <formula>7</formula>
    </cfRule>
    <cfRule type="cellIs" dxfId="409" priority="59799" operator="equal">
      <formula>0</formula>
    </cfRule>
  </conditionalFormatting>
  <conditionalFormatting sqref="AD199:AH200 AJ199:AZ200">
    <cfRule type="notContainsBlanks" dxfId="408" priority="5161">
      <formula>LEN(TRIM(AD199))&gt;0</formula>
    </cfRule>
  </conditionalFormatting>
  <conditionalFormatting sqref="AD202:AH202 AJ202:AZ202">
    <cfRule type="notContainsBlanks" dxfId="407" priority="5082">
      <formula>LEN(TRIM(AD202))&gt;0</formula>
    </cfRule>
  </conditionalFormatting>
  <conditionalFormatting sqref="AD206:AH222 AJ206:AZ222">
    <cfRule type="notContainsBlanks" dxfId="406" priority="4892">
      <formula>LEN(TRIM(AD206))&gt;0</formula>
    </cfRule>
  </conditionalFormatting>
  <conditionalFormatting sqref="AD223:AH223 AJ223:AZ223">
    <cfRule type="notContainsBlanks" dxfId="405" priority="4913">
      <formula>LEN(TRIM(AD223))&gt;0</formula>
    </cfRule>
  </conditionalFormatting>
  <conditionalFormatting sqref="AD224:AH227 AJ224:AZ226 AJ227:AM227 AO227:AZ227">
    <cfRule type="notContainsBlanks" dxfId="404" priority="4871">
      <formula>LEN(TRIM(AD224))&gt;0</formula>
    </cfRule>
  </conditionalFormatting>
  <conditionalFormatting sqref="AD256:AH256 AJ256:AZ256">
    <cfRule type="notContainsBlanks" dxfId="403" priority="4549">
      <formula>LEN(TRIM(AD256))&gt;0</formula>
    </cfRule>
  </conditionalFormatting>
  <conditionalFormatting sqref="AD275:AH275 AJ275:AZ275">
    <cfRule type="notContainsBlanks" dxfId="402" priority="19494">
      <formula>LEN(TRIM(AD275))&gt;0</formula>
    </cfRule>
  </conditionalFormatting>
  <conditionalFormatting sqref="AD312:AH312 AJ312:AZ312">
    <cfRule type="notContainsBlanks" dxfId="401" priority="11934">
      <formula>LEN(TRIM(AD312))&gt;0</formula>
    </cfRule>
  </conditionalFormatting>
  <conditionalFormatting sqref="AD313:AH313 AJ313:AZ313">
    <cfRule type="notContainsBlanks" dxfId="400" priority="11884">
      <formula>LEN(TRIM(AD313))&gt;0</formula>
    </cfRule>
  </conditionalFormatting>
  <conditionalFormatting sqref="AD333:AH334 AJ333:AZ334">
    <cfRule type="notContainsBlanks" dxfId="399" priority="11713">
      <formula>LEN(TRIM(AD333))&gt;0</formula>
    </cfRule>
  </conditionalFormatting>
  <conditionalFormatting sqref="AD359:AH375 AJ359:AZ375">
    <cfRule type="notContainsBlanks" dxfId="398" priority="3500">
      <formula>LEN(TRIM(AD359))&gt;0</formula>
    </cfRule>
  </conditionalFormatting>
  <conditionalFormatting sqref="AD376:AH376 AJ376:AZ376">
    <cfRule type="notContainsBlanks" dxfId="397" priority="3521">
      <formula>LEN(TRIM(AD376))&gt;0</formula>
    </cfRule>
  </conditionalFormatting>
  <conditionalFormatting sqref="AD377:AH380 AJ377:AZ379 AJ380:AM380 AO380:AZ380">
    <cfRule type="notContainsBlanks" dxfId="396" priority="3479">
      <formula>LEN(TRIM(AD377))&gt;0</formula>
    </cfRule>
  </conditionalFormatting>
  <conditionalFormatting sqref="AD805:AH805 AJ805:AZ805">
    <cfRule type="notContainsBlanks" dxfId="395" priority="59021">
      <formula>LEN(TRIM(AD805))&gt;0</formula>
    </cfRule>
  </conditionalFormatting>
  <conditionalFormatting sqref="AD277:AN278 AP277:AZ278">
    <cfRule type="notContainsBlanks" dxfId="394" priority="4201">
      <formula>LEN(TRIM(AD277))&gt;0</formula>
    </cfRule>
  </conditionalFormatting>
  <conditionalFormatting sqref="AD781:AO781 AQ781:AZ781">
    <cfRule type="notContainsBlanks" dxfId="393" priority="59190">
      <formula>LEN(TRIM(AD781))&gt;0</formula>
    </cfRule>
  </conditionalFormatting>
  <conditionalFormatting sqref="AD890:AO890 AQ890:AZ890 AD891:AZ895">
    <cfRule type="notContainsBlanks" dxfId="392" priority="91746">
      <formula>LEN(TRIM(AD890))&gt;0</formula>
    </cfRule>
  </conditionalFormatting>
  <conditionalFormatting sqref="AD901:AO901 AQ901:AZ901 AD902:AZ906">
    <cfRule type="notContainsBlanks" dxfId="391" priority="91623">
      <formula>LEN(TRIM(AD901))&gt;0</formula>
    </cfRule>
  </conditionalFormatting>
  <conditionalFormatting sqref="AD73:AQ74 AS73:AZ74">
    <cfRule type="notContainsBlanks" dxfId="390" priority="1008">
      <formula>LEN(TRIM(AD73))&gt;0</formula>
    </cfRule>
  </conditionalFormatting>
  <conditionalFormatting sqref="AD89:AQ89 AS89:AZ89">
    <cfRule type="notContainsBlanks" dxfId="389" priority="860">
      <formula>LEN(TRIM(AD89))&gt;0</formula>
    </cfRule>
  </conditionalFormatting>
  <conditionalFormatting sqref="AD95:AQ95 AS95:AZ95">
    <cfRule type="notContainsBlanks" dxfId="388" priority="750">
      <formula>LEN(TRIM(AD95))&gt;0</formula>
    </cfRule>
  </conditionalFormatting>
  <conditionalFormatting sqref="AD854:AR855 AV854:AZ855">
    <cfRule type="notContainsBlanks" dxfId="387" priority="92053">
      <formula>LEN(TRIM(AD854))&gt;0</formula>
    </cfRule>
  </conditionalFormatting>
  <conditionalFormatting sqref="AD856:AR857 AV856:AZ857">
    <cfRule type="notContainsBlanks" dxfId="386" priority="92024">
      <formula>LEN(TRIM(AD856))&gt;0</formula>
    </cfRule>
  </conditionalFormatting>
  <conditionalFormatting sqref="AD862:AR862 AV862:AZ862">
    <cfRule type="notContainsBlanks" dxfId="385" priority="91970">
      <formula>LEN(TRIM(AD862))&gt;0</formula>
    </cfRule>
  </conditionalFormatting>
  <conditionalFormatting sqref="AD1:AZ11 AD819:AZ820 AD875:AZ876 AD846:AZ847 AD853:AZ853 AD858:AZ859 AD861:AZ861 AD863:AZ864 AD887:AZ888 AD898:AZ899 AD909:AZ911 AD917:AZ917 AD923:AZ924 AD932:AZ933 AD950:AZ951 AD953:AZ953 AD956:AZ956 AD958:AZ958 AD962:AZ963 AD975:AZ976 AD989:AZ990 AD1027:AZ1028 AD1034:AZ1035 AD1041:AZ1041 AD1045:AZ1045 AD1049:AZ1048576 AD83:AZ85">
    <cfRule type="notContainsBlanks" dxfId="384" priority="138996">
      <formula>LEN(TRIM(AD1))&gt;0</formula>
    </cfRule>
  </conditionalFormatting>
  <conditionalFormatting sqref="AD12:AZ12">
    <cfRule type="notContainsBlanks" dxfId="383" priority="129973">
      <formula>LEN(TRIM(AD12))&gt;0</formula>
    </cfRule>
  </conditionalFormatting>
  <conditionalFormatting sqref="AD13:AZ13">
    <cfRule type="notContainsBlanks" dxfId="382" priority="1858">
      <formula>LEN(TRIM(AD13))&gt;0</formula>
    </cfRule>
  </conditionalFormatting>
  <conditionalFormatting sqref="AD14:AZ16 AD18:AZ18">
    <cfRule type="notContainsBlanks" dxfId="381" priority="1834">
      <formula>LEN(TRIM(AD14))&gt;0</formula>
    </cfRule>
  </conditionalFormatting>
  <conditionalFormatting sqref="AD17:AZ17">
    <cfRule type="notContainsBlanks" dxfId="380" priority="1810">
      <formula>LEN(TRIM(AD17))&gt;0</formula>
    </cfRule>
  </conditionalFormatting>
  <conditionalFormatting sqref="AD19:AZ19">
    <cfRule type="notContainsBlanks" dxfId="379" priority="7761">
      <formula>LEN(TRIM(AD19))&gt;0</formula>
    </cfRule>
  </conditionalFormatting>
  <conditionalFormatting sqref="AD20:AZ20">
    <cfRule type="notContainsBlanks" dxfId="378" priority="7737">
      <formula>LEN(TRIM(AD20))&gt;0</formula>
    </cfRule>
  </conditionalFormatting>
  <conditionalFormatting sqref="AD21:AZ23 AD25:AZ25">
    <cfRule type="notContainsBlanks" dxfId="377" priority="1786">
      <formula>LEN(TRIM(AD21))&gt;0</formula>
    </cfRule>
  </conditionalFormatting>
  <conditionalFormatting sqref="AD24:AZ24">
    <cfRule type="notContainsBlanks" dxfId="376" priority="1762">
      <formula>LEN(TRIM(AD24))&gt;0</formula>
    </cfRule>
  </conditionalFormatting>
  <conditionalFormatting sqref="AD26:AZ27">
    <cfRule type="notContainsBlanks" dxfId="375" priority="7545">
      <formula>LEN(TRIM(AD26))&gt;0</formula>
    </cfRule>
  </conditionalFormatting>
  <conditionalFormatting sqref="AD28:AZ30 AD32:AZ32">
    <cfRule type="notContainsBlanks" dxfId="374" priority="1738">
      <formula>LEN(TRIM(AD28))&gt;0</formula>
    </cfRule>
  </conditionalFormatting>
  <conditionalFormatting sqref="AD31:AZ31">
    <cfRule type="notContainsBlanks" dxfId="373" priority="1714">
      <formula>LEN(TRIM(AD31))&gt;0</formula>
    </cfRule>
  </conditionalFormatting>
  <conditionalFormatting sqref="AD33:AZ33">
    <cfRule type="notContainsBlanks" dxfId="372" priority="7497">
      <formula>LEN(TRIM(AD33))&gt;0</formula>
    </cfRule>
  </conditionalFormatting>
  <conditionalFormatting sqref="AD34:AZ36 AD38:AZ38">
    <cfRule type="notContainsBlanks" dxfId="371" priority="1690">
      <formula>LEN(TRIM(AD34))&gt;0</formula>
    </cfRule>
  </conditionalFormatting>
  <conditionalFormatting sqref="AD37:AZ37">
    <cfRule type="notContainsBlanks" dxfId="370" priority="1666">
      <formula>LEN(TRIM(AD37))&gt;0</formula>
    </cfRule>
  </conditionalFormatting>
  <conditionalFormatting sqref="AD39:AZ39">
    <cfRule type="notContainsBlanks" dxfId="369" priority="7233">
      <formula>LEN(TRIM(AD39))&gt;0</formula>
    </cfRule>
  </conditionalFormatting>
  <conditionalFormatting sqref="AD40:AZ40">
    <cfRule type="notContainsBlanks" dxfId="368" priority="7257">
      <formula>LEN(TRIM(AD40))&gt;0</formula>
    </cfRule>
  </conditionalFormatting>
  <conditionalFormatting sqref="AD41:AZ41">
    <cfRule type="notContainsBlanks" dxfId="367" priority="7209">
      <formula>LEN(TRIM(AD41))&gt;0</formula>
    </cfRule>
  </conditionalFormatting>
  <conditionalFormatting sqref="AD42:AZ43">
    <cfRule type="notContainsBlanks" dxfId="366" priority="1593">
      <formula>LEN(TRIM(AD42))&gt;0</formula>
    </cfRule>
  </conditionalFormatting>
  <conditionalFormatting sqref="AD45:AZ45">
    <cfRule type="notContainsBlanks" dxfId="365" priority="1569">
      <formula>LEN(TRIM(AD45))&gt;0</formula>
    </cfRule>
  </conditionalFormatting>
  <conditionalFormatting sqref="AD46:AZ46">
    <cfRule type="notContainsBlanks" dxfId="364" priority="1545">
      <formula>LEN(TRIM(AD46))&gt;0</formula>
    </cfRule>
  </conditionalFormatting>
  <conditionalFormatting sqref="AD47:AZ48">
    <cfRule type="notContainsBlanks" dxfId="363" priority="7112">
      <formula>LEN(TRIM(AD47))&gt;0</formula>
    </cfRule>
  </conditionalFormatting>
  <conditionalFormatting sqref="AD49:AZ49">
    <cfRule type="notContainsBlanks" dxfId="362" priority="1511">
      <formula>LEN(TRIM(AD49))&gt;0</formula>
    </cfRule>
  </conditionalFormatting>
  <conditionalFormatting sqref="AD50:AZ50 AD51:AQ51 AS51:AZ51">
    <cfRule type="notContainsBlanks" dxfId="361" priority="1382">
      <formula>LEN(TRIM(AD50))&gt;0</formula>
    </cfRule>
  </conditionalFormatting>
  <conditionalFormatting sqref="AD52:AZ52">
    <cfRule type="notContainsBlanks" dxfId="360" priority="1430">
      <formula>LEN(TRIM(AD52))&gt;0</formula>
    </cfRule>
  </conditionalFormatting>
  <conditionalFormatting sqref="AD53:AZ53">
    <cfRule type="notContainsBlanks" dxfId="359" priority="1333">
      <formula>LEN(TRIM(AD53))&gt;0</formula>
    </cfRule>
  </conditionalFormatting>
  <conditionalFormatting sqref="AD54:AZ54 AD55:AQ55 AS55:AZ55">
    <cfRule type="notContainsBlanks" dxfId="358" priority="1309">
      <formula>LEN(TRIM(AD54))&gt;0</formula>
    </cfRule>
  </conditionalFormatting>
  <conditionalFormatting sqref="AD56:AZ56">
    <cfRule type="notContainsBlanks" dxfId="357" priority="9098">
      <formula>LEN(TRIM(AD56))&gt;0</formula>
    </cfRule>
  </conditionalFormatting>
  <conditionalFormatting sqref="AD57:AZ57">
    <cfRule type="notContainsBlanks" dxfId="356" priority="1260">
      <formula>LEN(TRIM(AD57))&gt;0</formula>
    </cfRule>
  </conditionalFormatting>
  <conditionalFormatting sqref="AD58:AZ58 AD59:AQ59 AS59:AZ59">
    <cfRule type="notContainsBlanks" dxfId="355" priority="1212">
      <formula>LEN(TRIM(AD58))&gt;0</formula>
    </cfRule>
  </conditionalFormatting>
  <conditionalFormatting sqref="AD60:AZ60">
    <cfRule type="notContainsBlanks" dxfId="354" priority="1236">
      <formula>LEN(TRIM(AD60))&gt;0</formula>
    </cfRule>
  </conditionalFormatting>
  <conditionalFormatting sqref="AD61:AZ61">
    <cfRule type="notContainsBlanks" dxfId="353" priority="1163">
      <formula>LEN(TRIM(AD61))&gt;0</formula>
    </cfRule>
  </conditionalFormatting>
  <conditionalFormatting sqref="AD62:AZ62 AD63:AQ63 AS63:AZ63">
    <cfRule type="notContainsBlanks" dxfId="352" priority="1139">
      <formula>LEN(TRIM(AD62))&gt;0</formula>
    </cfRule>
  </conditionalFormatting>
  <conditionalFormatting sqref="AD64:AZ64">
    <cfRule type="notContainsBlanks" dxfId="351" priority="6943">
      <formula>LEN(TRIM(AD64))&gt;0</formula>
    </cfRule>
  </conditionalFormatting>
  <conditionalFormatting sqref="AD65:AZ65">
    <cfRule type="notContainsBlanks" dxfId="350" priority="7908">
      <formula>LEN(TRIM(AD65))&gt;0</formula>
    </cfRule>
  </conditionalFormatting>
  <conditionalFormatting sqref="AD66:AZ66">
    <cfRule type="notContainsBlanks" dxfId="349" priority="1090">
      <formula>LEN(TRIM(AD66))&gt;0</formula>
    </cfRule>
  </conditionalFormatting>
  <conditionalFormatting sqref="AD67:AZ69">
    <cfRule type="notContainsBlanks" dxfId="348" priority="1066">
      <formula>LEN(TRIM(AD67))&gt;0</formula>
    </cfRule>
  </conditionalFormatting>
  <conditionalFormatting sqref="AD70:AZ71">
    <cfRule type="notContainsBlanks" dxfId="347" priority="6799">
      <formula>LEN(TRIM(AD70))&gt;0</formula>
    </cfRule>
  </conditionalFormatting>
  <conditionalFormatting sqref="AD72:AZ72">
    <cfRule type="notContainsBlanks" dxfId="346" priority="1032">
      <formula>LEN(TRIM(AD72))&gt;0</formula>
    </cfRule>
  </conditionalFormatting>
  <conditionalFormatting sqref="AD75:AZ75">
    <cfRule type="notContainsBlanks" dxfId="345" priority="6751">
      <formula>LEN(TRIM(AD75))&gt;0</formula>
    </cfRule>
  </conditionalFormatting>
  <conditionalFormatting sqref="AD76:AZ76">
    <cfRule type="notContainsBlanks" dxfId="344" priority="18567">
      <formula>LEN(TRIM(AD76))&gt;0</formula>
    </cfRule>
  </conditionalFormatting>
  <conditionalFormatting sqref="AD77:AZ77">
    <cfRule type="notContainsBlanks" dxfId="343" priority="6728">
      <formula>LEN(TRIM(AD77))&gt;0</formula>
    </cfRule>
  </conditionalFormatting>
  <conditionalFormatting sqref="AD78:AZ81">
    <cfRule type="notContainsBlanks" dxfId="342" priority="956">
      <formula>LEN(TRIM(AD78))&gt;0</formula>
    </cfRule>
  </conditionalFormatting>
  <conditionalFormatting sqref="AD82:AZ82">
    <cfRule type="notContainsBlanks" dxfId="341" priority="6679">
      <formula>LEN(TRIM(AD82))&gt;0</formula>
    </cfRule>
  </conditionalFormatting>
  <conditionalFormatting sqref="AD86:AZ86">
    <cfRule type="notContainsBlanks" dxfId="340" priority="6655">
      <formula>LEN(TRIM(AD86))&gt;0</formula>
    </cfRule>
  </conditionalFormatting>
  <conditionalFormatting sqref="AD87:AZ87">
    <cfRule type="notContainsBlanks" dxfId="339" priority="908">
      <formula>LEN(TRIM(AD87))&gt;0</formula>
    </cfRule>
  </conditionalFormatting>
  <conditionalFormatting sqref="AD88:AZ88">
    <cfRule type="notContainsBlanks" dxfId="338" priority="884">
      <formula>LEN(TRIM(AD88))&gt;0</formula>
    </cfRule>
  </conditionalFormatting>
  <conditionalFormatting sqref="AD90:AZ92">
    <cfRule type="notContainsBlanks" dxfId="337" priority="808">
      <formula>LEN(TRIM(AD90))&gt;0</formula>
    </cfRule>
  </conditionalFormatting>
  <conditionalFormatting sqref="AD93:AZ93">
    <cfRule type="notContainsBlanks" dxfId="336" priority="6583">
      <formula>LEN(TRIM(AD93))&gt;0</formula>
    </cfRule>
  </conditionalFormatting>
  <conditionalFormatting sqref="AD94:AZ94">
    <cfRule type="notContainsBlanks" dxfId="335" priority="774">
      <formula>LEN(TRIM(AD94))&gt;0</formula>
    </cfRule>
  </conditionalFormatting>
  <conditionalFormatting sqref="AD96:AZ98">
    <cfRule type="notContainsBlanks" dxfId="334" priority="701">
      <formula>LEN(TRIM(AD96))&gt;0</formula>
    </cfRule>
  </conditionalFormatting>
  <conditionalFormatting sqref="AD99:AZ99">
    <cfRule type="notContainsBlanks" dxfId="333" priority="667">
      <formula>LEN(TRIM(AD99))&gt;0</formula>
    </cfRule>
  </conditionalFormatting>
  <conditionalFormatting sqref="AD100:AZ100 AD103:AZ103 AD107:AZ107">
    <cfRule type="notContainsBlanks" dxfId="332" priority="6415">
      <formula>LEN(TRIM(AD100))&gt;0</formula>
    </cfRule>
  </conditionalFormatting>
  <conditionalFormatting sqref="AD101:AZ102">
    <cfRule type="notContainsBlanks" dxfId="331" priority="619">
      <formula>LEN(TRIM(AD101))&gt;0</formula>
    </cfRule>
  </conditionalFormatting>
  <conditionalFormatting sqref="AD104:AZ106">
    <cfRule type="notContainsBlanks" dxfId="330" priority="595">
      <formula>LEN(TRIM(AD104))&gt;0</formula>
    </cfRule>
  </conditionalFormatting>
  <conditionalFormatting sqref="AD108:AZ110">
    <cfRule type="notContainsBlanks" dxfId="329" priority="571">
      <formula>LEN(TRIM(AD108))&gt;0</formula>
    </cfRule>
  </conditionalFormatting>
  <conditionalFormatting sqref="AD111:AZ111">
    <cfRule type="notContainsBlanks" dxfId="328" priority="6366">
      <formula>LEN(TRIM(AD111))&gt;0</formula>
    </cfRule>
  </conditionalFormatting>
  <conditionalFormatting sqref="AD112:AZ114">
    <cfRule type="notContainsBlanks" dxfId="327" priority="499">
      <formula>LEN(TRIM(AD112))&gt;0</formula>
    </cfRule>
  </conditionalFormatting>
  <conditionalFormatting sqref="AD115:AZ115 AD119:AZ119 AD122:AZ122 AD125:AZ126 AD130:AZ130">
    <cfRule type="notContainsBlanks" dxfId="326" priority="6294">
      <formula>LEN(TRIM(AD115))&gt;0</formula>
    </cfRule>
  </conditionalFormatting>
  <conditionalFormatting sqref="AD116:AZ116">
    <cfRule type="notContainsBlanks" dxfId="325" priority="523">
      <formula>LEN(TRIM(AD116))&gt;0</formula>
    </cfRule>
  </conditionalFormatting>
  <conditionalFormatting sqref="AD117:AZ118">
    <cfRule type="notContainsBlanks" dxfId="324" priority="475">
      <formula>LEN(TRIM(AD117))&gt;0</formula>
    </cfRule>
  </conditionalFormatting>
  <conditionalFormatting sqref="AD120:AZ121">
    <cfRule type="notContainsBlanks" dxfId="323" priority="441">
      <formula>LEN(TRIM(AD120))&gt;0</formula>
    </cfRule>
  </conditionalFormatting>
  <conditionalFormatting sqref="AD123:AZ124">
    <cfRule type="notContainsBlanks" dxfId="322" priority="407">
      <formula>LEN(TRIM(AD123))&gt;0</formula>
    </cfRule>
  </conditionalFormatting>
  <conditionalFormatting sqref="AD127:AZ128">
    <cfRule type="notContainsBlanks" dxfId="321" priority="205">
      <formula>LEN(TRIM(AD127))&gt;0</formula>
    </cfRule>
  </conditionalFormatting>
  <conditionalFormatting sqref="AD129:AZ129">
    <cfRule type="notContainsBlanks" dxfId="320" priority="373">
      <formula>LEN(TRIM(AD129))&gt;0</formula>
    </cfRule>
  </conditionalFormatting>
  <conditionalFormatting sqref="AD131:AZ132">
    <cfRule type="notContainsBlanks" dxfId="319" priority="181">
      <formula>LEN(TRIM(AD131))&gt;0</formula>
    </cfRule>
  </conditionalFormatting>
  <conditionalFormatting sqref="AD133:AZ133">
    <cfRule type="notContainsBlanks" dxfId="318" priority="157">
      <formula>LEN(TRIM(AD133))&gt;0</formula>
    </cfRule>
  </conditionalFormatting>
  <conditionalFormatting sqref="AD134:AZ134">
    <cfRule type="notContainsBlanks" dxfId="317" priority="12584">
      <formula>LEN(TRIM(AD134))&gt;0</formula>
    </cfRule>
  </conditionalFormatting>
  <conditionalFormatting sqref="AD135:AZ135">
    <cfRule type="notContainsBlanks" dxfId="316" priority="349">
      <formula>LEN(TRIM(AD135))&gt;0</formula>
    </cfRule>
  </conditionalFormatting>
  <conditionalFormatting sqref="AD136:AZ136">
    <cfRule type="notContainsBlanks" dxfId="315" priority="133">
      <formula>LEN(TRIM(AD136))&gt;0</formula>
    </cfRule>
  </conditionalFormatting>
  <conditionalFormatting sqref="AD137:AZ137 AD139:AZ139">
    <cfRule type="notContainsBlanks" dxfId="314" priority="6246">
      <formula>LEN(TRIM(AD137))&gt;0</formula>
    </cfRule>
  </conditionalFormatting>
  <conditionalFormatting sqref="AD138:AZ138">
    <cfRule type="notContainsBlanks" dxfId="313" priority="99">
      <formula>LEN(TRIM(AD138))&gt;0</formula>
    </cfRule>
  </conditionalFormatting>
  <conditionalFormatting sqref="AD140:AZ140">
    <cfRule type="notContainsBlanks" dxfId="312" priority="75">
      <formula>LEN(TRIM(AD140))&gt;0</formula>
    </cfRule>
  </conditionalFormatting>
  <conditionalFormatting sqref="AD142:AZ142">
    <cfRule type="notContainsBlanks" dxfId="311" priority="41">
      <formula>LEN(TRIM(AD142))&gt;0</formula>
    </cfRule>
  </conditionalFormatting>
  <conditionalFormatting sqref="AD143:AZ143">
    <cfRule type="notContainsBlanks" dxfId="310" priority="5862">
      <formula>LEN(TRIM(AD143))&gt;0</formula>
    </cfRule>
  </conditionalFormatting>
  <conditionalFormatting sqref="AD144:AZ198">
    <cfRule type="notContainsBlanks" dxfId="309" priority="7">
      <formula>LEN(TRIM(AD144))&gt;0</formula>
    </cfRule>
  </conditionalFormatting>
  <conditionalFormatting sqref="AD201:AZ201">
    <cfRule type="notContainsBlanks" dxfId="308" priority="12752">
      <formula>LEN(TRIM(AD201))&gt;0</formula>
    </cfRule>
  </conditionalFormatting>
  <conditionalFormatting sqref="AD203:AZ203">
    <cfRule type="notContainsBlanks" dxfId="307" priority="5058">
      <formula>LEN(TRIM(AD203))&gt;0</formula>
    </cfRule>
  </conditionalFormatting>
  <conditionalFormatting sqref="AD204:AZ204">
    <cfRule type="notContainsBlanks" dxfId="306" priority="13353">
      <formula>LEN(TRIM(AD204))&gt;0</formula>
    </cfRule>
  </conditionalFormatting>
  <conditionalFormatting sqref="AD205:AZ205">
    <cfRule type="notContainsBlanks" dxfId="305" priority="4938">
      <formula>LEN(TRIM(AD205))&gt;0</formula>
    </cfRule>
  </conditionalFormatting>
  <conditionalFormatting sqref="AD228:AZ228">
    <cfRule type="notContainsBlanks" dxfId="304" priority="12824">
      <formula>LEN(TRIM(AD228))&gt;0</formula>
    </cfRule>
  </conditionalFormatting>
  <conditionalFormatting sqref="AD229:AZ229">
    <cfRule type="notContainsBlanks" dxfId="303" priority="12848">
      <formula>LEN(TRIM(AD229))&gt;0</formula>
    </cfRule>
  </conditionalFormatting>
  <conditionalFormatting sqref="AD230:AZ230">
    <cfRule type="notContainsBlanks" dxfId="302" priority="4838">
      <formula>LEN(TRIM(AD230))&gt;0</formula>
    </cfRule>
  </conditionalFormatting>
  <conditionalFormatting sqref="AD231:AZ237">
    <cfRule type="notContainsBlanks" dxfId="301" priority="4814">
      <formula>LEN(TRIM(AD231))&gt;0</formula>
    </cfRule>
  </conditionalFormatting>
  <conditionalFormatting sqref="AD238:AZ238">
    <cfRule type="notContainsBlanks" dxfId="300" priority="4789">
      <formula>LEN(TRIM(AD238))&gt;0</formula>
    </cfRule>
  </conditionalFormatting>
  <conditionalFormatting sqref="AD239:AZ239">
    <cfRule type="notContainsBlanks" dxfId="299" priority="16199">
      <formula>LEN(TRIM(AD239))&gt;0</formula>
    </cfRule>
  </conditionalFormatting>
  <conditionalFormatting sqref="AD240:AZ240">
    <cfRule type="notContainsBlanks" dxfId="298" priority="4693">
      <formula>LEN(TRIM(AD240))&gt;0</formula>
    </cfRule>
  </conditionalFormatting>
  <conditionalFormatting sqref="AD241:AZ241">
    <cfRule type="notContainsBlanks" dxfId="297" priority="4765">
      <formula>LEN(TRIM(AD241))&gt;0</formula>
    </cfRule>
  </conditionalFormatting>
  <conditionalFormatting sqref="AD242:AZ242">
    <cfRule type="notContainsBlanks" dxfId="296" priority="12944">
      <formula>LEN(TRIM(AD242))&gt;0</formula>
    </cfRule>
  </conditionalFormatting>
  <conditionalFormatting sqref="AD243:AZ243">
    <cfRule type="notContainsBlanks" dxfId="295" priority="4741">
      <formula>LEN(TRIM(AD243))&gt;0</formula>
    </cfRule>
  </conditionalFormatting>
  <conditionalFormatting sqref="AD244:AZ244">
    <cfRule type="notContainsBlanks" dxfId="294" priority="4669">
      <formula>LEN(TRIM(AD244))&gt;0</formula>
    </cfRule>
  </conditionalFormatting>
  <conditionalFormatting sqref="AD245:AZ251">
    <cfRule type="notContainsBlanks" dxfId="293" priority="4621">
      <formula>LEN(TRIM(AD245))&gt;0</formula>
    </cfRule>
  </conditionalFormatting>
  <conditionalFormatting sqref="AD252:AZ252">
    <cfRule type="notContainsBlanks" dxfId="292" priority="4597">
      <formula>LEN(TRIM(AD252))&gt;0</formula>
    </cfRule>
  </conditionalFormatting>
  <conditionalFormatting sqref="AD253:AZ253">
    <cfRule type="notContainsBlanks" dxfId="291" priority="4645">
      <formula>LEN(TRIM(AD253))&gt;0</formula>
    </cfRule>
  </conditionalFormatting>
  <conditionalFormatting sqref="AD254:AZ254">
    <cfRule type="notContainsBlanks" dxfId="290" priority="4573">
      <formula>LEN(TRIM(AD254))&gt;0</formula>
    </cfRule>
  </conditionalFormatting>
  <conditionalFormatting sqref="AD255:AZ255">
    <cfRule type="notContainsBlanks" dxfId="289" priority="16049">
      <formula>LEN(TRIM(AD255))&gt;0</formula>
    </cfRule>
  </conditionalFormatting>
  <conditionalFormatting sqref="AD257:AZ257">
    <cfRule type="notContainsBlanks" dxfId="288" priority="4427">
      <formula>LEN(TRIM(AD257))&gt;0</formula>
    </cfRule>
  </conditionalFormatting>
  <conditionalFormatting sqref="AD258:AZ261">
    <cfRule type="notContainsBlanks" dxfId="287" priority="4403">
      <formula>LEN(TRIM(AD258))&gt;0</formula>
    </cfRule>
  </conditionalFormatting>
  <conditionalFormatting sqref="AD262:AZ262">
    <cfRule type="notContainsBlanks" dxfId="286" priority="4451">
      <formula>LEN(TRIM(AD262))&gt;0</formula>
    </cfRule>
  </conditionalFormatting>
  <conditionalFormatting sqref="AD263:AZ263 AD264:AN264 AP264:AZ264">
    <cfRule type="notContainsBlanks" dxfId="285" priority="4379">
      <formula>LEN(TRIM(AD263))&gt;0</formula>
    </cfRule>
  </conditionalFormatting>
  <conditionalFormatting sqref="AD267:AZ267">
    <cfRule type="notContainsBlanks" dxfId="284" priority="4249">
      <formula>LEN(TRIM(AD267))&gt;0</formula>
    </cfRule>
  </conditionalFormatting>
  <conditionalFormatting sqref="AD268:AZ274">
    <cfRule type="notContainsBlanks" dxfId="283" priority="4225">
      <formula>LEN(TRIM(AD268))&gt;0</formula>
    </cfRule>
  </conditionalFormatting>
  <conditionalFormatting sqref="AD276:AZ276">
    <cfRule type="notContainsBlanks" dxfId="282" priority="4153">
      <formula>LEN(TRIM(AD276))&gt;0</formula>
    </cfRule>
  </conditionalFormatting>
  <conditionalFormatting sqref="AD279:AZ281">
    <cfRule type="notContainsBlanks" dxfId="281" priority="12176">
      <formula>LEN(TRIM(AD279))&gt;0</formula>
    </cfRule>
  </conditionalFormatting>
  <conditionalFormatting sqref="AD282:AZ282">
    <cfRule type="notContainsBlanks" dxfId="280" priority="4128">
      <formula>LEN(TRIM(AD282))&gt;0</formula>
    </cfRule>
  </conditionalFormatting>
  <conditionalFormatting sqref="AD283:AZ290">
    <cfRule type="notContainsBlanks" dxfId="279" priority="4104">
      <formula>LEN(TRIM(AD283))&gt;0</formula>
    </cfRule>
  </conditionalFormatting>
  <conditionalFormatting sqref="AD291:AZ291">
    <cfRule type="notContainsBlanks" dxfId="278" priority="12079">
      <formula>LEN(TRIM(AD291))&gt;0</formula>
    </cfRule>
  </conditionalFormatting>
  <conditionalFormatting sqref="AD293:AZ293">
    <cfRule type="notContainsBlanks" dxfId="277" priority="4080">
      <formula>LEN(TRIM(AD293))&gt;0</formula>
    </cfRule>
  </conditionalFormatting>
  <conditionalFormatting sqref="AD294:AZ298">
    <cfRule type="notContainsBlanks" dxfId="276" priority="4056">
      <formula>LEN(TRIM(AD294))&gt;0</formula>
    </cfRule>
  </conditionalFormatting>
  <conditionalFormatting sqref="AD300:AZ300">
    <cfRule type="notContainsBlanks" dxfId="275" priority="4007">
      <formula>LEN(TRIM(AD300))&gt;0</formula>
    </cfRule>
  </conditionalFormatting>
  <conditionalFormatting sqref="AD303:AZ303">
    <cfRule type="notContainsBlanks" dxfId="274" priority="3983">
      <formula>LEN(TRIM(AD303))&gt;0</formula>
    </cfRule>
  </conditionalFormatting>
  <conditionalFormatting sqref="AD304:AZ311">
    <cfRule type="notContainsBlanks" dxfId="273" priority="3959">
      <formula>LEN(TRIM(AD304))&gt;0</formula>
    </cfRule>
  </conditionalFormatting>
  <conditionalFormatting sqref="AD314:AZ314">
    <cfRule type="notContainsBlanks" dxfId="272" priority="3935">
      <formula>LEN(TRIM(AD314))&gt;0</formula>
    </cfRule>
  </conditionalFormatting>
  <conditionalFormatting sqref="AD315:AZ319">
    <cfRule type="notContainsBlanks" dxfId="271" priority="3911">
      <formula>LEN(TRIM(AD315))&gt;0</formula>
    </cfRule>
  </conditionalFormatting>
  <conditionalFormatting sqref="AD321:AZ321">
    <cfRule type="notContainsBlanks" dxfId="270" priority="3862">
      <formula>LEN(TRIM(AD321))&gt;0</formula>
    </cfRule>
  </conditionalFormatting>
  <conditionalFormatting sqref="AD322:AZ322">
    <cfRule type="notContainsBlanks" dxfId="269" priority="3838">
      <formula>LEN(TRIM(AD322))&gt;0</formula>
    </cfRule>
  </conditionalFormatting>
  <conditionalFormatting sqref="AD323:AZ323">
    <cfRule type="notContainsBlanks" dxfId="268" priority="11809">
      <formula>LEN(TRIM(AD323))&gt;0</formula>
    </cfRule>
  </conditionalFormatting>
  <conditionalFormatting sqref="AD324:AZ324">
    <cfRule type="notContainsBlanks" dxfId="267" priority="3814">
      <formula>LEN(TRIM(AD324))&gt;0</formula>
    </cfRule>
  </conditionalFormatting>
  <conditionalFormatting sqref="AD325:AZ332">
    <cfRule type="notContainsBlanks" dxfId="266" priority="3740">
      <formula>LEN(TRIM(AD325))&gt;0</formula>
    </cfRule>
  </conditionalFormatting>
  <conditionalFormatting sqref="AD335:AZ335">
    <cfRule type="notContainsBlanks" dxfId="265" priority="3666">
      <formula>LEN(TRIM(AD335))&gt;0</formula>
    </cfRule>
  </conditionalFormatting>
  <conditionalFormatting sqref="AD336:AZ342">
    <cfRule type="notContainsBlanks" dxfId="264" priority="3642">
      <formula>LEN(TRIM(AD336))&gt;0</formula>
    </cfRule>
  </conditionalFormatting>
  <conditionalFormatting sqref="AD343:AZ344">
    <cfRule type="notContainsBlanks" dxfId="263" priority="11640">
      <formula>LEN(TRIM(AD343))&gt;0</formula>
    </cfRule>
  </conditionalFormatting>
  <conditionalFormatting sqref="AD345:AZ345">
    <cfRule type="notContainsBlanks" dxfId="262" priority="3594">
      <formula>LEN(TRIM(AD345))&gt;0</formula>
    </cfRule>
  </conditionalFormatting>
  <conditionalFormatting sqref="AD346:AZ355">
    <cfRule type="notContainsBlanks" dxfId="261" priority="3570">
      <formula>LEN(TRIM(AD346))&gt;0</formula>
    </cfRule>
  </conditionalFormatting>
  <conditionalFormatting sqref="AD356:AZ357">
    <cfRule type="notContainsBlanks" dxfId="260" priority="11592">
      <formula>LEN(TRIM(AD356))&gt;0</formula>
    </cfRule>
  </conditionalFormatting>
  <conditionalFormatting sqref="AD358:AZ358">
    <cfRule type="notContainsBlanks" dxfId="259" priority="3546">
      <formula>LEN(TRIM(AD358))&gt;0</formula>
    </cfRule>
  </conditionalFormatting>
  <conditionalFormatting sqref="AD381:AZ382 AD391:AZ391">
    <cfRule type="notContainsBlanks" dxfId="258" priority="11352">
      <formula>LEN(TRIM(AD381))&gt;0</formula>
    </cfRule>
  </conditionalFormatting>
  <conditionalFormatting sqref="AD383:AZ383">
    <cfRule type="notContainsBlanks" dxfId="257" priority="3446">
      <formula>LEN(TRIM(AD383))&gt;0</formula>
    </cfRule>
  </conditionalFormatting>
  <conditionalFormatting sqref="AD384:AZ390">
    <cfRule type="notContainsBlanks" dxfId="256" priority="3422">
      <formula>LEN(TRIM(AD384))&gt;0</formula>
    </cfRule>
  </conditionalFormatting>
  <conditionalFormatting sqref="AD392:AZ392">
    <cfRule type="notContainsBlanks" dxfId="255" priority="23189">
      <formula>LEN(TRIM(AD392))&gt;0</formula>
    </cfRule>
  </conditionalFormatting>
  <conditionalFormatting sqref="AD393:AZ393">
    <cfRule type="notContainsBlanks" dxfId="254" priority="3350">
      <formula>LEN(TRIM(AD393))&gt;0</formula>
    </cfRule>
  </conditionalFormatting>
  <conditionalFormatting sqref="AD394:AZ398 AD400:AZ401">
    <cfRule type="notContainsBlanks" dxfId="253" priority="3326">
      <formula>LEN(TRIM(AD394))&gt;0</formula>
    </cfRule>
  </conditionalFormatting>
  <conditionalFormatting sqref="AD399:AZ399">
    <cfRule type="notContainsBlanks" dxfId="252" priority="3302">
      <formula>LEN(TRIM(AD399))&gt;0</formula>
    </cfRule>
  </conditionalFormatting>
  <conditionalFormatting sqref="AD402:AZ402">
    <cfRule type="notContainsBlanks" dxfId="251" priority="23045">
      <formula>LEN(TRIM(AD402))&gt;0</formula>
    </cfRule>
  </conditionalFormatting>
  <conditionalFormatting sqref="AD403:AZ403">
    <cfRule type="notContainsBlanks" dxfId="250" priority="3278">
      <formula>LEN(TRIM(AD403))&gt;0</formula>
    </cfRule>
  </conditionalFormatting>
  <conditionalFormatting sqref="AD404:AZ404">
    <cfRule type="notContainsBlanks" dxfId="249" priority="3182">
      <formula>LEN(TRIM(AD404))&gt;0</formula>
    </cfRule>
  </conditionalFormatting>
  <conditionalFormatting sqref="AD405:AZ413">
    <cfRule type="notContainsBlanks" dxfId="248" priority="3158">
      <formula>LEN(TRIM(AD405))&gt;0</formula>
    </cfRule>
  </conditionalFormatting>
  <conditionalFormatting sqref="AD414:AZ414">
    <cfRule type="notContainsBlanks" dxfId="247" priority="3206">
      <formula>LEN(TRIM(AD414))&gt;0</formula>
    </cfRule>
  </conditionalFormatting>
  <conditionalFormatting sqref="AD415:AZ415">
    <cfRule type="notContainsBlanks" dxfId="246" priority="11136">
      <formula>LEN(TRIM(AD415))&gt;0</formula>
    </cfRule>
  </conditionalFormatting>
  <conditionalFormatting sqref="AD416:AZ416">
    <cfRule type="notContainsBlanks" dxfId="245" priority="3134">
      <formula>LEN(TRIM(AD416))&gt;0</formula>
    </cfRule>
  </conditionalFormatting>
  <conditionalFormatting sqref="AD417:AZ426">
    <cfRule type="notContainsBlanks" dxfId="244" priority="3110">
      <formula>LEN(TRIM(AD417))&gt;0</formula>
    </cfRule>
  </conditionalFormatting>
  <conditionalFormatting sqref="AD427:AZ427 AD429:AZ429">
    <cfRule type="notContainsBlanks" dxfId="243" priority="10785">
      <formula>LEN(TRIM(AD427))&gt;0</formula>
    </cfRule>
  </conditionalFormatting>
  <conditionalFormatting sqref="AD428:AZ428">
    <cfRule type="notContainsBlanks" dxfId="242" priority="10747">
      <formula>LEN(TRIM(AD428))&gt;0</formula>
    </cfRule>
  </conditionalFormatting>
  <conditionalFormatting sqref="AD430:AZ430">
    <cfRule type="notContainsBlanks" dxfId="241" priority="3086">
      <formula>LEN(TRIM(AD430))&gt;0</formula>
    </cfRule>
  </conditionalFormatting>
  <conditionalFormatting sqref="AD431:AZ440">
    <cfRule type="notContainsBlanks" dxfId="240" priority="3062">
      <formula>LEN(TRIM(AD431))&gt;0</formula>
    </cfRule>
  </conditionalFormatting>
  <conditionalFormatting sqref="AD441:AZ441">
    <cfRule type="notContainsBlanks" dxfId="239" priority="10857">
      <formula>LEN(TRIM(AD441))&gt;0</formula>
    </cfRule>
  </conditionalFormatting>
  <conditionalFormatting sqref="AD442:AZ442">
    <cfRule type="notContainsBlanks" dxfId="238" priority="3048">
      <formula>LEN(TRIM(AD442))&gt;0</formula>
    </cfRule>
  </conditionalFormatting>
  <conditionalFormatting sqref="AD443:AZ443">
    <cfRule type="notContainsBlanks" dxfId="237" priority="3010">
      <formula>LEN(TRIM(AD443))&gt;0</formula>
    </cfRule>
  </conditionalFormatting>
  <conditionalFormatting sqref="AD444:AZ451">
    <cfRule type="notContainsBlanks" dxfId="236" priority="2986">
      <formula>LEN(TRIM(AD444))&gt;0</formula>
    </cfRule>
  </conditionalFormatting>
  <conditionalFormatting sqref="AD452:AZ452">
    <cfRule type="notContainsBlanks" dxfId="235" priority="22780">
      <formula>LEN(TRIM(AD452))&gt;0</formula>
    </cfRule>
  </conditionalFormatting>
  <conditionalFormatting sqref="AD453:AZ453">
    <cfRule type="notContainsBlanks" dxfId="234" priority="10543">
      <formula>LEN(TRIM(AD453))&gt;0</formula>
    </cfRule>
  </conditionalFormatting>
  <conditionalFormatting sqref="AD454:AZ454">
    <cfRule type="notContainsBlanks" dxfId="233" priority="2962">
      <formula>LEN(TRIM(AD454))&gt;0</formula>
    </cfRule>
  </conditionalFormatting>
  <conditionalFormatting sqref="AD455:AZ462">
    <cfRule type="notContainsBlanks" dxfId="232" priority="2938">
      <formula>LEN(TRIM(AD455))&gt;0</formula>
    </cfRule>
  </conditionalFormatting>
  <conditionalFormatting sqref="AD463:AZ464">
    <cfRule type="notContainsBlanks" dxfId="231" priority="22660">
      <formula>LEN(TRIM(AD463))&gt;0</formula>
    </cfRule>
  </conditionalFormatting>
  <conditionalFormatting sqref="AD465:AZ465">
    <cfRule type="notContainsBlanks" dxfId="230" priority="2914">
      <formula>LEN(TRIM(AD465))&gt;0</formula>
    </cfRule>
  </conditionalFormatting>
  <conditionalFormatting sqref="AD466:AZ473">
    <cfRule type="notContainsBlanks" dxfId="229" priority="2890">
      <formula>LEN(TRIM(AD466))&gt;0</formula>
    </cfRule>
  </conditionalFormatting>
  <conditionalFormatting sqref="AD474:AZ474">
    <cfRule type="notContainsBlanks" dxfId="228" priority="26683">
      <formula>LEN(TRIM(AD474))&gt;0</formula>
    </cfRule>
  </conditionalFormatting>
  <conditionalFormatting sqref="AD475:AZ475">
    <cfRule type="notContainsBlanks" dxfId="227" priority="2866">
      <formula>LEN(TRIM(AD475))&gt;0</formula>
    </cfRule>
  </conditionalFormatting>
  <conditionalFormatting sqref="AD476:AZ483">
    <cfRule type="notContainsBlanks" dxfId="226" priority="2842">
      <formula>LEN(TRIM(AD476))&gt;0</formula>
    </cfRule>
  </conditionalFormatting>
  <conditionalFormatting sqref="AD484:AZ484">
    <cfRule type="notContainsBlanks" dxfId="225" priority="2818">
      <formula>LEN(TRIM(AD484))&gt;0</formula>
    </cfRule>
  </conditionalFormatting>
  <conditionalFormatting sqref="AD485:AZ485">
    <cfRule type="notContainsBlanks" dxfId="224" priority="22540">
      <formula>LEN(TRIM(AD485))&gt;0</formula>
    </cfRule>
  </conditionalFormatting>
  <conditionalFormatting sqref="AD486:AZ486">
    <cfRule type="notContainsBlanks" dxfId="223" priority="2746">
      <formula>LEN(TRIM(AD486))&gt;0</formula>
    </cfRule>
  </conditionalFormatting>
  <conditionalFormatting sqref="AD487:AZ496">
    <cfRule type="notContainsBlanks" dxfId="222" priority="2722">
      <formula>LEN(TRIM(AD487))&gt;0</formula>
    </cfRule>
  </conditionalFormatting>
  <conditionalFormatting sqref="AD497:AZ497">
    <cfRule type="notContainsBlanks" dxfId="221" priority="42614">
      <formula>LEN(TRIM(AD497))&gt;0</formula>
    </cfRule>
  </conditionalFormatting>
  <conditionalFormatting sqref="AD498:AZ498">
    <cfRule type="notContainsBlanks" dxfId="220" priority="2698">
      <formula>LEN(TRIM(AD498))&gt;0</formula>
    </cfRule>
  </conditionalFormatting>
  <conditionalFormatting sqref="AD499:AZ499">
    <cfRule type="notContainsBlanks" dxfId="219" priority="2674">
      <formula>LEN(TRIM(AD499))&gt;0</formula>
    </cfRule>
  </conditionalFormatting>
  <conditionalFormatting sqref="AD500:AZ507">
    <cfRule type="notContainsBlanks" dxfId="218" priority="2650">
      <formula>LEN(TRIM(AD500))&gt;0</formula>
    </cfRule>
  </conditionalFormatting>
  <conditionalFormatting sqref="AD508:AZ508">
    <cfRule type="notContainsBlanks" dxfId="217" priority="47812">
      <formula>LEN(TRIM(AD508))&gt;0</formula>
    </cfRule>
  </conditionalFormatting>
  <conditionalFormatting sqref="AD509:AZ509">
    <cfRule type="notContainsBlanks" dxfId="216" priority="2602">
      <formula>LEN(TRIM(AD509))&gt;0</formula>
    </cfRule>
  </conditionalFormatting>
  <conditionalFormatting sqref="AD510:AZ510">
    <cfRule type="notContainsBlanks" dxfId="215" priority="2626">
      <formula>LEN(TRIM(AD510))&gt;0</formula>
    </cfRule>
  </conditionalFormatting>
  <conditionalFormatting sqref="AD511:AZ518">
    <cfRule type="notContainsBlanks" dxfId="214" priority="2554">
      <formula>LEN(TRIM(AD511))&gt;0</formula>
    </cfRule>
  </conditionalFormatting>
  <conditionalFormatting sqref="AD519:AZ519">
    <cfRule type="notContainsBlanks" dxfId="213" priority="47620">
      <formula>LEN(TRIM(AD519))&gt;0</formula>
    </cfRule>
  </conditionalFormatting>
  <conditionalFormatting sqref="AD520:AZ520">
    <cfRule type="notContainsBlanks" dxfId="212" priority="2530">
      <formula>LEN(TRIM(AD520))&gt;0</formula>
    </cfRule>
  </conditionalFormatting>
  <conditionalFormatting sqref="AD521:AZ521">
    <cfRule type="notContainsBlanks" dxfId="211" priority="2482">
      <formula>LEN(TRIM(AD521))&gt;0</formula>
    </cfRule>
  </conditionalFormatting>
  <conditionalFormatting sqref="AD522:AZ529">
    <cfRule type="notContainsBlanks" dxfId="210" priority="2458">
      <formula>LEN(TRIM(AD522))&gt;0</formula>
    </cfRule>
  </conditionalFormatting>
  <conditionalFormatting sqref="AD530:AZ531">
    <cfRule type="notContainsBlanks" dxfId="209" priority="52828">
      <formula>LEN(TRIM(AD530))&gt;0</formula>
    </cfRule>
  </conditionalFormatting>
  <conditionalFormatting sqref="AD532:AZ532">
    <cfRule type="notContainsBlanks" dxfId="208" priority="2434">
      <formula>LEN(TRIM(AD532))&gt;0</formula>
    </cfRule>
  </conditionalFormatting>
  <conditionalFormatting sqref="AD533:AZ540">
    <cfRule type="notContainsBlanks" dxfId="207" priority="2410">
      <formula>LEN(TRIM(AD533))&gt;0</formula>
    </cfRule>
  </conditionalFormatting>
  <conditionalFormatting sqref="AD541:AZ541">
    <cfRule type="notContainsBlanks" dxfId="206" priority="2362">
      <formula>LEN(TRIM(AD541))&gt;0</formula>
    </cfRule>
  </conditionalFormatting>
  <conditionalFormatting sqref="AD542:AZ542">
    <cfRule type="notContainsBlanks" dxfId="205" priority="2386">
      <formula>LEN(TRIM(AD542))&gt;0</formula>
    </cfRule>
  </conditionalFormatting>
  <conditionalFormatting sqref="AD543:AZ543">
    <cfRule type="notContainsBlanks" dxfId="204" priority="2314">
      <formula>LEN(TRIM(AD543))&gt;0</formula>
    </cfRule>
  </conditionalFormatting>
  <conditionalFormatting sqref="AD544:AZ548 AD550:AZ551">
    <cfRule type="notContainsBlanks" dxfId="203" priority="2290">
      <formula>LEN(TRIM(AD544))&gt;0</formula>
    </cfRule>
  </conditionalFormatting>
  <conditionalFormatting sqref="AD549:AZ549">
    <cfRule type="notContainsBlanks" dxfId="202" priority="2266">
      <formula>LEN(TRIM(AD549))&gt;0</formula>
    </cfRule>
  </conditionalFormatting>
  <conditionalFormatting sqref="AD552:AZ553">
    <cfRule type="notContainsBlanks" dxfId="201" priority="36591">
      <formula>LEN(TRIM(AD552))&gt;0</formula>
    </cfRule>
  </conditionalFormatting>
  <conditionalFormatting sqref="AD554:AZ554">
    <cfRule type="notContainsBlanks" dxfId="200" priority="2242">
      <formula>LEN(TRIM(AD554))&gt;0</formula>
    </cfRule>
  </conditionalFormatting>
  <conditionalFormatting sqref="AD555:AZ559">
    <cfRule type="notContainsBlanks" dxfId="199" priority="2218">
      <formula>LEN(TRIM(AD555))&gt;0</formula>
    </cfRule>
  </conditionalFormatting>
  <conditionalFormatting sqref="AD560:AZ561">
    <cfRule type="notContainsBlanks" dxfId="198" priority="52708">
      <formula>LEN(TRIM(AD560))&gt;0</formula>
    </cfRule>
  </conditionalFormatting>
  <conditionalFormatting sqref="AD562:AZ562">
    <cfRule type="notContainsBlanks" dxfId="197" priority="2122">
      <formula>LEN(TRIM(AD562))&gt;0</formula>
    </cfRule>
  </conditionalFormatting>
  <conditionalFormatting sqref="AD563:AZ563">
    <cfRule type="notContainsBlanks" dxfId="196" priority="60552">
      <formula>LEN(TRIM(AD563))&gt;0</formula>
    </cfRule>
  </conditionalFormatting>
  <conditionalFormatting sqref="AD564:AZ564">
    <cfRule type="notContainsBlanks" dxfId="195" priority="2098">
      <formula>LEN(TRIM(AD564))&gt;0</formula>
    </cfRule>
  </conditionalFormatting>
  <conditionalFormatting sqref="AD565:AZ565">
    <cfRule type="notContainsBlanks" dxfId="194" priority="2074">
      <formula>LEN(TRIM(AD565))&gt;0</formula>
    </cfRule>
  </conditionalFormatting>
  <conditionalFormatting sqref="AD566:AZ575">
    <cfRule type="notContainsBlanks" dxfId="193" priority="2050">
      <formula>LEN(TRIM(AD566))&gt;0</formula>
    </cfRule>
  </conditionalFormatting>
  <conditionalFormatting sqref="AD576:AZ576">
    <cfRule type="notContainsBlanks" dxfId="192" priority="60504">
      <formula>LEN(TRIM(AD576))&gt;0</formula>
    </cfRule>
  </conditionalFormatting>
  <conditionalFormatting sqref="AD577:AZ577 AD595:AZ596 AD613:AZ614 AD622:AZ622 AD626:AZ626 AD639:AZ640 AD654:AZ655 AD662:AZ663 AD668:AZ669 AD672:AZ673 AD682:AZ683 AD697:AZ697 AD699:AZ700 AD717:AZ718 AD735:AZ736 AD753:AZ754">
    <cfRule type="notContainsBlanks" dxfId="191" priority="76862">
      <formula>LEN(TRIM(AD577))&gt;0</formula>
    </cfRule>
  </conditionalFormatting>
  <conditionalFormatting sqref="AD578:AZ578">
    <cfRule type="notContainsBlanks" dxfId="190" priority="1978">
      <formula>LEN(TRIM(AD578))&gt;0</formula>
    </cfRule>
  </conditionalFormatting>
  <conditionalFormatting sqref="AD579:AZ586">
    <cfRule type="notContainsBlanks" dxfId="189" priority="1954">
      <formula>LEN(TRIM(AD579))&gt;0</formula>
    </cfRule>
  </conditionalFormatting>
  <conditionalFormatting sqref="AD587:AZ587">
    <cfRule type="notContainsBlanks" dxfId="188" priority="1930">
      <formula>LEN(TRIM(AD587))&gt;0</formula>
    </cfRule>
  </conditionalFormatting>
  <conditionalFormatting sqref="AD588:AZ590 AD592:AZ592 AD594:AZ594">
    <cfRule type="notContainsBlanks" dxfId="187" priority="60407">
      <formula>LEN(TRIM(AD588))&gt;0</formula>
    </cfRule>
  </conditionalFormatting>
  <conditionalFormatting sqref="AD591:AZ591">
    <cfRule type="notContainsBlanks" dxfId="186" priority="1906">
      <formula>LEN(TRIM(AD591))&gt;0</formula>
    </cfRule>
  </conditionalFormatting>
  <conditionalFormatting sqref="AD593:AZ593">
    <cfRule type="notContainsBlanks" dxfId="185" priority="1882">
      <formula>LEN(TRIM(AD593))&gt;0</formula>
    </cfRule>
  </conditionalFormatting>
  <conditionalFormatting sqref="AD597:AZ597">
    <cfRule type="notContainsBlanks" dxfId="184" priority="60383">
      <formula>LEN(TRIM(AD597))&gt;0</formula>
    </cfRule>
  </conditionalFormatting>
  <conditionalFormatting sqref="AD598:AZ602">
    <cfRule type="notContainsBlanks" dxfId="183" priority="60335">
      <formula>LEN(TRIM(AD598))&gt;0</formula>
    </cfRule>
  </conditionalFormatting>
  <conditionalFormatting sqref="AD603:AZ603">
    <cfRule type="notContainsBlanks" dxfId="182" priority="60287">
      <formula>LEN(TRIM(AD603))&gt;0</formula>
    </cfRule>
  </conditionalFormatting>
  <conditionalFormatting sqref="AD604:AZ604">
    <cfRule type="notContainsBlanks" dxfId="181" priority="60359">
      <formula>LEN(TRIM(AD604))&gt;0</formula>
    </cfRule>
  </conditionalFormatting>
  <conditionalFormatting sqref="AD605:AZ612">
    <cfRule type="notContainsBlanks" dxfId="180" priority="60311">
      <formula>LEN(TRIM(AD605))&gt;0</formula>
    </cfRule>
  </conditionalFormatting>
  <conditionalFormatting sqref="AD615:AZ615">
    <cfRule type="notContainsBlanks" dxfId="179" priority="60263">
      <formula>LEN(TRIM(AD615))&gt;0</formula>
    </cfRule>
  </conditionalFormatting>
  <conditionalFormatting sqref="AD616:AZ621">
    <cfRule type="notContainsBlanks" dxfId="178" priority="60239">
      <formula>LEN(TRIM(AD616))&gt;0</formula>
    </cfRule>
  </conditionalFormatting>
  <conditionalFormatting sqref="AD623:AZ625">
    <cfRule type="notContainsBlanks" dxfId="177" priority="60215">
      <formula>LEN(TRIM(AD623))&gt;0</formula>
    </cfRule>
  </conditionalFormatting>
  <conditionalFormatting sqref="AD627:AZ627">
    <cfRule type="notContainsBlanks" dxfId="176" priority="60167">
      <formula>LEN(TRIM(AD627))&gt;0</formula>
    </cfRule>
  </conditionalFormatting>
  <conditionalFormatting sqref="AD628:AZ628">
    <cfRule type="notContainsBlanks" dxfId="175" priority="60143">
      <formula>LEN(TRIM(AD628))&gt;0</formula>
    </cfRule>
  </conditionalFormatting>
  <conditionalFormatting sqref="AD629:AZ634">
    <cfRule type="notContainsBlanks" dxfId="174" priority="60095">
      <formula>LEN(TRIM(AD629))&gt;0</formula>
    </cfRule>
  </conditionalFormatting>
  <conditionalFormatting sqref="AD635:AZ635">
    <cfRule type="notContainsBlanks" dxfId="173" priority="60119">
      <formula>LEN(TRIM(AD635))&gt;0</formula>
    </cfRule>
  </conditionalFormatting>
  <conditionalFormatting sqref="AD636:AZ638">
    <cfRule type="notContainsBlanks" dxfId="172" priority="60071">
      <formula>LEN(TRIM(AD636))&gt;0</formula>
    </cfRule>
  </conditionalFormatting>
  <conditionalFormatting sqref="AD641:AZ641">
    <cfRule type="notContainsBlanks" dxfId="171" priority="60047">
      <formula>LEN(TRIM(AD641))&gt;0</formula>
    </cfRule>
  </conditionalFormatting>
  <conditionalFormatting sqref="AD642:AZ653">
    <cfRule type="notContainsBlanks" dxfId="170" priority="60023">
      <formula>LEN(TRIM(AD642))&gt;0</formula>
    </cfRule>
  </conditionalFormatting>
  <conditionalFormatting sqref="AD656:AZ656">
    <cfRule type="notContainsBlanks" dxfId="169" priority="59999">
      <formula>LEN(TRIM(AD656))&gt;0</formula>
    </cfRule>
  </conditionalFormatting>
  <conditionalFormatting sqref="AD657:AZ661">
    <cfRule type="notContainsBlanks" dxfId="168" priority="59975">
      <formula>LEN(TRIM(AD657))&gt;0</formula>
    </cfRule>
  </conditionalFormatting>
  <conditionalFormatting sqref="AD664:AZ664">
    <cfRule type="notContainsBlanks" dxfId="167" priority="59951">
      <formula>LEN(TRIM(AD664))&gt;0</formula>
    </cfRule>
  </conditionalFormatting>
  <conditionalFormatting sqref="AD665:AZ667">
    <cfRule type="notContainsBlanks" dxfId="166" priority="59927">
      <formula>LEN(TRIM(AD665))&gt;0</formula>
    </cfRule>
  </conditionalFormatting>
  <conditionalFormatting sqref="AD670:AZ671">
    <cfRule type="notContainsBlanks" dxfId="165" priority="59903">
      <formula>LEN(TRIM(AD670))&gt;0</formula>
    </cfRule>
  </conditionalFormatting>
  <conditionalFormatting sqref="AD674:AZ674">
    <cfRule type="notContainsBlanks" dxfId="164" priority="59859">
      <formula>LEN(TRIM(AD674))&gt;0</formula>
    </cfRule>
  </conditionalFormatting>
  <conditionalFormatting sqref="AD675:AZ678">
    <cfRule type="notContainsBlanks" dxfId="163" priority="59811">
      <formula>LEN(TRIM(AD675))&gt;0</formula>
    </cfRule>
  </conditionalFormatting>
  <conditionalFormatting sqref="AD679:AZ679">
    <cfRule type="notContainsBlanks" dxfId="162" priority="59835">
      <formula>LEN(TRIM(AD679))&gt;0</formula>
    </cfRule>
  </conditionalFormatting>
  <conditionalFormatting sqref="AD680:AZ681">
    <cfRule type="notContainsBlanks" dxfId="161" priority="59787">
      <formula>LEN(TRIM(AD680))&gt;0</formula>
    </cfRule>
  </conditionalFormatting>
  <conditionalFormatting sqref="AD684:AZ684">
    <cfRule type="notContainsBlanks" dxfId="160" priority="59743">
      <formula>LEN(TRIM(AD684))&gt;0</formula>
    </cfRule>
  </conditionalFormatting>
  <conditionalFormatting sqref="AD685:AZ689 AD693:AZ695 AD691:AZ691">
    <cfRule type="notContainsBlanks" dxfId="159" priority="59719">
      <formula>LEN(TRIM(AD685))&gt;0</formula>
    </cfRule>
  </conditionalFormatting>
  <conditionalFormatting sqref="AD690:AZ690">
    <cfRule type="notContainsBlanks" dxfId="158" priority="59623">
      <formula>LEN(TRIM(AD690))&gt;0</formula>
    </cfRule>
  </conditionalFormatting>
  <conditionalFormatting sqref="AD692:AZ692">
    <cfRule type="notContainsBlanks" dxfId="157" priority="59647">
      <formula>LEN(TRIM(AD692))&gt;0</formula>
    </cfRule>
  </conditionalFormatting>
  <conditionalFormatting sqref="AD696:AZ696">
    <cfRule type="notContainsBlanks" dxfId="156" priority="59695">
      <formula>LEN(TRIM(AD696))&gt;0</formula>
    </cfRule>
  </conditionalFormatting>
  <conditionalFormatting sqref="AD698:AZ698">
    <cfRule type="notContainsBlanks" dxfId="155" priority="59671">
      <formula>LEN(TRIM(AD698))&gt;0</formula>
    </cfRule>
  </conditionalFormatting>
  <conditionalFormatting sqref="AD701:AZ701">
    <cfRule type="notContainsBlanks" dxfId="154" priority="59599">
      <formula>LEN(TRIM(AD701))&gt;0</formula>
    </cfRule>
  </conditionalFormatting>
  <conditionalFormatting sqref="AD702:AZ707">
    <cfRule type="notContainsBlanks" dxfId="153" priority="59551">
      <formula>LEN(TRIM(AD702))&gt;0</formula>
    </cfRule>
  </conditionalFormatting>
  <conditionalFormatting sqref="AD708:AZ708">
    <cfRule type="notContainsBlanks" dxfId="152" priority="59575">
      <formula>LEN(TRIM(AD708))&gt;0</formula>
    </cfRule>
  </conditionalFormatting>
  <conditionalFormatting sqref="AD709:AZ716">
    <cfRule type="notContainsBlanks" dxfId="151" priority="59527">
      <formula>LEN(TRIM(AD709))&gt;0</formula>
    </cfRule>
  </conditionalFormatting>
  <conditionalFormatting sqref="AD719:AZ719">
    <cfRule type="notContainsBlanks" dxfId="150" priority="59503">
      <formula>LEN(TRIM(AD719))&gt;0</formula>
    </cfRule>
  </conditionalFormatting>
  <conditionalFormatting sqref="AD720:AZ725">
    <cfRule type="notContainsBlanks" dxfId="149" priority="59455">
      <formula>LEN(TRIM(AD720))&gt;0</formula>
    </cfRule>
  </conditionalFormatting>
  <conditionalFormatting sqref="AD726:AZ726">
    <cfRule type="notContainsBlanks" dxfId="148" priority="59479">
      <formula>LEN(TRIM(AD726))&gt;0</formula>
    </cfRule>
  </conditionalFormatting>
  <conditionalFormatting sqref="AD727:AZ734">
    <cfRule type="notContainsBlanks" dxfId="147" priority="59431">
      <formula>LEN(TRIM(AD727))&gt;0</formula>
    </cfRule>
  </conditionalFormatting>
  <conditionalFormatting sqref="AD737:AZ737">
    <cfRule type="notContainsBlanks" dxfId="146" priority="59407">
      <formula>LEN(TRIM(AD737))&gt;0</formula>
    </cfRule>
  </conditionalFormatting>
  <conditionalFormatting sqref="AD738:AZ743">
    <cfRule type="notContainsBlanks" dxfId="145" priority="59359">
      <formula>LEN(TRIM(AD738))&gt;0</formula>
    </cfRule>
  </conditionalFormatting>
  <conditionalFormatting sqref="AD744:AZ744">
    <cfRule type="notContainsBlanks" dxfId="144" priority="59383">
      <formula>LEN(TRIM(AD744))&gt;0</formula>
    </cfRule>
  </conditionalFormatting>
  <conditionalFormatting sqref="AD745:AZ752">
    <cfRule type="notContainsBlanks" dxfId="143" priority="59335">
      <formula>LEN(TRIM(AD745))&gt;0</formula>
    </cfRule>
  </conditionalFormatting>
  <conditionalFormatting sqref="AD755:AZ755">
    <cfRule type="notContainsBlanks" dxfId="142" priority="59311">
      <formula>LEN(TRIM(AD755))&gt;0</formula>
    </cfRule>
  </conditionalFormatting>
  <conditionalFormatting sqref="AD756:AZ765">
    <cfRule type="notContainsBlanks" dxfId="141" priority="59287">
      <formula>LEN(TRIM(AD756))&gt;0</formula>
    </cfRule>
  </conditionalFormatting>
  <conditionalFormatting sqref="AD766:AZ766">
    <cfRule type="notContainsBlanks" dxfId="140" priority="125143">
      <formula>LEN(TRIM(AD766))&gt;0</formula>
    </cfRule>
  </conditionalFormatting>
  <conditionalFormatting sqref="AD767:AZ769">
    <cfRule type="notContainsBlanks" dxfId="139" priority="59263">
      <formula>LEN(TRIM(AD767))&gt;0</formula>
    </cfRule>
  </conditionalFormatting>
  <conditionalFormatting sqref="AD772:AZ772">
    <cfRule type="notContainsBlanks" dxfId="138" priority="59239">
      <formula>LEN(TRIM(AD772))&gt;0</formula>
    </cfRule>
  </conditionalFormatting>
  <conditionalFormatting sqref="AD773:AZ780">
    <cfRule type="notContainsBlanks" dxfId="137" priority="59215">
      <formula>LEN(TRIM(AD773))&gt;0</formula>
    </cfRule>
  </conditionalFormatting>
  <conditionalFormatting sqref="AD782:AZ784">
    <cfRule type="notContainsBlanks" dxfId="136" priority="59166">
      <formula>LEN(TRIM(AD782))&gt;0</formula>
    </cfRule>
  </conditionalFormatting>
  <conditionalFormatting sqref="AD785:AZ786">
    <cfRule type="notContainsBlanks" dxfId="135" priority="92924">
      <formula>LEN(TRIM(AD785))&gt;0</formula>
    </cfRule>
  </conditionalFormatting>
  <conditionalFormatting sqref="AD787:AZ787">
    <cfRule type="notContainsBlanks" dxfId="134" priority="59142">
      <formula>LEN(TRIM(AD787))&gt;0</formula>
    </cfRule>
  </conditionalFormatting>
  <conditionalFormatting sqref="AD788:AZ789">
    <cfRule type="notContainsBlanks" dxfId="133" priority="59118">
      <formula>LEN(TRIM(AD788))&gt;0</formula>
    </cfRule>
  </conditionalFormatting>
  <conditionalFormatting sqref="AD790:AZ792">
    <cfRule type="notContainsBlanks" dxfId="132" priority="59094">
      <formula>LEN(TRIM(AD790))&gt;0</formula>
    </cfRule>
  </conditionalFormatting>
  <conditionalFormatting sqref="AD793:AZ794">
    <cfRule type="notContainsBlanks" dxfId="131" priority="59070">
      <formula>LEN(TRIM(AD793))&gt;0</formula>
    </cfRule>
  </conditionalFormatting>
  <conditionalFormatting sqref="AD796:AZ803">
    <cfRule type="notContainsBlanks" dxfId="130" priority="59046">
      <formula>LEN(TRIM(AD796))&gt;0</formula>
    </cfRule>
  </conditionalFormatting>
  <conditionalFormatting sqref="AD806:AZ806">
    <cfRule type="notContainsBlanks" dxfId="129" priority="58996">
      <formula>LEN(TRIM(AD806))&gt;0</formula>
    </cfRule>
  </conditionalFormatting>
  <conditionalFormatting sqref="AD807:AZ812">
    <cfRule type="notContainsBlanks" dxfId="128" priority="58948">
      <formula>LEN(TRIM(AD807))&gt;0</formula>
    </cfRule>
  </conditionalFormatting>
  <conditionalFormatting sqref="AD813:AZ813">
    <cfRule type="notContainsBlanks" dxfId="127" priority="58972">
      <formula>LEN(TRIM(AD813))&gt;0</formula>
    </cfRule>
  </conditionalFormatting>
  <conditionalFormatting sqref="AD814:AZ816">
    <cfRule type="notContainsBlanks" dxfId="126" priority="58924">
      <formula>LEN(TRIM(AD814))&gt;0</formula>
    </cfRule>
  </conditionalFormatting>
  <conditionalFormatting sqref="AD817:AZ818">
    <cfRule type="notContainsBlanks" dxfId="125" priority="92585">
      <formula>LEN(TRIM(AD817))&gt;0</formula>
    </cfRule>
  </conditionalFormatting>
  <conditionalFormatting sqref="AD821:AZ821">
    <cfRule type="notContainsBlanks" dxfId="124" priority="92488">
      <formula>LEN(TRIM(AD821))&gt;0</formula>
    </cfRule>
  </conditionalFormatting>
  <conditionalFormatting sqref="AD823:AZ826 AD822:AO822 AQ822:AZ822">
    <cfRule type="notContainsBlanks" dxfId="123" priority="92439">
      <formula>LEN(TRIM(AD822))&gt;0</formula>
    </cfRule>
  </conditionalFormatting>
  <conditionalFormatting sqref="AD827:AZ827">
    <cfRule type="notContainsBlanks" dxfId="122" priority="92464">
      <formula>LEN(TRIM(AD827))&gt;0</formula>
    </cfRule>
  </conditionalFormatting>
  <conditionalFormatting sqref="AD829:AZ829">
    <cfRule type="notContainsBlanks" dxfId="121" priority="92292">
      <formula>LEN(TRIM(AD829))&gt;0</formula>
    </cfRule>
  </conditionalFormatting>
  <conditionalFormatting sqref="AD830:AZ830">
    <cfRule type="notContainsBlanks" dxfId="120" priority="92633">
      <formula>LEN(TRIM(AD830))&gt;0</formula>
    </cfRule>
  </conditionalFormatting>
  <conditionalFormatting sqref="AD831:AZ831">
    <cfRule type="notContainsBlanks" dxfId="119" priority="92390">
      <formula>LEN(TRIM(AD831))&gt;0</formula>
    </cfRule>
  </conditionalFormatting>
  <conditionalFormatting sqref="AD833:AZ836 AD832:AO832 AQ832:AZ832">
    <cfRule type="notContainsBlanks" dxfId="118" priority="92341">
      <formula>LEN(TRIM(AD832))&gt;0</formula>
    </cfRule>
  </conditionalFormatting>
  <conditionalFormatting sqref="AD837:AZ837">
    <cfRule type="notContainsBlanks" dxfId="117" priority="92366">
      <formula>LEN(TRIM(AD837))&gt;0</formula>
    </cfRule>
  </conditionalFormatting>
  <conditionalFormatting sqref="AD839:AZ839">
    <cfRule type="notContainsBlanks" dxfId="116" priority="92268">
      <formula>LEN(TRIM(AD839))&gt;0</formula>
    </cfRule>
  </conditionalFormatting>
  <conditionalFormatting sqref="AD840:AZ840">
    <cfRule type="notContainsBlanks" dxfId="115" priority="92244">
      <formula>LEN(TRIM(AD840))&gt;0</formula>
    </cfRule>
  </conditionalFormatting>
  <conditionalFormatting sqref="AD841:AZ841">
    <cfRule type="notContainsBlanks" dxfId="114" priority="92196">
      <formula>LEN(TRIM(AD841))&gt;0</formula>
    </cfRule>
  </conditionalFormatting>
  <conditionalFormatting sqref="AD842:AZ845">
    <cfRule type="notContainsBlanks" dxfId="113" priority="92172">
      <formula>LEN(TRIM(AD842))&gt;0</formula>
    </cfRule>
  </conditionalFormatting>
  <conditionalFormatting sqref="AD848:AZ848">
    <cfRule type="notContainsBlanks" dxfId="112" priority="92100">
      <formula>LEN(TRIM(AD848))&gt;0</formula>
    </cfRule>
  </conditionalFormatting>
  <conditionalFormatting sqref="AD849:AZ852">
    <cfRule type="notContainsBlanks" dxfId="111" priority="92076">
      <formula>LEN(TRIM(AD849))&gt;0</formula>
    </cfRule>
  </conditionalFormatting>
  <conditionalFormatting sqref="AD860:AZ860">
    <cfRule type="notContainsBlanks" dxfId="110" priority="91994">
      <formula>LEN(TRIM(AD860))&gt;0</formula>
    </cfRule>
  </conditionalFormatting>
  <conditionalFormatting sqref="AD865:AZ865">
    <cfRule type="notContainsBlanks" dxfId="109" priority="92148">
      <formula>LEN(TRIM(AD865))&gt;0</formula>
    </cfRule>
  </conditionalFormatting>
  <conditionalFormatting sqref="AD866:AZ872">
    <cfRule type="notContainsBlanks" dxfId="108" priority="92124">
      <formula>LEN(TRIM(AD866))&gt;0</formula>
    </cfRule>
  </conditionalFormatting>
  <conditionalFormatting sqref="AD873:AZ873">
    <cfRule type="notContainsBlanks" dxfId="107" priority="91941">
      <formula>LEN(TRIM(AD873))&gt;0</formula>
    </cfRule>
  </conditionalFormatting>
  <conditionalFormatting sqref="AD877:AZ877">
    <cfRule type="notContainsBlanks" dxfId="106" priority="91892">
      <formula>LEN(TRIM(AD877))&gt;0</formula>
    </cfRule>
  </conditionalFormatting>
  <conditionalFormatting sqref="AD878:AZ884">
    <cfRule type="notContainsBlanks" dxfId="105" priority="91868">
      <formula>LEN(TRIM(AD878))&gt;0</formula>
    </cfRule>
  </conditionalFormatting>
  <conditionalFormatting sqref="AD885:AZ885">
    <cfRule type="notContainsBlanks" dxfId="104" priority="91844">
      <formula>LEN(TRIM(AD885))&gt;0</formula>
    </cfRule>
  </conditionalFormatting>
  <conditionalFormatting sqref="AD889:AZ889">
    <cfRule type="notContainsBlanks" dxfId="103" priority="91795">
      <formula>LEN(TRIM(AD889))&gt;0</formula>
    </cfRule>
  </conditionalFormatting>
  <conditionalFormatting sqref="AD896:AZ896">
    <cfRule type="notContainsBlanks" dxfId="102" priority="91672">
      <formula>LEN(TRIM(AD896))&gt;0</formula>
    </cfRule>
  </conditionalFormatting>
  <conditionalFormatting sqref="AD900:AZ900">
    <cfRule type="notContainsBlanks" dxfId="101" priority="91648">
      <formula>LEN(TRIM(AD900))&gt;0</formula>
    </cfRule>
  </conditionalFormatting>
  <conditionalFormatting sqref="AD907:AZ907">
    <cfRule type="notContainsBlanks" dxfId="100" priority="91574">
      <formula>LEN(TRIM(AD907))&gt;0</formula>
    </cfRule>
  </conditionalFormatting>
  <conditionalFormatting sqref="AD912:AZ912">
    <cfRule type="notContainsBlanks" dxfId="99" priority="91550">
      <formula>LEN(TRIM(AD912))&gt;0</formula>
    </cfRule>
  </conditionalFormatting>
  <conditionalFormatting sqref="AD913:AZ916">
    <cfRule type="notContainsBlanks" dxfId="98" priority="91526">
      <formula>LEN(TRIM(AD913))&gt;0</formula>
    </cfRule>
  </conditionalFormatting>
  <conditionalFormatting sqref="AD918:AZ918">
    <cfRule type="notContainsBlanks" dxfId="97" priority="91502">
      <formula>LEN(TRIM(AD918))&gt;0</formula>
    </cfRule>
  </conditionalFormatting>
  <conditionalFormatting sqref="AD919:AZ922">
    <cfRule type="notContainsBlanks" dxfId="96" priority="91478">
      <formula>LEN(TRIM(AD919))&gt;0</formula>
    </cfRule>
  </conditionalFormatting>
  <conditionalFormatting sqref="AD925:AZ925">
    <cfRule type="notContainsBlanks" dxfId="95" priority="91454">
      <formula>LEN(TRIM(AD925))&gt;0</formula>
    </cfRule>
  </conditionalFormatting>
  <conditionalFormatting sqref="AD926:AZ931">
    <cfRule type="notContainsBlanks" dxfId="94" priority="91430">
      <formula>LEN(TRIM(AD926))&gt;0</formula>
    </cfRule>
  </conditionalFormatting>
  <conditionalFormatting sqref="AD934:AZ934">
    <cfRule type="notContainsBlanks" dxfId="93" priority="91406">
      <formula>LEN(TRIM(AD934))&gt;0</formula>
    </cfRule>
  </conditionalFormatting>
  <conditionalFormatting sqref="AD935:AZ949">
    <cfRule type="notContainsBlanks" dxfId="92" priority="91382">
      <formula>LEN(TRIM(AD935))&gt;0</formula>
    </cfRule>
  </conditionalFormatting>
  <conditionalFormatting sqref="AD952:AZ952">
    <cfRule type="notContainsBlanks" dxfId="91" priority="91358">
      <formula>LEN(TRIM(AD952))&gt;0</formula>
    </cfRule>
  </conditionalFormatting>
  <conditionalFormatting sqref="AD954:AZ955">
    <cfRule type="notContainsBlanks" dxfId="90" priority="91334">
      <formula>LEN(TRIM(AD954))&gt;0</formula>
    </cfRule>
  </conditionalFormatting>
  <conditionalFormatting sqref="AD957:AZ957">
    <cfRule type="notContainsBlanks" dxfId="89" priority="91310">
      <formula>LEN(TRIM(AD957))&gt;0</formula>
    </cfRule>
  </conditionalFormatting>
  <conditionalFormatting sqref="AD959:AZ961">
    <cfRule type="notContainsBlanks" dxfId="88" priority="91286">
      <formula>LEN(TRIM(AD959))&gt;0</formula>
    </cfRule>
  </conditionalFormatting>
  <conditionalFormatting sqref="AD964:AZ964">
    <cfRule type="notContainsBlanks" dxfId="87" priority="91262">
      <formula>LEN(TRIM(AD964))&gt;0</formula>
    </cfRule>
  </conditionalFormatting>
  <conditionalFormatting sqref="AD965:AZ974">
    <cfRule type="notContainsBlanks" dxfId="86" priority="91238">
      <formula>LEN(TRIM(AD965))&gt;0</formula>
    </cfRule>
  </conditionalFormatting>
  <conditionalFormatting sqref="AD977:AZ977">
    <cfRule type="notContainsBlanks" dxfId="85" priority="91214">
      <formula>LEN(TRIM(AD977))&gt;0</formula>
    </cfRule>
  </conditionalFormatting>
  <conditionalFormatting sqref="AD978:AZ982 AD984:AZ988">
    <cfRule type="notContainsBlanks" dxfId="84" priority="91190">
      <formula>LEN(TRIM(AD978))&gt;0</formula>
    </cfRule>
  </conditionalFormatting>
  <conditionalFormatting sqref="AD983:AZ983">
    <cfRule type="notContainsBlanks" dxfId="83" priority="91166">
      <formula>LEN(TRIM(AD983))&gt;0</formula>
    </cfRule>
  </conditionalFormatting>
  <conditionalFormatting sqref="AD991:AZ991">
    <cfRule type="notContainsBlanks" dxfId="82" priority="91142">
      <formula>LEN(TRIM(AD991))&gt;0</formula>
    </cfRule>
  </conditionalFormatting>
  <conditionalFormatting sqref="AD992:AZ996">
    <cfRule type="notContainsBlanks" dxfId="81" priority="91046">
      <formula>LEN(TRIM(AD992))&gt;0</formula>
    </cfRule>
  </conditionalFormatting>
  <conditionalFormatting sqref="AD997:AZ998">
    <cfRule type="notContainsBlanks" dxfId="80" priority="90804">
      <formula>LEN(TRIM(AD997))&gt;0</formula>
    </cfRule>
  </conditionalFormatting>
  <conditionalFormatting sqref="AD999:AZ1001">
    <cfRule type="notContainsBlanks" dxfId="79" priority="90853">
      <formula>LEN(TRIM(AD999))&gt;0</formula>
    </cfRule>
  </conditionalFormatting>
  <conditionalFormatting sqref="AD1002:AZ1006">
    <cfRule type="notContainsBlanks" dxfId="78" priority="91022">
      <formula>LEN(TRIM(AD1002))&gt;0</formula>
    </cfRule>
  </conditionalFormatting>
  <conditionalFormatting sqref="AD1007:AZ1007">
    <cfRule type="notContainsBlanks" dxfId="77" priority="91094">
      <formula>LEN(TRIM(AD1007))&gt;0</formula>
    </cfRule>
  </conditionalFormatting>
  <conditionalFormatting sqref="AD1008:AZ1010">
    <cfRule type="notContainsBlanks" dxfId="76" priority="90828">
      <formula>LEN(TRIM(AD1008))&gt;0</formula>
    </cfRule>
  </conditionalFormatting>
  <conditionalFormatting sqref="AD1011:AZ1015">
    <cfRule type="notContainsBlanks" dxfId="75" priority="90974">
      <formula>LEN(TRIM(AD1011))&gt;0</formula>
    </cfRule>
  </conditionalFormatting>
  <conditionalFormatting sqref="AD1016:AZ1016">
    <cfRule type="notContainsBlanks" dxfId="74" priority="90926">
      <formula>LEN(TRIM(AD1016))&gt;0</formula>
    </cfRule>
  </conditionalFormatting>
  <conditionalFormatting sqref="AD1017:AZ1019">
    <cfRule type="notContainsBlanks" dxfId="73" priority="90902">
      <formula>LEN(TRIM(AD1017))&gt;0</formula>
    </cfRule>
  </conditionalFormatting>
  <conditionalFormatting sqref="AD1020:AZ1020">
    <cfRule type="notContainsBlanks" dxfId="72" priority="91070">
      <formula>LEN(TRIM(AD1020))&gt;0</formula>
    </cfRule>
  </conditionalFormatting>
  <conditionalFormatting sqref="AD1029:AZ1029">
    <cfRule type="notContainsBlanks" dxfId="71" priority="90780">
      <formula>LEN(TRIM(AD1029))&gt;0</formula>
    </cfRule>
  </conditionalFormatting>
  <conditionalFormatting sqref="AD1030:AZ1033">
    <cfRule type="notContainsBlanks" dxfId="70" priority="90756">
      <formula>LEN(TRIM(AD1030))&gt;0</formula>
    </cfRule>
  </conditionalFormatting>
  <conditionalFormatting sqref="AD1036:AZ1036">
    <cfRule type="notContainsBlanks" dxfId="69" priority="90732">
      <formula>LEN(TRIM(AD1036))&gt;0</formula>
    </cfRule>
  </conditionalFormatting>
  <conditionalFormatting sqref="AD1037:AZ1040">
    <cfRule type="notContainsBlanks" dxfId="68" priority="90708">
      <formula>LEN(TRIM(AD1037))&gt;0</formula>
    </cfRule>
  </conditionalFormatting>
  <conditionalFormatting sqref="AD1042:AZ1044">
    <cfRule type="notContainsBlanks" dxfId="67" priority="90684">
      <formula>LEN(TRIM(AD1042))&gt;0</formula>
    </cfRule>
  </conditionalFormatting>
  <conditionalFormatting sqref="AD1046:AZ1046">
    <cfRule type="notContainsBlanks" dxfId="66" priority="90660">
      <formula>LEN(TRIM(AD1046))&gt;0</formula>
    </cfRule>
  </conditionalFormatting>
  <conditionalFormatting sqref="AD1047:AZ1048">
    <cfRule type="notContainsBlanks" dxfId="65" priority="90636">
      <formula>LEN(TRIM(AD1047))&gt;0</formula>
    </cfRule>
  </conditionalFormatting>
  <conditionalFormatting sqref="AI44">
    <cfRule type="notContainsBlanks" dxfId="64" priority="15136">
      <formula>LEN(TRIM(AI44))&gt;0</formula>
    </cfRule>
  </conditionalFormatting>
  <conditionalFormatting sqref="AI141">
    <cfRule type="notContainsBlanks" dxfId="63" priority="21038">
      <formula>LEN(TRIM(AI141))&gt;0</formula>
    </cfRule>
  </conditionalFormatting>
  <conditionalFormatting sqref="AI199:AI200">
    <cfRule type="notContainsBlanks" dxfId="62" priority="5179">
      <formula>LEN(TRIM(AI199))&gt;0</formula>
    </cfRule>
  </conditionalFormatting>
  <conditionalFormatting sqref="AI202">
    <cfRule type="notContainsBlanks" dxfId="61" priority="5100">
      <formula>LEN(TRIM(AI202))&gt;0</formula>
    </cfRule>
  </conditionalFormatting>
  <conditionalFormatting sqref="AI206:AI227">
    <cfRule type="notContainsBlanks" dxfId="60" priority="4931">
      <formula>LEN(TRIM(AI206))&gt;0</formula>
    </cfRule>
  </conditionalFormatting>
  <conditionalFormatting sqref="AI256">
    <cfRule type="notContainsBlanks" dxfId="59" priority="4545">
      <formula>LEN(TRIM(AI256))&gt;0</formula>
    </cfRule>
  </conditionalFormatting>
  <conditionalFormatting sqref="AI265">
    <cfRule type="notContainsBlanks" dxfId="58" priority="4316">
      <formula>LEN(TRIM(AI265))&gt;0</formula>
    </cfRule>
  </conditionalFormatting>
  <conditionalFormatting sqref="AI266">
    <cfRule type="notContainsBlanks" dxfId="57" priority="4351">
      <formula>LEN(TRIM(AI266))&gt;0</formula>
    </cfRule>
  </conditionalFormatting>
  <conditionalFormatting sqref="AI275">
    <cfRule type="notContainsBlanks" dxfId="56" priority="19490">
      <formula>LEN(TRIM(AI275))&gt;0</formula>
    </cfRule>
  </conditionalFormatting>
  <conditionalFormatting sqref="AI292">
    <cfRule type="notContainsBlanks" dxfId="55" priority="11905">
      <formula>LEN(TRIM(AI292))&gt;0</formula>
    </cfRule>
  </conditionalFormatting>
  <conditionalFormatting sqref="AI299">
    <cfRule type="notContainsBlanks" dxfId="54" priority="4028">
      <formula>LEN(TRIM(AI299))&gt;0</formula>
    </cfRule>
  </conditionalFormatting>
  <conditionalFormatting sqref="AI301:AI302">
    <cfRule type="notContainsBlanks" dxfId="53" priority="12027">
      <formula>LEN(TRIM(AI301))&gt;0</formula>
    </cfRule>
  </conditionalFormatting>
  <conditionalFormatting sqref="AI312">
    <cfRule type="notContainsBlanks" dxfId="52" priority="11930">
      <formula>LEN(TRIM(AI312))&gt;0</formula>
    </cfRule>
  </conditionalFormatting>
  <conditionalFormatting sqref="AI313">
    <cfRule type="notContainsBlanks" dxfId="51" priority="11880">
      <formula>LEN(TRIM(AI313))&gt;0</formula>
    </cfRule>
  </conditionalFormatting>
  <conditionalFormatting sqref="AI320">
    <cfRule type="notContainsBlanks" dxfId="50" priority="3883">
      <formula>LEN(TRIM(AI320))&gt;0</formula>
    </cfRule>
  </conditionalFormatting>
  <conditionalFormatting sqref="AI333:AI334">
    <cfRule type="notContainsBlanks" dxfId="49" priority="11709">
      <formula>LEN(TRIM(AI333))&gt;0</formula>
    </cfRule>
  </conditionalFormatting>
  <conditionalFormatting sqref="AI359:AI380">
    <cfRule type="notContainsBlanks" dxfId="48" priority="3539">
      <formula>LEN(TRIM(AI359))&gt;0</formula>
    </cfRule>
  </conditionalFormatting>
  <conditionalFormatting sqref="AI770:AI771">
    <cfRule type="notContainsBlanks" dxfId="47" priority="93041">
      <formula>LEN(TRIM(AI770))&gt;0</formula>
    </cfRule>
  </conditionalFormatting>
  <conditionalFormatting sqref="AI795">
    <cfRule type="notContainsBlanks" dxfId="46" priority="92844">
      <formula>LEN(TRIM(AI795))&gt;0</formula>
    </cfRule>
  </conditionalFormatting>
  <conditionalFormatting sqref="AI804">
    <cfRule type="notContainsBlanks" dxfId="45" priority="92723">
      <formula>LEN(TRIM(AI804))&gt;0</formula>
    </cfRule>
  </conditionalFormatting>
  <conditionalFormatting sqref="AI805">
    <cfRule type="notContainsBlanks" dxfId="44" priority="59014">
      <formula>LEN(TRIM(AI805))&gt;0</formula>
    </cfRule>
  </conditionalFormatting>
  <conditionalFormatting sqref="AI828">
    <cfRule type="notContainsBlanks" dxfId="43" priority="92409">
      <formula>LEN(TRIM(AI828))&gt;0</formula>
    </cfRule>
  </conditionalFormatting>
  <conditionalFormatting sqref="AI838">
    <cfRule type="notContainsBlanks" dxfId="42" priority="92311">
      <formula>LEN(TRIM(AI838))&gt;0</formula>
    </cfRule>
  </conditionalFormatting>
  <conditionalFormatting sqref="AI874">
    <cfRule type="notContainsBlanks" dxfId="41" priority="91911">
      <formula>LEN(TRIM(AI874))&gt;0</formula>
    </cfRule>
  </conditionalFormatting>
  <conditionalFormatting sqref="AI886">
    <cfRule type="notContainsBlanks" dxfId="40" priority="91814">
      <formula>LEN(TRIM(AI886))&gt;0</formula>
    </cfRule>
  </conditionalFormatting>
  <conditionalFormatting sqref="AI897">
    <cfRule type="notContainsBlanks" dxfId="39" priority="91691">
      <formula>LEN(TRIM(AI897))&gt;0</formula>
    </cfRule>
  </conditionalFormatting>
  <conditionalFormatting sqref="AI908">
    <cfRule type="notContainsBlanks" dxfId="38" priority="91593">
      <formula>LEN(TRIM(AI908))&gt;0</formula>
    </cfRule>
  </conditionalFormatting>
  <conditionalFormatting sqref="AI1021:AI1026">
    <cfRule type="notContainsBlanks" dxfId="37" priority="90871">
      <formula>LEN(TRIM(AI1021))&gt;0</formula>
    </cfRule>
  </conditionalFormatting>
  <conditionalFormatting sqref="AJ44:AZ44 AD44:AH44">
    <cfRule type="notContainsBlanks" dxfId="36" priority="15140">
      <formula>LEN(TRIM(AD44))&gt;0</formula>
    </cfRule>
  </conditionalFormatting>
  <conditionalFormatting sqref="AJ141:AZ141 AD141:AH141">
    <cfRule type="notContainsBlanks" dxfId="35" priority="21042">
      <formula>LEN(TRIM(AD141))&gt;0</formula>
    </cfRule>
  </conditionalFormatting>
  <conditionalFormatting sqref="AJ265:AZ265 AD265:AH265">
    <cfRule type="notContainsBlanks" dxfId="34" priority="4320">
      <formula>LEN(TRIM(AD265))&gt;0</formula>
    </cfRule>
  </conditionalFormatting>
  <conditionalFormatting sqref="AJ266:AZ266 AD266:AH266">
    <cfRule type="notContainsBlanks" dxfId="33" priority="4355">
      <formula>LEN(TRIM(AD266))&gt;0</formula>
    </cfRule>
  </conditionalFormatting>
  <conditionalFormatting sqref="AJ292:AZ292 AD292:AH292">
    <cfRule type="notContainsBlanks" dxfId="32" priority="11909">
      <formula>LEN(TRIM(AD292))&gt;0</formula>
    </cfRule>
  </conditionalFormatting>
  <conditionalFormatting sqref="AJ299:AZ299 AD299:AH299">
    <cfRule type="notContainsBlanks" dxfId="31" priority="4032">
      <formula>LEN(TRIM(AD299))&gt;0</formula>
    </cfRule>
  </conditionalFormatting>
  <conditionalFormatting sqref="AJ301:AZ302 AD301:AH302">
    <cfRule type="notContainsBlanks" dxfId="30" priority="12031">
      <formula>LEN(TRIM(AD301))&gt;0</formula>
    </cfRule>
  </conditionalFormatting>
  <conditionalFormatting sqref="AJ320:AZ320 AD320:AH320">
    <cfRule type="notContainsBlanks" dxfId="29" priority="3887">
      <formula>LEN(TRIM(AD320))&gt;0</formula>
    </cfRule>
  </conditionalFormatting>
  <conditionalFormatting sqref="AJ770:AZ771 AD770:AH771">
    <cfRule type="notContainsBlanks" dxfId="28" priority="93048">
      <formula>LEN(TRIM(AD770))&gt;0</formula>
    </cfRule>
  </conditionalFormatting>
  <conditionalFormatting sqref="AJ795:AZ795 AD795:AH795">
    <cfRule type="notContainsBlanks" dxfId="27" priority="92851">
      <formula>LEN(TRIM(AD795))&gt;0</formula>
    </cfRule>
  </conditionalFormatting>
  <conditionalFormatting sqref="AJ804:AZ804 AD804:AH804">
    <cfRule type="notContainsBlanks" dxfId="26" priority="92730">
      <formula>LEN(TRIM(AD804))&gt;0</formula>
    </cfRule>
  </conditionalFormatting>
  <conditionalFormatting sqref="AJ828:AZ828 AD828:AH828">
    <cfRule type="notContainsBlanks" dxfId="25" priority="92416">
      <formula>LEN(TRIM(AD828))&gt;0</formula>
    </cfRule>
  </conditionalFormatting>
  <conditionalFormatting sqref="AJ838:AZ838 AD838:AH838">
    <cfRule type="notContainsBlanks" dxfId="24" priority="92318">
      <formula>LEN(TRIM(AD838))&gt;0</formula>
    </cfRule>
  </conditionalFormatting>
  <conditionalFormatting sqref="AJ874:AZ874 AD874:AH874">
    <cfRule type="notContainsBlanks" dxfId="23" priority="91918">
      <formula>LEN(TRIM(AD874))&gt;0</formula>
    </cfRule>
  </conditionalFormatting>
  <conditionalFormatting sqref="AJ886:AZ886 AD886:AH886">
    <cfRule type="notContainsBlanks" dxfId="22" priority="91821">
      <formula>LEN(TRIM(AD886))&gt;0</formula>
    </cfRule>
  </conditionalFormatting>
  <conditionalFormatting sqref="AJ897:AZ897 AD897:AH897">
    <cfRule type="notContainsBlanks" dxfId="21" priority="91698">
      <formula>LEN(TRIM(AD897))&gt;0</formula>
    </cfRule>
  </conditionalFormatting>
  <conditionalFormatting sqref="AJ908:AZ908 AD908:AH908">
    <cfRule type="notContainsBlanks" dxfId="20" priority="91600">
      <formula>LEN(TRIM(AD908))&gt;0</formula>
    </cfRule>
  </conditionalFormatting>
  <conditionalFormatting sqref="AJ1021:AZ1026 AD1021:AH1026">
    <cfRule type="notContainsBlanks" dxfId="19" priority="90878">
      <formula>LEN(TRIM(AD1021))&gt;0</formula>
    </cfRule>
  </conditionalFormatting>
  <conditionalFormatting sqref="AN227">
    <cfRule type="notContainsBlanks" dxfId="18" priority="4856">
      <formula>LEN(TRIM(AN227))&gt;0</formula>
    </cfRule>
  </conditionalFormatting>
  <conditionalFormatting sqref="AN380">
    <cfRule type="notContainsBlanks" dxfId="17" priority="3464">
      <formula>LEN(TRIM(AN380))&gt;0</formula>
    </cfRule>
  </conditionalFormatting>
  <conditionalFormatting sqref="AO264">
    <cfRule type="notContainsBlanks" dxfId="16" priority="4267">
      <formula>LEN(TRIM(AO264))&gt;0</formula>
    </cfRule>
  </conditionalFormatting>
  <conditionalFormatting sqref="AO277:AO278">
    <cfRule type="notContainsBlanks" dxfId="15" priority="4146">
      <formula>LEN(TRIM(AO277))&gt;0</formula>
    </cfRule>
  </conditionalFormatting>
  <conditionalFormatting sqref="AP781">
    <cfRule type="notContainsBlanks" dxfId="14" priority="59208">
      <formula>LEN(TRIM(AP781))&gt;0</formula>
    </cfRule>
  </conditionalFormatting>
  <conditionalFormatting sqref="AP822">
    <cfRule type="notContainsBlanks" dxfId="13" priority="92457">
      <formula>LEN(TRIM(AP822))&gt;0</formula>
    </cfRule>
  </conditionalFormatting>
  <conditionalFormatting sqref="AP832">
    <cfRule type="notContainsBlanks" dxfId="12" priority="92359">
      <formula>LEN(TRIM(AP832))&gt;0</formula>
    </cfRule>
  </conditionalFormatting>
  <conditionalFormatting sqref="AP890">
    <cfRule type="notContainsBlanks" dxfId="11" priority="91764">
      <formula>LEN(TRIM(AP890))&gt;0</formula>
    </cfRule>
  </conditionalFormatting>
  <conditionalFormatting sqref="AP901">
    <cfRule type="notContainsBlanks" dxfId="10" priority="91641">
      <formula>LEN(TRIM(AP901))&gt;0</formula>
    </cfRule>
  </conditionalFormatting>
  <conditionalFormatting sqref="AR51">
    <cfRule type="notContainsBlanks" dxfId="9" priority="1351">
      <formula>LEN(TRIM(AR51))&gt;0</formula>
    </cfRule>
  </conditionalFormatting>
  <conditionalFormatting sqref="AR55">
    <cfRule type="notContainsBlanks" dxfId="8" priority="1278">
      <formula>LEN(TRIM(AR55))&gt;0</formula>
    </cfRule>
  </conditionalFormatting>
  <conditionalFormatting sqref="AR59">
    <cfRule type="notContainsBlanks" dxfId="7" priority="1181">
      <formula>LEN(TRIM(AR59))&gt;0</formula>
    </cfRule>
  </conditionalFormatting>
  <conditionalFormatting sqref="AR63">
    <cfRule type="notContainsBlanks" dxfId="6" priority="1108">
      <formula>LEN(TRIM(AR63))&gt;0</formula>
    </cfRule>
  </conditionalFormatting>
  <conditionalFormatting sqref="AR73:AR74">
    <cfRule type="notContainsBlanks" dxfId="5" priority="977">
      <formula>LEN(TRIM(AR73))&gt;0</formula>
    </cfRule>
  </conditionalFormatting>
  <conditionalFormatting sqref="AR89">
    <cfRule type="notContainsBlanks" dxfId="4" priority="829">
      <formula>LEN(TRIM(AR89))&gt;0</formula>
    </cfRule>
  </conditionalFormatting>
  <conditionalFormatting sqref="AR95">
    <cfRule type="notContainsBlanks" dxfId="3" priority="719">
      <formula>LEN(TRIM(AR95))&gt;0</formula>
    </cfRule>
  </conditionalFormatting>
  <conditionalFormatting sqref="AS854:AU855">
    <cfRule type="notContainsBlanks" dxfId="2" priority="92046">
      <formula>LEN(TRIM(AS854))&gt;0</formula>
    </cfRule>
  </conditionalFormatting>
  <conditionalFormatting sqref="AS856:AU857">
    <cfRule type="notContainsBlanks" dxfId="1" priority="92017">
      <formula>LEN(TRIM(AS856))&gt;0</formula>
    </cfRule>
  </conditionalFormatting>
  <conditionalFormatting sqref="AS862:AU862">
    <cfRule type="notContainsBlanks" dxfId="0" priority="91963">
      <formula>LEN(TRIM(AS862))&gt;0</formula>
    </cfRule>
  </conditionalFormatting>
  <dataValidations count="11">
    <dataValidation type="list" allowBlank="1" showInputMessage="1" showErrorMessage="1" sqref="C934:C952 C1133 C1046:C1048 C888:C932 C954:C974 C977:C988 C991:C1026 C1029:C1033 C1036:C1040 C1042:C1044 C575:C886 C440:C494 C496:C573 C12:C438" xr:uid="{00000000-0002-0000-0300-000000000000}">
      <formula1>menu</formula1>
    </dataValidation>
    <dataValidation type="list" allowBlank="1" showInputMessage="1" showErrorMessage="1" sqref="AN977:AN984 AN954:AN962 AN1017:AN1026 AN874:AN884 AN886 AN1133 AN897 AN1012:AN1015 AN888:AN895 AN899:AN906 AN908:AN923 AN1003:AN1010 AN942:AN950 AN934:AN940 AN925:AN932 AN952 AN991:AN1001 AN1029:AN1033 AN1036:AN1040 AN1042:AN1044 AN1046:AN1048 AN964:AN974 AN986:AN988 AN800:AN872 AN507:AN516 AN564:AN573 AN586:AN589 AN609:AN711 AN713:AN729 AN731:AN747 AN749:AN798 AN561:AN562 AN591:AN607 AN518:AN527 AN462:AN471 AN483 AN529:AN538 AN381:AN388 AN401:AN411 AN426:AN438 AN496:AN505 AN540:AN548 AN440:AN449 AN486:AN494 AN372:AN374 AN355:AN363 AN451:AN460 AN551:AN559 AN12:AN124 AN126:AN128 AN575:AN584 AN136:AN149 AN213:AN216 AN223:AN226 AN219:AN221 AN228:AN288 AN290:AN309 AN311:AN330 AN332:AN340 AN342:AN353 AN366:AN369 AN376:AN379 AN390:AN398 AN413:AN424 AN473:AN481 AN131:AN134 AN199:AN210 AN151:AN153 AN155:AN158 AN160:AN162 AN188:AN190 AN183:AN186 AN192:AN193 AN195:AN197 AN169:AN181 AN164:AN167" xr:uid="{00000000-0002-0000-0300-000001000000}">
      <formula1>RELLC</formula1>
    </dataValidation>
    <dataValidation type="list" allowBlank="1" showInputMessage="1" showErrorMessage="1" sqref="V1047 X93 X963 V1013:V1016 V1004:V1006 V746:V747 X1004:X1006 X746:X747 V1011 X1000 V801:V803 V815:V818 X797:X799 X815:X818 X859:X860 V859:V860 V797:V799 X1133 V866:V872 X837 V829:V830 V854:V857 X854:X857 V875:V876 V862 X866:X872 X875:X876 X862 V878:V884 V909 X839:X840 X827 X899 V827 V899 V837 X878:X884 V926:V932 V923 X829:X830 X1018:X1020 V839:V840 X923 X1002 V1000 X909:X911 X1011 X926:X932 V951 X951 V963 X1009 V1009 X1043 V1043 X1047 X764:X765 X801:X803 V764:V765 X783:X784 X768:X769 V728:V729 X728:X729 X947:X949 V945 X945 V947:V949 V943 X943 X959:X961 V959:V961 X973:X974 V973:V974 X987 V987 V1002 X1013:X1016 V992:V996 X992:X996 V1018:V1020 V245:V252 X245:X252 X508 V482 V444:V448 X379:X380 V289 X497 V497 X472 V476:V480 V587:V589 X587:X589 V606:V607 X606:X607 V616:V621 X616:X621 V624:V625 X624:X625 V629:V634 X629:X634 V637:V638 X637:X638 V642:V653 X642:X653 V710:V711 X710:X711 V807:V812 X807:X812 V519 X482 V258:V261 V263:V264 X263:X264 X258:X261 V346:V354 X476:X480 V277:V278 X519 V487:V494 V508 X356:X357 V268:V274 V322:V323 X277:X278 X444:X448 X289 V343:V344 V283:V287 V579:V583 V254 X585 X254 X579:X583 X283:X287 X322:X323 X268:X274 V356:V357 X343:X344 X119 V93 X122 X139 V119 X461 V466:V470 X466:X470 V472 V566:V573 V585 V87 X87 V122 V115:V116 X115:X116 X137 V137 X197:X200 V139 V197:V200 X202 V202 V221:V222 X221:X222 V215:V216 X215:X216 V226:V227 X226:X227 V231:V238 X231:X238 V240 X240 V374:V375 X374:X375 V368:V369 X368:X369 V379:V380 X392 V412 X412 V417:V425 V431:V438 V450 X450 V455:V459 X455:X459 V461 X189:X190 X193:X194 V193:V194 V189:V190 X170:X181 V170:V181" xr:uid="{00000000-0002-0000-0300-000002000000}">
      <formula1>te</formula1>
    </dataValidation>
    <dataValidation type="list" allowBlank="1" showInputMessage="1" showErrorMessage="1" sqref="X1029 X831 V1029 X934 V957 X957 X1008 X954:X955 V934 X964 X800 V800 X841 V841 X877 X848 V964 V877 V848 X972 V972 V952 X977 V1012 V977 V986 X986 X772 X991 V1008 V991 V1003 X787 V787 X821 V821 X865 V865 X1012 X1036 V831 X1003 X999 V1017 X900 V900 X1017 X763 V763 V796 X796 V1036 V999 V1021 X889 V889 V782 X1042 V1042 X912 X782 V772 V912 X918 V918 X925 V925 X942 V942 X1046 V1046 X946 X1021 V946 X952 V954:V955 X755 V755 V767 X767 V314 X806 V345 V324 X324 V335 X335 V34 V383 V727 X345 X314 V806 V532 V78 V554 X34 X49 V543 X749 V749 X543 V814 X814 V745 X745 X737 V737 X78 X66 X731 V731 X554 X532 V83 X727 X83 V49 V430 V454 V88 X61 V499 V510 V393 V486 X486 V521 X521 V267 X267 V565 X565 V578 X578 X597 V597 V605 X605 X609 V609 X615 V615 V623 X623 X628 V628 V636 X636 X641 V641 X656 V656 X664 V664 X674 V674 X684 V684 V693 X693 X701 V701 V709 X709 X713 V713 X719 V719 X454 X430 X53 V53 V443 X443 X510 X499 X57 V57 V404 X404 V303 X303 V230 X230 X383 V465 X465 X393 V282 X282 V293 X293 V61 X88 V416 X416 V475 X475 V257 X257 V94 X94 V244 X244 V205 X205 V66 X72 V72 V358 X358 V14 X14 V21 X21 V28 X28 V155 V151 V169 V144 V164 V188 V195:V196 X188 V192 X160 X151 X155 X195:X196 X192 X164 X144 V160 X183 V183 X169" xr:uid="{00000000-0002-0000-0300-000003000000}">
      <formula1>tf</formula1>
    </dataValidation>
    <dataValidation type="list" allowBlank="1" showInputMessage="1" showErrorMessage="1" sqref="AO986:AO988 AO954:AO962 AO1170 AO874:AO884 AO886 AO1133 AO977:AO984 AO897 AO1012:AO1015 AO888:AO895 AO899:AO906 AO1046:AO1048 AO908:AO923 AO942:AO950 AO934:AO940 AO925:AO932 AO952 AO1003:AO1010 AO1017:AO1026 AO991:AO1001 AO1029:AO1033 AO1036:AO1040 AO1042:AO1044 AO964:AO974 AO800:AO872 AO507:AO516 AO564:AO573 AO586:AO589 AO610:AO711 AO714:AO729 AO732:AO747 AO750:AO798 AO561:AO562 AO591:AO607 AO518:AO527 AO529:AO538 AO381:AO388 AO426:AO438 AO496:AO505 AO540:AO548 AO440:AO449 AO372:AO374 AO355:AO363 AO451:AO460 AO551:AO559 AO12:AO124 AO126:AO128 AO575:AO584 AO136:AO149 AO213:AO216 AO223:AO226 AO219:AO221 AO228:AO288 AO290:AO309 AO311:AO330 AO332:AO340 AO342:AO353 AO366:AO369 AO376:AO379 AO390:AO398 AO401:AO411 AO413:AO424 AO462:AO471 AO473:AO481 AO483:AO494 AO131:AO134 AO199:AO210 AO151:AO153 AO155:AO158 AO160:AO162 AO188:AO190 AO183:AO186 AO192:AO193 AO195:AO197 AO169:AO181 AO164:AO167" xr:uid="{00000000-0002-0000-0300-000004000000}">
      <formula1>Eng</formula1>
    </dataValidation>
    <dataValidation type="list" allowBlank="1" showInputMessage="1" showErrorMessage="1" sqref="AP888:AR932 AP1133:AR1133 AP934:AR952 AP1046:AR1048 AP954:AR974 AP977:AR988 AP991:AR1026 AP1029:AR1033 AP1036:AR1040 AP1042:AR1044 AP575:AR886 AP1170:AR1170 AP440:AR494 AP496:AR573 AP12:AR438" xr:uid="{00000000-0002-0000-0300-000005000000}">
      <formula1>anodize</formula1>
    </dataValidation>
    <dataValidation type="list" allowBlank="1" showInputMessage="1" showErrorMessage="1" sqref="H934:H952 H1046:H1048 H888:H932 H954:H974 H977:H988 H991:H1026 H1029:H1033 H1036:H1040 H1042:H1044 H575:H886 H440:H494 H496:H573 H12:H438" xr:uid="{00000000-0002-0000-0300-000006000000}">
      <formula1>INDIRECT($C12)</formula1>
    </dataValidation>
    <dataValidation type="list" allowBlank="1" showInputMessage="1" showErrorMessage="1" sqref="AO749 AO731 AO713 AO609" xr:uid="{00000000-0002-0000-0300-000007000000}">
      <formula1>engsel_pantry</formula1>
    </dataValidation>
    <dataValidation type="list" allowBlank="1" showInputMessage="1" showErrorMessage="1" sqref="AS888:AS932 AS1133 AS934:AS952 AS1046:AS1048 AS954:AS974 AS977:AS988 AS991:AS1026 AS1029:AS1033 AS1036:AS1040 AS1042:AS1044 AS1170 AS575:AS886 AS440:AS494 AS496:AS573 AS12:AS438" xr:uid="{00000000-0002-0000-0300-000008000000}">
      <formula1>Haned</formula1>
    </dataValidation>
    <dataValidation type="list" allowBlank="1" showInputMessage="1" showErrorMessage="1" sqref="I886 I784 I769 I838 I862 I798 I874 I828 I897 I860 I854:I857 I959:I961 I908 I1019 I761 I793:I795 I778:I780 I648:I653 I262 I140 I33 I60 I111 I52 I142 I64 I26:I27 I76:I77 I39 I241:I243 I292 I41 I117:I118 I120:I121 I123:I124 I136" xr:uid="{00000000-0002-0000-0300-000009000000}">
      <formula1>pk</formula1>
    </dataValidation>
    <dataValidation type="list" allowBlank="1" showInputMessage="1" showErrorMessage="1" sqref="AK39" xr:uid="{00000000-0002-0000-0300-00000B000000}">
      <formula1>m_grill</formula1>
    </dataValidation>
  </dataValidations>
  <pageMargins left="0.75" right="0.75" top="1" bottom="1" header="0.51111111111111107" footer="0.51111111111111107"/>
  <pageSetup paperSize="9" orientation="portrait" horizontalDpi="4294967293" verticalDpi="4294967293" r:id="rId1"/>
  <headerFooter scaleWithDoc="0" alignWithMargins="0"/>
  <legacyDrawing r:id="rId2"/>
  <extLst>
    <ext xmlns:x14="http://schemas.microsoft.com/office/spreadsheetml/2009/9/main" uri="{78C0D931-6437-407d-A8EE-F0AAD7539E65}">
      <x14:conditionalFormattings>
        <x14:conditionalFormatting xmlns:xm="http://schemas.microsoft.com/office/excel/2006/main">
          <x14:cfRule type="containsText" priority="130016" operator="containsText" id="{F938B860-7FEC-4FE0-B62B-2C81B6CF172C}">
            <xm:f>NOT(ISERROR(SEARCH(bahan5,R1)))</xm:f>
            <xm:f>bahan5</xm:f>
            <x14:dxf>
              <fill>
                <patternFill>
                  <bgColor rgb="FF00B0F0"/>
                </patternFill>
              </fill>
            </x14:dxf>
          </x14:cfRule>
          <x14:cfRule type="containsText" priority="130015" operator="containsText" id="{2BD52E9B-709A-41D5-9FDF-D5F83A863EA5}">
            <xm:f>NOT(ISERROR(SEARCH(bahan1,R1)))</xm:f>
            <xm:f>bahan1</xm:f>
            <x14:dxf>
              <fill>
                <patternFill>
                  <bgColor theme="7" tint="0.39994506668294322"/>
                </patternFill>
              </fill>
            </x14:dxf>
          </x14:cfRule>
          <xm:sqref>R1:R11 R819:R820 R875:R876 R846:R847 R853 R858:R859 R861 R863:R864 R887:R888 R898:R899 R909:R911 R917 R923:R924 R932:R933 R950:R951 R953 R956 R958 R962:R963 R975:R976 R989:R990 R1027:R1028 R1034:R1035 R1041 R1045 R1049:R1048576 R83:R85</xm:sqref>
        </x14:conditionalFormatting>
        <x14:conditionalFormatting xmlns:xm="http://schemas.microsoft.com/office/excel/2006/main">
          <x14:cfRule type="containsText" priority="1" operator="containsText" id="{3D017B86-ABC7-F24B-B911-859C1F163AB7}">
            <xm:f>NOT(ISERROR(SEARCH(kaca4,R1)))</xm:f>
            <xm:f>kaca4</xm:f>
            <x14:dxf>
              <fill>
                <patternFill>
                  <bgColor rgb="FF92D050"/>
                </patternFill>
              </fill>
            </x14:dxf>
          </x14:cfRule>
          <xm:sqref>R1:R198</xm:sqref>
        </x14:conditionalFormatting>
        <x14:conditionalFormatting xmlns:xm="http://schemas.microsoft.com/office/excel/2006/main">
          <x14:cfRule type="containsText" priority="129967" operator="containsText" id="{7FE49937-D72A-4BF0-92D2-470F8FB02A32}">
            <xm:f>NOT(ISERROR(SEARCH(bahan1,R12)))</xm:f>
            <xm:f>bahan1</xm:f>
            <x14:dxf>
              <fill>
                <patternFill>
                  <bgColor theme="7" tint="0.39994506668294322"/>
                </patternFill>
              </fill>
            </x14:dxf>
          </x14:cfRule>
          <x14:cfRule type="containsText" priority="129968" operator="containsText" id="{D2D504E7-C9D5-4BF0-A36B-61DA457C2988}">
            <xm:f>NOT(ISERROR(SEARCH(bahan5,R12)))</xm:f>
            <xm:f>bahan5</xm:f>
            <x14:dxf>
              <fill>
                <patternFill>
                  <bgColor rgb="FF00B0F0"/>
                </patternFill>
              </fill>
            </x14:dxf>
          </x14:cfRule>
          <xm:sqref>R12</xm:sqref>
        </x14:conditionalFormatting>
        <x14:conditionalFormatting xmlns:xm="http://schemas.microsoft.com/office/excel/2006/main">
          <x14:cfRule type="containsText" priority="1854" operator="containsText" id="{BCB71419-3C8D-4F71-9FC7-E01D0302F387}">
            <xm:f>NOT(ISERROR(SEARCH(bahan5,R13)))</xm:f>
            <xm:f>bahan5</xm:f>
            <x14:dxf>
              <fill>
                <patternFill>
                  <bgColor rgb="FF00B0F0"/>
                </patternFill>
              </fill>
            </x14:dxf>
          </x14:cfRule>
          <x14:cfRule type="containsText" priority="1853" operator="containsText" id="{13225B35-B4DB-4499-899A-DE7BAE26280B}">
            <xm:f>NOT(ISERROR(SEARCH(bahan1,R13)))</xm:f>
            <xm:f>bahan1</xm:f>
            <x14:dxf>
              <fill>
                <patternFill>
                  <bgColor theme="7" tint="0.39994506668294322"/>
                </patternFill>
              </fill>
            </x14:dxf>
          </x14:cfRule>
          <xm:sqref>R13</xm:sqref>
        </x14:conditionalFormatting>
        <x14:conditionalFormatting xmlns:xm="http://schemas.microsoft.com/office/excel/2006/main">
          <x14:cfRule type="containsText" priority="1829" operator="containsText" id="{63726E2A-2B9C-46D7-9A74-E1EAD3D739E1}">
            <xm:f>NOT(ISERROR(SEARCH(bahan1,R14)))</xm:f>
            <xm:f>bahan1</xm:f>
            <x14:dxf>
              <fill>
                <patternFill>
                  <bgColor theme="7" tint="0.39994506668294322"/>
                </patternFill>
              </fill>
            </x14:dxf>
          </x14:cfRule>
          <x14:cfRule type="containsText" priority="1830" operator="containsText" id="{3A04AA09-F5AF-4F61-B9D6-F26290F6E656}">
            <xm:f>NOT(ISERROR(SEARCH(bahan5,R14)))</xm:f>
            <xm:f>bahan5</xm:f>
            <x14:dxf>
              <fill>
                <patternFill>
                  <bgColor rgb="FF00B0F0"/>
                </patternFill>
              </fill>
            </x14:dxf>
          </x14:cfRule>
          <xm:sqref>R14:R16 R18</xm:sqref>
        </x14:conditionalFormatting>
        <x14:conditionalFormatting xmlns:xm="http://schemas.microsoft.com/office/excel/2006/main">
          <x14:cfRule type="containsText" priority="1805" operator="containsText" id="{B205B863-DE7E-4F00-B0B6-F48661670589}">
            <xm:f>NOT(ISERROR(SEARCH(bahan1,R17)))</xm:f>
            <xm:f>bahan1</xm:f>
            <x14:dxf>
              <fill>
                <patternFill>
                  <bgColor theme="7" tint="0.39994506668294322"/>
                </patternFill>
              </fill>
            </x14:dxf>
          </x14:cfRule>
          <x14:cfRule type="containsText" priority="1806" operator="containsText" id="{F567BF13-E9ED-4CCC-842F-DCB165D3D37E}">
            <xm:f>NOT(ISERROR(SEARCH(bahan5,R17)))</xm:f>
            <xm:f>bahan5</xm:f>
            <x14:dxf>
              <fill>
                <patternFill>
                  <bgColor rgb="FF00B0F0"/>
                </patternFill>
              </fill>
            </x14:dxf>
          </x14:cfRule>
          <xm:sqref>R17</xm:sqref>
        </x14:conditionalFormatting>
        <x14:conditionalFormatting xmlns:xm="http://schemas.microsoft.com/office/excel/2006/main">
          <x14:cfRule type="containsText" priority="7757" operator="containsText" id="{DFF25C52-C3E1-4082-A683-2B40DC26C1CE}">
            <xm:f>NOT(ISERROR(SEARCH(bahan5,R19)))</xm:f>
            <xm:f>bahan5</xm:f>
            <x14:dxf>
              <fill>
                <patternFill>
                  <bgColor rgb="FF00B0F0"/>
                </patternFill>
              </fill>
            </x14:dxf>
          </x14:cfRule>
          <x14:cfRule type="containsText" priority="7756" operator="containsText" id="{908F814F-5EB4-4116-BC40-2DA4480144EF}">
            <xm:f>NOT(ISERROR(SEARCH(bahan1,R19)))</xm:f>
            <xm:f>bahan1</xm:f>
            <x14:dxf>
              <fill>
                <patternFill>
                  <bgColor theme="7" tint="0.39994506668294322"/>
                </patternFill>
              </fill>
            </x14:dxf>
          </x14:cfRule>
          <xm:sqref>R19</xm:sqref>
        </x14:conditionalFormatting>
        <x14:conditionalFormatting xmlns:xm="http://schemas.microsoft.com/office/excel/2006/main">
          <x14:cfRule type="containsText" priority="7733" operator="containsText" id="{6EF27EE1-37D7-48DC-B71C-FE8D0EDE1BE3}">
            <xm:f>NOT(ISERROR(SEARCH(bahan5,R20)))</xm:f>
            <xm:f>bahan5</xm:f>
            <x14:dxf>
              <fill>
                <patternFill>
                  <bgColor rgb="FF00B0F0"/>
                </patternFill>
              </fill>
            </x14:dxf>
          </x14:cfRule>
          <x14:cfRule type="containsText" priority="7732" operator="containsText" id="{A22177A4-044D-4531-ADA2-453FD9ABB6AC}">
            <xm:f>NOT(ISERROR(SEARCH(bahan1,R20)))</xm:f>
            <xm:f>bahan1</xm:f>
            <x14:dxf>
              <fill>
                <patternFill>
                  <bgColor theme="7" tint="0.39994506668294322"/>
                </patternFill>
              </fill>
            </x14:dxf>
          </x14:cfRule>
          <xm:sqref>R20</xm:sqref>
        </x14:conditionalFormatting>
        <x14:conditionalFormatting xmlns:xm="http://schemas.microsoft.com/office/excel/2006/main">
          <x14:cfRule type="containsText" priority="1781" operator="containsText" id="{C88C88B3-6667-4F86-8A64-2F62424C555F}">
            <xm:f>NOT(ISERROR(SEARCH(bahan1,R21)))</xm:f>
            <xm:f>bahan1</xm:f>
            <x14:dxf>
              <fill>
                <patternFill>
                  <bgColor theme="7" tint="0.39994506668294322"/>
                </patternFill>
              </fill>
            </x14:dxf>
          </x14:cfRule>
          <x14:cfRule type="containsText" priority="1782" operator="containsText" id="{D66D94A3-C1E9-43C1-BF0D-969B2E7176DF}">
            <xm:f>NOT(ISERROR(SEARCH(bahan5,R21)))</xm:f>
            <xm:f>bahan5</xm:f>
            <x14:dxf>
              <fill>
                <patternFill>
                  <bgColor rgb="FF00B0F0"/>
                </patternFill>
              </fill>
            </x14:dxf>
          </x14:cfRule>
          <xm:sqref>R21:R23 R25</xm:sqref>
        </x14:conditionalFormatting>
        <x14:conditionalFormatting xmlns:xm="http://schemas.microsoft.com/office/excel/2006/main">
          <x14:cfRule type="containsText" priority="1757" operator="containsText" id="{5315DC4D-2933-41DB-9C10-C356EE8638C5}">
            <xm:f>NOT(ISERROR(SEARCH(bahan1,R24)))</xm:f>
            <xm:f>bahan1</xm:f>
            <x14:dxf>
              <fill>
                <patternFill>
                  <bgColor theme="7" tint="0.39994506668294322"/>
                </patternFill>
              </fill>
            </x14:dxf>
          </x14:cfRule>
          <x14:cfRule type="containsText" priority="1758" operator="containsText" id="{84FAFE14-A96E-4AEF-9D39-9AF5CE9DF9FA}">
            <xm:f>NOT(ISERROR(SEARCH(bahan5,R24)))</xm:f>
            <xm:f>bahan5</xm:f>
            <x14:dxf>
              <fill>
                <patternFill>
                  <bgColor rgb="FF00B0F0"/>
                </patternFill>
              </fill>
            </x14:dxf>
          </x14:cfRule>
          <xm:sqref>R24</xm:sqref>
        </x14:conditionalFormatting>
        <x14:conditionalFormatting xmlns:xm="http://schemas.microsoft.com/office/excel/2006/main">
          <x14:cfRule type="containsText" priority="7541" operator="containsText" id="{92F41193-51BE-4305-A4B8-C73B1A380891}">
            <xm:f>NOT(ISERROR(SEARCH(bahan5,R26)))</xm:f>
            <xm:f>bahan5</xm:f>
            <x14:dxf>
              <fill>
                <patternFill>
                  <bgColor rgb="FF00B0F0"/>
                </patternFill>
              </fill>
            </x14:dxf>
          </x14:cfRule>
          <x14:cfRule type="containsText" priority="7540" operator="containsText" id="{2790A918-B651-4CEB-8C77-A79D88FCDA0B}">
            <xm:f>NOT(ISERROR(SEARCH(bahan1,R26)))</xm:f>
            <xm:f>bahan1</xm:f>
            <x14:dxf>
              <fill>
                <patternFill>
                  <bgColor theme="7" tint="0.39994506668294322"/>
                </patternFill>
              </fill>
            </x14:dxf>
          </x14:cfRule>
          <xm:sqref>R26:R27</xm:sqref>
        </x14:conditionalFormatting>
        <x14:conditionalFormatting xmlns:xm="http://schemas.microsoft.com/office/excel/2006/main">
          <x14:cfRule type="containsText" priority="1734" operator="containsText" id="{5A6279F0-2540-4783-9880-BF1ECAF15198}">
            <xm:f>NOT(ISERROR(SEARCH(bahan5,R28)))</xm:f>
            <xm:f>bahan5</xm:f>
            <x14:dxf>
              <fill>
                <patternFill>
                  <bgColor rgb="FF00B0F0"/>
                </patternFill>
              </fill>
            </x14:dxf>
          </x14:cfRule>
          <x14:cfRule type="containsText" priority="1733" operator="containsText" id="{9B243346-AF09-4D6D-A3A6-BC8B6812C66E}">
            <xm:f>NOT(ISERROR(SEARCH(bahan1,R28)))</xm:f>
            <xm:f>bahan1</xm:f>
            <x14:dxf>
              <fill>
                <patternFill>
                  <bgColor theme="7" tint="0.39994506668294322"/>
                </patternFill>
              </fill>
            </x14:dxf>
          </x14:cfRule>
          <xm:sqref>R28:R30 R32</xm:sqref>
        </x14:conditionalFormatting>
        <x14:conditionalFormatting xmlns:xm="http://schemas.microsoft.com/office/excel/2006/main">
          <x14:cfRule type="containsText" priority="1709" operator="containsText" id="{DF7DA7E9-265E-4F5A-AB1A-982D322C2AD5}">
            <xm:f>NOT(ISERROR(SEARCH(bahan1,R31)))</xm:f>
            <xm:f>bahan1</xm:f>
            <x14:dxf>
              <fill>
                <patternFill>
                  <bgColor theme="7" tint="0.39994506668294322"/>
                </patternFill>
              </fill>
            </x14:dxf>
          </x14:cfRule>
          <x14:cfRule type="containsText" priority="1710" operator="containsText" id="{2A7B4B69-7224-4194-B021-439C4BB0D844}">
            <xm:f>NOT(ISERROR(SEARCH(bahan5,R31)))</xm:f>
            <xm:f>bahan5</xm:f>
            <x14:dxf>
              <fill>
                <patternFill>
                  <bgColor rgb="FF00B0F0"/>
                </patternFill>
              </fill>
            </x14:dxf>
          </x14:cfRule>
          <xm:sqref>R31</xm:sqref>
        </x14:conditionalFormatting>
        <x14:conditionalFormatting xmlns:xm="http://schemas.microsoft.com/office/excel/2006/main">
          <x14:cfRule type="containsText" priority="7493" operator="containsText" id="{8BCD657C-1376-47D7-B333-2C7F205B5F44}">
            <xm:f>NOT(ISERROR(SEARCH(bahan5,R33)))</xm:f>
            <xm:f>bahan5</xm:f>
            <x14:dxf>
              <fill>
                <patternFill>
                  <bgColor rgb="FF00B0F0"/>
                </patternFill>
              </fill>
            </x14:dxf>
          </x14:cfRule>
          <x14:cfRule type="containsText" priority="7492" operator="containsText" id="{5D22EE69-51BF-419E-BF5E-A8C7B6F8C2D2}">
            <xm:f>NOT(ISERROR(SEARCH(bahan1,R33)))</xm:f>
            <xm:f>bahan1</xm:f>
            <x14:dxf>
              <fill>
                <patternFill>
                  <bgColor theme="7" tint="0.39994506668294322"/>
                </patternFill>
              </fill>
            </x14:dxf>
          </x14:cfRule>
          <xm:sqref>R33</xm:sqref>
        </x14:conditionalFormatting>
        <x14:conditionalFormatting xmlns:xm="http://schemas.microsoft.com/office/excel/2006/main">
          <x14:cfRule type="containsText" priority="1685" operator="containsText" id="{C44F366B-5968-45EB-8A19-EA5425BC13F6}">
            <xm:f>NOT(ISERROR(SEARCH(bahan1,R34)))</xm:f>
            <xm:f>bahan1</xm:f>
            <x14:dxf>
              <fill>
                <patternFill>
                  <bgColor theme="7" tint="0.39994506668294322"/>
                </patternFill>
              </fill>
            </x14:dxf>
          </x14:cfRule>
          <x14:cfRule type="containsText" priority="1686" operator="containsText" id="{FD8813F5-3013-4274-8250-158FD03001AF}">
            <xm:f>NOT(ISERROR(SEARCH(bahan5,R34)))</xm:f>
            <xm:f>bahan5</xm:f>
            <x14:dxf>
              <fill>
                <patternFill>
                  <bgColor rgb="FF00B0F0"/>
                </patternFill>
              </fill>
            </x14:dxf>
          </x14:cfRule>
          <xm:sqref>R34:R36 R38</xm:sqref>
        </x14:conditionalFormatting>
        <x14:conditionalFormatting xmlns:xm="http://schemas.microsoft.com/office/excel/2006/main">
          <x14:cfRule type="containsText" priority="1662" operator="containsText" id="{DD675702-32BF-4647-AEA9-B0247A8F1090}">
            <xm:f>NOT(ISERROR(SEARCH(bahan5,R37)))</xm:f>
            <xm:f>bahan5</xm:f>
            <x14:dxf>
              <fill>
                <patternFill>
                  <bgColor rgb="FF00B0F0"/>
                </patternFill>
              </fill>
            </x14:dxf>
          </x14:cfRule>
          <x14:cfRule type="containsText" priority="1661" operator="containsText" id="{2BF4622F-F807-4F7F-810E-B8F5F6264A52}">
            <xm:f>NOT(ISERROR(SEARCH(bahan1,R37)))</xm:f>
            <xm:f>bahan1</xm:f>
            <x14:dxf>
              <fill>
                <patternFill>
                  <bgColor theme="7" tint="0.39994506668294322"/>
                </patternFill>
              </fill>
            </x14:dxf>
          </x14:cfRule>
          <xm:sqref>R37</xm:sqref>
        </x14:conditionalFormatting>
        <x14:conditionalFormatting xmlns:xm="http://schemas.microsoft.com/office/excel/2006/main">
          <x14:cfRule type="containsText" priority="7229" operator="containsText" id="{E58BB58A-615D-418B-9997-D2823CFF5E3B}">
            <xm:f>NOT(ISERROR(SEARCH(bahan5,R39)))</xm:f>
            <xm:f>bahan5</xm:f>
            <x14:dxf>
              <fill>
                <patternFill>
                  <bgColor rgb="FF00B0F0"/>
                </patternFill>
              </fill>
            </x14:dxf>
          </x14:cfRule>
          <x14:cfRule type="containsText" priority="7228" operator="containsText" id="{A401646F-DA42-46FF-AAE0-B7BFB934019D}">
            <xm:f>NOT(ISERROR(SEARCH(bahan1,R39)))</xm:f>
            <xm:f>bahan1</xm:f>
            <x14:dxf>
              <fill>
                <patternFill>
                  <bgColor theme="7" tint="0.39994506668294322"/>
                </patternFill>
              </fill>
            </x14:dxf>
          </x14:cfRule>
          <xm:sqref>R39</xm:sqref>
        </x14:conditionalFormatting>
        <x14:conditionalFormatting xmlns:xm="http://schemas.microsoft.com/office/excel/2006/main">
          <x14:cfRule type="containsText" priority="7252" operator="containsText" id="{C5FFDE97-AEDE-4D86-A88C-1666984897F8}">
            <xm:f>NOT(ISERROR(SEARCH(bahan1,R40)))</xm:f>
            <xm:f>bahan1</xm:f>
            <x14:dxf>
              <fill>
                <patternFill>
                  <bgColor theme="7" tint="0.39994506668294322"/>
                </patternFill>
              </fill>
            </x14:dxf>
          </x14:cfRule>
          <x14:cfRule type="containsText" priority="7253" operator="containsText" id="{51970A9E-6E6E-41AE-BD09-BDABE74AC1E5}">
            <xm:f>NOT(ISERROR(SEARCH(bahan5,R40)))</xm:f>
            <xm:f>bahan5</xm:f>
            <x14:dxf>
              <fill>
                <patternFill>
                  <bgColor rgb="FF00B0F0"/>
                </patternFill>
              </fill>
            </x14:dxf>
          </x14:cfRule>
          <xm:sqref>R40</xm:sqref>
        </x14:conditionalFormatting>
        <x14:conditionalFormatting xmlns:xm="http://schemas.microsoft.com/office/excel/2006/main">
          <x14:cfRule type="containsText" priority="7205" operator="containsText" id="{8957E13E-1830-4079-BA86-17C242E9F95D}">
            <xm:f>NOT(ISERROR(SEARCH(bahan5,R41)))</xm:f>
            <xm:f>bahan5</xm:f>
            <x14:dxf>
              <fill>
                <patternFill>
                  <bgColor rgb="FF00B0F0"/>
                </patternFill>
              </fill>
            </x14:dxf>
          </x14:cfRule>
          <x14:cfRule type="containsText" priority="7204" operator="containsText" id="{BEA8F27A-A058-461E-86A0-51CB77FA98DC}">
            <xm:f>NOT(ISERROR(SEARCH(bahan1,R41)))</xm:f>
            <xm:f>bahan1</xm:f>
            <x14:dxf>
              <fill>
                <patternFill>
                  <bgColor theme="7" tint="0.39994506668294322"/>
                </patternFill>
              </fill>
            </x14:dxf>
          </x14:cfRule>
          <xm:sqref>R41</xm:sqref>
        </x14:conditionalFormatting>
        <x14:conditionalFormatting xmlns:xm="http://schemas.microsoft.com/office/excel/2006/main">
          <x14:cfRule type="containsText" priority="1589" operator="containsText" id="{37DCE796-F10B-4DF6-A9E5-0F306BEFBDCF}">
            <xm:f>NOT(ISERROR(SEARCH(bahan5,R42)))</xm:f>
            <xm:f>bahan5</xm:f>
            <x14:dxf>
              <fill>
                <patternFill>
                  <bgColor rgb="FF00B0F0"/>
                </patternFill>
              </fill>
            </x14:dxf>
          </x14:cfRule>
          <x14:cfRule type="containsText" priority="1588" operator="containsText" id="{8069F117-A06C-48B5-A221-E883980B8B0B}">
            <xm:f>NOT(ISERROR(SEARCH(bahan1,R42)))</xm:f>
            <xm:f>bahan1</xm:f>
            <x14:dxf>
              <fill>
                <patternFill>
                  <bgColor theme="7" tint="0.39994506668294322"/>
                </patternFill>
              </fill>
            </x14:dxf>
          </x14:cfRule>
          <xm:sqref>R42:R43</xm:sqref>
        </x14:conditionalFormatting>
        <x14:conditionalFormatting xmlns:xm="http://schemas.microsoft.com/office/excel/2006/main">
          <x14:cfRule type="containsText" priority="15134" operator="containsText" id="{B83A9AA9-B46C-4ECF-80DE-9F938BB3DFD5}">
            <xm:f>NOT(ISERROR(SEARCH(bahan1,R44)))</xm:f>
            <xm:f>bahan1</xm:f>
            <x14:dxf>
              <fill>
                <patternFill>
                  <bgColor theme="7" tint="0.39994506668294322"/>
                </patternFill>
              </fill>
            </x14:dxf>
          </x14:cfRule>
          <x14:cfRule type="containsText" priority="15135" operator="containsText" id="{7E578A3B-B804-420E-9B93-23D3A4C6239D}">
            <xm:f>NOT(ISERROR(SEARCH(bahan5,R44)))</xm:f>
            <xm:f>bahan5</xm:f>
            <x14:dxf>
              <fill>
                <patternFill>
                  <bgColor rgb="FF00B0F0"/>
                </patternFill>
              </fill>
            </x14:dxf>
          </x14:cfRule>
          <xm:sqref>R44</xm:sqref>
        </x14:conditionalFormatting>
        <x14:conditionalFormatting xmlns:xm="http://schemas.microsoft.com/office/excel/2006/main">
          <x14:cfRule type="containsText" priority="1565" operator="containsText" id="{37DDC9BD-6BF5-4B55-BD9D-4DDFAFD04DB9}">
            <xm:f>NOT(ISERROR(SEARCH(bahan5,R45)))</xm:f>
            <xm:f>bahan5</xm:f>
            <x14:dxf>
              <fill>
                <patternFill>
                  <bgColor rgb="FF00B0F0"/>
                </patternFill>
              </fill>
            </x14:dxf>
          </x14:cfRule>
          <x14:cfRule type="containsText" priority="1564" operator="containsText" id="{5B6F85A0-6F36-4172-9222-9F3C52832F60}">
            <xm:f>NOT(ISERROR(SEARCH(bahan1,R45)))</xm:f>
            <xm:f>bahan1</xm:f>
            <x14:dxf>
              <fill>
                <patternFill>
                  <bgColor theme="7" tint="0.39994506668294322"/>
                </patternFill>
              </fill>
            </x14:dxf>
          </x14:cfRule>
          <xm:sqref>R45</xm:sqref>
        </x14:conditionalFormatting>
        <x14:conditionalFormatting xmlns:xm="http://schemas.microsoft.com/office/excel/2006/main">
          <x14:cfRule type="containsText" priority="1541" operator="containsText" id="{484C11CF-D2D4-4DB4-ACBB-5158777CD28B}">
            <xm:f>NOT(ISERROR(SEARCH(bahan5,R46)))</xm:f>
            <xm:f>bahan5</xm:f>
            <x14:dxf>
              <fill>
                <patternFill>
                  <bgColor rgb="FF00B0F0"/>
                </patternFill>
              </fill>
            </x14:dxf>
          </x14:cfRule>
          <x14:cfRule type="containsText" priority="1540" operator="containsText" id="{85A8E356-8E7C-46AC-B415-D5640A1F9104}">
            <xm:f>NOT(ISERROR(SEARCH(bahan1,R46)))</xm:f>
            <xm:f>bahan1</xm:f>
            <x14:dxf>
              <fill>
                <patternFill>
                  <bgColor theme="7" tint="0.39994506668294322"/>
                </patternFill>
              </fill>
            </x14:dxf>
          </x14:cfRule>
          <xm:sqref>R46</xm:sqref>
        </x14:conditionalFormatting>
        <x14:conditionalFormatting xmlns:xm="http://schemas.microsoft.com/office/excel/2006/main">
          <x14:cfRule type="containsText" priority="7107" operator="containsText" id="{9D38E1AC-EE94-4627-ACA6-35AF46573908}">
            <xm:f>NOT(ISERROR(SEARCH(bahan1,R47)))</xm:f>
            <xm:f>bahan1</xm:f>
            <x14:dxf>
              <fill>
                <patternFill>
                  <bgColor theme="7" tint="0.39994506668294322"/>
                </patternFill>
              </fill>
            </x14:dxf>
          </x14:cfRule>
          <x14:cfRule type="containsText" priority="7108" operator="containsText" id="{33B92FD0-8D67-409A-87E5-A174A93DEAA3}">
            <xm:f>NOT(ISERROR(SEARCH(bahan5,R47)))</xm:f>
            <xm:f>bahan5</xm:f>
            <x14:dxf>
              <fill>
                <patternFill>
                  <bgColor rgb="FF00B0F0"/>
                </patternFill>
              </fill>
            </x14:dxf>
          </x14:cfRule>
          <xm:sqref>R47:R48</xm:sqref>
        </x14:conditionalFormatting>
        <x14:conditionalFormatting xmlns:xm="http://schemas.microsoft.com/office/excel/2006/main">
          <x14:cfRule type="containsText" priority="1506" operator="containsText" id="{CEC449F2-1DBF-4E64-B307-DED52312FE33}">
            <xm:f>NOT(ISERROR(SEARCH(bahan1,R49)))</xm:f>
            <xm:f>bahan1</xm:f>
            <x14:dxf>
              <fill>
                <patternFill>
                  <bgColor theme="7" tint="0.39994506668294322"/>
                </patternFill>
              </fill>
            </x14:dxf>
          </x14:cfRule>
          <x14:cfRule type="containsText" priority="1507" operator="containsText" id="{E4043FE3-9BA1-4E8D-BB95-C06A1CDC0F07}">
            <xm:f>NOT(ISERROR(SEARCH(bahan5,R49)))</xm:f>
            <xm:f>bahan5</xm:f>
            <x14:dxf>
              <fill>
                <patternFill>
                  <bgColor rgb="FF00B0F0"/>
                </patternFill>
              </fill>
            </x14:dxf>
          </x14:cfRule>
          <xm:sqref>R49</xm:sqref>
        </x14:conditionalFormatting>
        <x14:conditionalFormatting xmlns:xm="http://schemas.microsoft.com/office/excel/2006/main">
          <x14:cfRule type="containsText" priority="1378" operator="containsText" id="{01FB4929-4AFF-481B-826D-EA6DA5314F2C}">
            <xm:f>NOT(ISERROR(SEARCH(bahan5,R50)))</xm:f>
            <xm:f>bahan5</xm:f>
            <x14:dxf>
              <fill>
                <patternFill>
                  <bgColor rgb="FF00B0F0"/>
                </patternFill>
              </fill>
            </x14:dxf>
          </x14:cfRule>
          <x14:cfRule type="containsText" priority="1377" operator="containsText" id="{864DF457-16E3-4F5F-A9AF-1E572716892B}">
            <xm:f>NOT(ISERROR(SEARCH(bahan1,R50)))</xm:f>
            <xm:f>bahan1</xm:f>
            <x14:dxf>
              <fill>
                <patternFill>
                  <bgColor theme="7" tint="0.39994506668294322"/>
                </patternFill>
              </fill>
            </x14:dxf>
          </x14:cfRule>
          <xm:sqref>R50:R51</xm:sqref>
        </x14:conditionalFormatting>
        <x14:conditionalFormatting xmlns:xm="http://schemas.microsoft.com/office/excel/2006/main">
          <x14:cfRule type="containsText" priority="1426" operator="containsText" id="{1ED4D90C-E6EF-423D-B89B-B78B8ACAF0C5}">
            <xm:f>NOT(ISERROR(SEARCH(bahan5,R52)))</xm:f>
            <xm:f>bahan5</xm:f>
            <x14:dxf>
              <fill>
                <patternFill>
                  <bgColor rgb="FF00B0F0"/>
                </patternFill>
              </fill>
            </x14:dxf>
          </x14:cfRule>
          <x14:cfRule type="containsText" priority="1425" operator="containsText" id="{55489D7A-9224-4917-84D9-E6D74F2570A0}">
            <xm:f>NOT(ISERROR(SEARCH(bahan1,R52)))</xm:f>
            <xm:f>bahan1</xm:f>
            <x14:dxf>
              <fill>
                <patternFill>
                  <bgColor theme="7" tint="0.39994506668294322"/>
                </patternFill>
              </fill>
            </x14:dxf>
          </x14:cfRule>
          <xm:sqref>R52</xm:sqref>
        </x14:conditionalFormatting>
        <x14:conditionalFormatting xmlns:xm="http://schemas.microsoft.com/office/excel/2006/main">
          <x14:cfRule type="containsText" priority="1331" operator="containsText" id="{A6A66FA3-2CF3-4340-9805-1C96D8825292}">
            <xm:f>NOT(ISERROR(SEARCH(bahan1,R53)))</xm:f>
            <xm:f>bahan1</xm:f>
            <x14:dxf>
              <fill>
                <patternFill>
                  <bgColor theme="7" tint="0.39994506668294322"/>
                </patternFill>
              </fill>
            </x14:dxf>
          </x14:cfRule>
          <x14:cfRule type="containsText" priority="1332" operator="containsText" id="{EBEB6A2D-F6AB-4053-AF5D-A4DD654C8D25}">
            <xm:f>NOT(ISERROR(SEARCH(bahan5,R53)))</xm:f>
            <xm:f>bahan5</xm:f>
            <x14:dxf>
              <fill>
                <patternFill>
                  <bgColor rgb="FF00B0F0"/>
                </patternFill>
              </fill>
            </x14:dxf>
          </x14:cfRule>
          <xm:sqref>R53</xm:sqref>
        </x14:conditionalFormatting>
        <x14:conditionalFormatting xmlns:xm="http://schemas.microsoft.com/office/excel/2006/main">
          <x14:cfRule type="containsText" priority="1304" operator="containsText" id="{6214A63A-48A6-41F8-B1C1-4138E4CC4728}">
            <xm:f>NOT(ISERROR(SEARCH(bahan1,R54)))</xm:f>
            <xm:f>bahan1</xm:f>
            <x14:dxf>
              <fill>
                <patternFill>
                  <bgColor theme="7" tint="0.39994506668294322"/>
                </patternFill>
              </fill>
            </x14:dxf>
          </x14:cfRule>
          <x14:cfRule type="containsText" priority="1305" operator="containsText" id="{B84727A6-213B-44DC-8EF2-1A41F0FCBFAA}">
            <xm:f>NOT(ISERROR(SEARCH(bahan5,R54)))</xm:f>
            <xm:f>bahan5</xm:f>
            <x14:dxf>
              <fill>
                <patternFill>
                  <bgColor rgb="FF00B0F0"/>
                </patternFill>
              </fill>
            </x14:dxf>
          </x14:cfRule>
          <xm:sqref>R54:R55</xm:sqref>
        </x14:conditionalFormatting>
        <x14:conditionalFormatting xmlns:xm="http://schemas.microsoft.com/office/excel/2006/main">
          <x14:cfRule type="containsText" priority="9094" operator="containsText" id="{A7DE3816-3FCE-4AF1-B496-4BC93D6DB298}">
            <xm:f>NOT(ISERROR(SEARCH(bahan5,R56)))</xm:f>
            <xm:f>bahan5</xm:f>
            <x14:dxf>
              <fill>
                <patternFill>
                  <bgColor rgb="FF00B0F0"/>
                </patternFill>
              </fill>
            </x14:dxf>
          </x14:cfRule>
          <x14:cfRule type="containsText" priority="9093" operator="containsText" id="{730F77C7-DA5B-4628-BBA6-D3EDD1D9F256}">
            <xm:f>NOT(ISERROR(SEARCH(bahan1,R56)))</xm:f>
            <xm:f>bahan1</xm:f>
            <x14:dxf>
              <fill>
                <patternFill>
                  <bgColor theme="7" tint="0.39994506668294322"/>
                </patternFill>
              </fill>
            </x14:dxf>
          </x14:cfRule>
          <xm:sqref>R56</xm:sqref>
        </x14:conditionalFormatting>
        <x14:conditionalFormatting xmlns:xm="http://schemas.microsoft.com/office/excel/2006/main">
          <x14:cfRule type="containsText" priority="1259" operator="containsText" id="{B9711E88-B0BF-422D-ACF1-ED03030A7A01}">
            <xm:f>NOT(ISERROR(SEARCH(bahan5,R57)))</xm:f>
            <xm:f>bahan5</xm:f>
            <x14:dxf>
              <fill>
                <patternFill>
                  <bgColor rgb="FF00B0F0"/>
                </patternFill>
              </fill>
            </x14:dxf>
          </x14:cfRule>
          <x14:cfRule type="containsText" priority="1258" operator="containsText" id="{5AF26A8E-37F6-478F-8495-BB10853786A9}">
            <xm:f>NOT(ISERROR(SEARCH(bahan1,R57)))</xm:f>
            <xm:f>bahan1</xm:f>
            <x14:dxf>
              <fill>
                <patternFill>
                  <bgColor theme="7" tint="0.39994506668294322"/>
                </patternFill>
              </fill>
            </x14:dxf>
          </x14:cfRule>
          <xm:sqref>R57</xm:sqref>
        </x14:conditionalFormatting>
        <x14:conditionalFormatting xmlns:xm="http://schemas.microsoft.com/office/excel/2006/main">
          <x14:cfRule type="containsText" priority="1207" operator="containsText" id="{A14C9C5D-1DB0-4594-A431-EEBF4A1FE641}">
            <xm:f>NOT(ISERROR(SEARCH(bahan1,R58)))</xm:f>
            <xm:f>bahan1</xm:f>
            <x14:dxf>
              <fill>
                <patternFill>
                  <bgColor theme="7" tint="0.39994506668294322"/>
                </patternFill>
              </fill>
            </x14:dxf>
          </x14:cfRule>
          <x14:cfRule type="containsText" priority="1208" operator="containsText" id="{C767AF57-5C9F-4345-9FA2-F94026C6CAA3}">
            <xm:f>NOT(ISERROR(SEARCH(bahan5,R58)))</xm:f>
            <xm:f>bahan5</xm:f>
            <x14:dxf>
              <fill>
                <patternFill>
                  <bgColor rgb="FF00B0F0"/>
                </patternFill>
              </fill>
            </x14:dxf>
          </x14:cfRule>
          <xm:sqref>R58:R59</xm:sqref>
        </x14:conditionalFormatting>
        <x14:conditionalFormatting xmlns:xm="http://schemas.microsoft.com/office/excel/2006/main">
          <x14:cfRule type="containsText" priority="1231" operator="containsText" id="{5AD954C0-129F-45B3-BD94-C882DC14BAA7}">
            <xm:f>NOT(ISERROR(SEARCH(bahan1,R60)))</xm:f>
            <xm:f>bahan1</xm:f>
            <x14:dxf>
              <fill>
                <patternFill>
                  <bgColor theme="7" tint="0.39994506668294322"/>
                </patternFill>
              </fill>
            </x14:dxf>
          </x14:cfRule>
          <x14:cfRule type="containsText" priority="1232" operator="containsText" id="{DE9EDFD8-3EBE-41B0-90A1-77504788ED0F}">
            <xm:f>NOT(ISERROR(SEARCH(bahan5,R60)))</xm:f>
            <xm:f>bahan5</xm:f>
            <x14:dxf>
              <fill>
                <patternFill>
                  <bgColor rgb="FF00B0F0"/>
                </patternFill>
              </fill>
            </x14:dxf>
          </x14:cfRule>
          <xm:sqref>R60</xm:sqref>
        </x14:conditionalFormatting>
        <x14:conditionalFormatting xmlns:xm="http://schemas.microsoft.com/office/excel/2006/main">
          <x14:cfRule type="containsText" priority="1162" operator="containsText" id="{88AAECBD-0522-4466-9F7A-CC06440FFC47}">
            <xm:f>NOT(ISERROR(SEARCH(bahan5,R61)))</xm:f>
            <xm:f>bahan5</xm:f>
            <x14:dxf>
              <fill>
                <patternFill>
                  <bgColor rgb="FF00B0F0"/>
                </patternFill>
              </fill>
            </x14:dxf>
          </x14:cfRule>
          <x14:cfRule type="containsText" priority="1161" operator="containsText" id="{70F0C395-C8ED-49AD-8399-6B7A1E8D5BBD}">
            <xm:f>NOT(ISERROR(SEARCH(bahan1,R61)))</xm:f>
            <xm:f>bahan1</xm:f>
            <x14:dxf>
              <fill>
                <patternFill>
                  <bgColor theme="7" tint="0.39994506668294322"/>
                </patternFill>
              </fill>
            </x14:dxf>
          </x14:cfRule>
          <xm:sqref>R61</xm:sqref>
        </x14:conditionalFormatting>
        <x14:conditionalFormatting xmlns:xm="http://schemas.microsoft.com/office/excel/2006/main">
          <x14:cfRule type="containsText" priority="1135" operator="containsText" id="{98214571-0B9D-415A-93AF-8E65174015EA}">
            <xm:f>NOT(ISERROR(SEARCH(bahan5,R62)))</xm:f>
            <xm:f>bahan5</xm:f>
            <x14:dxf>
              <fill>
                <patternFill>
                  <bgColor rgb="FF00B0F0"/>
                </patternFill>
              </fill>
            </x14:dxf>
          </x14:cfRule>
          <x14:cfRule type="containsText" priority="1134" operator="containsText" id="{EC0822DD-3562-48AD-AB63-AD1FC3C5C594}">
            <xm:f>NOT(ISERROR(SEARCH(bahan1,R62)))</xm:f>
            <xm:f>bahan1</xm:f>
            <x14:dxf>
              <fill>
                <patternFill>
                  <bgColor theme="7" tint="0.39994506668294322"/>
                </patternFill>
              </fill>
            </x14:dxf>
          </x14:cfRule>
          <xm:sqref>R62:R63</xm:sqref>
        </x14:conditionalFormatting>
        <x14:conditionalFormatting xmlns:xm="http://schemas.microsoft.com/office/excel/2006/main">
          <x14:cfRule type="containsText" priority="6938" operator="containsText" id="{6EE1AA13-04AB-40B4-B6FF-03DBDE45A432}">
            <xm:f>NOT(ISERROR(SEARCH(bahan1,R64)))</xm:f>
            <xm:f>bahan1</xm:f>
            <x14:dxf>
              <fill>
                <patternFill>
                  <bgColor theme="7" tint="0.39994506668294322"/>
                </patternFill>
              </fill>
            </x14:dxf>
          </x14:cfRule>
          <x14:cfRule type="containsText" priority="6939" operator="containsText" id="{39392A4A-CC58-4E0F-B76D-E8EEEE665986}">
            <xm:f>NOT(ISERROR(SEARCH(bahan5,R64)))</xm:f>
            <xm:f>bahan5</xm:f>
            <x14:dxf>
              <fill>
                <patternFill>
                  <bgColor rgb="FF00B0F0"/>
                </patternFill>
              </fill>
            </x14:dxf>
          </x14:cfRule>
          <xm:sqref>R64</xm:sqref>
        </x14:conditionalFormatting>
        <x14:conditionalFormatting xmlns:xm="http://schemas.microsoft.com/office/excel/2006/main">
          <x14:cfRule type="containsText" priority="7903" operator="containsText" id="{5C36DE77-138C-433C-9F8F-1C4DD3287F99}">
            <xm:f>NOT(ISERROR(SEARCH(bahan1,R65)))</xm:f>
            <xm:f>bahan1</xm:f>
            <x14:dxf>
              <fill>
                <patternFill>
                  <bgColor theme="7" tint="0.39994506668294322"/>
                </patternFill>
              </fill>
            </x14:dxf>
          </x14:cfRule>
          <x14:cfRule type="containsText" priority="7904" operator="containsText" id="{EB51CFA3-9ACD-49C0-8E7F-5C2EB9D98155}">
            <xm:f>NOT(ISERROR(SEARCH(bahan5,R65)))</xm:f>
            <xm:f>bahan5</xm:f>
            <x14:dxf>
              <fill>
                <patternFill>
                  <bgColor rgb="FF00B0F0"/>
                </patternFill>
              </fill>
            </x14:dxf>
          </x14:cfRule>
          <xm:sqref>R65</xm:sqref>
        </x14:conditionalFormatting>
        <x14:conditionalFormatting xmlns:xm="http://schemas.microsoft.com/office/excel/2006/main">
          <x14:cfRule type="containsText" priority="1089" operator="containsText" id="{310B8991-4D33-4532-BE2C-48A8F4F1D827}">
            <xm:f>NOT(ISERROR(SEARCH(bahan5,R66)))</xm:f>
            <xm:f>bahan5</xm:f>
            <x14:dxf>
              <fill>
                <patternFill>
                  <bgColor rgb="FF00B0F0"/>
                </patternFill>
              </fill>
            </x14:dxf>
          </x14:cfRule>
          <x14:cfRule type="containsText" priority="1088" operator="containsText" id="{FC14B131-83DF-41F7-85F2-41CEF66F7484}">
            <xm:f>NOT(ISERROR(SEARCH(bahan1,R66)))</xm:f>
            <xm:f>bahan1</xm:f>
            <x14:dxf>
              <fill>
                <patternFill>
                  <bgColor theme="7" tint="0.39994506668294322"/>
                </patternFill>
              </fill>
            </x14:dxf>
          </x14:cfRule>
          <xm:sqref>R66</xm:sqref>
        </x14:conditionalFormatting>
        <x14:conditionalFormatting xmlns:xm="http://schemas.microsoft.com/office/excel/2006/main">
          <x14:cfRule type="containsText" priority="1062" operator="containsText" id="{AC2905CE-CA50-4D8C-987A-C38EF772C8DA}">
            <xm:f>NOT(ISERROR(SEARCH(bahan5,R67)))</xm:f>
            <xm:f>bahan5</xm:f>
            <x14:dxf>
              <fill>
                <patternFill>
                  <bgColor rgb="FF00B0F0"/>
                </patternFill>
              </fill>
            </x14:dxf>
          </x14:cfRule>
          <x14:cfRule type="containsText" priority="1061" operator="containsText" id="{CAC7A6A4-B1AC-4ACC-A5DC-73058FB1A32F}">
            <xm:f>NOT(ISERROR(SEARCH(bahan1,R67)))</xm:f>
            <xm:f>bahan1</xm:f>
            <x14:dxf>
              <fill>
                <patternFill>
                  <bgColor theme="7" tint="0.39994506668294322"/>
                </patternFill>
              </fill>
            </x14:dxf>
          </x14:cfRule>
          <xm:sqref>R67:R69</xm:sqref>
        </x14:conditionalFormatting>
        <x14:conditionalFormatting xmlns:xm="http://schemas.microsoft.com/office/excel/2006/main">
          <x14:cfRule type="containsText" priority="6794" operator="containsText" id="{613163AF-FB84-420F-98F4-FE4673BA12DE}">
            <xm:f>NOT(ISERROR(SEARCH(bahan1,R70)))</xm:f>
            <xm:f>bahan1</xm:f>
            <x14:dxf>
              <fill>
                <patternFill>
                  <bgColor theme="7" tint="0.39994506668294322"/>
                </patternFill>
              </fill>
            </x14:dxf>
          </x14:cfRule>
          <x14:cfRule type="containsText" priority="6795" operator="containsText" id="{92C57B26-DBA0-4B9F-BF7B-5BFD56368BEC}">
            <xm:f>NOT(ISERROR(SEARCH(bahan5,R70)))</xm:f>
            <xm:f>bahan5</xm:f>
            <x14:dxf>
              <fill>
                <patternFill>
                  <bgColor rgb="FF00B0F0"/>
                </patternFill>
              </fill>
            </x14:dxf>
          </x14:cfRule>
          <xm:sqref>R70:R71</xm:sqref>
        </x14:conditionalFormatting>
        <x14:conditionalFormatting xmlns:xm="http://schemas.microsoft.com/office/excel/2006/main">
          <x14:cfRule type="containsText" priority="1030" operator="containsText" id="{0D4F58C3-D794-4CA0-9D94-CDDB1C69896D}">
            <xm:f>NOT(ISERROR(SEARCH(bahan1,R72)))</xm:f>
            <xm:f>bahan1</xm:f>
            <x14:dxf>
              <fill>
                <patternFill>
                  <bgColor theme="7" tint="0.39994506668294322"/>
                </patternFill>
              </fill>
            </x14:dxf>
          </x14:cfRule>
          <x14:cfRule type="containsText" priority="1031" operator="containsText" id="{3B6760F2-0446-4B2A-A5B4-9C84D0BFE445}">
            <xm:f>NOT(ISERROR(SEARCH(bahan5,R72)))</xm:f>
            <xm:f>bahan5</xm:f>
            <x14:dxf>
              <fill>
                <patternFill>
                  <bgColor rgb="FF00B0F0"/>
                </patternFill>
              </fill>
            </x14:dxf>
          </x14:cfRule>
          <xm:sqref>R72</xm:sqref>
        </x14:conditionalFormatting>
        <x14:conditionalFormatting xmlns:xm="http://schemas.microsoft.com/office/excel/2006/main">
          <x14:cfRule type="containsText" priority="1003" operator="containsText" id="{110638C6-7C95-4B4D-9AAF-4783618FFA85}">
            <xm:f>NOT(ISERROR(SEARCH(bahan1,R73)))</xm:f>
            <xm:f>bahan1</xm:f>
            <x14:dxf>
              <fill>
                <patternFill>
                  <bgColor theme="7" tint="0.39994506668294322"/>
                </patternFill>
              </fill>
            </x14:dxf>
          </x14:cfRule>
          <x14:cfRule type="containsText" priority="1004" operator="containsText" id="{BB5619A0-A0B2-4C67-B781-A949E81DF318}">
            <xm:f>NOT(ISERROR(SEARCH(bahan5,R73)))</xm:f>
            <xm:f>bahan5</xm:f>
            <x14:dxf>
              <fill>
                <patternFill>
                  <bgColor rgb="FF00B0F0"/>
                </patternFill>
              </fill>
            </x14:dxf>
          </x14:cfRule>
          <xm:sqref>R73:R74</xm:sqref>
        </x14:conditionalFormatting>
        <x14:conditionalFormatting xmlns:xm="http://schemas.microsoft.com/office/excel/2006/main">
          <x14:cfRule type="containsText" priority="6747" operator="containsText" id="{F6FC8C42-E2ED-497F-8BBA-941AC72714A6}">
            <xm:f>NOT(ISERROR(SEARCH(bahan5,R75)))</xm:f>
            <xm:f>bahan5</xm:f>
            <x14:dxf>
              <fill>
                <patternFill>
                  <bgColor rgb="FF00B0F0"/>
                </patternFill>
              </fill>
            </x14:dxf>
          </x14:cfRule>
          <x14:cfRule type="containsText" priority="6746" operator="containsText" id="{2E91DB23-9830-43F5-AE0B-6B752CB32BED}">
            <xm:f>NOT(ISERROR(SEARCH(bahan1,R75)))</xm:f>
            <xm:f>bahan1</xm:f>
            <x14:dxf>
              <fill>
                <patternFill>
                  <bgColor theme="7" tint="0.39994506668294322"/>
                </patternFill>
              </fill>
            </x14:dxf>
          </x14:cfRule>
          <xm:sqref>R75</xm:sqref>
        </x14:conditionalFormatting>
        <x14:conditionalFormatting xmlns:xm="http://schemas.microsoft.com/office/excel/2006/main">
          <x14:cfRule type="containsText" priority="18562" operator="containsText" id="{DAC3909F-81DC-4AE7-AD3C-C6D6697A7B6F}">
            <xm:f>NOT(ISERROR(SEARCH(bahan1,R76)))</xm:f>
            <xm:f>bahan1</xm:f>
            <x14:dxf>
              <fill>
                <patternFill>
                  <bgColor theme="7" tint="0.39994506668294322"/>
                </patternFill>
              </fill>
            </x14:dxf>
          </x14:cfRule>
          <x14:cfRule type="containsText" priority="18563" operator="containsText" id="{36D7DDA6-BDB0-4C21-8C18-1A7711778B71}">
            <xm:f>NOT(ISERROR(SEARCH(bahan5,R76)))</xm:f>
            <xm:f>bahan5</xm:f>
            <x14:dxf>
              <fill>
                <patternFill>
                  <bgColor rgb="FF00B0F0"/>
                </patternFill>
              </fill>
            </x14:dxf>
          </x14:cfRule>
          <xm:sqref>R76</xm:sqref>
        </x14:conditionalFormatting>
        <x14:conditionalFormatting xmlns:xm="http://schemas.microsoft.com/office/excel/2006/main">
          <x14:cfRule type="containsText" priority="6723" operator="containsText" id="{D1AC92C4-BF8B-4C05-BB44-7E51BE87AF7F}">
            <xm:f>NOT(ISERROR(SEARCH(bahan1,R77)))</xm:f>
            <xm:f>bahan1</xm:f>
            <x14:dxf>
              <fill>
                <patternFill>
                  <bgColor theme="7" tint="0.39994506668294322"/>
                </patternFill>
              </fill>
            </x14:dxf>
          </x14:cfRule>
          <x14:cfRule type="containsText" priority="6724" operator="containsText" id="{46DC6952-194C-4CD9-B33B-89DA72D6D80D}">
            <xm:f>NOT(ISERROR(SEARCH(bahan5,R77)))</xm:f>
            <xm:f>bahan5</xm:f>
            <x14:dxf>
              <fill>
                <patternFill>
                  <bgColor rgb="FF00B0F0"/>
                </patternFill>
              </fill>
            </x14:dxf>
          </x14:cfRule>
          <xm:sqref>R77</xm:sqref>
        </x14:conditionalFormatting>
        <x14:conditionalFormatting xmlns:xm="http://schemas.microsoft.com/office/excel/2006/main">
          <x14:cfRule type="containsText" priority="951" operator="containsText" id="{E796563A-D7C0-4303-8EA7-2D357BE7CB92}">
            <xm:f>NOT(ISERROR(SEARCH(bahan1,R78)))</xm:f>
            <xm:f>bahan1</xm:f>
            <x14:dxf>
              <fill>
                <patternFill>
                  <bgColor theme="7" tint="0.39994506668294322"/>
                </patternFill>
              </fill>
            </x14:dxf>
          </x14:cfRule>
          <x14:cfRule type="containsText" priority="952" operator="containsText" id="{C10DF971-D74F-4287-919F-14D299A3F790}">
            <xm:f>NOT(ISERROR(SEARCH(bahan5,R78)))</xm:f>
            <xm:f>bahan5</xm:f>
            <x14:dxf>
              <fill>
                <patternFill>
                  <bgColor rgb="FF00B0F0"/>
                </patternFill>
              </fill>
            </x14:dxf>
          </x14:cfRule>
          <xm:sqref>R78:R81</xm:sqref>
        </x14:conditionalFormatting>
        <x14:conditionalFormatting xmlns:xm="http://schemas.microsoft.com/office/excel/2006/main">
          <x14:cfRule type="containsText" priority="6675" operator="containsText" id="{0A63853D-8B8E-443C-BE48-26E7D5C09D34}">
            <xm:f>NOT(ISERROR(SEARCH(bahan5,R82)))</xm:f>
            <xm:f>bahan5</xm:f>
            <x14:dxf>
              <fill>
                <patternFill>
                  <bgColor rgb="FF00B0F0"/>
                </patternFill>
              </fill>
            </x14:dxf>
          </x14:cfRule>
          <x14:cfRule type="containsText" priority="6674" operator="containsText" id="{01C37B24-E8DC-4862-B3DE-1163CFAA4FC2}">
            <xm:f>NOT(ISERROR(SEARCH(bahan1,R82)))</xm:f>
            <xm:f>bahan1</xm:f>
            <x14:dxf>
              <fill>
                <patternFill>
                  <bgColor theme="7" tint="0.39994506668294322"/>
                </patternFill>
              </fill>
            </x14:dxf>
          </x14:cfRule>
          <xm:sqref>R82</xm:sqref>
        </x14:conditionalFormatting>
        <x14:conditionalFormatting xmlns:xm="http://schemas.microsoft.com/office/excel/2006/main">
          <x14:cfRule type="containsText" priority="6650" operator="containsText" id="{70B67FBA-FB83-47F5-B81F-F46137E36049}">
            <xm:f>NOT(ISERROR(SEARCH(bahan1,R86)))</xm:f>
            <xm:f>bahan1</xm:f>
            <x14:dxf>
              <fill>
                <patternFill>
                  <bgColor theme="7" tint="0.39994506668294322"/>
                </patternFill>
              </fill>
            </x14:dxf>
          </x14:cfRule>
          <x14:cfRule type="containsText" priority="6651" operator="containsText" id="{AA8D5BE1-D468-41EF-9868-8F9DB5366464}">
            <xm:f>NOT(ISERROR(SEARCH(bahan5,R86)))</xm:f>
            <xm:f>bahan5</xm:f>
            <x14:dxf>
              <fill>
                <patternFill>
                  <bgColor rgb="FF00B0F0"/>
                </patternFill>
              </fill>
            </x14:dxf>
          </x14:cfRule>
          <xm:sqref>R86</xm:sqref>
        </x14:conditionalFormatting>
        <x14:conditionalFormatting xmlns:xm="http://schemas.microsoft.com/office/excel/2006/main">
          <x14:cfRule type="containsText" priority="903" operator="containsText" id="{2B20D6BE-15D7-4CB5-A7D4-AFE70A7DD2E9}">
            <xm:f>NOT(ISERROR(SEARCH(bahan1,R87)))</xm:f>
            <xm:f>bahan1</xm:f>
            <x14:dxf>
              <fill>
                <patternFill>
                  <bgColor theme="7" tint="0.39994506668294322"/>
                </patternFill>
              </fill>
            </x14:dxf>
          </x14:cfRule>
          <x14:cfRule type="containsText" priority="904" operator="containsText" id="{E0DEC02F-4E1F-4255-B287-74AABE98173A}">
            <xm:f>NOT(ISERROR(SEARCH(bahan5,R87)))</xm:f>
            <xm:f>bahan5</xm:f>
            <x14:dxf>
              <fill>
                <patternFill>
                  <bgColor rgb="FF00B0F0"/>
                </patternFill>
              </fill>
            </x14:dxf>
          </x14:cfRule>
          <xm:sqref>R87</xm:sqref>
        </x14:conditionalFormatting>
        <x14:conditionalFormatting xmlns:xm="http://schemas.microsoft.com/office/excel/2006/main">
          <x14:cfRule type="containsText" priority="880" operator="containsText" id="{886E1B04-D247-4418-ABC4-F2E00C4F094C}">
            <xm:f>NOT(ISERROR(SEARCH(bahan5,R88)))</xm:f>
            <xm:f>bahan5</xm:f>
            <x14:dxf>
              <fill>
                <patternFill>
                  <bgColor rgb="FF00B0F0"/>
                </patternFill>
              </fill>
            </x14:dxf>
          </x14:cfRule>
          <x14:cfRule type="containsText" priority="879" operator="containsText" id="{7545B01C-609F-4752-86CE-60F126EF38A4}">
            <xm:f>NOT(ISERROR(SEARCH(bahan1,R88)))</xm:f>
            <xm:f>bahan1</xm:f>
            <x14:dxf>
              <fill>
                <patternFill>
                  <bgColor theme="7" tint="0.39994506668294322"/>
                </patternFill>
              </fill>
            </x14:dxf>
          </x14:cfRule>
          <xm:sqref>R88</xm:sqref>
        </x14:conditionalFormatting>
        <x14:conditionalFormatting xmlns:xm="http://schemas.microsoft.com/office/excel/2006/main">
          <x14:cfRule type="containsText" priority="856" operator="containsText" id="{74C55E9F-A280-4385-83D8-A4C24F9AE16B}">
            <xm:f>NOT(ISERROR(SEARCH(bahan5,R89)))</xm:f>
            <xm:f>bahan5</xm:f>
            <x14:dxf>
              <fill>
                <patternFill>
                  <bgColor rgb="FF00B0F0"/>
                </patternFill>
              </fill>
            </x14:dxf>
          </x14:cfRule>
          <x14:cfRule type="containsText" priority="855" operator="containsText" id="{D7082ABF-2111-4CED-8769-637FF4EC7776}">
            <xm:f>NOT(ISERROR(SEARCH(bahan1,R89)))</xm:f>
            <xm:f>bahan1</xm:f>
            <x14:dxf>
              <fill>
                <patternFill>
                  <bgColor theme="7" tint="0.39994506668294322"/>
                </patternFill>
              </fill>
            </x14:dxf>
          </x14:cfRule>
          <xm:sqref>R89</xm:sqref>
        </x14:conditionalFormatting>
        <x14:conditionalFormatting xmlns:xm="http://schemas.microsoft.com/office/excel/2006/main">
          <x14:cfRule type="containsText" priority="804" operator="containsText" id="{9E149011-26E3-4ADB-B930-EC9F6C5CD011}">
            <xm:f>NOT(ISERROR(SEARCH(bahan5,R90)))</xm:f>
            <xm:f>bahan5</xm:f>
            <x14:dxf>
              <fill>
                <patternFill>
                  <bgColor rgb="FF00B0F0"/>
                </patternFill>
              </fill>
            </x14:dxf>
          </x14:cfRule>
          <x14:cfRule type="containsText" priority="803" operator="containsText" id="{29ABCEBD-D895-4C77-84DF-157B97032066}">
            <xm:f>NOT(ISERROR(SEARCH(bahan1,R90)))</xm:f>
            <xm:f>bahan1</xm:f>
            <x14:dxf>
              <fill>
                <patternFill>
                  <bgColor theme="7" tint="0.39994506668294322"/>
                </patternFill>
              </fill>
            </x14:dxf>
          </x14:cfRule>
          <xm:sqref>R90:R92</xm:sqref>
        </x14:conditionalFormatting>
        <x14:conditionalFormatting xmlns:xm="http://schemas.microsoft.com/office/excel/2006/main">
          <x14:cfRule type="containsText" priority="6579" operator="containsText" id="{FF95F405-F41E-4E46-90CD-F4EAFB8DEC67}">
            <xm:f>NOT(ISERROR(SEARCH(bahan5,R93)))</xm:f>
            <xm:f>bahan5</xm:f>
            <x14:dxf>
              <fill>
                <patternFill>
                  <bgColor rgb="FF00B0F0"/>
                </patternFill>
              </fill>
            </x14:dxf>
          </x14:cfRule>
          <x14:cfRule type="containsText" priority="6578" operator="containsText" id="{E220CCCF-F14B-489C-9196-CAC36BB49E9E}">
            <xm:f>NOT(ISERROR(SEARCH(bahan1,R93)))</xm:f>
            <xm:f>bahan1</xm:f>
            <x14:dxf>
              <fill>
                <patternFill>
                  <bgColor theme="7" tint="0.39994506668294322"/>
                </patternFill>
              </fill>
            </x14:dxf>
          </x14:cfRule>
          <xm:sqref>R93</xm:sqref>
        </x14:conditionalFormatting>
        <x14:conditionalFormatting xmlns:xm="http://schemas.microsoft.com/office/excel/2006/main">
          <x14:cfRule type="containsText" priority="770" operator="containsText" id="{1A8236DD-05C1-4682-A913-0841D001D6AF}">
            <xm:f>NOT(ISERROR(SEARCH(bahan5,R94)))</xm:f>
            <xm:f>bahan5</xm:f>
            <x14:dxf>
              <fill>
                <patternFill>
                  <bgColor rgb="FF00B0F0"/>
                </patternFill>
              </fill>
            </x14:dxf>
          </x14:cfRule>
          <x14:cfRule type="containsText" priority="769" operator="containsText" id="{400462AD-A450-47AE-B380-C419CEE9042F}">
            <xm:f>NOT(ISERROR(SEARCH(bahan1,R94)))</xm:f>
            <xm:f>bahan1</xm:f>
            <x14:dxf>
              <fill>
                <patternFill>
                  <bgColor theme="7" tint="0.39994506668294322"/>
                </patternFill>
              </fill>
            </x14:dxf>
          </x14:cfRule>
          <xm:sqref>R94</xm:sqref>
        </x14:conditionalFormatting>
        <x14:conditionalFormatting xmlns:xm="http://schemas.microsoft.com/office/excel/2006/main">
          <x14:cfRule type="containsText" priority="745" operator="containsText" id="{3D664357-A628-4C65-9FE4-B3975CDC3CD5}">
            <xm:f>NOT(ISERROR(SEARCH(bahan1,R95)))</xm:f>
            <xm:f>bahan1</xm:f>
            <x14:dxf>
              <fill>
                <patternFill>
                  <bgColor theme="7" tint="0.39994506668294322"/>
                </patternFill>
              </fill>
            </x14:dxf>
          </x14:cfRule>
          <x14:cfRule type="containsText" priority="746" operator="containsText" id="{E6B9A56A-5E1A-4DD0-A685-6E40C39F2577}">
            <xm:f>NOT(ISERROR(SEARCH(bahan5,R95)))</xm:f>
            <xm:f>bahan5</xm:f>
            <x14:dxf>
              <fill>
                <patternFill>
                  <bgColor rgb="FF00B0F0"/>
                </patternFill>
              </fill>
            </x14:dxf>
          </x14:cfRule>
          <xm:sqref>R95</xm:sqref>
        </x14:conditionalFormatting>
        <x14:conditionalFormatting xmlns:xm="http://schemas.microsoft.com/office/excel/2006/main">
          <x14:cfRule type="containsText" priority="697" operator="containsText" id="{815DFAB8-9D8F-4957-8A29-AEA998846BF3}">
            <xm:f>NOT(ISERROR(SEARCH(bahan5,R96)))</xm:f>
            <xm:f>bahan5</xm:f>
            <x14:dxf>
              <fill>
                <patternFill>
                  <bgColor rgb="FF00B0F0"/>
                </patternFill>
              </fill>
            </x14:dxf>
          </x14:cfRule>
          <x14:cfRule type="containsText" priority="696" operator="containsText" id="{490B78DA-9D27-4390-84A9-5170F6F069C5}">
            <xm:f>NOT(ISERROR(SEARCH(bahan1,R96)))</xm:f>
            <xm:f>bahan1</xm:f>
            <x14:dxf>
              <fill>
                <patternFill>
                  <bgColor theme="7" tint="0.39994506668294322"/>
                </patternFill>
              </fill>
            </x14:dxf>
          </x14:cfRule>
          <xm:sqref>R96:R98</xm:sqref>
        </x14:conditionalFormatting>
        <x14:conditionalFormatting xmlns:xm="http://schemas.microsoft.com/office/excel/2006/main">
          <x14:cfRule type="containsText" priority="662" operator="containsText" id="{B32DD765-7988-4CA7-816C-93271ECF8CA1}">
            <xm:f>NOT(ISERROR(SEARCH(bahan1,R99)))</xm:f>
            <xm:f>bahan1</xm:f>
            <x14:dxf>
              <fill>
                <patternFill>
                  <bgColor theme="7" tint="0.39994506668294322"/>
                </patternFill>
              </fill>
            </x14:dxf>
          </x14:cfRule>
          <x14:cfRule type="containsText" priority="663" operator="containsText" id="{6E9649C6-1BA9-4BE4-8409-0A6D787E1CCF}">
            <xm:f>NOT(ISERROR(SEARCH(bahan5,R99)))</xm:f>
            <xm:f>bahan5</xm:f>
            <x14:dxf>
              <fill>
                <patternFill>
                  <bgColor rgb="FF00B0F0"/>
                </patternFill>
              </fill>
            </x14:dxf>
          </x14:cfRule>
          <xm:sqref>R99</xm:sqref>
        </x14:conditionalFormatting>
        <x14:conditionalFormatting xmlns:xm="http://schemas.microsoft.com/office/excel/2006/main">
          <x14:cfRule type="containsText" priority="6410" operator="containsText" id="{7AEA11B5-40C7-4019-8085-FD1F4F899B88}">
            <xm:f>NOT(ISERROR(SEARCH(bahan1,R100)))</xm:f>
            <xm:f>bahan1</xm:f>
            <x14:dxf>
              <fill>
                <patternFill>
                  <bgColor theme="7" tint="0.39994506668294322"/>
                </patternFill>
              </fill>
            </x14:dxf>
          </x14:cfRule>
          <x14:cfRule type="containsText" priority="6411" operator="containsText" id="{50A57FF8-8293-4E47-AD08-FE7754DD4EDC}">
            <xm:f>NOT(ISERROR(SEARCH(bahan5,R100)))</xm:f>
            <xm:f>bahan5</xm:f>
            <x14:dxf>
              <fill>
                <patternFill>
                  <bgColor rgb="FF00B0F0"/>
                </patternFill>
              </fill>
            </x14:dxf>
          </x14:cfRule>
          <xm:sqref>R100 R103 R107</xm:sqref>
        </x14:conditionalFormatting>
        <x14:conditionalFormatting xmlns:xm="http://schemas.microsoft.com/office/excel/2006/main">
          <x14:cfRule type="containsText" priority="614" operator="containsText" id="{2B60D3DA-86C9-45FC-91C4-BD23DB6561C5}">
            <xm:f>NOT(ISERROR(SEARCH(bahan1,R101)))</xm:f>
            <xm:f>bahan1</xm:f>
            <x14:dxf>
              <fill>
                <patternFill>
                  <bgColor theme="7" tint="0.39994506668294322"/>
                </patternFill>
              </fill>
            </x14:dxf>
          </x14:cfRule>
          <x14:cfRule type="containsText" priority="615" operator="containsText" id="{03E96FB8-77BC-40FE-9536-F2180C4A5D42}">
            <xm:f>NOT(ISERROR(SEARCH(bahan5,R101)))</xm:f>
            <xm:f>bahan5</xm:f>
            <x14:dxf>
              <fill>
                <patternFill>
                  <bgColor rgb="FF00B0F0"/>
                </patternFill>
              </fill>
            </x14:dxf>
          </x14:cfRule>
          <xm:sqref>R101:R102</xm:sqref>
        </x14:conditionalFormatting>
        <x14:conditionalFormatting xmlns:xm="http://schemas.microsoft.com/office/excel/2006/main">
          <x14:cfRule type="containsText" priority="590" operator="containsText" id="{1E1696D9-3725-4887-ACCA-A4229A369456}">
            <xm:f>NOT(ISERROR(SEARCH(bahan1,R104)))</xm:f>
            <xm:f>bahan1</xm:f>
            <x14:dxf>
              <fill>
                <patternFill>
                  <bgColor theme="7" tint="0.39994506668294322"/>
                </patternFill>
              </fill>
            </x14:dxf>
          </x14:cfRule>
          <x14:cfRule type="containsText" priority="591" operator="containsText" id="{1132BC7B-CA11-438D-AA5A-B7630A8AC0FE}">
            <xm:f>NOT(ISERROR(SEARCH(bahan5,R104)))</xm:f>
            <xm:f>bahan5</xm:f>
            <x14:dxf>
              <fill>
                <patternFill>
                  <bgColor rgb="FF00B0F0"/>
                </patternFill>
              </fill>
            </x14:dxf>
          </x14:cfRule>
          <xm:sqref>R104:R106</xm:sqref>
        </x14:conditionalFormatting>
        <x14:conditionalFormatting xmlns:xm="http://schemas.microsoft.com/office/excel/2006/main">
          <x14:cfRule type="containsText" priority="567" operator="containsText" id="{F8A05D6D-6807-41DB-B1B2-453FF706D13A}">
            <xm:f>NOT(ISERROR(SEARCH(bahan5,R108)))</xm:f>
            <xm:f>bahan5</xm:f>
            <x14:dxf>
              <fill>
                <patternFill>
                  <bgColor rgb="FF00B0F0"/>
                </patternFill>
              </fill>
            </x14:dxf>
          </x14:cfRule>
          <x14:cfRule type="containsText" priority="566" operator="containsText" id="{A49F976F-F49B-4CA9-BE71-8DC8114BBF16}">
            <xm:f>NOT(ISERROR(SEARCH(bahan1,R108)))</xm:f>
            <xm:f>bahan1</xm:f>
            <x14:dxf>
              <fill>
                <patternFill>
                  <bgColor theme="7" tint="0.39994506668294322"/>
                </patternFill>
              </fill>
            </x14:dxf>
          </x14:cfRule>
          <xm:sqref>R108:R110</xm:sqref>
        </x14:conditionalFormatting>
        <x14:conditionalFormatting xmlns:xm="http://schemas.microsoft.com/office/excel/2006/main">
          <x14:cfRule type="containsText" priority="6362" operator="containsText" id="{25CD677F-8091-4E2B-8D2A-F48B3D07167B}">
            <xm:f>NOT(ISERROR(SEARCH(bahan5,R111)))</xm:f>
            <xm:f>bahan5</xm:f>
            <x14:dxf>
              <fill>
                <patternFill>
                  <bgColor rgb="FF00B0F0"/>
                </patternFill>
              </fill>
            </x14:dxf>
          </x14:cfRule>
          <x14:cfRule type="containsText" priority="6361" operator="containsText" id="{3284824F-1A7B-4C87-8EB7-B92774D1F308}">
            <xm:f>NOT(ISERROR(SEARCH(bahan1,R111)))</xm:f>
            <xm:f>bahan1</xm:f>
            <x14:dxf>
              <fill>
                <patternFill>
                  <bgColor theme="7" tint="0.39994506668294322"/>
                </patternFill>
              </fill>
            </x14:dxf>
          </x14:cfRule>
          <xm:sqref>R111</xm:sqref>
        </x14:conditionalFormatting>
        <x14:conditionalFormatting xmlns:xm="http://schemas.microsoft.com/office/excel/2006/main">
          <x14:cfRule type="containsText" priority="495" operator="containsText" id="{96187AF8-E371-447F-B662-B25A28174375}">
            <xm:f>NOT(ISERROR(SEARCH(bahan5,R112)))</xm:f>
            <xm:f>bahan5</xm:f>
            <x14:dxf>
              <fill>
                <patternFill>
                  <bgColor rgb="FF00B0F0"/>
                </patternFill>
              </fill>
            </x14:dxf>
          </x14:cfRule>
          <x14:cfRule type="containsText" priority="494" operator="containsText" id="{076F0385-A7F6-42A9-8594-03AD45D451EF}">
            <xm:f>NOT(ISERROR(SEARCH(bahan1,R112)))</xm:f>
            <xm:f>bahan1</xm:f>
            <x14:dxf>
              <fill>
                <patternFill>
                  <bgColor theme="7" tint="0.39994506668294322"/>
                </patternFill>
              </fill>
            </x14:dxf>
          </x14:cfRule>
          <xm:sqref>R112:R114</xm:sqref>
        </x14:conditionalFormatting>
        <x14:conditionalFormatting xmlns:xm="http://schemas.microsoft.com/office/excel/2006/main">
          <x14:cfRule type="containsText" priority="6290" operator="containsText" id="{548FFF95-D42E-499F-BB10-72AB6E6A4A6D}">
            <xm:f>NOT(ISERROR(SEARCH(bahan5,R115)))</xm:f>
            <xm:f>bahan5</xm:f>
            <x14:dxf>
              <fill>
                <patternFill>
                  <bgColor rgb="FF00B0F0"/>
                </patternFill>
              </fill>
            </x14:dxf>
          </x14:cfRule>
          <x14:cfRule type="containsText" priority="6289" operator="containsText" id="{CC15E76A-D414-415D-B4A8-A7D9F49920BE}">
            <xm:f>NOT(ISERROR(SEARCH(bahan1,R115)))</xm:f>
            <xm:f>bahan1</xm:f>
            <x14:dxf>
              <fill>
                <patternFill>
                  <bgColor theme="7" tint="0.39994506668294322"/>
                </patternFill>
              </fill>
            </x14:dxf>
          </x14:cfRule>
          <xm:sqref>R115 R119 R122 R125:R126 R130</xm:sqref>
        </x14:conditionalFormatting>
        <x14:conditionalFormatting xmlns:xm="http://schemas.microsoft.com/office/excel/2006/main">
          <x14:cfRule type="containsText" priority="518" operator="containsText" id="{DAF9810E-2A70-4F0C-A590-A51D2B8A5483}">
            <xm:f>NOT(ISERROR(SEARCH(bahan1,R116)))</xm:f>
            <xm:f>bahan1</xm:f>
            <x14:dxf>
              <fill>
                <patternFill>
                  <bgColor theme="7" tint="0.39994506668294322"/>
                </patternFill>
              </fill>
            </x14:dxf>
          </x14:cfRule>
          <x14:cfRule type="containsText" priority="519" operator="containsText" id="{F5856ACD-1E20-4660-8336-04183D33CFAF}">
            <xm:f>NOT(ISERROR(SEARCH(bahan5,R116)))</xm:f>
            <xm:f>bahan5</xm:f>
            <x14:dxf>
              <fill>
                <patternFill>
                  <bgColor rgb="FF00B0F0"/>
                </patternFill>
              </fill>
            </x14:dxf>
          </x14:cfRule>
          <xm:sqref>R116</xm:sqref>
        </x14:conditionalFormatting>
        <x14:conditionalFormatting xmlns:xm="http://schemas.microsoft.com/office/excel/2006/main">
          <x14:cfRule type="containsText" priority="471" operator="containsText" id="{436C51C0-5DFD-4CB4-8EDE-9121DBDED421}">
            <xm:f>NOT(ISERROR(SEARCH(bahan5,R117)))</xm:f>
            <xm:f>bahan5</xm:f>
            <x14:dxf>
              <fill>
                <patternFill>
                  <bgColor rgb="FF00B0F0"/>
                </patternFill>
              </fill>
            </x14:dxf>
          </x14:cfRule>
          <x14:cfRule type="containsText" priority="470" operator="containsText" id="{B85C0044-67BB-40B9-B971-454A7377E828}">
            <xm:f>NOT(ISERROR(SEARCH(bahan1,R117)))</xm:f>
            <xm:f>bahan1</xm:f>
            <x14:dxf>
              <fill>
                <patternFill>
                  <bgColor theme="7" tint="0.39994506668294322"/>
                </patternFill>
              </fill>
            </x14:dxf>
          </x14:cfRule>
          <xm:sqref>R117:R118</xm:sqref>
        </x14:conditionalFormatting>
        <x14:conditionalFormatting xmlns:xm="http://schemas.microsoft.com/office/excel/2006/main">
          <x14:cfRule type="containsText" priority="437" operator="containsText" id="{D4AA6609-2822-44A4-811B-4A428B2DE8DD}">
            <xm:f>NOT(ISERROR(SEARCH(bahan5,R120)))</xm:f>
            <xm:f>bahan5</xm:f>
            <x14:dxf>
              <fill>
                <patternFill>
                  <bgColor rgb="FF00B0F0"/>
                </patternFill>
              </fill>
            </x14:dxf>
          </x14:cfRule>
          <x14:cfRule type="containsText" priority="436" operator="containsText" id="{86286572-790D-448C-8C73-2EA1A16370CC}">
            <xm:f>NOT(ISERROR(SEARCH(bahan1,R120)))</xm:f>
            <xm:f>bahan1</xm:f>
            <x14:dxf>
              <fill>
                <patternFill>
                  <bgColor theme="7" tint="0.39994506668294322"/>
                </patternFill>
              </fill>
            </x14:dxf>
          </x14:cfRule>
          <xm:sqref>R120:R121</xm:sqref>
        </x14:conditionalFormatting>
        <x14:conditionalFormatting xmlns:xm="http://schemas.microsoft.com/office/excel/2006/main">
          <x14:cfRule type="containsText" priority="403" operator="containsText" id="{650A7C2B-2FF4-4CBD-925C-655B714BDFC2}">
            <xm:f>NOT(ISERROR(SEARCH(bahan5,R123)))</xm:f>
            <xm:f>bahan5</xm:f>
            <x14:dxf>
              <fill>
                <patternFill>
                  <bgColor rgb="FF00B0F0"/>
                </patternFill>
              </fill>
            </x14:dxf>
          </x14:cfRule>
          <x14:cfRule type="containsText" priority="402" operator="containsText" id="{4F1E6964-1D9D-4F8A-B743-15BCC2B7EDD8}">
            <xm:f>NOT(ISERROR(SEARCH(bahan1,R123)))</xm:f>
            <xm:f>bahan1</xm:f>
            <x14:dxf>
              <fill>
                <patternFill>
                  <bgColor theme="7" tint="0.39994506668294322"/>
                </patternFill>
              </fill>
            </x14:dxf>
          </x14:cfRule>
          <xm:sqref>R123:R124</xm:sqref>
        </x14:conditionalFormatting>
        <x14:conditionalFormatting xmlns:xm="http://schemas.microsoft.com/office/excel/2006/main">
          <x14:cfRule type="containsText" priority="200" operator="containsText" id="{26740F49-E22A-4994-86A4-E51AFD2C626A}">
            <xm:f>NOT(ISERROR(SEARCH(bahan1,R127)))</xm:f>
            <xm:f>bahan1</xm:f>
            <x14:dxf>
              <fill>
                <patternFill>
                  <bgColor theme="7" tint="0.39994506668294322"/>
                </patternFill>
              </fill>
            </x14:dxf>
          </x14:cfRule>
          <x14:cfRule type="containsText" priority="201" operator="containsText" id="{F97EC9F2-6DE5-4237-B568-EC7545FD0805}">
            <xm:f>NOT(ISERROR(SEARCH(bahan5,R127)))</xm:f>
            <xm:f>bahan5</xm:f>
            <x14:dxf>
              <fill>
                <patternFill>
                  <bgColor rgb="FF00B0F0"/>
                </patternFill>
              </fill>
            </x14:dxf>
          </x14:cfRule>
          <xm:sqref>R127:R128</xm:sqref>
        </x14:conditionalFormatting>
        <x14:conditionalFormatting xmlns:xm="http://schemas.microsoft.com/office/excel/2006/main">
          <x14:cfRule type="containsText" priority="368" operator="containsText" id="{E677E318-6BE4-4DDF-A069-C05F4583B923}">
            <xm:f>NOT(ISERROR(SEARCH(bahan1,R129)))</xm:f>
            <xm:f>bahan1</xm:f>
            <x14:dxf>
              <fill>
                <patternFill>
                  <bgColor theme="7" tint="0.39994506668294322"/>
                </patternFill>
              </fill>
            </x14:dxf>
          </x14:cfRule>
          <x14:cfRule type="containsText" priority="369" operator="containsText" id="{96816DC0-052F-40CC-ACB4-ADE055B29103}">
            <xm:f>NOT(ISERROR(SEARCH(bahan5,R129)))</xm:f>
            <xm:f>bahan5</xm:f>
            <x14:dxf>
              <fill>
                <patternFill>
                  <bgColor rgb="FF00B0F0"/>
                </patternFill>
              </fill>
            </x14:dxf>
          </x14:cfRule>
          <xm:sqref>R129</xm:sqref>
        </x14:conditionalFormatting>
        <x14:conditionalFormatting xmlns:xm="http://schemas.microsoft.com/office/excel/2006/main">
          <x14:cfRule type="containsText" priority="177" operator="containsText" id="{F860435C-61CA-4B92-8B7A-C4E1995E7041}">
            <xm:f>NOT(ISERROR(SEARCH(bahan5,R131)))</xm:f>
            <xm:f>bahan5</xm:f>
            <x14:dxf>
              <fill>
                <patternFill>
                  <bgColor rgb="FF00B0F0"/>
                </patternFill>
              </fill>
            </x14:dxf>
          </x14:cfRule>
          <x14:cfRule type="containsText" priority="176" operator="containsText" id="{2ED0689E-8A2B-49EF-B0CE-5A0FADC04B9B}">
            <xm:f>NOT(ISERROR(SEARCH(bahan1,R131)))</xm:f>
            <xm:f>bahan1</xm:f>
            <x14:dxf>
              <fill>
                <patternFill>
                  <bgColor theme="7" tint="0.39994506668294322"/>
                </patternFill>
              </fill>
            </x14:dxf>
          </x14:cfRule>
          <xm:sqref>R131:R132</xm:sqref>
        </x14:conditionalFormatting>
        <x14:conditionalFormatting xmlns:xm="http://schemas.microsoft.com/office/excel/2006/main">
          <x14:cfRule type="containsText" priority="153" operator="containsText" id="{95F3AC55-0E83-4667-9D79-CFBC79CB2AD8}">
            <xm:f>NOT(ISERROR(SEARCH(bahan5,R133)))</xm:f>
            <xm:f>bahan5</xm:f>
            <x14:dxf>
              <fill>
                <patternFill>
                  <bgColor rgb="FF00B0F0"/>
                </patternFill>
              </fill>
            </x14:dxf>
          </x14:cfRule>
          <x14:cfRule type="containsText" priority="152" operator="containsText" id="{33D32833-806E-4F5F-A626-3DB4FCD4FDBA}">
            <xm:f>NOT(ISERROR(SEARCH(bahan1,R133)))</xm:f>
            <xm:f>bahan1</xm:f>
            <x14:dxf>
              <fill>
                <patternFill>
                  <bgColor theme="7" tint="0.39994506668294322"/>
                </patternFill>
              </fill>
            </x14:dxf>
          </x14:cfRule>
          <xm:sqref>R133</xm:sqref>
        </x14:conditionalFormatting>
        <x14:conditionalFormatting xmlns:xm="http://schemas.microsoft.com/office/excel/2006/main">
          <x14:cfRule type="containsText" priority="12580" operator="containsText" id="{D901B69A-93AF-4CD1-87A7-25437FAB45F7}">
            <xm:f>NOT(ISERROR(SEARCH(bahan5,R134)))</xm:f>
            <xm:f>bahan5</xm:f>
            <x14:dxf>
              <fill>
                <patternFill>
                  <bgColor rgb="FF00B0F0"/>
                </patternFill>
              </fill>
            </x14:dxf>
          </x14:cfRule>
          <x14:cfRule type="containsText" priority="12579" operator="containsText" id="{2454E17C-E1A2-4974-ACF5-52233CC63024}">
            <xm:f>NOT(ISERROR(SEARCH(bahan1,R134)))</xm:f>
            <xm:f>bahan1</xm:f>
            <x14:dxf>
              <fill>
                <patternFill>
                  <bgColor theme="7" tint="0.39994506668294322"/>
                </patternFill>
              </fill>
            </x14:dxf>
          </x14:cfRule>
          <xm:sqref>R134</xm:sqref>
        </x14:conditionalFormatting>
        <x14:conditionalFormatting xmlns:xm="http://schemas.microsoft.com/office/excel/2006/main">
          <x14:cfRule type="containsText" priority="345" operator="containsText" id="{1880E943-F407-4B92-858B-EB8E204E7622}">
            <xm:f>NOT(ISERROR(SEARCH(bahan5,R135)))</xm:f>
            <xm:f>bahan5</xm:f>
            <x14:dxf>
              <fill>
                <patternFill>
                  <bgColor rgb="FF00B0F0"/>
                </patternFill>
              </fill>
            </x14:dxf>
          </x14:cfRule>
          <x14:cfRule type="containsText" priority="344" operator="containsText" id="{7E6C5C91-4914-4434-A422-AFFD8CE24CFD}">
            <xm:f>NOT(ISERROR(SEARCH(bahan1,R135)))</xm:f>
            <xm:f>bahan1</xm:f>
            <x14:dxf>
              <fill>
                <patternFill>
                  <bgColor theme="7" tint="0.39994506668294322"/>
                </patternFill>
              </fill>
            </x14:dxf>
          </x14:cfRule>
          <xm:sqref>R135</xm:sqref>
        </x14:conditionalFormatting>
        <x14:conditionalFormatting xmlns:xm="http://schemas.microsoft.com/office/excel/2006/main">
          <x14:cfRule type="containsText" priority="129" operator="containsText" id="{2D844362-991D-401C-ADC8-207F1F5A489E}">
            <xm:f>NOT(ISERROR(SEARCH(bahan5,R136)))</xm:f>
            <xm:f>bahan5</xm:f>
            <x14:dxf>
              <fill>
                <patternFill>
                  <bgColor rgb="FF00B0F0"/>
                </patternFill>
              </fill>
            </x14:dxf>
          </x14:cfRule>
          <x14:cfRule type="containsText" priority="128" operator="containsText" id="{3DB38F94-C346-42C5-A939-7D1FCD0E3B3F}">
            <xm:f>NOT(ISERROR(SEARCH(bahan1,R136)))</xm:f>
            <xm:f>bahan1</xm:f>
            <x14:dxf>
              <fill>
                <patternFill>
                  <bgColor theme="7" tint="0.39994506668294322"/>
                </patternFill>
              </fill>
            </x14:dxf>
          </x14:cfRule>
          <xm:sqref>R136</xm:sqref>
        </x14:conditionalFormatting>
        <x14:conditionalFormatting xmlns:xm="http://schemas.microsoft.com/office/excel/2006/main">
          <x14:cfRule type="containsText" priority="6241" operator="containsText" id="{1F363FC5-426C-4CB7-9684-35C7C6542250}">
            <xm:f>NOT(ISERROR(SEARCH(bahan1,R137)))</xm:f>
            <xm:f>bahan1</xm:f>
            <x14:dxf>
              <fill>
                <patternFill>
                  <bgColor theme="7" tint="0.39994506668294322"/>
                </patternFill>
              </fill>
            </x14:dxf>
          </x14:cfRule>
          <x14:cfRule type="containsText" priority="6242" operator="containsText" id="{DE8973BB-E8BA-4883-BCDF-D72DB2A52ACB}">
            <xm:f>NOT(ISERROR(SEARCH(bahan5,R137)))</xm:f>
            <xm:f>bahan5</xm:f>
            <x14:dxf>
              <fill>
                <patternFill>
                  <bgColor rgb="FF00B0F0"/>
                </patternFill>
              </fill>
            </x14:dxf>
          </x14:cfRule>
          <xm:sqref>R137 R139</xm:sqref>
        </x14:conditionalFormatting>
        <x14:conditionalFormatting xmlns:xm="http://schemas.microsoft.com/office/excel/2006/main">
          <x14:cfRule type="containsText" priority="95" operator="containsText" id="{787751F3-73BD-4D03-BE19-FA5450C0FDCC}">
            <xm:f>NOT(ISERROR(SEARCH(bahan5,R138)))</xm:f>
            <xm:f>bahan5</xm:f>
            <x14:dxf>
              <fill>
                <patternFill>
                  <bgColor rgb="FF00B0F0"/>
                </patternFill>
              </fill>
            </x14:dxf>
          </x14:cfRule>
          <x14:cfRule type="containsText" priority="94" operator="containsText" id="{6F9D4802-BA2D-429C-8B56-0DE87125D15C}">
            <xm:f>NOT(ISERROR(SEARCH(bahan1,R138)))</xm:f>
            <xm:f>bahan1</xm:f>
            <x14:dxf>
              <fill>
                <patternFill>
                  <bgColor theme="7" tint="0.39994506668294322"/>
                </patternFill>
              </fill>
            </x14:dxf>
          </x14:cfRule>
          <xm:sqref>R138</xm:sqref>
        </x14:conditionalFormatting>
        <x14:conditionalFormatting xmlns:xm="http://schemas.microsoft.com/office/excel/2006/main">
          <x14:cfRule type="containsText" priority="71" operator="containsText" id="{A1B5778D-595F-403A-AC2E-8E678A529447}">
            <xm:f>NOT(ISERROR(SEARCH(bahan5,R140)))</xm:f>
            <xm:f>bahan5</xm:f>
            <x14:dxf>
              <fill>
                <patternFill>
                  <bgColor rgb="FF00B0F0"/>
                </patternFill>
              </fill>
            </x14:dxf>
          </x14:cfRule>
          <x14:cfRule type="containsText" priority="70" operator="containsText" id="{1D332B43-BF7A-462D-9E68-86C0531AE01A}">
            <xm:f>NOT(ISERROR(SEARCH(bahan1,R140)))</xm:f>
            <xm:f>bahan1</xm:f>
            <x14:dxf>
              <fill>
                <patternFill>
                  <bgColor theme="7" tint="0.39994506668294322"/>
                </patternFill>
              </fill>
            </x14:dxf>
          </x14:cfRule>
          <xm:sqref>R140</xm:sqref>
        </x14:conditionalFormatting>
        <x14:conditionalFormatting xmlns:xm="http://schemas.microsoft.com/office/excel/2006/main">
          <x14:cfRule type="containsText" priority="21037" operator="containsText" id="{85EF1E0C-EE63-4012-AFD8-034B0CD52CF9}">
            <xm:f>NOT(ISERROR(SEARCH(bahan5,R141)))</xm:f>
            <xm:f>bahan5</xm:f>
            <x14:dxf>
              <fill>
                <patternFill>
                  <bgColor rgb="FF00B0F0"/>
                </patternFill>
              </fill>
            </x14:dxf>
          </x14:cfRule>
          <x14:cfRule type="containsText" priority="21036" operator="containsText" id="{837DBDC2-0651-4E3F-80DF-1E8FE747A19E}">
            <xm:f>NOT(ISERROR(SEARCH(bahan1,R141)))</xm:f>
            <xm:f>bahan1</xm:f>
            <x14:dxf>
              <fill>
                <patternFill>
                  <bgColor theme="7" tint="0.39994506668294322"/>
                </patternFill>
              </fill>
            </x14:dxf>
          </x14:cfRule>
          <xm:sqref>R141</xm:sqref>
        </x14:conditionalFormatting>
        <x14:conditionalFormatting xmlns:xm="http://schemas.microsoft.com/office/excel/2006/main">
          <x14:cfRule type="containsText" priority="36" operator="containsText" id="{091866E0-78C1-4554-905A-46019E9A0CDF}">
            <xm:f>NOT(ISERROR(SEARCH(bahan1,R142)))</xm:f>
            <xm:f>bahan1</xm:f>
            <x14:dxf>
              <fill>
                <patternFill>
                  <bgColor theme="7" tint="0.39994506668294322"/>
                </patternFill>
              </fill>
            </x14:dxf>
          </x14:cfRule>
          <x14:cfRule type="containsText" priority="37" operator="containsText" id="{4CACDDF0-07AD-4A09-BD08-3BF25AB69B5F}">
            <xm:f>NOT(ISERROR(SEARCH(bahan5,R142)))</xm:f>
            <xm:f>bahan5</xm:f>
            <x14:dxf>
              <fill>
                <patternFill>
                  <bgColor rgb="FF00B0F0"/>
                </patternFill>
              </fill>
            </x14:dxf>
          </x14:cfRule>
          <xm:sqref>R142</xm:sqref>
        </x14:conditionalFormatting>
        <x14:conditionalFormatting xmlns:xm="http://schemas.microsoft.com/office/excel/2006/main">
          <x14:cfRule type="containsText" priority="5857" operator="containsText" id="{C36C0405-1E64-4C01-A4C8-DB5B592ED46D}">
            <xm:f>NOT(ISERROR(SEARCH(bahan1,R143)))</xm:f>
            <xm:f>bahan1</xm:f>
            <x14:dxf>
              <fill>
                <patternFill>
                  <bgColor theme="7" tint="0.39994506668294322"/>
                </patternFill>
              </fill>
            </x14:dxf>
          </x14:cfRule>
          <x14:cfRule type="containsText" priority="5858" operator="containsText" id="{23DA0E62-1D67-40A0-A920-34B23D91033A}">
            <xm:f>NOT(ISERROR(SEARCH(bahan5,R143)))</xm:f>
            <xm:f>bahan5</xm:f>
            <x14:dxf>
              <fill>
                <patternFill>
                  <bgColor rgb="FF00B0F0"/>
                </patternFill>
              </fill>
            </x14:dxf>
          </x14:cfRule>
          <xm:sqref>R143</xm:sqref>
        </x14:conditionalFormatting>
        <x14:conditionalFormatting xmlns:xm="http://schemas.microsoft.com/office/excel/2006/main">
          <x14:cfRule type="containsText" priority="2" operator="containsText" id="{014E304C-D352-C343-AC30-F43D42BAAED4}">
            <xm:f>NOT(ISERROR(SEARCH(bahan1,R144)))</xm:f>
            <xm:f>bahan1</xm:f>
            <x14:dxf>
              <fill>
                <patternFill>
                  <bgColor theme="7" tint="0.39994506668294322"/>
                </patternFill>
              </fill>
            </x14:dxf>
          </x14:cfRule>
          <x14:cfRule type="containsText" priority="3" operator="containsText" id="{BBC0D297-DCCE-6F46-A6DE-B594D9C82844}">
            <xm:f>NOT(ISERROR(SEARCH(bahan5,R144)))</xm:f>
            <xm:f>bahan5</xm:f>
            <x14:dxf>
              <fill>
                <patternFill>
                  <bgColor rgb="FF00B0F0"/>
                </patternFill>
              </fill>
            </x14:dxf>
          </x14:cfRule>
          <xm:sqref>R144:R198</xm:sqref>
        </x14:conditionalFormatting>
        <x14:conditionalFormatting xmlns:xm="http://schemas.microsoft.com/office/excel/2006/main">
          <x14:cfRule type="containsText" priority="5129" operator="containsText" id="{BBBFAB16-5DB6-465F-A0D5-AF8430D7D109}">
            <xm:f>NOT(ISERROR(SEARCH(bahan5,R199)))</xm:f>
            <xm:f>bahan5</xm:f>
            <x14:dxf>
              <fill>
                <patternFill>
                  <bgColor rgb="FF00B0F0"/>
                </patternFill>
              </fill>
            </x14:dxf>
          </x14:cfRule>
          <x14:cfRule type="containsText" priority="5128" operator="containsText" id="{9BA6E22D-096F-47DC-95E4-3617780214E6}">
            <xm:f>NOT(ISERROR(SEARCH(bahan1,R199)))</xm:f>
            <xm:f>bahan1</xm:f>
            <x14:dxf>
              <fill>
                <patternFill>
                  <bgColor theme="7" tint="0.39994506668294322"/>
                </patternFill>
              </fill>
            </x14:dxf>
          </x14:cfRule>
          <xm:sqref>R199:R200</xm:sqref>
        </x14:conditionalFormatting>
        <x14:conditionalFormatting xmlns:xm="http://schemas.microsoft.com/office/excel/2006/main">
          <x14:cfRule type="containsText" priority="5130" operator="containsText" id="{E121402F-7A25-40BF-B050-854207820C14}">
            <xm:f>NOT(ISERROR(SEARCH(kaca4,R199)))</xm:f>
            <xm:f>kaca4</xm:f>
            <x14:dxf>
              <fill>
                <patternFill>
                  <bgColor rgb="FF92D050"/>
                </patternFill>
              </fill>
            </x14:dxf>
          </x14:cfRule>
          <xm:sqref>R199:R201</xm:sqref>
        </x14:conditionalFormatting>
        <x14:conditionalFormatting xmlns:xm="http://schemas.microsoft.com/office/excel/2006/main">
          <x14:cfRule type="containsText" priority="12747" operator="containsText" id="{39DBD997-F611-46B9-A3C3-F4422EDB6810}">
            <xm:f>NOT(ISERROR(SEARCH(bahan1,R201)))</xm:f>
            <xm:f>bahan1</xm:f>
            <x14:dxf>
              <fill>
                <patternFill>
                  <bgColor theme="7" tint="0.39994506668294322"/>
                </patternFill>
              </fill>
            </x14:dxf>
          </x14:cfRule>
          <x14:cfRule type="containsText" priority="12748" operator="containsText" id="{80A78B1F-6E93-4D88-A705-19DD17401898}">
            <xm:f>NOT(ISERROR(SEARCH(bahan5,R201)))</xm:f>
            <xm:f>bahan5</xm:f>
            <x14:dxf>
              <fill>
                <patternFill>
                  <bgColor rgb="FF00B0F0"/>
                </patternFill>
              </fill>
            </x14:dxf>
          </x14:cfRule>
          <xm:sqref>R201</xm:sqref>
        </x14:conditionalFormatting>
        <x14:conditionalFormatting xmlns:xm="http://schemas.microsoft.com/office/excel/2006/main">
          <x14:cfRule type="containsText" priority="5076" operator="containsText" id="{708E3F1D-D353-45F4-9597-3EAA2B00A0B7}">
            <xm:f>NOT(ISERROR(SEARCH(bahan1,R202)))</xm:f>
            <xm:f>bahan1</xm:f>
            <x14:dxf>
              <fill>
                <patternFill>
                  <bgColor theme="7" tint="0.39994506668294322"/>
                </patternFill>
              </fill>
            </x14:dxf>
          </x14:cfRule>
          <x14:cfRule type="containsText" priority="5077" operator="containsText" id="{EA3DCCD1-EC64-4F4B-A9EF-8472EEC8A9C3}">
            <xm:f>NOT(ISERROR(SEARCH(bahan5,R202)))</xm:f>
            <xm:f>bahan5</xm:f>
            <x14:dxf>
              <fill>
                <patternFill>
                  <bgColor rgb="FF00B0F0"/>
                </patternFill>
              </fill>
            </x14:dxf>
          </x14:cfRule>
          <x14:cfRule type="containsText" priority="5078" operator="containsText" id="{158FC61A-04CB-477A-A486-312376818C23}">
            <xm:f>NOT(ISERROR(SEARCH(kaca4,R202)))</xm:f>
            <xm:f>kaca4</xm:f>
            <x14:dxf>
              <fill>
                <patternFill>
                  <bgColor rgb="FF92D050"/>
                </patternFill>
              </fill>
            </x14:dxf>
          </x14:cfRule>
          <xm:sqref>R202</xm:sqref>
        </x14:conditionalFormatting>
        <x14:conditionalFormatting xmlns:xm="http://schemas.microsoft.com/office/excel/2006/main">
          <x14:cfRule type="containsText" priority="5053" operator="containsText" id="{120F6BF7-EC0B-49B2-86E4-B45B01A5C8A5}">
            <xm:f>NOT(ISERROR(SEARCH(bahan1,R203)))</xm:f>
            <xm:f>bahan1</xm:f>
            <x14:dxf>
              <fill>
                <patternFill>
                  <bgColor theme="7" tint="0.39994506668294322"/>
                </patternFill>
              </fill>
            </x14:dxf>
          </x14:cfRule>
          <x14:cfRule type="containsText" priority="5054" operator="containsText" id="{3D3D315B-7F9D-4AEF-A4E5-E378FB0184A6}">
            <xm:f>NOT(ISERROR(SEARCH(bahan5,R203)))</xm:f>
            <xm:f>bahan5</xm:f>
            <x14:dxf>
              <fill>
                <patternFill>
                  <bgColor rgb="FF00B0F0"/>
                </patternFill>
              </fill>
            </x14:dxf>
          </x14:cfRule>
          <xm:sqref>R203</xm:sqref>
        </x14:conditionalFormatting>
        <x14:conditionalFormatting xmlns:xm="http://schemas.microsoft.com/office/excel/2006/main">
          <x14:cfRule type="containsText" priority="4862" operator="containsText" id="{CE0D6E47-BC9E-4943-8697-8CADA78ED853}">
            <xm:f>NOT(ISERROR(SEARCH(kaca4,R203)))</xm:f>
            <xm:f>kaca4</xm:f>
            <x14:dxf>
              <fill>
                <patternFill>
                  <bgColor rgb="FF92D050"/>
                </patternFill>
              </fill>
            </x14:dxf>
          </x14:cfRule>
          <xm:sqref>R203:R222</xm:sqref>
        </x14:conditionalFormatting>
        <x14:conditionalFormatting xmlns:xm="http://schemas.microsoft.com/office/excel/2006/main">
          <x14:cfRule type="containsText" priority="13348" operator="containsText" id="{43FC32FE-AFD5-493A-9BC9-E74AB7A650AC}">
            <xm:f>NOT(ISERROR(SEARCH(bahan1,R204)))</xm:f>
            <xm:f>bahan1</xm:f>
            <x14:dxf>
              <fill>
                <patternFill>
                  <bgColor theme="7" tint="0.39994506668294322"/>
                </patternFill>
              </fill>
            </x14:dxf>
          </x14:cfRule>
          <x14:cfRule type="containsText" priority="13349" operator="containsText" id="{769CEB68-9C55-4DB0-99DD-E07F7F0692B5}">
            <xm:f>NOT(ISERROR(SEARCH(bahan5,R204)))</xm:f>
            <xm:f>bahan5</xm:f>
            <x14:dxf>
              <fill>
                <patternFill>
                  <bgColor rgb="FF00B0F0"/>
                </patternFill>
              </fill>
            </x14:dxf>
          </x14:cfRule>
          <xm:sqref>R204</xm:sqref>
        </x14:conditionalFormatting>
        <x14:conditionalFormatting xmlns:xm="http://schemas.microsoft.com/office/excel/2006/main">
          <x14:cfRule type="containsText" priority="4933" operator="containsText" id="{0CC170D6-C28A-453D-8FC7-BC12D89A3897}">
            <xm:f>NOT(ISERROR(SEARCH(bahan1,R205)))</xm:f>
            <xm:f>bahan1</xm:f>
            <x14:dxf>
              <fill>
                <patternFill>
                  <bgColor theme="7" tint="0.39994506668294322"/>
                </patternFill>
              </fill>
            </x14:dxf>
          </x14:cfRule>
          <x14:cfRule type="containsText" priority="4934" operator="containsText" id="{88A8F3F3-758A-4DA0-9810-AD5621475BFB}">
            <xm:f>NOT(ISERROR(SEARCH(bahan5,R205)))</xm:f>
            <xm:f>bahan5</xm:f>
            <x14:dxf>
              <fill>
                <patternFill>
                  <bgColor rgb="FF00B0F0"/>
                </patternFill>
              </fill>
            </x14:dxf>
          </x14:cfRule>
          <xm:sqref>R205</xm:sqref>
        </x14:conditionalFormatting>
        <x14:conditionalFormatting xmlns:xm="http://schemas.microsoft.com/office/excel/2006/main">
          <x14:cfRule type="containsText" priority="4860" operator="containsText" id="{C6850EE6-FE28-4C1A-A25F-C422A0B2D2B9}">
            <xm:f>NOT(ISERROR(SEARCH(bahan1,R206)))</xm:f>
            <xm:f>bahan1</xm:f>
            <x14:dxf>
              <fill>
                <patternFill>
                  <bgColor theme="7" tint="0.39994506668294322"/>
                </patternFill>
              </fill>
            </x14:dxf>
          </x14:cfRule>
          <x14:cfRule type="containsText" priority="4861" operator="containsText" id="{B74CCCD1-3E1E-4832-AB32-E698E02E34CC}">
            <xm:f>NOT(ISERROR(SEARCH(bahan5,R206)))</xm:f>
            <xm:f>bahan5</xm:f>
            <x14:dxf>
              <fill>
                <patternFill>
                  <bgColor rgb="FF00B0F0"/>
                </patternFill>
              </fill>
            </x14:dxf>
          </x14:cfRule>
          <xm:sqref>R206:R222</xm:sqref>
        </x14:conditionalFormatting>
        <x14:conditionalFormatting xmlns:xm="http://schemas.microsoft.com/office/excel/2006/main">
          <x14:cfRule type="containsText" priority="4865" operator="containsText" id="{71C8E8DD-AA6A-4105-87A9-5520313001FB}">
            <xm:f>NOT(ISERROR(SEARCH(kaca4,R223)))</xm:f>
            <xm:f>kaca4</xm:f>
            <x14:dxf>
              <fill>
                <patternFill>
                  <bgColor rgb="FF92D050"/>
                </patternFill>
              </fill>
            </x14:dxf>
          </x14:cfRule>
          <x14:cfRule type="containsText" priority="4864" operator="containsText" id="{018855C0-7712-4FD3-BCF0-47A1C2390A16}">
            <xm:f>NOT(ISERROR(SEARCH(bahan5,R223)))</xm:f>
            <xm:f>bahan5</xm:f>
            <x14:dxf>
              <fill>
                <patternFill>
                  <bgColor rgb="FF00B0F0"/>
                </patternFill>
              </fill>
            </x14:dxf>
          </x14:cfRule>
          <x14:cfRule type="containsText" priority="4863" operator="containsText" id="{25A424F3-D221-4025-A292-C8BA4E4BEBD4}">
            <xm:f>NOT(ISERROR(SEARCH(bahan1,R223)))</xm:f>
            <xm:f>bahan1</xm:f>
            <x14:dxf>
              <fill>
                <patternFill>
                  <bgColor theme="7" tint="0.39994506668294322"/>
                </patternFill>
              </fill>
            </x14:dxf>
          </x14:cfRule>
          <xm:sqref>R223</xm:sqref>
        </x14:conditionalFormatting>
        <x14:conditionalFormatting xmlns:xm="http://schemas.microsoft.com/office/excel/2006/main">
          <x14:cfRule type="containsText" priority="4858" operator="containsText" id="{436917C6-75CB-47E9-A674-DD3C668E04D6}">
            <xm:f>NOT(ISERROR(SEARCH(bahan5,R224)))</xm:f>
            <xm:f>bahan5</xm:f>
            <x14:dxf>
              <fill>
                <patternFill>
                  <bgColor rgb="FF00B0F0"/>
                </patternFill>
              </fill>
            </x14:dxf>
          </x14:cfRule>
          <x14:cfRule type="containsText" priority="4857" operator="containsText" id="{B10FF9E7-724A-4BDE-BF45-2E980C813B72}">
            <xm:f>NOT(ISERROR(SEARCH(bahan1,R224)))</xm:f>
            <xm:f>bahan1</xm:f>
            <x14:dxf>
              <fill>
                <patternFill>
                  <bgColor theme="7" tint="0.39994506668294322"/>
                </patternFill>
              </fill>
            </x14:dxf>
          </x14:cfRule>
          <xm:sqref>R224:R227</xm:sqref>
        </x14:conditionalFormatting>
        <x14:conditionalFormatting xmlns:xm="http://schemas.microsoft.com/office/excel/2006/main">
          <x14:cfRule type="containsText" priority="4859" operator="containsText" id="{7EA4FFCC-C682-4973-BD43-C15F77436DDC}">
            <xm:f>NOT(ISERROR(SEARCH(kaca4,R224)))</xm:f>
            <xm:f>kaca4</xm:f>
            <x14:dxf>
              <fill>
                <patternFill>
                  <bgColor rgb="FF92D050"/>
                </patternFill>
              </fill>
            </x14:dxf>
          </x14:cfRule>
          <xm:sqref>R224:R229</xm:sqref>
        </x14:conditionalFormatting>
        <x14:conditionalFormatting xmlns:xm="http://schemas.microsoft.com/office/excel/2006/main">
          <x14:cfRule type="containsText" priority="12819" operator="containsText" id="{55110257-1762-4B9E-B5D3-069760F643C4}">
            <xm:f>NOT(ISERROR(SEARCH(bahan1,R228)))</xm:f>
            <xm:f>bahan1</xm:f>
            <x14:dxf>
              <fill>
                <patternFill>
                  <bgColor theme="7" tint="0.39994506668294322"/>
                </patternFill>
              </fill>
            </x14:dxf>
          </x14:cfRule>
          <x14:cfRule type="containsText" priority="12820" operator="containsText" id="{B6FFE764-437B-49E0-8F0C-6EDB22E85455}">
            <xm:f>NOT(ISERROR(SEARCH(bahan5,R228)))</xm:f>
            <xm:f>bahan5</xm:f>
            <x14:dxf>
              <fill>
                <patternFill>
                  <bgColor rgb="FF00B0F0"/>
                </patternFill>
              </fill>
            </x14:dxf>
          </x14:cfRule>
          <xm:sqref>R228</xm:sqref>
        </x14:conditionalFormatting>
        <x14:conditionalFormatting xmlns:xm="http://schemas.microsoft.com/office/excel/2006/main">
          <x14:cfRule type="containsText" priority="12843" operator="containsText" id="{D93D42BD-C788-43B2-BA78-8548675700A4}">
            <xm:f>NOT(ISERROR(SEARCH(bahan1,R229)))</xm:f>
            <xm:f>bahan1</xm:f>
            <x14:dxf>
              <fill>
                <patternFill>
                  <bgColor theme="7" tint="0.39994506668294322"/>
                </patternFill>
              </fill>
            </x14:dxf>
          </x14:cfRule>
          <x14:cfRule type="containsText" priority="12844" operator="containsText" id="{4524BE2A-86A4-427C-9F44-5035A62A6737}">
            <xm:f>NOT(ISERROR(SEARCH(bahan5,R229)))</xm:f>
            <xm:f>bahan5</xm:f>
            <x14:dxf>
              <fill>
                <patternFill>
                  <bgColor rgb="FF00B0F0"/>
                </patternFill>
              </fill>
            </x14:dxf>
          </x14:cfRule>
          <xm:sqref>R229</xm:sqref>
        </x14:conditionalFormatting>
        <x14:conditionalFormatting xmlns:xm="http://schemas.microsoft.com/office/excel/2006/main">
          <x14:cfRule type="containsText" priority="4834" operator="containsText" id="{5E5A2669-826E-4C2A-95C6-4829D83D827D}">
            <xm:f>NOT(ISERROR(SEARCH(bahan5,R230)))</xm:f>
            <xm:f>bahan5</xm:f>
            <x14:dxf>
              <fill>
                <patternFill>
                  <bgColor rgb="FF00B0F0"/>
                </patternFill>
              </fill>
            </x14:dxf>
          </x14:cfRule>
          <x14:cfRule type="containsText" priority="4833" operator="containsText" id="{329AE9A0-F311-48C9-B0A8-08F0709B2AD3}">
            <xm:f>NOT(ISERROR(SEARCH(bahan1,R230)))</xm:f>
            <xm:f>bahan1</xm:f>
            <x14:dxf>
              <fill>
                <patternFill>
                  <bgColor theme="7" tint="0.39994506668294322"/>
                </patternFill>
              </fill>
            </x14:dxf>
          </x14:cfRule>
          <xm:sqref>R230</xm:sqref>
        </x14:conditionalFormatting>
        <x14:conditionalFormatting xmlns:xm="http://schemas.microsoft.com/office/excel/2006/main">
          <x14:cfRule type="containsText" priority="3470" operator="containsText" id="{6BF63AE6-89DC-4DC6-87F2-BD4F23DFDD9D}">
            <xm:f>NOT(ISERROR(SEARCH(kaca4,R230)))</xm:f>
            <xm:f>kaca4</xm:f>
            <x14:dxf>
              <fill>
                <patternFill>
                  <bgColor rgb="FF92D050"/>
                </patternFill>
              </fill>
            </x14:dxf>
          </x14:cfRule>
          <xm:sqref>R230:R375</xm:sqref>
        </x14:conditionalFormatting>
        <x14:conditionalFormatting xmlns:xm="http://schemas.microsoft.com/office/excel/2006/main">
          <x14:cfRule type="containsText" priority="4810" operator="containsText" id="{09E7CE8D-9540-42B3-A131-491F1097B604}">
            <xm:f>NOT(ISERROR(SEARCH(bahan5,R231)))</xm:f>
            <xm:f>bahan5</xm:f>
            <x14:dxf>
              <fill>
                <patternFill>
                  <bgColor rgb="FF00B0F0"/>
                </patternFill>
              </fill>
            </x14:dxf>
          </x14:cfRule>
          <x14:cfRule type="containsText" priority="4809" operator="containsText" id="{72D34E62-45D0-4D6E-A391-80267886FC21}">
            <xm:f>NOT(ISERROR(SEARCH(bahan1,R231)))</xm:f>
            <xm:f>bahan1</xm:f>
            <x14:dxf>
              <fill>
                <patternFill>
                  <bgColor theme="7" tint="0.39994506668294322"/>
                </patternFill>
              </fill>
            </x14:dxf>
          </x14:cfRule>
          <xm:sqref>R231:R237</xm:sqref>
        </x14:conditionalFormatting>
        <x14:conditionalFormatting xmlns:xm="http://schemas.microsoft.com/office/excel/2006/main">
          <x14:cfRule type="containsText" priority="4784" operator="containsText" id="{4B0985F1-7E4A-4510-AA5D-B5670887459A}">
            <xm:f>NOT(ISERROR(SEARCH(bahan1,R238)))</xm:f>
            <xm:f>bahan1</xm:f>
            <x14:dxf>
              <fill>
                <patternFill>
                  <bgColor theme="7" tint="0.39994506668294322"/>
                </patternFill>
              </fill>
            </x14:dxf>
          </x14:cfRule>
          <x14:cfRule type="containsText" priority="4785" operator="containsText" id="{5A99C8DC-4435-45F6-9D13-D8A2AD920392}">
            <xm:f>NOT(ISERROR(SEARCH(bahan5,R238)))</xm:f>
            <xm:f>bahan5</xm:f>
            <x14:dxf>
              <fill>
                <patternFill>
                  <bgColor rgb="FF00B0F0"/>
                </patternFill>
              </fill>
            </x14:dxf>
          </x14:cfRule>
          <xm:sqref>R238</xm:sqref>
        </x14:conditionalFormatting>
        <x14:conditionalFormatting xmlns:xm="http://schemas.microsoft.com/office/excel/2006/main">
          <x14:cfRule type="containsText" priority="16194" operator="containsText" id="{0228EB0A-2322-482F-A0D6-D668AACB692B}">
            <xm:f>NOT(ISERROR(SEARCH(bahan1,R239)))</xm:f>
            <xm:f>bahan1</xm:f>
            <x14:dxf>
              <fill>
                <patternFill>
                  <bgColor theme="7" tint="0.39994506668294322"/>
                </patternFill>
              </fill>
            </x14:dxf>
          </x14:cfRule>
          <x14:cfRule type="containsText" priority="16195" operator="containsText" id="{B4970448-CB9A-48A2-9DA1-280565BBFA07}">
            <xm:f>NOT(ISERROR(SEARCH(bahan5,R239)))</xm:f>
            <xm:f>bahan5</xm:f>
            <x14:dxf>
              <fill>
                <patternFill>
                  <bgColor rgb="FF00B0F0"/>
                </patternFill>
              </fill>
            </x14:dxf>
          </x14:cfRule>
          <xm:sqref>R239</xm:sqref>
        </x14:conditionalFormatting>
        <x14:conditionalFormatting xmlns:xm="http://schemas.microsoft.com/office/excel/2006/main">
          <x14:cfRule type="containsText" priority="4688" operator="containsText" id="{FDD91B94-B72B-4259-8708-498E9EC4623B}">
            <xm:f>NOT(ISERROR(SEARCH(bahan1,R240)))</xm:f>
            <xm:f>bahan1</xm:f>
            <x14:dxf>
              <fill>
                <patternFill>
                  <bgColor theme="7" tint="0.39994506668294322"/>
                </patternFill>
              </fill>
            </x14:dxf>
          </x14:cfRule>
          <x14:cfRule type="containsText" priority="4689" operator="containsText" id="{26D369D7-3383-461F-B59C-A1EEDC0FC9B2}">
            <xm:f>NOT(ISERROR(SEARCH(bahan5,R240)))</xm:f>
            <xm:f>bahan5</xm:f>
            <x14:dxf>
              <fill>
                <patternFill>
                  <bgColor rgb="FF00B0F0"/>
                </patternFill>
              </fill>
            </x14:dxf>
          </x14:cfRule>
          <xm:sqref>R240</xm:sqref>
        </x14:conditionalFormatting>
        <x14:conditionalFormatting xmlns:xm="http://schemas.microsoft.com/office/excel/2006/main">
          <x14:cfRule type="containsText" priority="4760" operator="containsText" id="{37172805-D2B6-4D7B-91B3-5A0D1EBF8163}">
            <xm:f>NOT(ISERROR(SEARCH(bahan1,R241)))</xm:f>
            <xm:f>bahan1</xm:f>
            <x14:dxf>
              <fill>
                <patternFill>
                  <bgColor theme="7" tint="0.39994506668294322"/>
                </patternFill>
              </fill>
            </x14:dxf>
          </x14:cfRule>
          <x14:cfRule type="containsText" priority="4761" operator="containsText" id="{D3D7E9D5-0064-4870-AE07-E251E0132C95}">
            <xm:f>NOT(ISERROR(SEARCH(bahan5,R241)))</xm:f>
            <xm:f>bahan5</xm:f>
            <x14:dxf>
              <fill>
                <patternFill>
                  <bgColor rgb="FF00B0F0"/>
                </patternFill>
              </fill>
            </x14:dxf>
          </x14:cfRule>
          <xm:sqref>R241</xm:sqref>
        </x14:conditionalFormatting>
        <x14:conditionalFormatting xmlns:xm="http://schemas.microsoft.com/office/excel/2006/main">
          <x14:cfRule type="containsText" priority="12940" operator="containsText" id="{0944692A-C260-4157-9775-099054BDA9CD}">
            <xm:f>NOT(ISERROR(SEARCH(bahan5,R242)))</xm:f>
            <xm:f>bahan5</xm:f>
            <x14:dxf>
              <fill>
                <patternFill>
                  <bgColor rgb="FF00B0F0"/>
                </patternFill>
              </fill>
            </x14:dxf>
          </x14:cfRule>
          <x14:cfRule type="containsText" priority="12939" operator="containsText" id="{EE9D1F9A-8C35-4568-B232-CEA52A116F60}">
            <xm:f>NOT(ISERROR(SEARCH(bahan1,R242)))</xm:f>
            <xm:f>bahan1</xm:f>
            <x14:dxf>
              <fill>
                <patternFill>
                  <bgColor theme="7" tint="0.39994506668294322"/>
                </patternFill>
              </fill>
            </x14:dxf>
          </x14:cfRule>
          <xm:sqref>R242</xm:sqref>
        </x14:conditionalFormatting>
        <x14:conditionalFormatting xmlns:xm="http://schemas.microsoft.com/office/excel/2006/main">
          <x14:cfRule type="containsText" priority="4737" operator="containsText" id="{69A7843A-61DE-4E87-BD08-CF8DA8131A39}">
            <xm:f>NOT(ISERROR(SEARCH(bahan5,R243)))</xm:f>
            <xm:f>bahan5</xm:f>
            <x14:dxf>
              <fill>
                <patternFill>
                  <bgColor rgb="FF00B0F0"/>
                </patternFill>
              </fill>
            </x14:dxf>
          </x14:cfRule>
          <x14:cfRule type="containsText" priority="4736" operator="containsText" id="{DF3F21FC-9A89-44FB-8AD4-DED947971277}">
            <xm:f>NOT(ISERROR(SEARCH(bahan1,R243)))</xm:f>
            <xm:f>bahan1</xm:f>
            <x14:dxf>
              <fill>
                <patternFill>
                  <bgColor theme="7" tint="0.39994506668294322"/>
                </patternFill>
              </fill>
            </x14:dxf>
          </x14:cfRule>
          <xm:sqref>R243</xm:sqref>
        </x14:conditionalFormatting>
        <x14:conditionalFormatting xmlns:xm="http://schemas.microsoft.com/office/excel/2006/main">
          <x14:cfRule type="containsText" priority="4664" operator="containsText" id="{73A3B62D-F220-49C0-9C2E-4F6A855AC122}">
            <xm:f>NOT(ISERROR(SEARCH(bahan1,R244)))</xm:f>
            <xm:f>bahan1</xm:f>
            <x14:dxf>
              <fill>
                <patternFill>
                  <bgColor theme="7" tint="0.39994506668294322"/>
                </patternFill>
              </fill>
            </x14:dxf>
          </x14:cfRule>
          <x14:cfRule type="containsText" priority="4665" operator="containsText" id="{03EE85A2-B04B-49AD-893D-F0023491974B}">
            <xm:f>NOT(ISERROR(SEARCH(bahan5,R244)))</xm:f>
            <xm:f>bahan5</xm:f>
            <x14:dxf>
              <fill>
                <patternFill>
                  <bgColor rgb="FF00B0F0"/>
                </patternFill>
              </fill>
            </x14:dxf>
          </x14:cfRule>
          <xm:sqref>R244</xm:sqref>
        </x14:conditionalFormatting>
        <x14:conditionalFormatting xmlns:xm="http://schemas.microsoft.com/office/excel/2006/main">
          <x14:cfRule type="containsText" priority="4617" operator="containsText" id="{642C71A0-747F-4B4A-918A-BBA6AA30DB5B}">
            <xm:f>NOT(ISERROR(SEARCH(bahan5,R245)))</xm:f>
            <xm:f>bahan5</xm:f>
            <x14:dxf>
              <fill>
                <patternFill>
                  <bgColor rgb="FF00B0F0"/>
                </patternFill>
              </fill>
            </x14:dxf>
          </x14:cfRule>
          <x14:cfRule type="containsText" priority="4616" operator="containsText" id="{B168CD82-F629-4561-828F-85818B949658}">
            <xm:f>NOT(ISERROR(SEARCH(bahan1,R245)))</xm:f>
            <xm:f>bahan1</xm:f>
            <x14:dxf>
              <fill>
                <patternFill>
                  <bgColor theme="7" tint="0.39994506668294322"/>
                </patternFill>
              </fill>
            </x14:dxf>
          </x14:cfRule>
          <xm:sqref>R245:R251</xm:sqref>
        </x14:conditionalFormatting>
        <x14:conditionalFormatting xmlns:xm="http://schemas.microsoft.com/office/excel/2006/main">
          <x14:cfRule type="containsText" priority="4593" operator="containsText" id="{C74DF51E-E534-4915-AA89-C49CB1680A63}">
            <xm:f>NOT(ISERROR(SEARCH(bahan5,R252)))</xm:f>
            <xm:f>bahan5</xm:f>
            <x14:dxf>
              <fill>
                <patternFill>
                  <bgColor rgb="FF00B0F0"/>
                </patternFill>
              </fill>
            </x14:dxf>
          </x14:cfRule>
          <x14:cfRule type="containsText" priority="4592" operator="containsText" id="{D933509F-2B92-4ACA-8A23-357BB8898219}">
            <xm:f>NOT(ISERROR(SEARCH(bahan1,R252)))</xm:f>
            <xm:f>bahan1</xm:f>
            <x14:dxf>
              <fill>
                <patternFill>
                  <bgColor theme="7" tint="0.39994506668294322"/>
                </patternFill>
              </fill>
            </x14:dxf>
          </x14:cfRule>
          <xm:sqref>R252</xm:sqref>
        </x14:conditionalFormatting>
        <x14:conditionalFormatting xmlns:xm="http://schemas.microsoft.com/office/excel/2006/main">
          <x14:cfRule type="containsText" priority="4641" operator="containsText" id="{120DA3EB-3DC8-4A05-92FF-9CA643AEB092}">
            <xm:f>NOT(ISERROR(SEARCH(bahan5,R253)))</xm:f>
            <xm:f>bahan5</xm:f>
            <x14:dxf>
              <fill>
                <patternFill>
                  <bgColor rgb="FF00B0F0"/>
                </patternFill>
              </fill>
            </x14:dxf>
          </x14:cfRule>
          <x14:cfRule type="containsText" priority="4640" operator="containsText" id="{A1A61359-ADC1-4537-9F86-F54D34C091A8}">
            <xm:f>NOT(ISERROR(SEARCH(bahan1,R253)))</xm:f>
            <xm:f>bahan1</xm:f>
            <x14:dxf>
              <fill>
                <patternFill>
                  <bgColor theme="7" tint="0.39994506668294322"/>
                </patternFill>
              </fill>
            </x14:dxf>
          </x14:cfRule>
          <xm:sqref>R253</xm:sqref>
        </x14:conditionalFormatting>
        <x14:conditionalFormatting xmlns:xm="http://schemas.microsoft.com/office/excel/2006/main">
          <x14:cfRule type="containsText" priority="4569" operator="containsText" id="{FEA36D3C-5805-4A99-A391-EAE3EE9A7981}">
            <xm:f>NOT(ISERROR(SEARCH(bahan5,R254)))</xm:f>
            <xm:f>bahan5</xm:f>
            <x14:dxf>
              <fill>
                <patternFill>
                  <bgColor rgb="FF00B0F0"/>
                </patternFill>
              </fill>
            </x14:dxf>
          </x14:cfRule>
          <x14:cfRule type="containsText" priority="4568" operator="containsText" id="{458780C2-CD4D-4AA8-A434-9E02595D6E8A}">
            <xm:f>NOT(ISERROR(SEARCH(bahan1,R254)))</xm:f>
            <xm:f>bahan1</xm:f>
            <x14:dxf>
              <fill>
                <patternFill>
                  <bgColor theme="7" tint="0.39994506668294322"/>
                </patternFill>
              </fill>
            </x14:dxf>
          </x14:cfRule>
          <xm:sqref>R254</xm:sqref>
        </x14:conditionalFormatting>
        <x14:conditionalFormatting xmlns:xm="http://schemas.microsoft.com/office/excel/2006/main">
          <x14:cfRule type="containsText" priority="16044" operator="containsText" id="{046C9060-02ED-4C62-9779-7ED5B26F72D9}">
            <xm:f>NOT(ISERROR(SEARCH(bahan1,R255)))</xm:f>
            <xm:f>bahan1</xm:f>
            <x14:dxf>
              <fill>
                <patternFill>
                  <bgColor theme="7" tint="0.39994506668294322"/>
                </patternFill>
              </fill>
            </x14:dxf>
          </x14:cfRule>
          <x14:cfRule type="containsText" priority="16045" operator="containsText" id="{50ED046E-24EE-4E66-B8E9-AA1A3552D543}">
            <xm:f>NOT(ISERROR(SEARCH(bahan5,R255)))</xm:f>
            <xm:f>bahan5</xm:f>
            <x14:dxf>
              <fill>
                <patternFill>
                  <bgColor rgb="FF00B0F0"/>
                </patternFill>
              </fill>
            </x14:dxf>
          </x14:cfRule>
          <xm:sqref>R255</xm:sqref>
        </x14:conditionalFormatting>
        <x14:conditionalFormatting xmlns:xm="http://schemas.microsoft.com/office/excel/2006/main">
          <x14:cfRule type="containsText" priority="4544" operator="containsText" id="{C38443A2-6F16-4A9C-A82C-463C2C081765}">
            <xm:f>NOT(ISERROR(SEARCH(bahan5,R256)))</xm:f>
            <xm:f>bahan5</xm:f>
            <x14:dxf>
              <fill>
                <patternFill>
                  <bgColor rgb="FF00B0F0"/>
                </patternFill>
              </fill>
            </x14:dxf>
          </x14:cfRule>
          <x14:cfRule type="containsText" priority="4543" operator="containsText" id="{73D3469C-1509-42C8-B0BB-33D198458EF2}">
            <xm:f>NOT(ISERROR(SEARCH(bahan1,R256)))</xm:f>
            <xm:f>bahan1</xm:f>
            <x14:dxf>
              <fill>
                <patternFill>
                  <bgColor theme="7" tint="0.39994506668294322"/>
                </patternFill>
              </fill>
            </x14:dxf>
          </x14:cfRule>
          <xm:sqref>R256</xm:sqref>
        </x14:conditionalFormatting>
        <x14:conditionalFormatting xmlns:xm="http://schemas.microsoft.com/office/excel/2006/main">
          <x14:cfRule type="containsText" priority="4423" operator="containsText" id="{2F00F186-2970-453C-9832-D27B2A58B76D}">
            <xm:f>NOT(ISERROR(SEARCH(bahan5,R257)))</xm:f>
            <xm:f>bahan5</xm:f>
            <x14:dxf>
              <fill>
                <patternFill>
                  <bgColor rgb="FF00B0F0"/>
                </patternFill>
              </fill>
            </x14:dxf>
          </x14:cfRule>
          <x14:cfRule type="containsText" priority="4422" operator="containsText" id="{D6577570-0A2B-434D-9662-85C4004EE3CD}">
            <xm:f>NOT(ISERROR(SEARCH(bahan1,R257)))</xm:f>
            <xm:f>bahan1</xm:f>
            <x14:dxf>
              <fill>
                <patternFill>
                  <bgColor theme="7" tint="0.39994506668294322"/>
                </patternFill>
              </fill>
            </x14:dxf>
          </x14:cfRule>
          <xm:sqref>R257</xm:sqref>
        </x14:conditionalFormatting>
        <x14:conditionalFormatting xmlns:xm="http://schemas.microsoft.com/office/excel/2006/main">
          <x14:cfRule type="containsText" priority="4398" operator="containsText" id="{42F27D88-90E2-403E-936D-9C1DD3A9591C}">
            <xm:f>NOT(ISERROR(SEARCH(bahan1,R258)))</xm:f>
            <xm:f>bahan1</xm:f>
            <x14:dxf>
              <fill>
                <patternFill>
                  <bgColor theme="7" tint="0.39994506668294322"/>
                </patternFill>
              </fill>
            </x14:dxf>
          </x14:cfRule>
          <x14:cfRule type="containsText" priority="4399" operator="containsText" id="{BD01CB03-FBC2-47ED-8254-C0C7D866B260}">
            <xm:f>NOT(ISERROR(SEARCH(bahan5,R258)))</xm:f>
            <xm:f>bahan5</xm:f>
            <x14:dxf>
              <fill>
                <patternFill>
                  <bgColor rgb="FF00B0F0"/>
                </patternFill>
              </fill>
            </x14:dxf>
          </x14:cfRule>
          <xm:sqref>R258:R261</xm:sqref>
        </x14:conditionalFormatting>
        <x14:conditionalFormatting xmlns:xm="http://schemas.microsoft.com/office/excel/2006/main">
          <x14:cfRule type="containsText" priority="4446" operator="containsText" id="{5EA547EA-4952-48FF-93E9-A37236E0C1D1}">
            <xm:f>NOT(ISERROR(SEARCH(bahan1,R262)))</xm:f>
            <xm:f>bahan1</xm:f>
            <x14:dxf>
              <fill>
                <patternFill>
                  <bgColor theme="7" tint="0.39994506668294322"/>
                </patternFill>
              </fill>
            </x14:dxf>
          </x14:cfRule>
          <x14:cfRule type="containsText" priority="4447" operator="containsText" id="{B0BD84A8-D707-4673-AFE9-09E1A22D0F57}">
            <xm:f>NOT(ISERROR(SEARCH(bahan5,R262)))</xm:f>
            <xm:f>bahan5</xm:f>
            <x14:dxf>
              <fill>
                <patternFill>
                  <bgColor rgb="FF00B0F0"/>
                </patternFill>
              </fill>
            </x14:dxf>
          </x14:cfRule>
          <xm:sqref>R262</xm:sqref>
        </x14:conditionalFormatting>
        <x14:conditionalFormatting xmlns:xm="http://schemas.microsoft.com/office/excel/2006/main">
          <x14:cfRule type="containsText" priority="4375" operator="containsText" id="{50F24A65-3144-4428-A8A8-F8378B6202E7}">
            <xm:f>NOT(ISERROR(SEARCH(bahan5,R263)))</xm:f>
            <xm:f>bahan5</xm:f>
            <x14:dxf>
              <fill>
                <patternFill>
                  <bgColor rgb="FF00B0F0"/>
                </patternFill>
              </fill>
            </x14:dxf>
          </x14:cfRule>
          <x14:cfRule type="containsText" priority="4374" operator="containsText" id="{C11C322A-F26B-4178-86C9-DA50CF7D2A54}">
            <xm:f>NOT(ISERROR(SEARCH(bahan1,R263)))</xm:f>
            <xm:f>bahan1</xm:f>
            <x14:dxf>
              <fill>
                <patternFill>
                  <bgColor theme="7" tint="0.39994506668294322"/>
                </patternFill>
              </fill>
            </x14:dxf>
          </x14:cfRule>
          <xm:sqref>R263:R264</xm:sqref>
        </x14:conditionalFormatting>
        <x14:conditionalFormatting xmlns:xm="http://schemas.microsoft.com/office/excel/2006/main">
          <x14:cfRule type="containsText" priority="4314" operator="containsText" id="{B60D899C-980C-4575-92C4-ABD4CBA9AC21}">
            <xm:f>NOT(ISERROR(SEARCH(bahan1,R265)))</xm:f>
            <xm:f>bahan1</xm:f>
            <x14:dxf>
              <fill>
                <patternFill>
                  <bgColor theme="7" tint="0.39994506668294322"/>
                </patternFill>
              </fill>
            </x14:dxf>
          </x14:cfRule>
          <x14:cfRule type="containsText" priority="4315" operator="containsText" id="{A4253F40-0C3F-496F-AC3B-CE322CF2CC44}">
            <xm:f>NOT(ISERROR(SEARCH(bahan5,R265)))</xm:f>
            <xm:f>bahan5</xm:f>
            <x14:dxf>
              <fill>
                <patternFill>
                  <bgColor rgb="FF00B0F0"/>
                </patternFill>
              </fill>
            </x14:dxf>
          </x14:cfRule>
          <xm:sqref>R265</xm:sqref>
        </x14:conditionalFormatting>
        <x14:conditionalFormatting xmlns:xm="http://schemas.microsoft.com/office/excel/2006/main">
          <x14:cfRule type="containsText" priority="4349" operator="containsText" id="{D0508FC5-B4F1-4EAA-8742-1FD454B30621}">
            <xm:f>NOT(ISERROR(SEARCH(bahan1,R266)))</xm:f>
            <xm:f>bahan1</xm:f>
            <x14:dxf>
              <fill>
                <patternFill>
                  <bgColor theme="7" tint="0.39994506668294322"/>
                </patternFill>
              </fill>
            </x14:dxf>
          </x14:cfRule>
          <x14:cfRule type="containsText" priority="4350" operator="containsText" id="{303A7279-A2D6-482D-9940-94D2B5283950}">
            <xm:f>NOT(ISERROR(SEARCH(bahan5,R266)))</xm:f>
            <xm:f>bahan5</xm:f>
            <x14:dxf>
              <fill>
                <patternFill>
                  <bgColor rgb="FF00B0F0"/>
                </patternFill>
              </fill>
            </x14:dxf>
          </x14:cfRule>
          <xm:sqref>R266</xm:sqref>
        </x14:conditionalFormatting>
        <x14:conditionalFormatting xmlns:xm="http://schemas.microsoft.com/office/excel/2006/main">
          <x14:cfRule type="containsText" priority="4245" operator="containsText" id="{77601775-2CAD-49C7-871F-74D05549B8BB}">
            <xm:f>NOT(ISERROR(SEARCH(bahan5,R267)))</xm:f>
            <xm:f>bahan5</xm:f>
            <x14:dxf>
              <fill>
                <patternFill>
                  <bgColor rgb="FF00B0F0"/>
                </patternFill>
              </fill>
            </x14:dxf>
          </x14:cfRule>
          <x14:cfRule type="containsText" priority="4244" operator="containsText" id="{FCA328D4-2CF3-453B-8883-D3AFCAF9BF9B}">
            <xm:f>NOT(ISERROR(SEARCH(bahan1,R267)))</xm:f>
            <xm:f>bahan1</xm:f>
            <x14:dxf>
              <fill>
                <patternFill>
                  <bgColor theme="7" tint="0.39994506668294322"/>
                </patternFill>
              </fill>
            </x14:dxf>
          </x14:cfRule>
          <xm:sqref>R267</xm:sqref>
        </x14:conditionalFormatting>
        <x14:conditionalFormatting xmlns:xm="http://schemas.microsoft.com/office/excel/2006/main">
          <x14:cfRule type="containsText" priority="4221" operator="containsText" id="{57765829-AA08-46F2-B7DF-BB9C11F92DA6}">
            <xm:f>NOT(ISERROR(SEARCH(bahan5,R268)))</xm:f>
            <xm:f>bahan5</xm:f>
            <x14:dxf>
              <fill>
                <patternFill>
                  <bgColor rgb="FF00B0F0"/>
                </patternFill>
              </fill>
            </x14:dxf>
          </x14:cfRule>
          <x14:cfRule type="containsText" priority="4220" operator="containsText" id="{FB06C34B-99B3-420C-AB07-E2FE3B925D20}">
            <xm:f>NOT(ISERROR(SEARCH(bahan1,R268)))</xm:f>
            <xm:f>bahan1</xm:f>
            <x14:dxf>
              <fill>
                <patternFill>
                  <bgColor theme="7" tint="0.39994506668294322"/>
                </patternFill>
              </fill>
            </x14:dxf>
          </x14:cfRule>
          <xm:sqref>R268:R274</xm:sqref>
        </x14:conditionalFormatting>
        <x14:conditionalFormatting xmlns:xm="http://schemas.microsoft.com/office/excel/2006/main">
          <x14:cfRule type="containsText" priority="19489" operator="containsText" id="{F189B562-0ADD-459D-AEF4-7C50B97A5E2C}">
            <xm:f>NOT(ISERROR(SEARCH(bahan5,R275)))</xm:f>
            <xm:f>bahan5</xm:f>
            <x14:dxf>
              <fill>
                <patternFill>
                  <bgColor rgb="FF00B0F0"/>
                </patternFill>
              </fill>
            </x14:dxf>
          </x14:cfRule>
          <x14:cfRule type="containsText" priority="19488" operator="containsText" id="{5AA36547-2AE3-4FD9-A35F-BF41622E3493}">
            <xm:f>NOT(ISERROR(SEARCH(bahan1,R275)))</xm:f>
            <xm:f>bahan1</xm:f>
            <x14:dxf>
              <fill>
                <patternFill>
                  <bgColor theme="7" tint="0.39994506668294322"/>
                </patternFill>
              </fill>
            </x14:dxf>
          </x14:cfRule>
          <xm:sqref>R275</xm:sqref>
        </x14:conditionalFormatting>
        <x14:conditionalFormatting xmlns:xm="http://schemas.microsoft.com/office/excel/2006/main">
          <x14:cfRule type="containsText" priority="4148" operator="containsText" id="{13AAC371-F4A1-412B-B308-9C50E2E8F7AD}">
            <xm:f>NOT(ISERROR(SEARCH(bahan1,R276)))</xm:f>
            <xm:f>bahan1</xm:f>
            <x14:dxf>
              <fill>
                <patternFill>
                  <bgColor theme="7" tint="0.39994506668294322"/>
                </patternFill>
              </fill>
            </x14:dxf>
          </x14:cfRule>
          <x14:cfRule type="containsText" priority="4149" operator="containsText" id="{210B4974-ECF0-40BD-BDA3-6437C1170FDC}">
            <xm:f>NOT(ISERROR(SEARCH(bahan5,R276)))</xm:f>
            <xm:f>bahan5</xm:f>
            <x14:dxf>
              <fill>
                <patternFill>
                  <bgColor rgb="FF00B0F0"/>
                </patternFill>
              </fill>
            </x14:dxf>
          </x14:cfRule>
          <xm:sqref>R276</xm:sqref>
        </x14:conditionalFormatting>
        <x14:conditionalFormatting xmlns:xm="http://schemas.microsoft.com/office/excel/2006/main">
          <x14:cfRule type="containsText" priority="4197" operator="containsText" id="{C9D28744-0294-4A99-A314-8EBB12C0843D}">
            <xm:f>NOT(ISERROR(SEARCH(bahan5,R277)))</xm:f>
            <xm:f>bahan5</xm:f>
            <x14:dxf>
              <fill>
                <patternFill>
                  <bgColor rgb="FF00B0F0"/>
                </patternFill>
              </fill>
            </x14:dxf>
          </x14:cfRule>
          <x14:cfRule type="containsText" priority="4196" operator="containsText" id="{A5D4DFF3-B541-4837-AA1A-3BC769900D8F}">
            <xm:f>NOT(ISERROR(SEARCH(bahan1,R277)))</xm:f>
            <xm:f>bahan1</xm:f>
            <x14:dxf>
              <fill>
                <patternFill>
                  <bgColor theme="7" tint="0.39994506668294322"/>
                </patternFill>
              </fill>
            </x14:dxf>
          </x14:cfRule>
          <xm:sqref>R277:R278</xm:sqref>
        </x14:conditionalFormatting>
        <x14:conditionalFormatting xmlns:xm="http://schemas.microsoft.com/office/excel/2006/main">
          <x14:cfRule type="containsText" priority="12172" operator="containsText" id="{2073B2BB-1D29-4E5A-88B3-F06FF1BEA35F}">
            <xm:f>NOT(ISERROR(SEARCH(bahan5,R279)))</xm:f>
            <xm:f>bahan5</xm:f>
            <x14:dxf>
              <fill>
                <patternFill>
                  <bgColor rgb="FF00B0F0"/>
                </patternFill>
              </fill>
            </x14:dxf>
          </x14:cfRule>
          <x14:cfRule type="containsText" priority="12171" operator="containsText" id="{7CD93BD1-48BB-4F93-B394-67A3BB018B64}">
            <xm:f>NOT(ISERROR(SEARCH(bahan1,R279)))</xm:f>
            <xm:f>bahan1</xm:f>
            <x14:dxf>
              <fill>
                <patternFill>
                  <bgColor theme="7" tint="0.39994506668294322"/>
                </patternFill>
              </fill>
            </x14:dxf>
          </x14:cfRule>
          <xm:sqref>R279:R281</xm:sqref>
        </x14:conditionalFormatting>
        <x14:conditionalFormatting xmlns:xm="http://schemas.microsoft.com/office/excel/2006/main">
          <x14:cfRule type="containsText" priority="4123" operator="containsText" id="{9BAB731E-5BAC-455A-B399-F553ADA8A167}">
            <xm:f>NOT(ISERROR(SEARCH(bahan1,R282)))</xm:f>
            <xm:f>bahan1</xm:f>
            <x14:dxf>
              <fill>
                <patternFill>
                  <bgColor theme="7" tint="0.39994506668294322"/>
                </patternFill>
              </fill>
            </x14:dxf>
          </x14:cfRule>
          <x14:cfRule type="containsText" priority="4124" operator="containsText" id="{45118E51-3E3D-4638-A8D3-548E9F38EC21}">
            <xm:f>NOT(ISERROR(SEARCH(bahan5,R282)))</xm:f>
            <xm:f>bahan5</xm:f>
            <x14:dxf>
              <fill>
                <patternFill>
                  <bgColor rgb="FF00B0F0"/>
                </patternFill>
              </fill>
            </x14:dxf>
          </x14:cfRule>
          <xm:sqref>R282</xm:sqref>
        </x14:conditionalFormatting>
        <x14:conditionalFormatting xmlns:xm="http://schemas.microsoft.com/office/excel/2006/main">
          <x14:cfRule type="containsText" priority="4100" operator="containsText" id="{7A8593DD-7C1A-4191-8E16-2515FACD424F}">
            <xm:f>NOT(ISERROR(SEARCH(bahan5,R283)))</xm:f>
            <xm:f>bahan5</xm:f>
            <x14:dxf>
              <fill>
                <patternFill>
                  <bgColor rgb="FF00B0F0"/>
                </patternFill>
              </fill>
            </x14:dxf>
          </x14:cfRule>
          <x14:cfRule type="containsText" priority="4099" operator="containsText" id="{75FCAFDD-F0BD-4BEE-9BAE-6EF2CE757104}">
            <xm:f>NOT(ISERROR(SEARCH(bahan1,R283)))</xm:f>
            <xm:f>bahan1</xm:f>
            <x14:dxf>
              <fill>
                <patternFill>
                  <bgColor theme="7" tint="0.39994506668294322"/>
                </patternFill>
              </fill>
            </x14:dxf>
          </x14:cfRule>
          <xm:sqref>R283:R290</xm:sqref>
        </x14:conditionalFormatting>
        <x14:conditionalFormatting xmlns:xm="http://schemas.microsoft.com/office/excel/2006/main">
          <x14:cfRule type="containsText" priority="12075" operator="containsText" id="{8528893F-4C91-44CC-9D73-2D4E7FCF03C4}">
            <xm:f>NOT(ISERROR(SEARCH(bahan5,R291)))</xm:f>
            <xm:f>bahan5</xm:f>
            <x14:dxf>
              <fill>
                <patternFill>
                  <bgColor rgb="FF00B0F0"/>
                </patternFill>
              </fill>
            </x14:dxf>
          </x14:cfRule>
          <x14:cfRule type="containsText" priority="12074" operator="containsText" id="{ADA0CFC7-8EDB-41CA-A430-DA81FB47C4D1}">
            <xm:f>NOT(ISERROR(SEARCH(bahan1,R291)))</xm:f>
            <xm:f>bahan1</xm:f>
            <x14:dxf>
              <fill>
                <patternFill>
                  <bgColor theme="7" tint="0.39994506668294322"/>
                </patternFill>
              </fill>
            </x14:dxf>
          </x14:cfRule>
          <xm:sqref>R291</xm:sqref>
        </x14:conditionalFormatting>
        <x14:conditionalFormatting xmlns:xm="http://schemas.microsoft.com/office/excel/2006/main">
          <x14:cfRule type="containsText" priority="11904" operator="containsText" id="{E0DF1044-2A75-4F67-8A39-C6B8E8A2158E}">
            <xm:f>NOT(ISERROR(SEARCH(bahan5,R292)))</xm:f>
            <xm:f>bahan5</xm:f>
            <x14:dxf>
              <fill>
                <patternFill>
                  <bgColor rgb="FF00B0F0"/>
                </patternFill>
              </fill>
            </x14:dxf>
          </x14:cfRule>
          <x14:cfRule type="containsText" priority="11903" operator="containsText" id="{507949F1-BE52-431D-8BF9-84D616A46794}">
            <xm:f>NOT(ISERROR(SEARCH(bahan1,R292)))</xm:f>
            <xm:f>bahan1</xm:f>
            <x14:dxf>
              <fill>
                <patternFill>
                  <bgColor theme="7" tint="0.39994506668294322"/>
                </patternFill>
              </fill>
            </x14:dxf>
          </x14:cfRule>
          <xm:sqref>R292</xm:sqref>
        </x14:conditionalFormatting>
        <x14:conditionalFormatting xmlns:xm="http://schemas.microsoft.com/office/excel/2006/main">
          <x14:cfRule type="containsText" priority="4076" operator="containsText" id="{A3CF760F-D8CA-4BF2-B229-C3B807994497}">
            <xm:f>NOT(ISERROR(SEARCH(bahan5,R293)))</xm:f>
            <xm:f>bahan5</xm:f>
            <x14:dxf>
              <fill>
                <patternFill>
                  <bgColor rgb="FF00B0F0"/>
                </patternFill>
              </fill>
            </x14:dxf>
          </x14:cfRule>
          <x14:cfRule type="containsText" priority="4075" operator="containsText" id="{BEE7C89D-6566-4BCB-9767-BD1B23109C5A}">
            <xm:f>NOT(ISERROR(SEARCH(bahan1,R293)))</xm:f>
            <xm:f>bahan1</xm:f>
            <x14:dxf>
              <fill>
                <patternFill>
                  <bgColor theme="7" tint="0.39994506668294322"/>
                </patternFill>
              </fill>
            </x14:dxf>
          </x14:cfRule>
          <xm:sqref>R293</xm:sqref>
        </x14:conditionalFormatting>
        <x14:conditionalFormatting xmlns:xm="http://schemas.microsoft.com/office/excel/2006/main">
          <x14:cfRule type="containsText" priority="4052" operator="containsText" id="{A6F90CD2-A907-47C1-AAE3-E06A2BB50EFD}">
            <xm:f>NOT(ISERROR(SEARCH(bahan5,R294)))</xm:f>
            <xm:f>bahan5</xm:f>
            <x14:dxf>
              <fill>
                <patternFill>
                  <bgColor rgb="FF00B0F0"/>
                </patternFill>
              </fill>
            </x14:dxf>
          </x14:cfRule>
          <x14:cfRule type="containsText" priority="4051" operator="containsText" id="{22C8CF36-7259-469F-836D-951A9DDAAC65}">
            <xm:f>NOT(ISERROR(SEARCH(bahan1,R294)))</xm:f>
            <xm:f>bahan1</xm:f>
            <x14:dxf>
              <fill>
                <patternFill>
                  <bgColor theme="7" tint="0.39994506668294322"/>
                </patternFill>
              </fill>
            </x14:dxf>
          </x14:cfRule>
          <xm:sqref>R294:R298</xm:sqref>
        </x14:conditionalFormatting>
        <x14:conditionalFormatting xmlns:xm="http://schemas.microsoft.com/office/excel/2006/main">
          <x14:cfRule type="containsText" priority="4026" operator="containsText" id="{8ACAB5CD-E69C-4032-9F7D-BDA76D78D039}">
            <xm:f>NOT(ISERROR(SEARCH(bahan1,R299)))</xm:f>
            <xm:f>bahan1</xm:f>
            <x14:dxf>
              <fill>
                <patternFill>
                  <bgColor theme="7" tint="0.39994506668294322"/>
                </patternFill>
              </fill>
            </x14:dxf>
          </x14:cfRule>
          <x14:cfRule type="containsText" priority="4027" operator="containsText" id="{5F1626D1-E669-416D-902C-2BB7A6245B85}">
            <xm:f>NOT(ISERROR(SEARCH(bahan5,R299)))</xm:f>
            <xm:f>bahan5</xm:f>
            <x14:dxf>
              <fill>
                <patternFill>
                  <bgColor rgb="FF00B0F0"/>
                </patternFill>
              </fill>
            </x14:dxf>
          </x14:cfRule>
          <xm:sqref>R299</xm:sqref>
        </x14:conditionalFormatting>
        <x14:conditionalFormatting xmlns:xm="http://schemas.microsoft.com/office/excel/2006/main">
          <x14:cfRule type="containsText" priority="4002" operator="containsText" id="{DAFBEAD5-F6EC-49E5-8E55-669FB5CC64D0}">
            <xm:f>NOT(ISERROR(SEARCH(bahan1,R300)))</xm:f>
            <xm:f>bahan1</xm:f>
            <x14:dxf>
              <fill>
                <patternFill>
                  <bgColor theme="7" tint="0.39994506668294322"/>
                </patternFill>
              </fill>
            </x14:dxf>
          </x14:cfRule>
          <x14:cfRule type="containsText" priority="4003" operator="containsText" id="{5CBD34A9-BCCE-4B81-8E93-B2ED8CFBF386}">
            <xm:f>NOT(ISERROR(SEARCH(bahan5,R300)))</xm:f>
            <xm:f>bahan5</xm:f>
            <x14:dxf>
              <fill>
                <patternFill>
                  <bgColor rgb="FF00B0F0"/>
                </patternFill>
              </fill>
            </x14:dxf>
          </x14:cfRule>
          <xm:sqref>R300</xm:sqref>
        </x14:conditionalFormatting>
        <x14:conditionalFormatting xmlns:xm="http://schemas.microsoft.com/office/excel/2006/main">
          <x14:cfRule type="containsText" priority="12026" operator="containsText" id="{79F7C0D9-3493-43EE-8882-659D6D292EF5}">
            <xm:f>NOT(ISERROR(SEARCH(bahan5,R301)))</xm:f>
            <xm:f>bahan5</xm:f>
            <x14:dxf>
              <fill>
                <patternFill>
                  <bgColor rgb="FF00B0F0"/>
                </patternFill>
              </fill>
            </x14:dxf>
          </x14:cfRule>
          <x14:cfRule type="containsText" priority="12025" operator="containsText" id="{0D2FCA29-6540-45BD-AB5F-7A4139E4EA31}">
            <xm:f>NOT(ISERROR(SEARCH(bahan1,R301)))</xm:f>
            <xm:f>bahan1</xm:f>
            <x14:dxf>
              <fill>
                <patternFill>
                  <bgColor theme="7" tint="0.39994506668294322"/>
                </patternFill>
              </fill>
            </x14:dxf>
          </x14:cfRule>
          <xm:sqref>R301:R302</xm:sqref>
        </x14:conditionalFormatting>
        <x14:conditionalFormatting xmlns:xm="http://schemas.microsoft.com/office/excel/2006/main">
          <x14:cfRule type="containsText" priority="3978" operator="containsText" id="{E3AC2720-A469-4BCC-83A9-C06D5879673A}">
            <xm:f>NOT(ISERROR(SEARCH(bahan1,R303)))</xm:f>
            <xm:f>bahan1</xm:f>
            <x14:dxf>
              <fill>
                <patternFill>
                  <bgColor theme="7" tint="0.39994506668294322"/>
                </patternFill>
              </fill>
            </x14:dxf>
          </x14:cfRule>
          <x14:cfRule type="containsText" priority="3979" operator="containsText" id="{4B52ED9A-B32C-4369-B124-484C941D0C0F}">
            <xm:f>NOT(ISERROR(SEARCH(bahan5,R303)))</xm:f>
            <xm:f>bahan5</xm:f>
            <x14:dxf>
              <fill>
                <patternFill>
                  <bgColor rgb="FF00B0F0"/>
                </patternFill>
              </fill>
            </x14:dxf>
          </x14:cfRule>
          <xm:sqref>R303</xm:sqref>
        </x14:conditionalFormatting>
        <x14:conditionalFormatting xmlns:xm="http://schemas.microsoft.com/office/excel/2006/main">
          <x14:cfRule type="containsText" priority="3955" operator="containsText" id="{90239175-384A-48E8-B255-23E9F5A4F684}">
            <xm:f>NOT(ISERROR(SEARCH(bahan5,R304)))</xm:f>
            <xm:f>bahan5</xm:f>
            <x14:dxf>
              <fill>
                <patternFill>
                  <bgColor rgb="FF00B0F0"/>
                </patternFill>
              </fill>
            </x14:dxf>
          </x14:cfRule>
          <x14:cfRule type="containsText" priority="3954" operator="containsText" id="{06F5CD02-6582-465B-A235-7F4EE10844B3}">
            <xm:f>NOT(ISERROR(SEARCH(bahan1,R304)))</xm:f>
            <xm:f>bahan1</xm:f>
            <x14:dxf>
              <fill>
                <patternFill>
                  <bgColor theme="7" tint="0.39994506668294322"/>
                </patternFill>
              </fill>
            </x14:dxf>
          </x14:cfRule>
          <xm:sqref>R304:R311</xm:sqref>
        </x14:conditionalFormatting>
        <x14:conditionalFormatting xmlns:xm="http://schemas.microsoft.com/office/excel/2006/main">
          <x14:cfRule type="containsText" priority="11929" operator="containsText" id="{FF39D84B-E976-4736-AD26-19927E99E92C}">
            <xm:f>NOT(ISERROR(SEARCH(bahan5,R312)))</xm:f>
            <xm:f>bahan5</xm:f>
            <x14:dxf>
              <fill>
                <patternFill>
                  <bgColor rgb="FF00B0F0"/>
                </patternFill>
              </fill>
            </x14:dxf>
          </x14:cfRule>
          <x14:cfRule type="containsText" priority="11928" operator="containsText" id="{A947BB9B-C3E9-4D3F-A9E0-5F2F22013C21}">
            <xm:f>NOT(ISERROR(SEARCH(bahan1,R312)))</xm:f>
            <xm:f>bahan1</xm:f>
            <x14:dxf>
              <fill>
                <patternFill>
                  <bgColor theme="7" tint="0.39994506668294322"/>
                </patternFill>
              </fill>
            </x14:dxf>
          </x14:cfRule>
          <xm:sqref>R312</xm:sqref>
        </x14:conditionalFormatting>
        <x14:conditionalFormatting xmlns:xm="http://schemas.microsoft.com/office/excel/2006/main">
          <x14:cfRule type="containsText" priority="11879" operator="containsText" id="{152E43EE-D62D-40C5-9E9A-9A9E0E1EACD8}">
            <xm:f>NOT(ISERROR(SEARCH(bahan5,R313)))</xm:f>
            <xm:f>bahan5</xm:f>
            <x14:dxf>
              <fill>
                <patternFill>
                  <bgColor rgb="FF00B0F0"/>
                </patternFill>
              </fill>
            </x14:dxf>
          </x14:cfRule>
          <x14:cfRule type="containsText" priority="11878" operator="containsText" id="{3C22A400-669B-4F73-990B-3B0B37867900}">
            <xm:f>NOT(ISERROR(SEARCH(bahan1,R313)))</xm:f>
            <xm:f>bahan1</xm:f>
            <x14:dxf>
              <fill>
                <patternFill>
                  <bgColor theme="7" tint="0.39994506668294322"/>
                </patternFill>
              </fill>
            </x14:dxf>
          </x14:cfRule>
          <xm:sqref>R313</xm:sqref>
        </x14:conditionalFormatting>
        <x14:conditionalFormatting xmlns:xm="http://schemas.microsoft.com/office/excel/2006/main">
          <x14:cfRule type="containsText" priority="3931" operator="containsText" id="{7C3FC777-DCF4-4AE5-9BD0-A5466D44F906}">
            <xm:f>NOT(ISERROR(SEARCH(bahan5,R314)))</xm:f>
            <xm:f>bahan5</xm:f>
            <x14:dxf>
              <fill>
                <patternFill>
                  <bgColor rgb="FF00B0F0"/>
                </patternFill>
              </fill>
            </x14:dxf>
          </x14:cfRule>
          <x14:cfRule type="containsText" priority="3930" operator="containsText" id="{6C6C7A9D-616B-4F5A-B7AB-5C0C5A41F34C}">
            <xm:f>NOT(ISERROR(SEARCH(bahan1,R314)))</xm:f>
            <xm:f>bahan1</xm:f>
            <x14:dxf>
              <fill>
                <patternFill>
                  <bgColor theme="7" tint="0.39994506668294322"/>
                </patternFill>
              </fill>
            </x14:dxf>
          </x14:cfRule>
          <xm:sqref>R314</xm:sqref>
        </x14:conditionalFormatting>
        <x14:conditionalFormatting xmlns:xm="http://schemas.microsoft.com/office/excel/2006/main">
          <x14:cfRule type="containsText" priority="3906" operator="containsText" id="{74BE6FB3-E324-4E8A-A295-74ED193E29B0}">
            <xm:f>NOT(ISERROR(SEARCH(bahan1,R315)))</xm:f>
            <xm:f>bahan1</xm:f>
            <x14:dxf>
              <fill>
                <patternFill>
                  <bgColor theme="7" tint="0.39994506668294322"/>
                </patternFill>
              </fill>
            </x14:dxf>
          </x14:cfRule>
          <x14:cfRule type="containsText" priority="3907" operator="containsText" id="{ACCBEDCD-4F09-4B58-84F9-26ADC3850FEB}">
            <xm:f>NOT(ISERROR(SEARCH(bahan5,R315)))</xm:f>
            <xm:f>bahan5</xm:f>
            <x14:dxf>
              <fill>
                <patternFill>
                  <bgColor rgb="FF00B0F0"/>
                </patternFill>
              </fill>
            </x14:dxf>
          </x14:cfRule>
          <xm:sqref>R315:R319</xm:sqref>
        </x14:conditionalFormatting>
        <x14:conditionalFormatting xmlns:xm="http://schemas.microsoft.com/office/excel/2006/main">
          <x14:cfRule type="containsText" priority="3882" operator="containsText" id="{4E463FE6-9984-400F-9001-1519F26D772F}">
            <xm:f>NOT(ISERROR(SEARCH(bahan5,R320)))</xm:f>
            <xm:f>bahan5</xm:f>
            <x14:dxf>
              <fill>
                <patternFill>
                  <bgColor rgb="FF00B0F0"/>
                </patternFill>
              </fill>
            </x14:dxf>
          </x14:cfRule>
          <x14:cfRule type="containsText" priority="3881" operator="containsText" id="{735CC60F-3941-41A6-8A44-655888D6112D}">
            <xm:f>NOT(ISERROR(SEARCH(bahan1,R320)))</xm:f>
            <xm:f>bahan1</xm:f>
            <x14:dxf>
              <fill>
                <patternFill>
                  <bgColor theme="7" tint="0.39994506668294322"/>
                </patternFill>
              </fill>
            </x14:dxf>
          </x14:cfRule>
          <xm:sqref>R320</xm:sqref>
        </x14:conditionalFormatting>
        <x14:conditionalFormatting xmlns:xm="http://schemas.microsoft.com/office/excel/2006/main">
          <x14:cfRule type="containsText" priority="3858" operator="containsText" id="{2FE44DE3-8586-4836-ACBA-9775CDB81A4B}">
            <xm:f>NOT(ISERROR(SEARCH(bahan5,R321)))</xm:f>
            <xm:f>bahan5</xm:f>
            <x14:dxf>
              <fill>
                <patternFill>
                  <bgColor rgb="FF00B0F0"/>
                </patternFill>
              </fill>
            </x14:dxf>
          </x14:cfRule>
          <x14:cfRule type="containsText" priority="3857" operator="containsText" id="{B84ED306-4936-4645-A61D-B671DA712A22}">
            <xm:f>NOT(ISERROR(SEARCH(bahan1,R321)))</xm:f>
            <xm:f>bahan1</xm:f>
            <x14:dxf>
              <fill>
                <patternFill>
                  <bgColor theme="7" tint="0.39994506668294322"/>
                </patternFill>
              </fill>
            </x14:dxf>
          </x14:cfRule>
          <xm:sqref>R321</xm:sqref>
        </x14:conditionalFormatting>
        <x14:conditionalFormatting xmlns:xm="http://schemas.microsoft.com/office/excel/2006/main">
          <x14:cfRule type="containsText" priority="3834" operator="containsText" id="{17B5BE34-E03C-48C9-BBFA-A6188B6A2D9C}">
            <xm:f>NOT(ISERROR(SEARCH(bahan5,R322)))</xm:f>
            <xm:f>bahan5</xm:f>
            <x14:dxf>
              <fill>
                <patternFill>
                  <bgColor rgb="FF00B0F0"/>
                </patternFill>
              </fill>
            </x14:dxf>
          </x14:cfRule>
          <x14:cfRule type="containsText" priority="3833" operator="containsText" id="{7F2ED2B8-2F28-42E3-AD87-A3B8BF19DB7B}">
            <xm:f>NOT(ISERROR(SEARCH(bahan1,R322)))</xm:f>
            <xm:f>bahan1</xm:f>
            <x14:dxf>
              <fill>
                <patternFill>
                  <bgColor theme="7" tint="0.39994506668294322"/>
                </patternFill>
              </fill>
            </x14:dxf>
          </x14:cfRule>
          <xm:sqref>R322</xm:sqref>
        </x14:conditionalFormatting>
        <x14:conditionalFormatting xmlns:xm="http://schemas.microsoft.com/office/excel/2006/main">
          <x14:cfRule type="containsText" priority="11804" operator="containsText" id="{067C90EA-2B5A-4502-A52E-8100F5F5E43B}">
            <xm:f>NOT(ISERROR(SEARCH(bahan1,R323)))</xm:f>
            <xm:f>bahan1</xm:f>
            <x14:dxf>
              <fill>
                <patternFill>
                  <bgColor theme="7" tint="0.39994506668294322"/>
                </patternFill>
              </fill>
            </x14:dxf>
          </x14:cfRule>
          <x14:cfRule type="containsText" priority="11805" operator="containsText" id="{9CE04ED8-2B24-4E27-964A-9640C697B4E4}">
            <xm:f>NOT(ISERROR(SEARCH(bahan5,R323)))</xm:f>
            <xm:f>bahan5</xm:f>
            <x14:dxf>
              <fill>
                <patternFill>
                  <bgColor rgb="FF00B0F0"/>
                </patternFill>
              </fill>
            </x14:dxf>
          </x14:cfRule>
          <xm:sqref>R323</xm:sqref>
        </x14:conditionalFormatting>
        <x14:conditionalFormatting xmlns:xm="http://schemas.microsoft.com/office/excel/2006/main">
          <x14:cfRule type="containsText" priority="3810" operator="containsText" id="{07EA9B3C-4C9C-4404-BBD5-2B54E80DF4EA}">
            <xm:f>NOT(ISERROR(SEARCH(bahan5,R324)))</xm:f>
            <xm:f>bahan5</xm:f>
            <x14:dxf>
              <fill>
                <patternFill>
                  <bgColor rgb="FF00B0F0"/>
                </patternFill>
              </fill>
            </x14:dxf>
          </x14:cfRule>
          <x14:cfRule type="containsText" priority="3809" operator="containsText" id="{2AAC71CE-3D46-474F-8126-2376A9FEB1CB}">
            <xm:f>NOT(ISERROR(SEARCH(bahan1,R324)))</xm:f>
            <xm:f>bahan1</xm:f>
            <x14:dxf>
              <fill>
                <patternFill>
                  <bgColor theme="7" tint="0.39994506668294322"/>
                </patternFill>
              </fill>
            </x14:dxf>
          </x14:cfRule>
          <xm:sqref>R324</xm:sqref>
        </x14:conditionalFormatting>
        <x14:conditionalFormatting xmlns:xm="http://schemas.microsoft.com/office/excel/2006/main">
          <x14:cfRule type="containsText" priority="3735" operator="containsText" id="{447051ED-0A28-45F8-AA5D-00D4978E4385}">
            <xm:f>NOT(ISERROR(SEARCH(bahan1,R325)))</xm:f>
            <xm:f>bahan1</xm:f>
            <x14:dxf>
              <fill>
                <patternFill>
                  <bgColor theme="7" tint="0.39994506668294322"/>
                </patternFill>
              </fill>
            </x14:dxf>
          </x14:cfRule>
          <x14:cfRule type="containsText" priority="3736" operator="containsText" id="{EB877492-9422-4B37-B265-DED0C8519986}">
            <xm:f>NOT(ISERROR(SEARCH(bahan5,R325)))</xm:f>
            <xm:f>bahan5</xm:f>
            <x14:dxf>
              <fill>
                <patternFill>
                  <bgColor rgb="FF00B0F0"/>
                </patternFill>
              </fill>
            </x14:dxf>
          </x14:cfRule>
          <xm:sqref>R325:R332</xm:sqref>
        </x14:conditionalFormatting>
        <x14:conditionalFormatting xmlns:xm="http://schemas.microsoft.com/office/excel/2006/main">
          <x14:cfRule type="containsText" priority="11707" operator="containsText" id="{414FEE2B-0BE5-4040-ACD8-A5EAB0B9A582}">
            <xm:f>NOT(ISERROR(SEARCH(bahan1,R333)))</xm:f>
            <xm:f>bahan1</xm:f>
            <x14:dxf>
              <fill>
                <patternFill>
                  <bgColor theme="7" tint="0.39994506668294322"/>
                </patternFill>
              </fill>
            </x14:dxf>
          </x14:cfRule>
          <x14:cfRule type="containsText" priority="11708" operator="containsText" id="{478E3F07-B41A-4443-AA86-BAE1BE98E952}">
            <xm:f>NOT(ISERROR(SEARCH(bahan5,R333)))</xm:f>
            <xm:f>bahan5</xm:f>
            <x14:dxf>
              <fill>
                <patternFill>
                  <bgColor rgb="FF00B0F0"/>
                </patternFill>
              </fill>
            </x14:dxf>
          </x14:cfRule>
          <xm:sqref>R333:R334</xm:sqref>
        </x14:conditionalFormatting>
        <x14:conditionalFormatting xmlns:xm="http://schemas.microsoft.com/office/excel/2006/main">
          <x14:cfRule type="containsText" priority="3662" operator="containsText" id="{54F01FF8-1623-4393-AF66-235B09D5611F}">
            <xm:f>NOT(ISERROR(SEARCH(bahan5,R335)))</xm:f>
            <xm:f>bahan5</xm:f>
            <x14:dxf>
              <fill>
                <patternFill>
                  <bgColor rgb="FF00B0F0"/>
                </patternFill>
              </fill>
            </x14:dxf>
          </x14:cfRule>
          <x14:cfRule type="containsText" priority="3661" operator="containsText" id="{306E7476-E420-481C-9C44-0A655C98FD60}">
            <xm:f>NOT(ISERROR(SEARCH(bahan1,R335)))</xm:f>
            <xm:f>bahan1</xm:f>
            <x14:dxf>
              <fill>
                <patternFill>
                  <bgColor theme="7" tint="0.39994506668294322"/>
                </patternFill>
              </fill>
            </x14:dxf>
          </x14:cfRule>
          <xm:sqref>R335</xm:sqref>
        </x14:conditionalFormatting>
        <x14:conditionalFormatting xmlns:xm="http://schemas.microsoft.com/office/excel/2006/main">
          <x14:cfRule type="containsText" priority="3637" operator="containsText" id="{7F7C928B-C8C1-480E-B0DD-4734F5C8939B}">
            <xm:f>NOT(ISERROR(SEARCH(bahan1,R336)))</xm:f>
            <xm:f>bahan1</xm:f>
            <x14:dxf>
              <fill>
                <patternFill>
                  <bgColor theme="7" tint="0.39994506668294322"/>
                </patternFill>
              </fill>
            </x14:dxf>
          </x14:cfRule>
          <x14:cfRule type="containsText" priority="3638" operator="containsText" id="{D49618A9-8E94-47B0-B92D-D0884232AE3B}">
            <xm:f>NOT(ISERROR(SEARCH(bahan5,R336)))</xm:f>
            <xm:f>bahan5</xm:f>
            <x14:dxf>
              <fill>
                <patternFill>
                  <bgColor rgb="FF00B0F0"/>
                </patternFill>
              </fill>
            </x14:dxf>
          </x14:cfRule>
          <xm:sqref>R336:R342</xm:sqref>
        </x14:conditionalFormatting>
        <x14:conditionalFormatting xmlns:xm="http://schemas.microsoft.com/office/excel/2006/main">
          <x14:cfRule type="containsText" priority="11635" operator="containsText" id="{17108258-AA8F-4F6B-866A-619CFDF71A90}">
            <xm:f>NOT(ISERROR(SEARCH(bahan1,R343)))</xm:f>
            <xm:f>bahan1</xm:f>
            <x14:dxf>
              <fill>
                <patternFill>
                  <bgColor theme="7" tint="0.39994506668294322"/>
                </patternFill>
              </fill>
            </x14:dxf>
          </x14:cfRule>
          <x14:cfRule type="containsText" priority="11636" operator="containsText" id="{6A791CEC-C096-4BD4-9D57-DB1005BAA12B}">
            <xm:f>NOT(ISERROR(SEARCH(bahan5,R343)))</xm:f>
            <xm:f>bahan5</xm:f>
            <x14:dxf>
              <fill>
                <patternFill>
                  <bgColor rgb="FF00B0F0"/>
                </patternFill>
              </fill>
            </x14:dxf>
          </x14:cfRule>
          <xm:sqref>R343:R344</xm:sqref>
        </x14:conditionalFormatting>
        <x14:conditionalFormatting xmlns:xm="http://schemas.microsoft.com/office/excel/2006/main">
          <x14:cfRule type="containsText" priority="3590" operator="containsText" id="{4CFB4A80-080F-4CF9-BC3D-299D57F1738C}">
            <xm:f>NOT(ISERROR(SEARCH(bahan5,R345)))</xm:f>
            <xm:f>bahan5</xm:f>
            <x14:dxf>
              <fill>
                <patternFill>
                  <bgColor rgb="FF00B0F0"/>
                </patternFill>
              </fill>
            </x14:dxf>
          </x14:cfRule>
          <x14:cfRule type="containsText" priority="3589" operator="containsText" id="{440FB845-E2A2-4F4C-8EEA-159FA07FD9E8}">
            <xm:f>NOT(ISERROR(SEARCH(bahan1,R345)))</xm:f>
            <xm:f>bahan1</xm:f>
            <x14:dxf>
              <fill>
                <patternFill>
                  <bgColor theme="7" tint="0.39994506668294322"/>
                </patternFill>
              </fill>
            </x14:dxf>
          </x14:cfRule>
          <xm:sqref>R345</xm:sqref>
        </x14:conditionalFormatting>
        <x14:conditionalFormatting xmlns:xm="http://schemas.microsoft.com/office/excel/2006/main">
          <x14:cfRule type="containsText" priority="3566" operator="containsText" id="{220AF40C-6EFC-4C1F-B403-DD2C92F46452}">
            <xm:f>NOT(ISERROR(SEARCH(bahan5,R346)))</xm:f>
            <xm:f>bahan5</xm:f>
            <x14:dxf>
              <fill>
                <patternFill>
                  <bgColor rgb="FF00B0F0"/>
                </patternFill>
              </fill>
            </x14:dxf>
          </x14:cfRule>
          <x14:cfRule type="containsText" priority="3565" operator="containsText" id="{55E4AEC5-A9E8-4882-94AE-B4C824275CDD}">
            <xm:f>NOT(ISERROR(SEARCH(bahan1,R346)))</xm:f>
            <xm:f>bahan1</xm:f>
            <x14:dxf>
              <fill>
                <patternFill>
                  <bgColor theme="7" tint="0.39994506668294322"/>
                </patternFill>
              </fill>
            </x14:dxf>
          </x14:cfRule>
          <xm:sqref>R346:R355</xm:sqref>
        </x14:conditionalFormatting>
        <x14:conditionalFormatting xmlns:xm="http://schemas.microsoft.com/office/excel/2006/main">
          <x14:cfRule type="containsText" priority="11588" operator="containsText" id="{A9AB68AA-20A6-4423-B40E-0B54B88678A2}">
            <xm:f>NOT(ISERROR(SEARCH(bahan5,R356)))</xm:f>
            <xm:f>bahan5</xm:f>
            <x14:dxf>
              <fill>
                <patternFill>
                  <bgColor rgb="FF00B0F0"/>
                </patternFill>
              </fill>
            </x14:dxf>
          </x14:cfRule>
          <x14:cfRule type="containsText" priority="11587" operator="containsText" id="{4701CEA0-9CB0-40A4-9AA7-5048329E5491}">
            <xm:f>NOT(ISERROR(SEARCH(bahan1,R356)))</xm:f>
            <xm:f>bahan1</xm:f>
            <x14:dxf>
              <fill>
                <patternFill>
                  <bgColor theme="7" tint="0.39994506668294322"/>
                </patternFill>
              </fill>
            </x14:dxf>
          </x14:cfRule>
          <xm:sqref>R356:R357</xm:sqref>
        </x14:conditionalFormatting>
        <x14:conditionalFormatting xmlns:xm="http://schemas.microsoft.com/office/excel/2006/main">
          <x14:cfRule type="containsText" priority="3541" operator="containsText" id="{EF47D6DB-F226-4D86-987E-95D9D824A6C2}">
            <xm:f>NOT(ISERROR(SEARCH(bahan1,R358)))</xm:f>
            <xm:f>bahan1</xm:f>
            <x14:dxf>
              <fill>
                <patternFill>
                  <bgColor theme="7" tint="0.39994506668294322"/>
                </patternFill>
              </fill>
            </x14:dxf>
          </x14:cfRule>
          <x14:cfRule type="containsText" priority="3542" operator="containsText" id="{23224D35-0B27-4F5E-ACB6-0DACC4386EEE}">
            <xm:f>NOT(ISERROR(SEARCH(bahan5,R358)))</xm:f>
            <xm:f>bahan5</xm:f>
            <x14:dxf>
              <fill>
                <patternFill>
                  <bgColor rgb="FF00B0F0"/>
                </patternFill>
              </fill>
            </x14:dxf>
          </x14:cfRule>
          <xm:sqref>R358</xm:sqref>
        </x14:conditionalFormatting>
        <x14:conditionalFormatting xmlns:xm="http://schemas.microsoft.com/office/excel/2006/main">
          <x14:cfRule type="containsText" priority="3469" operator="containsText" id="{90C395AC-4BB2-48F6-835C-E024D3619A3E}">
            <xm:f>NOT(ISERROR(SEARCH(bahan5,R359)))</xm:f>
            <xm:f>bahan5</xm:f>
            <x14:dxf>
              <fill>
                <patternFill>
                  <bgColor rgb="FF00B0F0"/>
                </patternFill>
              </fill>
            </x14:dxf>
          </x14:cfRule>
          <x14:cfRule type="containsText" priority="3468" operator="containsText" id="{A94C9B1F-5877-4BB5-8F0B-18A8E389D7A7}">
            <xm:f>NOT(ISERROR(SEARCH(bahan1,R359)))</xm:f>
            <xm:f>bahan1</xm:f>
            <x14:dxf>
              <fill>
                <patternFill>
                  <bgColor theme="7" tint="0.39994506668294322"/>
                </patternFill>
              </fill>
            </x14:dxf>
          </x14:cfRule>
          <xm:sqref>R359:R375</xm:sqref>
        </x14:conditionalFormatting>
        <x14:conditionalFormatting xmlns:xm="http://schemas.microsoft.com/office/excel/2006/main">
          <x14:cfRule type="containsText" priority="3472" operator="containsText" id="{2B5CBE4A-0C47-4858-8799-2B39AD36453B}">
            <xm:f>NOT(ISERROR(SEARCH(bahan5,R376)))</xm:f>
            <xm:f>bahan5</xm:f>
            <x14:dxf>
              <fill>
                <patternFill>
                  <bgColor rgb="FF00B0F0"/>
                </patternFill>
              </fill>
            </x14:dxf>
          </x14:cfRule>
          <x14:cfRule type="containsText" priority="3471" operator="containsText" id="{45ADBDC4-A384-4EDC-AE74-54BCDD95C097}">
            <xm:f>NOT(ISERROR(SEARCH(bahan1,R376)))</xm:f>
            <xm:f>bahan1</xm:f>
            <x14:dxf>
              <fill>
                <patternFill>
                  <bgColor theme="7" tint="0.39994506668294322"/>
                </patternFill>
              </fill>
            </x14:dxf>
          </x14:cfRule>
          <x14:cfRule type="containsText" priority="3473" operator="containsText" id="{4E91DE1A-F9A7-45D5-9BC4-171A9C8AFF51}">
            <xm:f>NOT(ISERROR(SEARCH(kaca4,R376)))</xm:f>
            <xm:f>kaca4</xm:f>
            <x14:dxf>
              <fill>
                <patternFill>
                  <bgColor rgb="FF92D050"/>
                </patternFill>
              </fill>
            </x14:dxf>
          </x14:cfRule>
          <xm:sqref>R376</xm:sqref>
        </x14:conditionalFormatting>
        <x14:conditionalFormatting xmlns:xm="http://schemas.microsoft.com/office/excel/2006/main">
          <x14:cfRule type="containsText" priority="3465" operator="containsText" id="{7FA27010-AE84-4D8F-821C-1BC0929A03C6}">
            <xm:f>NOT(ISERROR(SEARCH(bahan1,R377)))</xm:f>
            <xm:f>bahan1</xm:f>
            <x14:dxf>
              <fill>
                <patternFill>
                  <bgColor theme="7" tint="0.39994506668294322"/>
                </patternFill>
              </fill>
            </x14:dxf>
          </x14:cfRule>
          <x14:cfRule type="containsText" priority="3466" operator="containsText" id="{00D15502-D35B-4AD8-8BFD-F4DBAB50C8F7}">
            <xm:f>NOT(ISERROR(SEARCH(bahan5,R377)))</xm:f>
            <xm:f>bahan5</xm:f>
            <x14:dxf>
              <fill>
                <patternFill>
                  <bgColor rgb="FF00B0F0"/>
                </patternFill>
              </fill>
            </x14:dxf>
          </x14:cfRule>
          <xm:sqref>R377:R380</xm:sqref>
        </x14:conditionalFormatting>
        <x14:conditionalFormatting xmlns:xm="http://schemas.microsoft.com/office/excel/2006/main">
          <x14:cfRule type="containsText" priority="3467" operator="containsText" id="{E307C630-AEE7-479F-ABE7-199BFD3917D1}">
            <xm:f>NOT(ISERROR(SEARCH(kaca4,R377)))</xm:f>
            <xm:f>kaca4</xm:f>
            <x14:dxf>
              <fill>
                <patternFill>
                  <bgColor rgb="FF92D050"/>
                </patternFill>
              </fill>
            </x14:dxf>
          </x14:cfRule>
          <xm:sqref>R377:R382</xm:sqref>
        </x14:conditionalFormatting>
        <x14:conditionalFormatting xmlns:xm="http://schemas.microsoft.com/office/excel/2006/main">
          <x14:cfRule type="containsText" priority="11347" operator="containsText" id="{D2C85CEF-B0A8-4243-B5CD-D3C9CEFDF5EE}">
            <xm:f>NOT(ISERROR(SEARCH(bahan1,R381)))</xm:f>
            <xm:f>bahan1</xm:f>
            <x14:dxf>
              <fill>
                <patternFill>
                  <bgColor theme="7" tint="0.39994506668294322"/>
                </patternFill>
              </fill>
            </x14:dxf>
          </x14:cfRule>
          <x14:cfRule type="containsText" priority="11348" operator="containsText" id="{37B0A306-21C7-4D97-82B7-1D6D4E06F00B}">
            <xm:f>NOT(ISERROR(SEARCH(bahan5,R381)))</xm:f>
            <xm:f>bahan5</xm:f>
            <x14:dxf>
              <fill>
                <patternFill>
                  <bgColor rgb="FF00B0F0"/>
                </patternFill>
              </fill>
            </x14:dxf>
          </x14:cfRule>
          <xm:sqref>R381:R382 R391</xm:sqref>
        </x14:conditionalFormatting>
        <x14:conditionalFormatting xmlns:xm="http://schemas.microsoft.com/office/excel/2006/main">
          <x14:cfRule type="containsText" priority="3442" operator="containsText" id="{17D97B66-AA16-4C07-9743-D4C3AEE12535}">
            <xm:f>NOT(ISERROR(SEARCH(bahan5,R383)))</xm:f>
            <xm:f>bahan5</xm:f>
            <x14:dxf>
              <fill>
                <patternFill>
                  <bgColor rgb="FF00B0F0"/>
                </patternFill>
              </fill>
            </x14:dxf>
          </x14:cfRule>
          <x14:cfRule type="containsText" priority="3441" operator="containsText" id="{0CEEF059-8E38-44B0-A3D8-25130DB44C80}">
            <xm:f>NOT(ISERROR(SEARCH(bahan1,R383)))</xm:f>
            <xm:f>bahan1</xm:f>
            <x14:dxf>
              <fill>
                <patternFill>
                  <bgColor theme="7" tint="0.39994506668294322"/>
                </patternFill>
              </fill>
            </x14:dxf>
          </x14:cfRule>
          <xm:sqref>R383</xm:sqref>
        </x14:conditionalFormatting>
        <x14:conditionalFormatting xmlns:xm="http://schemas.microsoft.com/office/excel/2006/main">
          <x14:cfRule type="containsText" priority="2116" operator="containsText" id="{0D7F51B1-4734-46CB-94CA-2C3FF73F4490}">
            <xm:f>NOT(ISERROR(SEARCH(kaca4,R383)))</xm:f>
            <xm:f>kaca4</xm:f>
            <x14:dxf>
              <fill>
                <patternFill>
                  <bgColor rgb="FF92D050"/>
                </patternFill>
              </fill>
            </x14:dxf>
          </x14:cfRule>
          <xm:sqref>R383:R562</xm:sqref>
        </x14:conditionalFormatting>
        <x14:conditionalFormatting xmlns:xm="http://schemas.microsoft.com/office/excel/2006/main">
          <x14:cfRule type="containsText" priority="3417" operator="containsText" id="{2331D433-0C39-415D-AA17-86EACB6A5ECA}">
            <xm:f>NOT(ISERROR(SEARCH(bahan1,R384)))</xm:f>
            <xm:f>bahan1</xm:f>
            <x14:dxf>
              <fill>
                <patternFill>
                  <bgColor theme="7" tint="0.39994506668294322"/>
                </patternFill>
              </fill>
            </x14:dxf>
          </x14:cfRule>
          <x14:cfRule type="containsText" priority="3418" operator="containsText" id="{47F7E2A1-61A2-404B-8BAF-D8A145DD0897}">
            <xm:f>NOT(ISERROR(SEARCH(bahan5,R384)))</xm:f>
            <xm:f>bahan5</xm:f>
            <x14:dxf>
              <fill>
                <patternFill>
                  <bgColor rgb="FF00B0F0"/>
                </patternFill>
              </fill>
            </x14:dxf>
          </x14:cfRule>
          <xm:sqref>R384:R390</xm:sqref>
        </x14:conditionalFormatting>
        <x14:conditionalFormatting xmlns:xm="http://schemas.microsoft.com/office/excel/2006/main">
          <x14:cfRule type="containsText" priority="23184" operator="containsText" id="{40F6DB85-15AB-4560-9819-7D9F0EEDF96B}">
            <xm:f>NOT(ISERROR(SEARCH(bahan1,R392)))</xm:f>
            <xm:f>bahan1</xm:f>
            <x14:dxf>
              <fill>
                <patternFill>
                  <bgColor theme="7" tint="0.39994506668294322"/>
                </patternFill>
              </fill>
            </x14:dxf>
          </x14:cfRule>
          <x14:cfRule type="containsText" priority="23185" operator="containsText" id="{80D61E40-F6FD-4D37-A7E1-DDBEA7E748A9}">
            <xm:f>NOT(ISERROR(SEARCH(bahan5,R392)))</xm:f>
            <xm:f>bahan5</xm:f>
            <x14:dxf>
              <fill>
                <patternFill>
                  <bgColor rgb="FF00B0F0"/>
                </patternFill>
              </fill>
            </x14:dxf>
          </x14:cfRule>
          <xm:sqref>R392</xm:sqref>
        </x14:conditionalFormatting>
        <x14:conditionalFormatting xmlns:xm="http://schemas.microsoft.com/office/excel/2006/main">
          <x14:cfRule type="containsText" priority="3346" operator="containsText" id="{D32FC5CD-5E94-4CC2-BCDF-CDE7DD1CD6AB}">
            <xm:f>NOT(ISERROR(SEARCH(bahan5,R393)))</xm:f>
            <xm:f>bahan5</xm:f>
            <x14:dxf>
              <fill>
                <patternFill>
                  <bgColor rgb="FF00B0F0"/>
                </patternFill>
              </fill>
            </x14:dxf>
          </x14:cfRule>
          <x14:cfRule type="containsText" priority="3345" operator="containsText" id="{E9CBE753-FAD4-4E3C-A00B-E8E525C1005C}">
            <xm:f>NOT(ISERROR(SEARCH(bahan1,R393)))</xm:f>
            <xm:f>bahan1</xm:f>
            <x14:dxf>
              <fill>
                <patternFill>
                  <bgColor theme="7" tint="0.39994506668294322"/>
                </patternFill>
              </fill>
            </x14:dxf>
          </x14:cfRule>
          <xm:sqref>R393</xm:sqref>
        </x14:conditionalFormatting>
        <x14:conditionalFormatting xmlns:xm="http://schemas.microsoft.com/office/excel/2006/main">
          <x14:cfRule type="containsText" priority="3321" operator="containsText" id="{0197AAE8-C388-4618-9475-D2DCFAF4EDAC}">
            <xm:f>NOT(ISERROR(SEARCH(bahan1,R394)))</xm:f>
            <xm:f>bahan1</xm:f>
            <x14:dxf>
              <fill>
                <patternFill>
                  <bgColor theme="7" tint="0.39994506668294322"/>
                </patternFill>
              </fill>
            </x14:dxf>
          </x14:cfRule>
          <x14:cfRule type="containsText" priority="3322" operator="containsText" id="{4B13953B-A4C8-426E-B20C-988F216D6ABE}">
            <xm:f>NOT(ISERROR(SEARCH(bahan5,R394)))</xm:f>
            <xm:f>bahan5</xm:f>
            <x14:dxf>
              <fill>
                <patternFill>
                  <bgColor rgb="FF00B0F0"/>
                </patternFill>
              </fill>
            </x14:dxf>
          </x14:cfRule>
          <xm:sqref>R394:R398 R400:R401</xm:sqref>
        </x14:conditionalFormatting>
        <x14:conditionalFormatting xmlns:xm="http://schemas.microsoft.com/office/excel/2006/main">
          <x14:cfRule type="containsText" priority="3298" operator="containsText" id="{7F5A5800-694E-41A2-9108-AF5723980CE9}">
            <xm:f>NOT(ISERROR(SEARCH(bahan5,R399)))</xm:f>
            <xm:f>bahan5</xm:f>
            <x14:dxf>
              <fill>
                <patternFill>
                  <bgColor rgb="FF00B0F0"/>
                </patternFill>
              </fill>
            </x14:dxf>
          </x14:cfRule>
          <x14:cfRule type="containsText" priority="3297" operator="containsText" id="{AD309FD1-1C0A-4524-87ED-7F954E66996B}">
            <xm:f>NOT(ISERROR(SEARCH(bahan1,R399)))</xm:f>
            <xm:f>bahan1</xm:f>
            <x14:dxf>
              <fill>
                <patternFill>
                  <bgColor theme="7" tint="0.39994506668294322"/>
                </patternFill>
              </fill>
            </x14:dxf>
          </x14:cfRule>
          <xm:sqref>R399</xm:sqref>
        </x14:conditionalFormatting>
        <x14:conditionalFormatting xmlns:xm="http://schemas.microsoft.com/office/excel/2006/main">
          <x14:cfRule type="containsText" priority="23019" operator="containsText" id="{461A76C6-8CAC-41E5-8D78-AAC131131FFA}">
            <xm:f>NOT(ISERROR(SEARCH(bahan1,R402)))</xm:f>
            <xm:f>bahan1</xm:f>
            <x14:dxf>
              <fill>
                <patternFill>
                  <bgColor theme="7" tint="0.39994506668294322"/>
                </patternFill>
              </fill>
            </x14:dxf>
          </x14:cfRule>
          <x14:cfRule type="containsText" priority="23020" operator="containsText" id="{C1B61B80-91D6-41D7-BAFB-F313008012BC}">
            <xm:f>NOT(ISERROR(SEARCH(bahan5,R402)))</xm:f>
            <xm:f>bahan5</xm:f>
            <x14:dxf>
              <fill>
                <patternFill>
                  <bgColor rgb="FF00B0F0"/>
                </patternFill>
              </fill>
            </x14:dxf>
          </x14:cfRule>
          <xm:sqref>R402</xm:sqref>
        </x14:conditionalFormatting>
        <x14:conditionalFormatting xmlns:xm="http://schemas.microsoft.com/office/excel/2006/main">
          <x14:cfRule type="containsText" priority="3274" operator="containsText" id="{6C227DB6-9BD7-41CD-A72B-6F413AC52808}">
            <xm:f>NOT(ISERROR(SEARCH(bahan5,R403)))</xm:f>
            <xm:f>bahan5</xm:f>
            <x14:dxf>
              <fill>
                <patternFill>
                  <bgColor rgb="FF00B0F0"/>
                </patternFill>
              </fill>
            </x14:dxf>
          </x14:cfRule>
          <x14:cfRule type="containsText" priority="3273" operator="containsText" id="{7064F727-0BBF-4BBC-B117-B8BEAD39B369}">
            <xm:f>NOT(ISERROR(SEARCH(bahan1,R403)))</xm:f>
            <xm:f>bahan1</xm:f>
            <x14:dxf>
              <fill>
                <patternFill>
                  <bgColor theme="7" tint="0.39994506668294322"/>
                </patternFill>
              </fill>
            </x14:dxf>
          </x14:cfRule>
          <xm:sqref>R403</xm:sqref>
        </x14:conditionalFormatting>
        <x14:conditionalFormatting xmlns:xm="http://schemas.microsoft.com/office/excel/2006/main">
          <x14:cfRule type="containsText" priority="3178" operator="containsText" id="{8A4F8639-45CE-4074-A30B-58A5C0F46821}">
            <xm:f>NOT(ISERROR(SEARCH(bahan5,R404)))</xm:f>
            <xm:f>bahan5</xm:f>
            <x14:dxf>
              <fill>
                <patternFill>
                  <bgColor rgb="FF00B0F0"/>
                </patternFill>
              </fill>
            </x14:dxf>
          </x14:cfRule>
          <x14:cfRule type="containsText" priority="3177" operator="containsText" id="{3EA296A4-0B6B-47C6-B7CB-0B82069069F7}">
            <xm:f>NOT(ISERROR(SEARCH(bahan1,R404)))</xm:f>
            <xm:f>bahan1</xm:f>
            <x14:dxf>
              <fill>
                <patternFill>
                  <bgColor theme="7" tint="0.39994506668294322"/>
                </patternFill>
              </fill>
            </x14:dxf>
          </x14:cfRule>
          <xm:sqref>R404</xm:sqref>
        </x14:conditionalFormatting>
        <x14:conditionalFormatting xmlns:xm="http://schemas.microsoft.com/office/excel/2006/main">
          <x14:cfRule type="containsText" priority="3154" operator="containsText" id="{A8892AAC-514A-44FE-8DED-044E925D46CF}">
            <xm:f>NOT(ISERROR(SEARCH(bahan5,R405)))</xm:f>
            <xm:f>bahan5</xm:f>
            <x14:dxf>
              <fill>
                <patternFill>
                  <bgColor rgb="FF00B0F0"/>
                </patternFill>
              </fill>
            </x14:dxf>
          </x14:cfRule>
          <x14:cfRule type="containsText" priority="3153" operator="containsText" id="{A161243E-BD39-4ADC-B666-31AEF7F4C32C}">
            <xm:f>NOT(ISERROR(SEARCH(bahan1,R405)))</xm:f>
            <xm:f>bahan1</xm:f>
            <x14:dxf>
              <fill>
                <patternFill>
                  <bgColor theme="7" tint="0.39994506668294322"/>
                </patternFill>
              </fill>
            </x14:dxf>
          </x14:cfRule>
          <xm:sqref>R405:R413</xm:sqref>
        </x14:conditionalFormatting>
        <x14:conditionalFormatting xmlns:xm="http://schemas.microsoft.com/office/excel/2006/main">
          <x14:cfRule type="containsText" priority="3202" operator="containsText" id="{9527D64C-E948-4ED0-805B-9D5A5E6A4AD8}">
            <xm:f>NOT(ISERROR(SEARCH(bahan5,R414)))</xm:f>
            <xm:f>bahan5</xm:f>
            <x14:dxf>
              <fill>
                <patternFill>
                  <bgColor rgb="FF00B0F0"/>
                </patternFill>
              </fill>
            </x14:dxf>
          </x14:cfRule>
          <x14:cfRule type="containsText" priority="3201" operator="containsText" id="{879A299E-4578-49C2-893D-B95D0BCF3FB2}">
            <xm:f>NOT(ISERROR(SEARCH(bahan1,R414)))</xm:f>
            <xm:f>bahan1</xm:f>
            <x14:dxf>
              <fill>
                <patternFill>
                  <bgColor theme="7" tint="0.39994506668294322"/>
                </patternFill>
              </fill>
            </x14:dxf>
          </x14:cfRule>
          <xm:sqref>R414</xm:sqref>
        </x14:conditionalFormatting>
        <x14:conditionalFormatting xmlns:xm="http://schemas.microsoft.com/office/excel/2006/main">
          <x14:cfRule type="containsText" priority="11132" operator="containsText" id="{A37E48AB-45FD-46AE-82B0-9E354264755E}">
            <xm:f>NOT(ISERROR(SEARCH(bahan5,R415)))</xm:f>
            <xm:f>bahan5</xm:f>
            <x14:dxf>
              <fill>
                <patternFill>
                  <bgColor rgb="FF00B0F0"/>
                </patternFill>
              </fill>
            </x14:dxf>
          </x14:cfRule>
          <x14:cfRule type="containsText" priority="11131" operator="containsText" id="{E72747CE-B241-40F3-82D5-5FDDCC6984B6}">
            <xm:f>NOT(ISERROR(SEARCH(bahan1,R415)))</xm:f>
            <xm:f>bahan1</xm:f>
            <x14:dxf>
              <fill>
                <patternFill>
                  <bgColor theme="7" tint="0.39994506668294322"/>
                </patternFill>
              </fill>
            </x14:dxf>
          </x14:cfRule>
          <xm:sqref>R415</xm:sqref>
        </x14:conditionalFormatting>
        <x14:conditionalFormatting xmlns:xm="http://schemas.microsoft.com/office/excel/2006/main">
          <x14:cfRule type="containsText" priority="3130" operator="containsText" id="{43B506E4-68EF-447C-A0DF-EF5BF52F936B}">
            <xm:f>NOT(ISERROR(SEARCH(bahan5,R416)))</xm:f>
            <xm:f>bahan5</xm:f>
            <x14:dxf>
              <fill>
                <patternFill>
                  <bgColor rgb="FF00B0F0"/>
                </patternFill>
              </fill>
            </x14:dxf>
          </x14:cfRule>
          <x14:cfRule type="containsText" priority="3129" operator="containsText" id="{4CC52327-B5B2-4356-9B09-E5BF00754414}">
            <xm:f>NOT(ISERROR(SEARCH(bahan1,R416)))</xm:f>
            <xm:f>bahan1</xm:f>
            <x14:dxf>
              <fill>
                <patternFill>
                  <bgColor theme="7" tint="0.39994506668294322"/>
                </patternFill>
              </fill>
            </x14:dxf>
          </x14:cfRule>
          <xm:sqref>R416</xm:sqref>
        </x14:conditionalFormatting>
        <x14:conditionalFormatting xmlns:xm="http://schemas.microsoft.com/office/excel/2006/main">
          <x14:cfRule type="containsText" priority="3106" operator="containsText" id="{5202C5F7-33EB-4BC7-9782-F64F41A6A86C}">
            <xm:f>NOT(ISERROR(SEARCH(bahan5,R417)))</xm:f>
            <xm:f>bahan5</xm:f>
            <x14:dxf>
              <fill>
                <patternFill>
                  <bgColor rgb="FF00B0F0"/>
                </patternFill>
              </fill>
            </x14:dxf>
          </x14:cfRule>
          <x14:cfRule type="containsText" priority="3105" operator="containsText" id="{C5C7A174-571C-4F8B-A65E-94EF6C4D1F28}">
            <xm:f>NOT(ISERROR(SEARCH(bahan1,R417)))</xm:f>
            <xm:f>bahan1</xm:f>
            <x14:dxf>
              <fill>
                <patternFill>
                  <bgColor theme="7" tint="0.39994506668294322"/>
                </patternFill>
              </fill>
            </x14:dxf>
          </x14:cfRule>
          <xm:sqref>R417:R426</xm:sqref>
        </x14:conditionalFormatting>
        <x14:conditionalFormatting xmlns:xm="http://schemas.microsoft.com/office/excel/2006/main">
          <x14:cfRule type="containsText" priority="10780" operator="containsText" id="{F6B97F4D-2573-4561-8F06-B00036275910}">
            <xm:f>NOT(ISERROR(SEARCH(bahan1,R427)))</xm:f>
            <xm:f>bahan1</xm:f>
            <x14:dxf>
              <fill>
                <patternFill>
                  <bgColor theme="7" tint="0.39994506668294322"/>
                </patternFill>
              </fill>
            </x14:dxf>
          </x14:cfRule>
          <x14:cfRule type="containsText" priority="10781" operator="containsText" id="{3A69178A-0407-4D16-B9DA-D07F01C8FE13}">
            <xm:f>NOT(ISERROR(SEARCH(bahan5,R427)))</xm:f>
            <xm:f>bahan5</xm:f>
            <x14:dxf>
              <fill>
                <patternFill>
                  <bgColor rgb="FF00B0F0"/>
                </patternFill>
              </fill>
            </x14:dxf>
          </x14:cfRule>
          <xm:sqref>R427 R429</xm:sqref>
        </x14:conditionalFormatting>
        <x14:conditionalFormatting xmlns:xm="http://schemas.microsoft.com/office/excel/2006/main">
          <x14:cfRule type="containsText" priority="10742" operator="containsText" id="{C0522130-E093-4471-9075-A6FC867BBD55}">
            <xm:f>NOT(ISERROR(SEARCH(bahan1,R428)))</xm:f>
            <xm:f>bahan1</xm:f>
            <x14:dxf>
              <fill>
                <patternFill>
                  <bgColor theme="7" tint="0.39994506668294322"/>
                </patternFill>
              </fill>
            </x14:dxf>
          </x14:cfRule>
          <x14:cfRule type="containsText" priority="10743" operator="containsText" id="{9B348AC2-6433-44B0-9953-890C910FA7FD}">
            <xm:f>NOT(ISERROR(SEARCH(bahan5,R428)))</xm:f>
            <xm:f>bahan5</xm:f>
            <x14:dxf>
              <fill>
                <patternFill>
                  <bgColor rgb="FF00B0F0"/>
                </patternFill>
              </fill>
            </x14:dxf>
          </x14:cfRule>
          <xm:sqref>R428</xm:sqref>
        </x14:conditionalFormatting>
        <x14:conditionalFormatting xmlns:xm="http://schemas.microsoft.com/office/excel/2006/main">
          <x14:cfRule type="containsText" priority="3082" operator="containsText" id="{5BFF1251-37B1-45AC-BC15-529C92F7AB9B}">
            <xm:f>NOT(ISERROR(SEARCH(bahan5,R430)))</xm:f>
            <xm:f>bahan5</xm:f>
            <x14:dxf>
              <fill>
                <patternFill>
                  <bgColor rgb="FF00B0F0"/>
                </patternFill>
              </fill>
            </x14:dxf>
          </x14:cfRule>
          <x14:cfRule type="containsText" priority="3081" operator="containsText" id="{14D0A100-A35C-40E1-932E-AB1E3705AC6B}">
            <xm:f>NOT(ISERROR(SEARCH(bahan1,R430)))</xm:f>
            <xm:f>bahan1</xm:f>
            <x14:dxf>
              <fill>
                <patternFill>
                  <bgColor theme="7" tint="0.39994506668294322"/>
                </patternFill>
              </fill>
            </x14:dxf>
          </x14:cfRule>
          <xm:sqref>R430</xm:sqref>
        </x14:conditionalFormatting>
        <x14:conditionalFormatting xmlns:xm="http://schemas.microsoft.com/office/excel/2006/main">
          <x14:cfRule type="containsText" priority="3058" operator="containsText" id="{EAA11410-9363-43A7-8861-6FC622A74A82}">
            <xm:f>NOT(ISERROR(SEARCH(bahan5,R431)))</xm:f>
            <xm:f>bahan5</xm:f>
            <x14:dxf>
              <fill>
                <patternFill>
                  <bgColor rgb="FF00B0F0"/>
                </patternFill>
              </fill>
            </x14:dxf>
          </x14:cfRule>
          <x14:cfRule type="containsText" priority="3057" operator="containsText" id="{20F77ABA-DC29-476A-8546-78A10548C4CA}">
            <xm:f>NOT(ISERROR(SEARCH(bahan1,R431)))</xm:f>
            <xm:f>bahan1</xm:f>
            <x14:dxf>
              <fill>
                <patternFill>
                  <bgColor theme="7" tint="0.39994506668294322"/>
                </patternFill>
              </fill>
            </x14:dxf>
          </x14:cfRule>
          <xm:sqref>R431:R440</xm:sqref>
        </x14:conditionalFormatting>
        <x14:conditionalFormatting xmlns:xm="http://schemas.microsoft.com/office/excel/2006/main">
          <x14:cfRule type="containsText" priority="10853" operator="containsText" id="{28EA1A10-D201-48E1-B8A3-55818C1C01B4}">
            <xm:f>NOT(ISERROR(SEARCH(bahan5,R441)))</xm:f>
            <xm:f>bahan5</xm:f>
            <x14:dxf>
              <fill>
                <patternFill>
                  <bgColor rgb="FF00B0F0"/>
                </patternFill>
              </fill>
            </x14:dxf>
          </x14:cfRule>
          <x14:cfRule type="containsText" priority="10852" operator="containsText" id="{28858D71-A564-4792-9329-6863A2656885}">
            <xm:f>NOT(ISERROR(SEARCH(bahan1,R441)))</xm:f>
            <xm:f>bahan1</xm:f>
            <x14:dxf>
              <fill>
                <patternFill>
                  <bgColor theme="7" tint="0.39994506668294322"/>
                </patternFill>
              </fill>
            </x14:dxf>
          </x14:cfRule>
          <xm:sqref>R441</xm:sqref>
        </x14:conditionalFormatting>
        <x14:conditionalFormatting xmlns:xm="http://schemas.microsoft.com/office/excel/2006/main">
          <x14:cfRule type="containsText" priority="3043" operator="containsText" id="{231492A3-D9ED-4FAA-8100-32B7E076EC59}">
            <xm:f>NOT(ISERROR(SEARCH(bahan1,R442)))</xm:f>
            <xm:f>bahan1</xm:f>
            <x14:dxf>
              <fill>
                <patternFill>
                  <bgColor theme="7" tint="0.39994506668294322"/>
                </patternFill>
              </fill>
            </x14:dxf>
          </x14:cfRule>
          <x14:cfRule type="containsText" priority="3044" operator="containsText" id="{611A4FE5-061C-435D-B86E-BECA491219E3}">
            <xm:f>NOT(ISERROR(SEARCH(bahan5,R442)))</xm:f>
            <xm:f>bahan5</xm:f>
            <x14:dxf>
              <fill>
                <patternFill>
                  <bgColor rgb="FF00B0F0"/>
                </patternFill>
              </fill>
            </x14:dxf>
          </x14:cfRule>
          <xm:sqref>R442</xm:sqref>
        </x14:conditionalFormatting>
        <x14:conditionalFormatting xmlns:xm="http://schemas.microsoft.com/office/excel/2006/main">
          <x14:cfRule type="containsText" priority="3005" operator="containsText" id="{99904C2E-0980-4B73-B43F-B0C076ADAD39}">
            <xm:f>NOT(ISERROR(SEARCH(bahan1,R443)))</xm:f>
            <xm:f>bahan1</xm:f>
            <x14:dxf>
              <fill>
                <patternFill>
                  <bgColor theme="7" tint="0.39994506668294322"/>
                </patternFill>
              </fill>
            </x14:dxf>
          </x14:cfRule>
          <x14:cfRule type="containsText" priority="3006" operator="containsText" id="{2D32169A-8B71-40BD-BB72-6D4363C8A0CE}">
            <xm:f>NOT(ISERROR(SEARCH(bahan5,R443)))</xm:f>
            <xm:f>bahan5</xm:f>
            <x14:dxf>
              <fill>
                <patternFill>
                  <bgColor rgb="FF00B0F0"/>
                </patternFill>
              </fill>
            </x14:dxf>
          </x14:cfRule>
          <xm:sqref>R443</xm:sqref>
        </x14:conditionalFormatting>
        <x14:conditionalFormatting xmlns:xm="http://schemas.microsoft.com/office/excel/2006/main">
          <x14:cfRule type="containsText" priority="2981" operator="containsText" id="{4403A6F6-85A1-46C5-A2F8-9FC929337FFA}">
            <xm:f>NOT(ISERROR(SEARCH(bahan1,R444)))</xm:f>
            <xm:f>bahan1</xm:f>
            <x14:dxf>
              <fill>
                <patternFill>
                  <bgColor theme="7" tint="0.39994506668294322"/>
                </patternFill>
              </fill>
            </x14:dxf>
          </x14:cfRule>
          <x14:cfRule type="containsText" priority="2982" operator="containsText" id="{09A282DC-6690-43C4-B651-609439F9D829}">
            <xm:f>NOT(ISERROR(SEARCH(bahan5,R444)))</xm:f>
            <xm:f>bahan5</xm:f>
            <x14:dxf>
              <fill>
                <patternFill>
                  <bgColor rgb="FF00B0F0"/>
                </patternFill>
              </fill>
            </x14:dxf>
          </x14:cfRule>
          <xm:sqref>R444:R451</xm:sqref>
        </x14:conditionalFormatting>
        <x14:conditionalFormatting xmlns:xm="http://schemas.microsoft.com/office/excel/2006/main">
          <x14:cfRule type="containsText" priority="22776" operator="containsText" id="{4418C15D-5928-45EC-A60A-0A1DAE37D8D3}">
            <xm:f>NOT(ISERROR(SEARCH(bahan5,R452)))</xm:f>
            <xm:f>bahan5</xm:f>
            <x14:dxf>
              <fill>
                <patternFill>
                  <bgColor rgb="FF00B0F0"/>
                </patternFill>
              </fill>
            </x14:dxf>
          </x14:cfRule>
          <x14:cfRule type="containsText" priority="22775" operator="containsText" id="{94F4529B-58BF-4621-AA71-08B4BFF41F69}">
            <xm:f>NOT(ISERROR(SEARCH(bahan1,R452)))</xm:f>
            <xm:f>bahan1</xm:f>
            <x14:dxf>
              <fill>
                <patternFill>
                  <bgColor theme="7" tint="0.39994506668294322"/>
                </patternFill>
              </fill>
            </x14:dxf>
          </x14:cfRule>
          <xm:sqref>R452</xm:sqref>
        </x14:conditionalFormatting>
        <x14:conditionalFormatting xmlns:xm="http://schemas.microsoft.com/office/excel/2006/main">
          <x14:cfRule type="containsText" priority="10538" operator="containsText" id="{2553CBE1-27C4-4628-B359-FC6C4D4F304B}">
            <xm:f>NOT(ISERROR(SEARCH(bahan1,R453)))</xm:f>
            <xm:f>bahan1</xm:f>
            <x14:dxf>
              <fill>
                <patternFill>
                  <bgColor theme="7" tint="0.39994506668294322"/>
                </patternFill>
              </fill>
            </x14:dxf>
          </x14:cfRule>
          <x14:cfRule type="containsText" priority="10539" operator="containsText" id="{E18558ED-B233-47E1-8733-F9CDEF043C8E}">
            <xm:f>NOT(ISERROR(SEARCH(bahan5,R453)))</xm:f>
            <xm:f>bahan5</xm:f>
            <x14:dxf>
              <fill>
                <patternFill>
                  <bgColor rgb="FF00B0F0"/>
                </patternFill>
              </fill>
            </x14:dxf>
          </x14:cfRule>
          <xm:sqref>R453</xm:sqref>
        </x14:conditionalFormatting>
        <x14:conditionalFormatting xmlns:xm="http://schemas.microsoft.com/office/excel/2006/main">
          <x14:cfRule type="containsText" priority="2958" operator="containsText" id="{72068C82-E390-46D4-B766-B9CD514123AE}">
            <xm:f>NOT(ISERROR(SEARCH(bahan5,R454)))</xm:f>
            <xm:f>bahan5</xm:f>
            <x14:dxf>
              <fill>
                <patternFill>
                  <bgColor rgb="FF00B0F0"/>
                </patternFill>
              </fill>
            </x14:dxf>
          </x14:cfRule>
          <x14:cfRule type="containsText" priority="2957" operator="containsText" id="{EC70FDBE-9C2B-43C4-862B-E64AB2C1DF6C}">
            <xm:f>NOT(ISERROR(SEARCH(bahan1,R454)))</xm:f>
            <xm:f>bahan1</xm:f>
            <x14:dxf>
              <fill>
                <patternFill>
                  <bgColor theme="7" tint="0.39994506668294322"/>
                </patternFill>
              </fill>
            </x14:dxf>
          </x14:cfRule>
          <xm:sqref>R454</xm:sqref>
        </x14:conditionalFormatting>
        <x14:conditionalFormatting xmlns:xm="http://schemas.microsoft.com/office/excel/2006/main">
          <x14:cfRule type="containsText" priority="2933" operator="containsText" id="{5B9FE2F1-13E7-4179-B7BB-603E970200B3}">
            <xm:f>NOT(ISERROR(SEARCH(bahan1,R455)))</xm:f>
            <xm:f>bahan1</xm:f>
            <x14:dxf>
              <fill>
                <patternFill>
                  <bgColor theme="7" tint="0.39994506668294322"/>
                </patternFill>
              </fill>
            </x14:dxf>
          </x14:cfRule>
          <x14:cfRule type="containsText" priority="2934" operator="containsText" id="{C48D88C3-3037-49A4-A284-13B3A646641F}">
            <xm:f>NOT(ISERROR(SEARCH(bahan5,R455)))</xm:f>
            <xm:f>bahan5</xm:f>
            <x14:dxf>
              <fill>
                <patternFill>
                  <bgColor rgb="FF00B0F0"/>
                </patternFill>
              </fill>
            </x14:dxf>
          </x14:cfRule>
          <xm:sqref>R455:R462</xm:sqref>
        </x14:conditionalFormatting>
        <x14:conditionalFormatting xmlns:xm="http://schemas.microsoft.com/office/excel/2006/main">
          <x14:cfRule type="containsText" priority="22635" operator="containsText" id="{506C0E1A-0D6D-47F0-96FC-BCC6CD093BB8}">
            <xm:f>NOT(ISERROR(SEARCH(bahan5,R463)))</xm:f>
            <xm:f>bahan5</xm:f>
            <x14:dxf>
              <fill>
                <patternFill>
                  <bgColor rgb="FF00B0F0"/>
                </patternFill>
              </fill>
            </x14:dxf>
          </x14:cfRule>
          <x14:cfRule type="containsText" priority="22634" operator="containsText" id="{78106FD5-BA7E-47B2-A650-E0B2236718BD}">
            <xm:f>NOT(ISERROR(SEARCH(bahan1,R463)))</xm:f>
            <xm:f>bahan1</xm:f>
            <x14:dxf>
              <fill>
                <patternFill>
                  <bgColor theme="7" tint="0.39994506668294322"/>
                </patternFill>
              </fill>
            </x14:dxf>
          </x14:cfRule>
          <xm:sqref>R463:R464</xm:sqref>
        </x14:conditionalFormatting>
        <x14:conditionalFormatting xmlns:xm="http://schemas.microsoft.com/office/excel/2006/main">
          <x14:cfRule type="containsText" priority="2909" operator="containsText" id="{6D358106-8957-4EFE-92DE-576B0C4B67C3}">
            <xm:f>NOT(ISERROR(SEARCH(bahan1,R465)))</xm:f>
            <xm:f>bahan1</xm:f>
            <x14:dxf>
              <fill>
                <patternFill>
                  <bgColor theme="7" tint="0.39994506668294322"/>
                </patternFill>
              </fill>
            </x14:dxf>
          </x14:cfRule>
          <x14:cfRule type="containsText" priority="2910" operator="containsText" id="{4DE1F3E1-B973-4E5B-8156-1FAFF93C2F14}">
            <xm:f>NOT(ISERROR(SEARCH(bahan5,R465)))</xm:f>
            <xm:f>bahan5</xm:f>
            <x14:dxf>
              <fill>
                <patternFill>
                  <bgColor rgb="FF00B0F0"/>
                </patternFill>
              </fill>
            </x14:dxf>
          </x14:cfRule>
          <xm:sqref>R465</xm:sqref>
        </x14:conditionalFormatting>
        <x14:conditionalFormatting xmlns:xm="http://schemas.microsoft.com/office/excel/2006/main">
          <x14:cfRule type="containsText" priority="2885" operator="containsText" id="{3E258ECC-0074-40D7-BEBE-2827DE1ED6E8}">
            <xm:f>NOT(ISERROR(SEARCH(bahan1,R466)))</xm:f>
            <xm:f>bahan1</xm:f>
            <x14:dxf>
              <fill>
                <patternFill>
                  <bgColor theme="7" tint="0.39994506668294322"/>
                </patternFill>
              </fill>
            </x14:dxf>
          </x14:cfRule>
          <x14:cfRule type="containsText" priority="2886" operator="containsText" id="{3071C76D-5208-4512-B875-49863684268A}">
            <xm:f>NOT(ISERROR(SEARCH(bahan5,R466)))</xm:f>
            <xm:f>bahan5</xm:f>
            <x14:dxf>
              <fill>
                <patternFill>
                  <bgColor rgb="FF00B0F0"/>
                </patternFill>
              </fill>
            </x14:dxf>
          </x14:cfRule>
          <xm:sqref>R466:R473</xm:sqref>
        </x14:conditionalFormatting>
        <x14:conditionalFormatting xmlns:xm="http://schemas.microsoft.com/office/excel/2006/main">
          <x14:cfRule type="containsText" priority="26679" operator="containsText" id="{979A0D7C-3C59-42C0-A863-AC7A55F50F19}">
            <xm:f>NOT(ISERROR(SEARCH(bahan5,R474)))</xm:f>
            <xm:f>bahan5</xm:f>
            <x14:dxf>
              <fill>
                <patternFill>
                  <bgColor rgb="FF00B0F0"/>
                </patternFill>
              </fill>
            </x14:dxf>
          </x14:cfRule>
          <x14:cfRule type="containsText" priority="26678" operator="containsText" id="{FC86C9A6-18A4-471A-BFFF-384423BFD8DD}">
            <xm:f>NOT(ISERROR(SEARCH(bahan1,R474)))</xm:f>
            <xm:f>bahan1</xm:f>
            <x14:dxf>
              <fill>
                <patternFill>
                  <bgColor theme="7" tint="0.39994506668294322"/>
                </patternFill>
              </fill>
            </x14:dxf>
          </x14:cfRule>
          <xm:sqref>R474</xm:sqref>
        </x14:conditionalFormatting>
        <x14:conditionalFormatting xmlns:xm="http://schemas.microsoft.com/office/excel/2006/main">
          <x14:cfRule type="containsText" priority="2861" operator="containsText" id="{F9C29D8F-6DD9-4B2E-AEC8-EA93319E19DB}">
            <xm:f>NOT(ISERROR(SEARCH(bahan1,R475)))</xm:f>
            <xm:f>bahan1</xm:f>
            <x14:dxf>
              <fill>
                <patternFill>
                  <bgColor theme="7" tint="0.39994506668294322"/>
                </patternFill>
              </fill>
            </x14:dxf>
          </x14:cfRule>
          <x14:cfRule type="containsText" priority="2862" operator="containsText" id="{041A4ACC-12EB-4B7E-B19B-E95A7BA206FA}">
            <xm:f>NOT(ISERROR(SEARCH(bahan5,R475)))</xm:f>
            <xm:f>bahan5</xm:f>
            <x14:dxf>
              <fill>
                <patternFill>
                  <bgColor rgb="FF00B0F0"/>
                </patternFill>
              </fill>
            </x14:dxf>
          </x14:cfRule>
          <xm:sqref>R475</xm:sqref>
        </x14:conditionalFormatting>
        <x14:conditionalFormatting xmlns:xm="http://schemas.microsoft.com/office/excel/2006/main">
          <x14:cfRule type="containsText" priority="2838" operator="containsText" id="{51E75FA5-716B-4F9C-ADD0-56AA38AEFAF3}">
            <xm:f>NOT(ISERROR(SEARCH(bahan5,R476)))</xm:f>
            <xm:f>bahan5</xm:f>
            <x14:dxf>
              <fill>
                <patternFill>
                  <bgColor rgb="FF00B0F0"/>
                </patternFill>
              </fill>
            </x14:dxf>
          </x14:cfRule>
          <x14:cfRule type="containsText" priority="2837" operator="containsText" id="{E60B6F94-1BCB-4307-BCA0-A03240E6F1C5}">
            <xm:f>NOT(ISERROR(SEARCH(bahan1,R476)))</xm:f>
            <xm:f>bahan1</xm:f>
            <x14:dxf>
              <fill>
                <patternFill>
                  <bgColor theme="7" tint="0.39994506668294322"/>
                </patternFill>
              </fill>
            </x14:dxf>
          </x14:cfRule>
          <xm:sqref>R476:R483</xm:sqref>
        </x14:conditionalFormatting>
        <x14:conditionalFormatting xmlns:xm="http://schemas.microsoft.com/office/excel/2006/main">
          <x14:cfRule type="containsText" priority="2814" operator="containsText" id="{97287F58-142F-4116-B7E9-E3877C3E0CBC}">
            <xm:f>NOT(ISERROR(SEARCH(bahan5,R484)))</xm:f>
            <xm:f>bahan5</xm:f>
            <x14:dxf>
              <fill>
                <patternFill>
                  <bgColor rgb="FF00B0F0"/>
                </patternFill>
              </fill>
            </x14:dxf>
          </x14:cfRule>
          <x14:cfRule type="containsText" priority="2813" operator="containsText" id="{775E4171-F275-452F-B3FA-4D9414DA9C5E}">
            <xm:f>NOT(ISERROR(SEARCH(bahan1,R484)))</xm:f>
            <xm:f>bahan1</xm:f>
            <x14:dxf>
              <fill>
                <patternFill>
                  <bgColor theme="7" tint="0.39994506668294322"/>
                </patternFill>
              </fill>
            </x14:dxf>
          </x14:cfRule>
          <xm:sqref>R484</xm:sqref>
        </x14:conditionalFormatting>
        <x14:conditionalFormatting xmlns:xm="http://schemas.microsoft.com/office/excel/2006/main">
          <x14:cfRule type="containsText" priority="22515" operator="containsText" id="{590ED2D2-80BA-4C1F-AA43-C7CC29FDD41B}">
            <xm:f>NOT(ISERROR(SEARCH(bahan5,R485)))</xm:f>
            <xm:f>bahan5</xm:f>
            <x14:dxf>
              <fill>
                <patternFill>
                  <bgColor rgb="FF00B0F0"/>
                </patternFill>
              </fill>
            </x14:dxf>
          </x14:cfRule>
          <x14:cfRule type="containsText" priority="22514" operator="containsText" id="{85696090-2C29-4661-BB7F-6F5D6D7C7C91}">
            <xm:f>NOT(ISERROR(SEARCH(bahan1,R485)))</xm:f>
            <xm:f>bahan1</xm:f>
            <x14:dxf>
              <fill>
                <patternFill>
                  <bgColor theme="7" tint="0.39994506668294322"/>
                </patternFill>
              </fill>
            </x14:dxf>
          </x14:cfRule>
          <xm:sqref>R485</xm:sqref>
        </x14:conditionalFormatting>
        <x14:conditionalFormatting xmlns:xm="http://schemas.microsoft.com/office/excel/2006/main">
          <x14:cfRule type="containsText" priority="2742" operator="containsText" id="{BC92AEDF-D2A6-4972-AC22-91E448414948}">
            <xm:f>NOT(ISERROR(SEARCH(bahan5,R486)))</xm:f>
            <xm:f>bahan5</xm:f>
            <x14:dxf>
              <fill>
                <patternFill>
                  <bgColor rgb="FF00B0F0"/>
                </patternFill>
              </fill>
            </x14:dxf>
          </x14:cfRule>
          <x14:cfRule type="containsText" priority="2741" operator="containsText" id="{5445A5D6-6A81-4FCA-9E27-54CF11B082F4}">
            <xm:f>NOT(ISERROR(SEARCH(bahan1,R486)))</xm:f>
            <xm:f>bahan1</xm:f>
            <x14:dxf>
              <fill>
                <patternFill>
                  <bgColor theme="7" tint="0.39994506668294322"/>
                </patternFill>
              </fill>
            </x14:dxf>
          </x14:cfRule>
          <xm:sqref>R486</xm:sqref>
        </x14:conditionalFormatting>
        <x14:conditionalFormatting xmlns:xm="http://schemas.microsoft.com/office/excel/2006/main">
          <x14:cfRule type="containsText" priority="2718" operator="containsText" id="{C46E3FE4-84CE-4937-AE7E-D6289FEBA884}">
            <xm:f>NOT(ISERROR(SEARCH(bahan5,R487)))</xm:f>
            <xm:f>bahan5</xm:f>
            <x14:dxf>
              <fill>
                <patternFill>
                  <bgColor rgb="FF00B0F0"/>
                </patternFill>
              </fill>
            </x14:dxf>
          </x14:cfRule>
          <x14:cfRule type="containsText" priority="2717" operator="containsText" id="{B28F6FEA-C2F5-429F-8E52-33F3430BDAF0}">
            <xm:f>NOT(ISERROR(SEARCH(bahan1,R487)))</xm:f>
            <xm:f>bahan1</xm:f>
            <x14:dxf>
              <fill>
                <patternFill>
                  <bgColor theme="7" tint="0.39994506668294322"/>
                </patternFill>
              </fill>
            </x14:dxf>
          </x14:cfRule>
          <xm:sqref>R487:R496</xm:sqref>
        </x14:conditionalFormatting>
        <x14:conditionalFormatting xmlns:xm="http://schemas.microsoft.com/office/excel/2006/main">
          <x14:cfRule type="containsText" priority="42609" operator="containsText" id="{81822F66-9F20-4762-80D8-F26F744053FE}">
            <xm:f>NOT(ISERROR(SEARCH(bahan5,R497)))</xm:f>
            <xm:f>bahan5</xm:f>
            <x14:dxf>
              <fill>
                <patternFill>
                  <bgColor rgb="FF00B0F0"/>
                </patternFill>
              </fill>
            </x14:dxf>
          </x14:cfRule>
          <x14:cfRule type="containsText" priority="42608" operator="containsText" id="{C4FDE6C3-3C70-407C-86DA-8A05AA7CA5AC}">
            <xm:f>NOT(ISERROR(SEARCH(bahan1,R497)))</xm:f>
            <xm:f>bahan1</xm:f>
            <x14:dxf>
              <fill>
                <patternFill>
                  <bgColor theme="7" tint="0.39994506668294322"/>
                </patternFill>
              </fill>
            </x14:dxf>
          </x14:cfRule>
          <xm:sqref>R497</xm:sqref>
        </x14:conditionalFormatting>
        <x14:conditionalFormatting xmlns:xm="http://schemas.microsoft.com/office/excel/2006/main">
          <x14:cfRule type="containsText" priority="2693" operator="containsText" id="{96F1A120-0A00-4755-B59B-62A4F4D970F2}">
            <xm:f>NOT(ISERROR(SEARCH(bahan1,R498)))</xm:f>
            <xm:f>bahan1</xm:f>
            <x14:dxf>
              <fill>
                <patternFill>
                  <bgColor theme="7" tint="0.39994506668294322"/>
                </patternFill>
              </fill>
            </x14:dxf>
          </x14:cfRule>
          <x14:cfRule type="containsText" priority="2694" operator="containsText" id="{FBE31A2E-3C84-413A-BE51-2133FEF13705}">
            <xm:f>NOT(ISERROR(SEARCH(bahan5,R498)))</xm:f>
            <xm:f>bahan5</xm:f>
            <x14:dxf>
              <fill>
                <patternFill>
                  <bgColor rgb="FF00B0F0"/>
                </patternFill>
              </fill>
            </x14:dxf>
          </x14:cfRule>
          <xm:sqref>R498</xm:sqref>
        </x14:conditionalFormatting>
        <x14:conditionalFormatting xmlns:xm="http://schemas.microsoft.com/office/excel/2006/main">
          <x14:cfRule type="containsText" priority="2670" operator="containsText" id="{C7648264-E90C-4C3E-BFD5-D1696A080888}">
            <xm:f>NOT(ISERROR(SEARCH(bahan5,R499)))</xm:f>
            <xm:f>bahan5</xm:f>
            <x14:dxf>
              <fill>
                <patternFill>
                  <bgColor rgb="FF00B0F0"/>
                </patternFill>
              </fill>
            </x14:dxf>
          </x14:cfRule>
          <x14:cfRule type="containsText" priority="2669" operator="containsText" id="{329F43AC-596D-45EE-8274-ADD07B8A3563}">
            <xm:f>NOT(ISERROR(SEARCH(bahan1,R499)))</xm:f>
            <xm:f>bahan1</xm:f>
            <x14:dxf>
              <fill>
                <patternFill>
                  <bgColor theme="7" tint="0.39994506668294322"/>
                </patternFill>
              </fill>
            </x14:dxf>
          </x14:cfRule>
          <xm:sqref>R499</xm:sqref>
        </x14:conditionalFormatting>
        <x14:conditionalFormatting xmlns:xm="http://schemas.microsoft.com/office/excel/2006/main">
          <x14:cfRule type="containsText" priority="2645" operator="containsText" id="{DF6B4211-B744-4C15-898A-47ED9167A727}">
            <xm:f>NOT(ISERROR(SEARCH(bahan1,R500)))</xm:f>
            <xm:f>bahan1</xm:f>
            <x14:dxf>
              <fill>
                <patternFill>
                  <bgColor theme="7" tint="0.39994506668294322"/>
                </patternFill>
              </fill>
            </x14:dxf>
          </x14:cfRule>
          <x14:cfRule type="containsText" priority="2646" operator="containsText" id="{9A996C84-8A61-4FD7-B2A5-856DCB807F16}">
            <xm:f>NOT(ISERROR(SEARCH(bahan5,R500)))</xm:f>
            <xm:f>bahan5</xm:f>
            <x14:dxf>
              <fill>
                <patternFill>
                  <bgColor rgb="FF00B0F0"/>
                </patternFill>
              </fill>
            </x14:dxf>
          </x14:cfRule>
          <xm:sqref>R500:R507</xm:sqref>
        </x14:conditionalFormatting>
        <x14:conditionalFormatting xmlns:xm="http://schemas.microsoft.com/office/excel/2006/main">
          <x14:cfRule type="containsText" priority="47807" operator="containsText" id="{7A3A1111-2CBF-476D-99B7-DE1F00C0BEDC}">
            <xm:f>NOT(ISERROR(SEARCH(bahan5,R508)))</xm:f>
            <xm:f>bahan5</xm:f>
            <x14:dxf>
              <fill>
                <patternFill>
                  <bgColor rgb="FF00B0F0"/>
                </patternFill>
              </fill>
            </x14:dxf>
          </x14:cfRule>
          <x14:cfRule type="containsText" priority="47806" operator="containsText" id="{11E6A842-4A54-4B3C-B005-A402F2113795}">
            <xm:f>NOT(ISERROR(SEARCH(bahan1,R508)))</xm:f>
            <xm:f>bahan1</xm:f>
            <x14:dxf>
              <fill>
                <patternFill>
                  <bgColor theme="7" tint="0.39994506668294322"/>
                </patternFill>
              </fill>
            </x14:dxf>
          </x14:cfRule>
          <xm:sqref>R508</xm:sqref>
        </x14:conditionalFormatting>
        <x14:conditionalFormatting xmlns:xm="http://schemas.microsoft.com/office/excel/2006/main">
          <x14:cfRule type="containsText" priority="2598" operator="containsText" id="{B4C8FD6A-EE29-4BF1-BD6D-237D730F6496}">
            <xm:f>NOT(ISERROR(SEARCH(bahan5,R509)))</xm:f>
            <xm:f>bahan5</xm:f>
            <x14:dxf>
              <fill>
                <patternFill>
                  <bgColor rgb="FF00B0F0"/>
                </patternFill>
              </fill>
            </x14:dxf>
          </x14:cfRule>
          <x14:cfRule type="containsText" priority="2597" operator="containsText" id="{9CA9113E-5046-4639-85CA-330F61A9AD78}">
            <xm:f>NOT(ISERROR(SEARCH(bahan1,R509)))</xm:f>
            <xm:f>bahan1</xm:f>
            <x14:dxf>
              <fill>
                <patternFill>
                  <bgColor theme="7" tint="0.39994506668294322"/>
                </patternFill>
              </fill>
            </x14:dxf>
          </x14:cfRule>
          <xm:sqref>R509</xm:sqref>
        </x14:conditionalFormatting>
        <x14:conditionalFormatting xmlns:xm="http://schemas.microsoft.com/office/excel/2006/main">
          <x14:cfRule type="containsText" priority="2621" operator="containsText" id="{0AF33668-D61D-4664-9D41-F3C2B1CEA766}">
            <xm:f>NOT(ISERROR(SEARCH(bahan1,R510)))</xm:f>
            <xm:f>bahan1</xm:f>
            <x14:dxf>
              <fill>
                <patternFill>
                  <bgColor theme="7" tint="0.39994506668294322"/>
                </patternFill>
              </fill>
            </x14:dxf>
          </x14:cfRule>
          <x14:cfRule type="containsText" priority="2622" operator="containsText" id="{D63FBF1C-B6FB-4379-9636-139CDD9E09E0}">
            <xm:f>NOT(ISERROR(SEARCH(bahan5,R510)))</xm:f>
            <xm:f>bahan5</xm:f>
            <x14:dxf>
              <fill>
                <patternFill>
                  <bgColor rgb="FF00B0F0"/>
                </patternFill>
              </fill>
            </x14:dxf>
          </x14:cfRule>
          <xm:sqref>R510</xm:sqref>
        </x14:conditionalFormatting>
        <x14:conditionalFormatting xmlns:xm="http://schemas.microsoft.com/office/excel/2006/main">
          <x14:cfRule type="containsText" priority="2550" operator="containsText" id="{9E76F5AD-1163-4BF4-B44E-B3B3EBC28EC9}">
            <xm:f>NOT(ISERROR(SEARCH(bahan5,R511)))</xm:f>
            <xm:f>bahan5</xm:f>
            <x14:dxf>
              <fill>
                <patternFill>
                  <bgColor rgb="FF00B0F0"/>
                </patternFill>
              </fill>
            </x14:dxf>
          </x14:cfRule>
          <x14:cfRule type="containsText" priority="2549" operator="containsText" id="{26BE1DAC-2A2D-4E14-ADF8-C4D1B569BE50}">
            <xm:f>NOT(ISERROR(SEARCH(bahan1,R511)))</xm:f>
            <xm:f>bahan1</xm:f>
            <x14:dxf>
              <fill>
                <patternFill>
                  <bgColor theme="7" tint="0.39994506668294322"/>
                </patternFill>
              </fill>
            </x14:dxf>
          </x14:cfRule>
          <xm:sqref>R511:R518</xm:sqref>
        </x14:conditionalFormatting>
        <x14:conditionalFormatting xmlns:xm="http://schemas.microsoft.com/office/excel/2006/main">
          <x14:cfRule type="containsText" priority="47615" operator="containsText" id="{39614CB9-FD45-40D2-88FA-35EB542808A1}">
            <xm:f>NOT(ISERROR(SEARCH(bahan5,R519)))</xm:f>
            <xm:f>bahan5</xm:f>
            <x14:dxf>
              <fill>
                <patternFill>
                  <bgColor rgb="FF00B0F0"/>
                </patternFill>
              </fill>
            </x14:dxf>
          </x14:cfRule>
          <x14:cfRule type="containsText" priority="47614" operator="containsText" id="{20154423-7AED-41DD-A5E1-2BE0F52909E3}">
            <xm:f>NOT(ISERROR(SEARCH(bahan1,R519)))</xm:f>
            <xm:f>bahan1</xm:f>
            <x14:dxf>
              <fill>
                <patternFill>
                  <bgColor theme="7" tint="0.39994506668294322"/>
                </patternFill>
              </fill>
            </x14:dxf>
          </x14:cfRule>
          <xm:sqref>R519</xm:sqref>
        </x14:conditionalFormatting>
        <x14:conditionalFormatting xmlns:xm="http://schemas.microsoft.com/office/excel/2006/main">
          <x14:cfRule type="containsText" priority="2526" operator="containsText" id="{9AC66D7E-1B5A-475A-9FCF-E657F500BD14}">
            <xm:f>NOT(ISERROR(SEARCH(bahan5,R520)))</xm:f>
            <xm:f>bahan5</xm:f>
            <x14:dxf>
              <fill>
                <patternFill>
                  <bgColor rgb="FF00B0F0"/>
                </patternFill>
              </fill>
            </x14:dxf>
          </x14:cfRule>
          <x14:cfRule type="containsText" priority="2525" operator="containsText" id="{4BDDF06E-E349-4500-BA1C-5BEC01C2D170}">
            <xm:f>NOT(ISERROR(SEARCH(bahan1,R520)))</xm:f>
            <xm:f>bahan1</xm:f>
            <x14:dxf>
              <fill>
                <patternFill>
                  <bgColor theme="7" tint="0.39994506668294322"/>
                </patternFill>
              </fill>
            </x14:dxf>
          </x14:cfRule>
          <xm:sqref>R520</xm:sqref>
        </x14:conditionalFormatting>
        <x14:conditionalFormatting xmlns:xm="http://schemas.microsoft.com/office/excel/2006/main">
          <x14:cfRule type="containsText" priority="2477" operator="containsText" id="{55FBB5B8-3F05-4E46-9202-15942AE1069E}">
            <xm:f>NOT(ISERROR(SEARCH(bahan1,R521)))</xm:f>
            <xm:f>bahan1</xm:f>
            <x14:dxf>
              <fill>
                <patternFill>
                  <bgColor theme="7" tint="0.39994506668294322"/>
                </patternFill>
              </fill>
            </x14:dxf>
          </x14:cfRule>
          <x14:cfRule type="containsText" priority="2478" operator="containsText" id="{2F245188-49BC-4F2C-8C96-F68DD92BC1B1}">
            <xm:f>NOT(ISERROR(SEARCH(bahan5,R521)))</xm:f>
            <xm:f>bahan5</xm:f>
            <x14:dxf>
              <fill>
                <patternFill>
                  <bgColor rgb="FF00B0F0"/>
                </patternFill>
              </fill>
            </x14:dxf>
          </x14:cfRule>
          <xm:sqref>R521</xm:sqref>
        </x14:conditionalFormatting>
        <x14:conditionalFormatting xmlns:xm="http://schemas.microsoft.com/office/excel/2006/main">
          <x14:cfRule type="containsText" priority="2454" operator="containsText" id="{BD821D58-669D-447E-A874-D4308E8B4FF4}">
            <xm:f>NOT(ISERROR(SEARCH(bahan5,R522)))</xm:f>
            <xm:f>bahan5</xm:f>
            <x14:dxf>
              <fill>
                <patternFill>
                  <bgColor rgb="FF00B0F0"/>
                </patternFill>
              </fill>
            </x14:dxf>
          </x14:cfRule>
          <x14:cfRule type="containsText" priority="2453" operator="containsText" id="{1F858D85-C69D-40B0-B03B-CB12C420563F}">
            <xm:f>NOT(ISERROR(SEARCH(bahan1,R522)))</xm:f>
            <xm:f>bahan1</xm:f>
            <x14:dxf>
              <fill>
                <patternFill>
                  <bgColor theme="7" tint="0.39994506668294322"/>
                </patternFill>
              </fill>
            </x14:dxf>
          </x14:cfRule>
          <xm:sqref>R522:R529</xm:sqref>
        </x14:conditionalFormatting>
        <x14:conditionalFormatting xmlns:xm="http://schemas.microsoft.com/office/excel/2006/main">
          <x14:cfRule type="containsText" priority="52823" operator="containsText" id="{60EE0E92-C684-43C3-93D3-987B31A4C808}">
            <xm:f>NOT(ISERROR(SEARCH(bahan5,R530)))</xm:f>
            <xm:f>bahan5</xm:f>
            <x14:dxf>
              <fill>
                <patternFill>
                  <bgColor rgb="FF00B0F0"/>
                </patternFill>
              </fill>
            </x14:dxf>
          </x14:cfRule>
          <x14:cfRule type="containsText" priority="52822" operator="containsText" id="{6ECD0923-6A51-4747-A0E0-2D1FE000BF1C}">
            <xm:f>NOT(ISERROR(SEARCH(bahan1,R530)))</xm:f>
            <xm:f>bahan1</xm:f>
            <x14:dxf>
              <fill>
                <patternFill>
                  <bgColor theme="7" tint="0.39994506668294322"/>
                </patternFill>
              </fill>
            </x14:dxf>
          </x14:cfRule>
          <xm:sqref>R530:R531</xm:sqref>
        </x14:conditionalFormatting>
        <x14:conditionalFormatting xmlns:xm="http://schemas.microsoft.com/office/excel/2006/main">
          <x14:cfRule type="containsText" priority="2430" operator="containsText" id="{D9572D4F-8973-43F3-886F-0133F5216643}">
            <xm:f>NOT(ISERROR(SEARCH(bahan5,R532)))</xm:f>
            <xm:f>bahan5</xm:f>
            <x14:dxf>
              <fill>
                <patternFill>
                  <bgColor rgb="FF00B0F0"/>
                </patternFill>
              </fill>
            </x14:dxf>
          </x14:cfRule>
          <x14:cfRule type="containsText" priority="2429" operator="containsText" id="{114BDFFC-3717-4703-93CA-14803CC354D5}">
            <xm:f>NOT(ISERROR(SEARCH(bahan1,R532)))</xm:f>
            <xm:f>bahan1</xm:f>
            <x14:dxf>
              <fill>
                <patternFill>
                  <bgColor theme="7" tint="0.39994506668294322"/>
                </patternFill>
              </fill>
            </x14:dxf>
          </x14:cfRule>
          <xm:sqref>R532</xm:sqref>
        </x14:conditionalFormatting>
        <x14:conditionalFormatting xmlns:xm="http://schemas.microsoft.com/office/excel/2006/main">
          <x14:cfRule type="containsText" priority="2405" operator="containsText" id="{B36D8646-DF25-4C21-960B-B9C9FF658F33}">
            <xm:f>NOT(ISERROR(SEARCH(bahan1,R533)))</xm:f>
            <xm:f>bahan1</xm:f>
            <x14:dxf>
              <fill>
                <patternFill>
                  <bgColor theme="7" tint="0.39994506668294322"/>
                </patternFill>
              </fill>
            </x14:dxf>
          </x14:cfRule>
          <x14:cfRule type="containsText" priority="2406" operator="containsText" id="{F7341559-AFC0-44CA-B508-7BB856797073}">
            <xm:f>NOT(ISERROR(SEARCH(bahan5,R533)))</xm:f>
            <xm:f>bahan5</xm:f>
            <x14:dxf>
              <fill>
                <patternFill>
                  <bgColor rgb="FF00B0F0"/>
                </patternFill>
              </fill>
            </x14:dxf>
          </x14:cfRule>
          <xm:sqref>R533:R540</xm:sqref>
        </x14:conditionalFormatting>
        <x14:conditionalFormatting xmlns:xm="http://schemas.microsoft.com/office/excel/2006/main">
          <x14:cfRule type="containsText" priority="2358" operator="containsText" id="{C316E537-B3C2-40E2-A20D-9FFEC933CF7B}">
            <xm:f>NOT(ISERROR(SEARCH(bahan5,R541)))</xm:f>
            <xm:f>bahan5</xm:f>
            <x14:dxf>
              <fill>
                <patternFill>
                  <bgColor rgb="FF00B0F0"/>
                </patternFill>
              </fill>
            </x14:dxf>
          </x14:cfRule>
          <x14:cfRule type="containsText" priority="2357" operator="containsText" id="{8B2CECDE-29EC-47B8-ABCE-64B6C0471CAB}">
            <xm:f>NOT(ISERROR(SEARCH(bahan1,R541)))</xm:f>
            <xm:f>bahan1</xm:f>
            <x14:dxf>
              <fill>
                <patternFill>
                  <bgColor theme="7" tint="0.39994506668294322"/>
                </patternFill>
              </fill>
            </x14:dxf>
          </x14:cfRule>
          <xm:sqref>R541</xm:sqref>
        </x14:conditionalFormatting>
        <x14:conditionalFormatting xmlns:xm="http://schemas.microsoft.com/office/excel/2006/main">
          <x14:cfRule type="containsText" priority="2382" operator="containsText" id="{87645B56-FAFD-41F9-B5BA-D505F7932BDA}">
            <xm:f>NOT(ISERROR(SEARCH(bahan5,R542)))</xm:f>
            <xm:f>bahan5</xm:f>
            <x14:dxf>
              <fill>
                <patternFill>
                  <bgColor rgb="FF00B0F0"/>
                </patternFill>
              </fill>
            </x14:dxf>
          </x14:cfRule>
          <x14:cfRule type="containsText" priority="2381" operator="containsText" id="{C116039D-7367-4980-B285-6C11544E865E}">
            <xm:f>NOT(ISERROR(SEARCH(bahan1,R542)))</xm:f>
            <xm:f>bahan1</xm:f>
            <x14:dxf>
              <fill>
                <patternFill>
                  <bgColor theme="7" tint="0.39994506668294322"/>
                </patternFill>
              </fill>
            </x14:dxf>
          </x14:cfRule>
          <xm:sqref>R542</xm:sqref>
        </x14:conditionalFormatting>
        <x14:conditionalFormatting xmlns:xm="http://schemas.microsoft.com/office/excel/2006/main">
          <x14:cfRule type="containsText" priority="2310" operator="containsText" id="{2A61EA9C-3670-48D4-AEBF-D293B0D81995}">
            <xm:f>NOT(ISERROR(SEARCH(bahan5,R543)))</xm:f>
            <xm:f>bahan5</xm:f>
            <x14:dxf>
              <fill>
                <patternFill>
                  <bgColor rgb="FF00B0F0"/>
                </patternFill>
              </fill>
            </x14:dxf>
          </x14:cfRule>
          <x14:cfRule type="containsText" priority="2309" operator="containsText" id="{9D18622C-53E6-4285-95B4-F36B6C4D99FE}">
            <xm:f>NOT(ISERROR(SEARCH(bahan1,R543)))</xm:f>
            <xm:f>bahan1</xm:f>
            <x14:dxf>
              <fill>
                <patternFill>
                  <bgColor theme="7" tint="0.39994506668294322"/>
                </patternFill>
              </fill>
            </x14:dxf>
          </x14:cfRule>
          <xm:sqref>R543</xm:sqref>
        </x14:conditionalFormatting>
        <x14:conditionalFormatting xmlns:xm="http://schemas.microsoft.com/office/excel/2006/main">
          <x14:cfRule type="containsText" priority="2286" operator="containsText" id="{92FD673D-2F7F-437A-BC20-B94B4811CE19}">
            <xm:f>NOT(ISERROR(SEARCH(bahan5,R544)))</xm:f>
            <xm:f>bahan5</xm:f>
            <x14:dxf>
              <fill>
                <patternFill>
                  <bgColor rgb="FF00B0F0"/>
                </patternFill>
              </fill>
            </x14:dxf>
          </x14:cfRule>
          <x14:cfRule type="containsText" priority="2285" operator="containsText" id="{AEA7CDC8-FB63-475D-81B2-A8355F602CB3}">
            <xm:f>NOT(ISERROR(SEARCH(bahan1,R544)))</xm:f>
            <xm:f>bahan1</xm:f>
            <x14:dxf>
              <fill>
                <patternFill>
                  <bgColor theme="7" tint="0.39994506668294322"/>
                </patternFill>
              </fill>
            </x14:dxf>
          </x14:cfRule>
          <xm:sqref>R544:R548 R550:R551</xm:sqref>
        </x14:conditionalFormatting>
        <x14:conditionalFormatting xmlns:xm="http://schemas.microsoft.com/office/excel/2006/main">
          <x14:cfRule type="containsText" priority="2262" operator="containsText" id="{A199A95F-1FDA-4422-B6DC-F5F5970961F1}">
            <xm:f>NOT(ISERROR(SEARCH(bahan5,R549)))</xm:f>
            <xm:f>bahan5</xm:f>
            <x14:dxf>
              <fill>
                <patternFill>
                  <bgColor rgb="FF00B0F0"/>
                </patternFill>
              </fill>
            </x14:dxf>
          </x14:cfRule>
          <x14:cfRule type="containsText" priority="2261" operator="containsText" id="{DF0108F3-C08D-43DA-928B-5679EE1D35F5}">
            <xm:f>NOT(ISERROR(SEARCH(bahan1,R549)))</xm:f>
            <xm:f>bahan1</xm:f>
            <x14:dxf>
              <fill>
                <patternFill>
                  <bgColor theme="7" tint="0.39994506668294322"/>
                </patternFill>
              </fill>
            </x14:dxf>
          </x14:cfRule>
          <xm:sqref>R549</xm:sqref>
        </x14:conditionalFormatting>
        <x14:conditionalFormatting xmlns:xm="http://schemas.microsoft.com/office/excel/2006/main">
          <x14:cfRule type="containsText" priority="36587" operator="containsText" id="{AD2CA06C-509C-4F66-AEF7-DA94C0A861D9}">
            <xm:f>NOT(ISERROR(SEARCH(bahan5,R552)))</xm:f>
            <xm:f>bahan5</xm:f>
            <x14:dxf>
              <fill>
                <patternFill>
                  <bgColor rgb="FF00B0F0"/>
                </patternFill>
              </fill>
            </x14:dxf>
          </x14:cfRule>
          <x14:cfRule type="containsText" priority="36586" operator="containsText" id="{A54B805F-3E9A-465A-8B8D-E4D8BFEC26AD}">
            <xm:f>NOT(ISERROR(SEARCH(bahan1,R552)))</xm:f>
            <xm:f>bahan1</xm:f>
            <x14:dxf>
              <fill>
                <patternFill>
                  <bgColor theme="7" tint="0.39994506668294322"/>
                </patternFill>
              </fill>
            </x14:dxf>
          </x14:cfRule>
          <xm:sqref>R552:R553</xm:sqref>
        </x14:conditionalFormatting>
        <x14:conditionalFormatting xmlns:xm="http://schemas.microsoft.com/office/excel/2006/main">
          <x14:cfRule type="containsText" priority="2238" operator="containsText" id="{D815366E-68FF-499F-AF56-70224A12667B}">
            <xm:f>NOT(ISERROR(SEARCH(bahan5,R554)))</xm:f>
            <xm:f>bahan5</xm:f>
            <x14:dxf>
              <fill>
                <patternFill>
                  <bgColor rgb="FF00B0F0"/>
                </patternFill>
              </fill>
            </x14:dxf>
          </x14:cfRule>
          <x14:cfRule type="containsText" priority="2237" operator="containsText" id="{55D04F94-4E7C-4FF8-AF9B-8B7A82E60E2F}">
            <xm:f>NOT(ISERROR(SEARCH(bahan1,R554)))</xm:f>
            <xm:f>bahan1</xm:f>
            <x14:dxf>
              <fill>
                <patternFill>
                  <bgColor theme="7" tint="0.39994506668294322"/>
                </patternFill>
              </fill>
            </x14:dxf>
          </x14:cfRule>
          <xm:sqref>R554</xm:sqref>
        </x14:conditionalFormatting>
        <x14:conditionalFormatting xmlns:xm="http://schemas.microsoft.com/office/excel/2006/main">
          <x14:cfRule type="containsText" priority="2214" operator="containsText" id="{FD9BCD2B-0F7A-40C4-8A30-82BBBF1BC8EB}">
            <xm:f>NOT(ISERROR(SEARCH(bahan5,R555)))</xm:f>
            <xm:f>bahan5</xm:f>
            <x14:dxf>
              <fill>
                <patternFill>
                  <bgColor rgb="FF00B0F0"/>
                </patternFill>
              </fill>
            </x14:dxf>
          </x14:cfRule>
          <x14:cfRule type="containsText" priority="2213" operator="containsText" id="{A1837DDB-7B73-4DB8-9F07-966E49CBC540}">
            <xm:f>NOT(ISERROR(SEARCH(bahan1,R555)))</xm:f>
            <xm:f>bahan1</xm:f>
            <x14:dxf>
              <fill>
                <patternFill>
                  <bgColor theme="7" tint="0.39994506668294322"/>
                </patternFill>
              </fill>
            </x14:dxf>
          </x14:cfRule>
          <xm:sqref>R555:R559</xm:sqref>
        </x14:conditionalFormatting>
        <x14:conditionalFormatting xmlns:xm="http://schemas.microsoft.com/office/excel/2006/main">
          <x14:cfRule type="containsText" priority="52702" operator="containsText" id="{0425E6E1-325B-4BE3-8350-130963E8478C}">
            <xm:f>NOT(ISERROR(SEARCH(bahan1,R560)))</xm:f>
            <xm:f>bahan1</xm:f>
            <x14:dxf>
              <fill>
                <patternFill>
                  <bgColor theme="7" tint="0.39994506668294322"/>
                </patternFill>
              </fill>
            </x14:dxf>
          </x14:cfRule>
          <x14:cfRule type="containsText" priority="52703" operator="containsText" id="{D0D2617F-4501-4A48-8F61-DCCE00F61D40}">
            <xm:f>NOT(ISERROR(SEARCH(bahan5,R560)))</xm:f>
            <xm:f>bahan5</xm:f>
            <x14:dxf>
              <fill>
                <patternFill>
                  <bgColor rgb="FF00B0F0"/>
                </patternFill>
              </fill>
            </x14:dxf>
          </x14:cfRule>
          <xm:sqref>R560:R561</xm:sqref>
        </x14:conditionalFormatting>
        <x14:conditionalFormatting xmlns:xm="http://schemas.microsoft.com/office/excel/2006/main">
          <x14:cfRule type="containsText" priority="2117" operator="containsText" id="{EE1A6310-60EB-4C8A-A8E1-E927F57B0F36}">
            <xm:f>NOT(ISERROR(SEARCH(bahan1,R562)))</xm:f>
            <xm:f>bahan1</xm:f>
            <x14:dxf>
              <fill>
                <patternFill>
                  <bgColor theme="7" tint="0.39994506668294322"/>
                </patternFill>
              </fill>
            </x14:dxf>
          </x14:cfRule>
          <x14:cfRule type="containsText" priority="2118" operator="containsText" id="{C86E6514-8635-4C4B-8F30-34014B70D1AF}">
            <xm:f>NOT(ISERROR(SEARCH(bahan5,R562)))</xm:f>
            <xm:f>bahan5</xm:f>
            <x14:dxf>
              <fill>
                <patternFill>
                  <bgColor rgb="FF00B0F0"/>
                </patternFill>
              </fill>
            </x14:dxf>
          </x14:cfRule>
          <xm:sqref>R562</xm:sqref>
        </x14:conditionalFormatting>
        <x14:conditionalFormatting xmlns:xm="http://schemas.microsoft.com/office/excel/2006/main">
          <x14:cfRule type="containsText" priority="60546" operator="containsText" id="{4C1D6A17-B3AE-4268-B770-E2F248D356DD}">
            <xm:f>NOT(ISERROR(SEARCH(bahan1,R563)))</xm:f>
            <xm:f>bahan1</xm:f>
            <x14:dxf>
              <fill>
                <patternFill>
                  <bgColor theme="7" tint="0.39994506668294322"/>
                </patternFill>
              </fill>
            </x14:dxf>
          </x14:cfRule>
          <x14:cfRule type="containsText" priority="139183" operator="containsText" id="{009BCA7C-C471-463D-A29E-B1A39110C335}">
            <xm:f>NOT(ISERROR(SEARCH(kaca4,R563)))</xm:f>
            <xm:f>kaca4</xm:f>
            <x14:dxf>
              <fill>
                <patternFill>
                  <bgColor rgb="FF92D050"/>
                </patternFill>
              </fill>
            </x14:dxf>
          </x14:cfRule>
          <x14:cfRule type="containsText" priority="60547" operator="containsText" id="{B2E50D32-F33A-40D8-BFFD-11BE72141CCD}">
            <xm:f>NOT(ISERROR(SEARCH(bahan5,R563)))</xm:f>
            <xm:f>bahan5</xm:f>
            <x14:dxf>
              <fill>
                <patternFill>
                  <bgColor rgb="FF00B0F0"/>
                </patternFill>
              </fill>
            </x14:dxf>
          </x14:cfRule>
          <xm:sqref>R563</xm:sqref>
        </x14:conditionalFormatting>
        <x14:conditionalFormatting xmlns:xm="http://schemas.microsoft.com/office/excel/2006/main">
          <x14:cfRule type="containsText" priority="2094" operator="containsText" id="{BDDCD4C9-6E1B-42F9-B511-76B975270DC6}">
            <xm:f>NOT(ISERROR(SEARCH(kaca4,R564)))</xm:f>
            <xm:f>kaca4</xm:f>
            <x14:dxf>
              <fill>
                <patternFill>
                  <bgColor rgb="FF92D050"/>
                </patternFill>
              </fill>
            </x14:dxf>
          </x14:cfRule>
          <x14:cfRule type="containsText" priority="2092" operator="containsText" id="{E9EF8EDD-B1A5-47E9-A200-28D9D4D2067B}">
            <xm:f>NOT(ISERROR(SEARCH(bahan1,R564)))</xm:f>
            <xm:f>bahan1</xm:f>
            <x14:dxf>
              <fill>
                <patternFill>
                  <bgColor theme="7" tint="0.39994506668294322"/>
                </patternFill>
              </fill>
            </x14:dxf>
          </x14:cfRule>
          <x14:cfRule type="containsText" priority="2093" operator="containsText" id="{A46FD70A-9382-4503-B2CB-C4829FA6D802}">
            <xm:f>NOT(ISERROR(SEARCH(bahan5,R564)))</xm:f>
            <xm:f>bahan5</xm:f>
            <x14:dxf>
              <fill>
                <patternFill>
                  <bgColor rgb="FF00B0F0"/>
                </patternFill>
              </fill>
            </x14:dxf>
          </x14:cfRule>
          <xm:sqref>R564</xm:sqref>
        </x14:conditionalFormatting>
        <x14:conditionalFormatting xmlns:xm="http://schemas.microsoft.com/office/excel/2006/main">
          <x14:cfRule type="containsText" priority="2069" operator="containsText" id="{24183184-9E91-42FA-8362-2C8AAF892C26}">
            <xm:f>NOT(ISERROR(SEARCH(bahan1,R565)))</xm:f>
            <xm:f>bahan1</xm:f>
            <x14:dxf>
              <fill>
                <patternFill>
                  <bgColor theme="7" tint="0.39994506668294322"/>
                </patternFill>
              </fill>
            </x14:dxf>
          </x14:cfRule>
          <x14:cfRule type="containsText" priority="2070" operator="containsText" id="{D9DD2BC3-88A0-4C0F-B393-CDA58236CD4A}">
            <xm:f>NOT(ISERROR(SEARCH(bahan5,R565)))</xm:f>
            <xm:f>bahan5</xm:f>
            <x14:dxf>
              <fill>
                <patternFill>
                  <bgColor rgb="FF00B0F0"/>
                </patternFill>
              </fill>
            </x14:dxf>
          </x14:cfRule>
          <xm:sqref>R565</xm:sqref>
        </x14:conditionalFormatting>
        <x14:conditionalFormatting xmlns:xm="http://schemas.microsoft.com/office/excel/2006/main">
          <x14:cfRule type="containsText" priority="2044" operator="containsText" id="{B04FFE99-8D16-478B-A283-4BC189DB8FA2}">
            <xm:f>NOT(ISERROR(SEARCH(kaca4,R565)))</xm:f>
            <xm:f>kaca4</xm:f>
            <x14:dxf>
              <fill>
                <patternFill>
                  <bgColor rgb="FF92D050"/>
                </patternFill>
              </fill>
            </x14:dxf>
          </x14:cfRule>
          <xm:sqref>R565:R575</xm:sqref>
        </x14:conditionalFormatting>
        <x14:conditionalFormatting xmlns:xm="http://schemas.microsoft.com/office/excel/2006/main">
          <x14:cfRule type="containsText" priority="2046" operator="containsText" id="{BDE8DF35-2985-4A73-B4B3-1C994702E137}">
            <xm:f>NOT(ISERROR(SEARCH(bahan5,R566)))</xm:f>
            <xm:f>bahan5</xm:f>
            <x14:dxf>
              <fill>
                <patternFill>
                  <bgColor rgb="FF00B0F0"/>
                </patternFill>
              </fill>
            </x14:dxf>
          </x14:cfRule>
          <x14:cfRule type="containsText" priority="2045" operator="containsText" id="{231B906E-BF96-4428-88BC-92609F09B664}">
            <xm:f>NOT(ISERROR(SEARCH(bahan1,R566)))</xm:f>
            <xm:f>bahan1</xm:f>
            <x14:dxf>
              <fill>
                <patternFill>
                  <bgColor theme="7" tint="0.39994506668294322"/>
                </patternFill>
              </fill>
            </x14:dxf>
          </x14:cfRule>
          <xm:sqref>R566:R575</xm:sqref>
        </x14:conditionalFormatting>
        <x14:conditionalFormatting xmlns:xm="http://schemas.microsoft.com/office/excel/2006/main">
          <x14:cfRule type="containsText" priority="60498" operator="containsText" id="{1A2391ED-7412-4F64-A8B1-EA8BC273BC37}">
            <xm:f>NOT(ISERROR(SEARCH(bahan1,R576)))</xm:f>
            <xm:f>bahan1</xm:f>
            <x14:dxf>
              <fill>
                <patternFill>
                  <bgColor theme="7" tint="0.39994506668294322"/>
                </patternFill>
              </fill>
            </x14:dxf>
          </x14:cfRule>
          <x14:cfRule type="containsText" priority="60499" operator="containsText" id="{F4789E5E-EA43-4F41-93AB-0FF7C846F738}">
            <xm:f>NOT(ISERROR(SEARCH(bahan5,R576)))</xm:f>
            <xm:f>bahan5</xm:f>
            <x14:dxf>
              <fill>
                <patternFill>
                  <bgColor rgb="FF00B0F0"/>
                </patternFill>
              </fill>
            </x14:dxf>
          </x14:cfRule>
          <xm:sqref>R576</xm:sqref>
        </x14:conditionalFormatting>
        <x14:conditionalFormatting xmlns:xm="http://schemas.microsoft.com/office/excel/2006/main">
          <x14:cfRule type="containsText" priority="76855" operator="containsText" id="{C8DA3AA8-23F4-4FF1-BAE8-01F0B93BC61F}">
            <xm:f>NOT(ISERROR(SEARCH(kaca4,R576)))</xm:f>
            <xm:f>kaca4</xm:f>
            <x14:dxf>
              <fill>
                <patternFill>
                  <bgColor rgb="FF92D050"/>
                </patternFill>
              </fill>
            </x14:dxf>
          </x14:cfRule>
          <xm:sqref>R576:R577 R594:R622</xm:sqref>
        </x14:conditionalFormatting>
        <x14:conditionalFormatting xmlns:xm="http://schemas.microsoft.com/office/excel/2006/main">
          <x14:cfRule type="containsText" priority="76857" operator="containsText" id="{F6E61A62-5B58-43D5-9FD2-B1043DD6023A}">
            <xm:f>NOT(ISERROR(SEARCH(bahan5,R577)))</xm:f>
            <xm:f>bahan5</xm:f>
            <x14:dxf>
              <fill>
                <patternFill>
                  <bgColor rgb="FF00B0F0"/>
                </patternFill>
              </fill>
            </x14:dxf>
          </x14:cfRule>
          <x14:cfRule type="containsText" priority="76856" operator="containsText" id="{19D6D7EF-13F8-4776-BB11-4E63EFC3B944}">
            <xm:f>NOT(ISERROR(SEARCH(bahan1,R577)))</xm:f>
            <xm:f>bahan1</xm:f>
            <x14:dxf>
              <fill>
                <patternFill>
                  <bgColor theme="7" tint="0.39994506668294322"/>
                </patternFill>
              </fill>
            </x14:dxf>
          </x14:cfRule>
          <xm:sqref>R577 R595:R596 R613:R614 R622 R626 R639:R640 R654:R655 R662:R663 R668:R669 R672:R673 R682:R683 R697 R699:R700 R717:R718 R735:R736 R753:R754</xm:sqref>
        </x14:conditionalFormatting>
        <x14:conditionalFormatting xmlns:xm="http://schemas.microsoft.com/office/excel/2006/main">
          <x14:cfRule type="containsText" priority="1973" operator="containsText" id="{5E83F1E4-1AA3-42B1-99EB-4A4F460B957E}">
            <xm:f>NOT(ISERROR(SEARCH(bahan1,R578)))</xm:f>
            <xm:f>bahan1</xm:f>
            <x14:dxf>
              <fill>
                <patternFill>
                  <bgColor theme="7" tint="0.39994506668294322"/>
                </patternFill>
              </fill>
            </x14:dxf>
          </x14:cfRule>
          <x14:cfRule type="containsText" priority="1974" operator="containsText" id="{CC47C4FA-441E-4F02-B7BB-866819CCC1D9}">
            <xm:f>NOT(ISERROR(SEARCH(bahan5,R578)))</xm:f>
            <xm:f>bahan5</xm:f>
            <x14:dxf>
              <fill>
                <patternFill>
                  <bgColor rgb="FF00B0F0"/>
                </patternFill>
              </fill>
            </x14:dxf>
          </x14:cfRule>
          <xm:sqref>R578</xm:sqref>
        </x14:conditionalFormatting>
        <x14:conditionalFormatting xmlns:xm="http://schemas.microsoft.com/office/excel/2006/main">
          <x14:cfRule type="containsText" priority="1926" operator="containsText" id="{E40E6007-F20B-46E2-BA8B-30B14EFD6DF2}">
            <xm:f>NOT(ISERROR(SEARCH(kaca4,R578)))</xm:f>
            <xm:f>kaca4</xm:f>
            <x14:dxf>
              <fill>
                <patternFill>
                  <bgColor rgb="FF92D050"/>
                </patternFill>
              </fill>
            </x14:dxf>
          </x14:cfRule>
          <xm:sqref>R578:R587</xm:sqref>
        </x14:conditionalFormatting>
        <x14:conditionalFormatting xmlns:xm="http://schemas.microsoft.com/office/excel/2006/main">
          <x14:cfRule type="containsText" priority="1950" operator="containsText" id="{E338B7C6-EC78-4B4B-B15A-9C23A4CEF3A1}">
            <xm:f>NOT(ISERROR(SEARCH(bahan5,R579)))</xm:f>
            <xm:f>bahan5</xm:f>
            <x14:dxf>
              <fill>
                <patternFill>
                  <bgColor rgb="FF00B0F0"/>
                </patternFill>
              </fill>
            </x14:dxf>
          </x14:cfRule>
          <x14:cfRule type="containsText" priority="1949" operator="containsText" id="{CA3FB84F-CFEC-4BB3-AF8C-5CACB5A419AC}">
            <xm:f>NOT(ISERROR(SEARCH(bahan1,R579)))</xm:f>
            <xm:f>bahan1</xm:f>
            <x14:dxf>
              <fill>
                <patternFill>
                  <bgColor theme="7" tint="0.39994506668294322"/>
                </patternFill>
              </fill>
            </x14:dxf>
          </x14:cfRule>
          <xm:sqref>R579:R586</xm:sqref>
        </x14:conditionalFormatting>
        <x14:conditionalFormatting xmlns:xm="http://schemas.microsoft.com/office/excel/2006/main">
          <x14:cfRule type="containsText" priority="1925" operator="containsText" id="{69492966-29E9-4E18-A594-3E6F84DB57B6}">
            <xm:f>NOT(ISERROR(SEARCH(bahan5,R587)))</xm:f>
            <xm:f>bahan5</xm:f>
            <x14:dxf>
              <fill>
                <patternFill>
                  <bgColor rgb="FF00B0F0"/>
                </patternFill>
              </fill>
            </x14:dxf>
          </x14:cfRule>
          <x14:cfRule type="containsText" priority="1924" operator="containsText" id="{833D7801-83A2-4E45-A3EA-080E83811178}">
            <xm:f>NOT(ISERROR(SEARCH(bahan1,R587)))</xm:f>
            <xm:f>bahan1</xm:f>
            <x14:dxf>
              <fill>
                <patternFill>
                  <bgColor theme="7" tint="0.39994506668294322"/>
                </patternFill>
              </fill>
            </x14:dxf>
          </x14:cfRule>
          <xm:sqref>R587</xm:sqref>
        </x14:conditionalFormatting>
        <x14:conditionalFormatting xmlns:xm="http://schemas.microsoft.com/office/excel/2006/main">
          <x14:cfRule type="containsText" priority="60401" operator="containsText" id="{04501823-F9B5-4A3D-BCF6-E708FA4CCB96}">
            <xm:f>NOT(ISERROR(SEARCH(bahan1,R588)))</xm:f>
            <xm:f>bahan1</xm:f>
            <x14:dxf>
              <fill>
                <patternFill>
                  <bgColor theme="7" tint="0.39994506668294322"/>
                </patternFill>
              </fill>
            </x14:dxf>
          </x14:cfRule>
          <x14:cfRule type="containsText" priority="60402" operator="containsText" id="{88ADE3EA-92AD-41A0-9166-F9A585334E87}">
            <xm:f>NOT(ISERROR(SEARCH(bahan5,R588)))</xm:f>
            <xm:f>bahan5</xm:f>
            <x14:dxf>
              <fill>
                <patternFill>
                  <bgColor rgb="FF00B0F0"/>
                </patternFill>
              </fill>
            </x14:dxf>
          </x14:cfRule>
          <xm:sqref>R588:R590 R592 R594</xm:sqref>
        </x14:conditionalFormatting>
        <x14:conditionalFormatting xmlns:xm="http://schemas.microsoft.com/office/excel/2006/main">
          <x14:cfRule type="containsText" priority="139189" operator="containsText" id="{DDE1A241-CC1A-4C8F-9870-69EAD73BDC9B}">
            <xm:f>NOT(ISERROR(SEARCH(kaca4,R588)))</xm:f>
            <xm:f>kaca4</xm:f>
            <x14:dxf>
              <fill>
                <patternFill>
                  <bgColor rgb="FF92D050"/>
                </patternFill>
              </fill>
            </x14:dxf>
          </x14:cfRule>
          <xm:sqref>R588:R590 R592</xm:sqref>
        </x14:conditionalFormatting>
        <x14:conditionalFormatting xmlns:xm="http://schemas.microsoft.com/office/excel/2006/main">
          <x14:cfRule type="containsText" priority="1901" operator="containsText" id="{9C175831-6B5E-4425-AEC2-EFAD3F4CBA95}">
            <xm:f>NOT(ISERROR(SEARCH(bahan5,R591)))</xm:f>
            <xm:f>bahan5</xm:f>
            <x14:dxf>
              <fill>
                <patternFill>
                  <bgColor rgb="FF00B0F0"/>
                </patternFill>
              </fill>
            </x14:dxf>
          </x14:cfRule>
          <x14:cfRule type="containsText" priority="1900" operator="containsText" id="{F5E342F3-43FD-47FF-9AB3-D09A320C3AA7}">
            <xm:f>NOT(ISERROR(SEARCH(bahan1,R591)))</xm:f>
            <xm:f>bahan1</xm:f>
            <x14:dxf>
              <fill>
                <patternFill>
                  <bgColor theme="7" tint="0.39994506668294322"/>
                </patternFill>
              </fill>
            </x14:dxf>
          </x14:cfRule>
          <x14:cfRule type="containsText" priority="1902" operator="containsText" id="{C2875D27-E61C-44FD-9A88-BDD676DC8855}">
            <xm:f>NOT(ISERROR(SEARCH(kaca4,R591)))</xm:f>
            <xm:f>kaca4</xm:f>
            <x14:dxf>
              <fill>
                <patternFill>
                  <bgColor rgb="FF92D050"/>
                </patternFill>
              </fill>
            </x14:dxf>
          </x14:cfRule>
          <xm:sqref>R591</xm:sqref>
        </x14:conditionalFormatting>
        <x14:conditionalFormatting xmlns:xm="http://schemas.microsoft.com/office/excel/2006/main">
          <x14:cfRule type="containsText" priority="1876" operator="containsText" id="{DE3887E1-D795-4E68-90E4-994163267AA0}">
            <xm:f>NOT(ISERROR(SEARCH(bahan1,R593)))</xm:f>
            <xm:f>bahan1</xm:f>
            <x14:dxf>
              <fill>
                <patternFill>
                  <bgColor theme="7" tint="0.39994506668294322"/>
                </patternFill>
              </fill>
            </x14:dxf>
          </x14:cfRule>
          <x14:cfRule type="containsText" priority="1877" operator="containsText" id="{E1CB9A11-2FD2-4471-92EB-085A65946D43}">
            <xm:f>NOT(ISERROR(SEARCH(bahan5,R593)))</xm:f>
            <xm:f>bahan5</xm:f>
            <x14:dxf>
              <fill>
                <patternFill>
                  <bgColor rgb="FF00B0F0"/>
                </patternFill>
              </fill>
            </x14:dxf>
          </x14:cfRule>
          <x14:cfRule type="containsText" priority="1878" operator="containsText" id="{DEA49A39-6388-4B88-B30A-F3A45A64C821}">
            <xm:f>NOT(ISERROR(SEARCH(kaca4,R593)))</xm:f>
            <xm:f>kaca4</xm:f>
            <x14:dxf>
              <fill>
                <patternFill>
                  <bgColor rgb="FF92D050"/>
                </patternFill>
              </fill>
            </x14:dxf>
          </x14:cfRule>
          <xm:sqref>R593</xm:sqref>
        </x14:conditionalFormatting>
        <x14:conditionalFormatting xmlns:xm="http://schemas.microsoft.com/office/excel/2006/main">
          <x14:cfRule type="containsText" priority="60378" operator="containsText" id="{0A53EFC4-3BFC-431C-BF04-0FF4307C6427}">
            <xm:f>NOT(ISERROR(SEARCH(bahan5,R597)))</xm:f>
            <xm:f>bahan5</xm:f>
            <x14:dxf>
              <fill>
                <patternFill>
                  <bgColor rgb="FF00B0F0"/>
                </patternFill>
              </fill>
            </x14:dxf>
          </x14:cfRule>
          <x14:cfRule type="containsText" priority="60377" operator="containsText" id="{BBCBCA5A-536C-429B-90AD-04AC66870E14}">
            <xm:f>NOT(ISERROR(SEARCH(bahan1,R597)))</xm:f>
            <xm:f>bahan1</xm:f>
            <x14:dxf>
              <fill>
                <patternFill>
                  <bgColor theme="7" tint="0.39994506668294322"/>
                </patternFill>
              </fill>
            </x14:dxf>
          </x14:cfRule>
          <xm:sqref>R597</xm:sqref>
        </x14:conditionalFormatting>
        <x14:conditionalFormatting xmlns:xm="http://schemas.microsoft.com/office/excel/2006/main">
          <x14:cfRule type="containsText" priority="60330" operator="containsText" id="{22830338-48E9-451E-A249-0AB3F4C110F8}">
            <xm:f>NOT(ISERROR(SEARCH(bahan5,R598)))</xm:f>
            <xm:f>bahan5</xm:f>
            <x14:dxf>
              <fill>
                <patternFill>
                  <bgColor rgb="FF00B0F0"/>
                </patternFill>
              </fill>
            </x14:dxf>
          </x14:cfRule>
          <x14:cfRule type="containsText" priority="60329" operator="containsText" id="{FAD37C1E-CCCE-4EDC-AAB6-7D300B7043B6}">
            <xm:f>NOT(ISERROR(SEARCH(bahan1,R598)))</xm:f>
            <xm:f>bahan1</xm:f>
            <x14:dxf>
              <fill>
                <patternFill>
                  <bgColor theme="7" tint="0.39994506668294322"/>
                </patternFill>
              </fill>
            </x14:dxf>
          </x14:cfRule>
          <xm:sqref>R598:R602</xm:sqref>
        </x14:conditionalFormatting>
        <x14:conditionalFormatting xmlns:xm="http://schemas.microsoft.com/office/excel/2006/main">
          <x14:cfRule type="containsText" priority="60282" operator="containsText" id="{52F3F967-D00B-44CA-92CB-51B937EBAC86}">
            <xm:f>NOT(ISERROR(SEARCH(bahan5,R603)))</xm:f>
            <xm:f>bahan5</xm:f>
            <x14:dxf>
              <fill>
                <patternFill>
                  <bgColor rgb="FF00B0F0"/>
                </patternFill>
              </fill>
            </x14:dxf>
          </x14:cfRule>
          <x14:cfRule type="containsText" priority="60281" operator="containsText" id="{2B636F45-CDCB-4F08-9CF7-46E23C0E71F5}">
            <xm:f>NOT(ISERROR(SEARCH(bahan1,R603)))</xm:f>
            <xm:f>bahan1</xm:f>
            <x14:dxf>
              <fill>
                <patternFill>
                  <bgColor theme="7" tint="0.39994506668294322"/>
                </patternFill>
              </fill>
            </x14:dxf>
          </x14:cfRule>
          <xm:sqref>R603</xm:sqref>
        </x14:conditionalFormatting>
        <x14:conditionalFormatting xmlns:xm="http://schemas.microsoft.com/office/excel/2006/main">
          <x14:cfRule type="containsText" priority="60354" operator="containsText" id="{421BFAF9-2A7A-475C-9995-CBDE8FC303BF}">
            <xm:f>NOT(ISERROR(SEARCH(bahan5,R604)))</xm:f>
            <xm:f>bahan5</xm:f>
            <x14:dxf>
              <fill>
                <patternFill>
                  <bgColor rgb="FF00B0F0"/>
                </patternFill>
              </fill>
            </x14:dxf>
          </x14:cfRule>
          <x14:cfRule type="containsText" priority="60353" operator="containsText" id="{FDA7D39B-8723-46B7-BCA6-13AA6881FFE1}">
            <xm:f>NOT(ISERROR(SEARCH(bahan1,R604)))</xm:f>
            <xm:f>bahan1</xm:f>
            <x14:dxf>
              <fill>
                <patternFill>
                  <bgColor theme="7" tint="0.39994506668294322"/>
                </patternFill>
              </fill>
            </x14:dxf>
          </x14:cfRule>
          <xm:sqref>R604</xm:sqref>
        </x14:conditionalFormatting>
        <x14:conditionalFormatting xmlns:xm="http://schemas.microsoft.com/office/excel/2006/main">
          <x14:cfRule type="containsText" priority="60305" operator="containsText" id="{48187964-1852-46CE-8A38-56574764FBB5}">
            <xm:f>NOT(ISERROR(SEARCH(bahan1,R605)))</xm:f>
            <xm:f>bahan1</xm:f>
            <x14:dxf>
              <fill>
                <patternFill>
                  <bgColor theme="7" tint="0.39994506668294322"/>
                </patternFill>
              </fill>
            </x14:dxf>
          </x14:cfRule>
          <x14:cfRule type="containsText" priority="60306" operator="containsText" id="{C2969648-246D-4463-A00E-67584A84A487}">
            <xm:f>NOT(ISERROR(SEARCH(bahan5,R605)))</xm:f>
            <xm:f>bahan5</xm:f>
            <x14:dxf>
              <fill>
                <patternFill>
                  <bgColor rgb="FF00B0F0"/>
                </patternFill>
              </fill>
            </x14:dxf>
          </x14:cfRule>
          <xm:sqref>R605:R612</xm:sqref>
        </x14:conditionalFormatting>
        <x14:conditionalFormatting xmlns:xm="http://schemas.microsoft.com/office/excel/2006/main">
          <x14:cfRule type="containsText" priority="60258" operator="containsText" id="{D72C662D-0E68-4A57-83E3-869BD54536DE}">
            <xm:f>NOT(ISERROR(SEARCH(bahan5,R615)))</xm:f>
            <xm:f>bahan5</xm:f>
            <x14:dxf>
              <fill>
                <patternFill>
                  <bgColor rgb="FF00B0F0"/>
                </patternFill>
              </fill>
            </x14:dxf>
          </x14:cfRule>
          <x14:cfRule type="containsText" priority="60257" operator="containsText" id="{F1D5A1E3-F28F-4F2D-9203-A35A1EA486CC}">
            <xm:f>NOT(ISERROR(SEARCH(bahan1,R615)))</xm:f>
            <xm:f>bahan1</xm:f>
            <x14:dxf>
              <fill>
                <patternFill>
                  <bgColor theme="7" tint="0.39994506668294322"/>
                </patternFill>
              </fill>
            </x14:dxf>
          </x14:cfRule>
          <xm:sqref>R615</xm:sqref>
        </x14:conditionalFormatting>
        <x14:conditionalFormatting xmlns:xm="http://schemas.microsoft.com/office/excel/2006/main">
          <x14:cfRule type="containsText" priority="60233" operator="containsText" id="{6D74A964-C431-46A2-ADD4-054A21B2B633}">
            <xm:f>NOT(ISERROR(SEARCH(bahan1,R616)))</xm:f>
            <xm:f>bahan1</xm:f>
            <x14:dxf>
              <fill>
                <patternFill>
                  <bgColor theme="7" tint="0.39994506668294322"/>
                </patternFill>
              </fill>
            </x14:dxf>
          </x14:cfRule>
          <x14:cfRule type="containsText" priority="60234" operator="containsText" id="{CC8368D9-DDC6-4473-AF0E-F319C58D783A}">
            <xm:f>NOT(ISERROR(SEARCH(bahan5,R616)))</xm:f>
            <xm:f>bahan5</xm:f>
            <x14:dxf>
              <fill>
                <patternFill>
                  <bgColor rgb="FF00B0F0"/>
                </patternFill>
              </fill>
            </x14:dxf>
          </x14:cfRule>
          <xm:sqref>R616:R621</xm:sqref>
        </x14:conditionalFormatting>
        <x14:conditionalFormatting xmlns:xm="http://schemas.microsoft.com/office/excel/2006/main">
          <x14:cfRule type="containsText" priority="60210" operator="containsText" id="{916BE4B9-EFEE-42DC-8B78-18A43DB5D663}">
            <xm:f>NOT(ISERROR(SEARCH(bahan5,R623)))</xm:f>
            <xm:f>bahan5</xm:f>
            <x14:dxf>
              <fill>
                <patternFill>
                  <bgColor rgb="FF00B0F0"/>
                </patternFill>
              </fill>
            </x14:dxf>
          </x14:cfRule>
          <x14:cfRule type="containsText" priority="60209" operator="containsText" id="{260555C0-4254-42F2-AF69-EEB1E60296C7}">
            <xm:f>NOT(ISERROR(SEARCH(bahan1,R623)))</xm:f>
            <xm:f>bahan1</xm:f>
            <x14:dxf>
              <fill>
                <patternFill>
                  <bgColor theme="7" tint="0.39994506668294322"/>
                </patternFill>
              </fill>
            </x14:dxf>
          </x14:cfRule>
          <xm:sqref>R623:R625</xm:sqref>
        </x14:conditionalFormatting>
        <x14:conditionalFormatting xmlns:xm="http://schemas.microsoft.com/office/excel/2006/main">
          <x14:cfRule type="containsText" priority="60208" operator="containsText" id="{74C4F63D-4A3D-4E7D-82A9-62D17BB53F76}">
            <xm:f>NOT(ISERROR(SEARCH(kaca4,R623)))</xm:f>
            <xm:f>kaca4</xm:f>
            <x14:dxf>
              <fill>
                <patternFill>
                  <bgColor rgb="FF92D050"/>
                </patternFill>
              </fill>
            </x14:dxf>
          </x14:cfRule>
          <xm:sqref>R623:R754</xm:sqref>
        </x14:conditionalFormatting>
        <x14:conditionalFormatting xmlns:xm="http://schemas.microsoft.com/office/excel/2006/main">
          <x14:cfRule type="containsText" priority="60162" operator="containsText" id="{87B90793-22C6-4653-BA6B-FB041E37E110}">
            <xm:f>NOT(ISERROR(SEARCH(bahan5,R627)))</xm:f>
            <xm:f>bahan5</xm:f>
            <x14:dxf>
              <fill>
                <patternFill>
                  <bgColor rgb="FF00B0F0"/>
                </patternFill>
              </fill>
            </x14:dxf>
          </x14:cfRule>
          <x14:cfRule type="containsText" priority="60161" operator="containsText" id="{62A20436-0160-4D88-A122-3F5E364486C4}">
            <xm:f>NOT(ISERROR(SEARCH(bahan1,R627)))</xm:f>
            <xm:f>bahan1</xm:f>
            <x14:dxf>
              <fill>
                <patternFill>
                  <bgColor theme="7" tint="0.39994506668294322"/>
                </patternFill>
              </fill>
            </x14:dxf>
          </x14:cfRule>
          <xm:sqref>R627</xm:sqref>
        </x14:conditionalFormatting>
        <x14:conditionalFormatting xmlns:xm="http://schemas.microsoft.com/office/excel/2006/main">
          <x14:cfRule type="containsText" priority="60138" operator="containsText" id="{A60AB23A-3AC7-486C-925D-0519CCBCA070}">
            <xm:f>NOT(ISERROR(SEARCH(bahan5,R628)))</xm:f>
            <xm:f>bahan5</xm:f>
            <x14:dxf>
              <fill>
                <patternFill>
                  <bgColor rgb="FF00B0F0"/>
                </patternFill>
              </fill>
            </x14:dxf>
          </x14:cfRule>
          <x14:cfRule type="containsText" priority="60137" operator="containsText" id="{B6C36D91-6DCC-46BA-A160-544A852EF028}">
            <xm:f>NOT(ISERROR(SEARCH(bahan1,R628)))</xm:f>
            <xm:f>bahan1</xm:f>
            <x14:dxf>
              <fill>
                <patternFill>
                  <bgColor theme="7" tint="0.39994506668294322"/>
                </patternFill>
              </fill>
            </x14:dxf>
          </x14:cfRule>
          <xm:sqref>R628</xm:sqref>
        </x14:conditionalFormatting>
        <x14:conditionalFormatting xmlns:xm="http://schemas.microsoft.com/office/excel/2006/main">
          <x14:cfRule type="containsText" priority="60090" operator="containsText" id="{56114CA3-BF9F-46ED-B93E-1D348E18FE26}">
            <xm:f>NOT(ISERROR(SEARCH(bahan5,R629)))</xm:f>
            <xm:f>bahan5</xm:f>
            <x14:dxf>
              <fill>
                <patternFill>
                  <bgColor rgb="FF00B0F0"/>
                </patternFill>
              </fill>
            </x14:dxf>
          </x14:cfRule>
          <x14:cfRule type="containsText" priority="60089" operator="containsText" id="{143624F5-830D-4743-B66C-4E7E6C196761}">
            <xm:f>NOT(ISERROR(SEARCH(bahan1,R629)))</xm:f>
            <xm:f>bahan1</xm:f>
            <x14:dxf>
              <fill>
                <patternFill>
                  <bgColor theme="7" tint="0.39994506668294322"/>
                </patternFill>
              </fill>
            </x14:dxf>
          </x14:cfRule>
          <xm:sqref>R629:R634</xm:sqref>
        </x14:conditionalFormatting>
        <x14:conditionalFormatting xmlns:xm="http://schemas.microsoft.com/office/excel/2006/main">
          <x14:cfRule type="containsText" priority="60114" operator="containsText" id="{981445E4-14FB-464D-A37A-7D0863F59D4E}">
            <xm:f>NOT(ISERROR(SEARCH(bahan5,R635)))</xm:f>
            <xm:f>bahan5</xm:f>
            <x14:dxf>
              <fill>
                <patternFill>
                  <bgColor rgb="FF00B0F0"/>
                </patternFill>
              </fill>
            </x14:dxf>
          </x14:cfRule>
          <x14:cfRule type="containsText" priority="60113" operator="containsText" id="{397E9D80-2B8C-4FA4-8027-2A8509AEC68C}">
            <xm:f>NOT(ISERROR(SEARCH(bahan1,R635)))</xm:f>
            <xm:f>bahan1</xm:f>
            <x14:dxf>
              <fill>
                <patternFill>
                  <bgColor theme="7" tint="0.39994506668294322"/>
                </patternFill>
              </fill>
            </x14:dxf>
          </x14:cfRule>
          <xm:sqref>R635</xm:sqref>
        </x14:conditionalFormatting>
        <x14:conditionalFormatting xmlns:xm="http://schemas.microsoft.com/office/excel/2006/main">
          <x14:cfRule type="containsText" priority="60066" operator="containsText" id="{D8AF4610-9944-4117-BCF1-8A6AA843F998}">
            <xm:f>NOT(ISERROR(SEARCH(bahan5,R636)))</xm:f>
            <xm:f>bahan5</xm:f>
            <x14:dxf>
              <fill>
                <patternFill>
                  <bgColor rgb="FF00B0F0"/>
                </patternFill>
              </fill>
            </x14:dxf>
          </x14:cfRule>
          <x14:cfRule type="containsText" priority="60065" operator="containsText" id="{91B07ED7-5C6A-4F30-88A9-E366F09FFF40}">
            <xm:f>NOT(ISERROR(SEARCH(bahan1,R636)))</xm:f>
            <xm:f>bahan1</xm:f>
            <x14:dxf>
              <fill>
                <patternFill>
                  <bgColor theme="7" tint="0.39994506668294322"/>
                </patternFill>
              </fill>
            </x14:dxf>
          </x14:cfRule>
          <xm:sqref>R636:R638</xm:sqref>
        </x14:conditionalFormatting>
        <x14:conditionalFormatting xmlns:xm="http://schemas.microsoft.com/office/excel/2006/main">
          <x14:cfRule type="containsText" priority="60042" operator="containsText" id="{BE65AB8F-F0EC-4068-BCF4-50FBC3160190}">
            <xm:f>NOT(ISERROR(SEARCH(bahan5,R641)))</xm:f>
            <xm:f>bahan5</xm:f>
            <x14:dxf>
              <fill>
                <patternFill>
                  <bgColor rgb="FF00B0F0"/>
                </patternFill>
              </fill>
            </x14:dxf>
          </x14:cfRule>
          <x14:cfRule type="containsText" priority="60041" operator="containsText" id="{78888120-269E-41DA-8FBD-B8C83031C6CA}">
            <xm:f>NOT(ISERROR(SEARCH(bahan1,R641)))</xm:f>
            <xm:f>bahan1</xm:f>
            <x14:dxf>
              <fill>
                <patternFill>
                  <bgColor theme="7" tint="0.39994506668294322"/>
                </patternFill>
              </fill>
            </x14:dxf>
          </x14:cfRule>
          <xm:sqref>R641</xm:sqref>
        </x14:conditionalFormatting>
        <x14:conditionalFormatting xmlns:xm="http://schemas.microsoft.com/office/excel/2006/main">
          <x14:cfRule type="containsText" priority="60017" operator="containsText" id="{3F333EFE-330B-4ED2-ADC5-5EEBA27E6509}">
            <xm:f>NOT(ISERROR(SEARCH(bahan1,R642)))</xm:f>
            <xm:f>bahan1</xm:f>
            <x14:dxf>
              <fill>
                <patternFill>
                  <bgColor theme="7" tint="0.39994506668294322"/>
                </patternFill>
              </fill>
            </x14:dxf>
          </x14:cfRule>
          <x14:cfRule type="containsText" priority="60018" operator="containsText" id="{BC17EA1C-5F78-46EC-849D-3D00ABDBC5B0}">
            <xm:f>NOT(ISERROR(SEARCH(bahan5,R642)))</xm:f>
            <xm:f>bahan5</xm:f>
            <x14:dxf>
              <fill>
                <patternFill>
                  <bgColor rgb="FF00B0F0"/>
                </patternFill>
              </fill>
            </x14:dxf>
          </x14:cfRule>
          <xm:sqref>R642:R653</xm:sqref>
        </x14:conditionalFormatting>
        <x14:conditionalFormatting xmlns:xm="http://schemas.microsoft.com/office/excel/2006/main">
          <x14:cfRule type="containsText" priority="59994" operator="containsText" id="{D775CBE9-C29C-4D46-9256-F981A364EF82}">
            <xm:f>NOT(ISERROR(SEARCH(bahan5,R656)))</xm:f>
            <xm:f>bahan5</xm:f>
            <x14:dxf>
              <fill>
                <patternFill>
                  <bgColor rgb="FF00B0F0"/>
                </patternFill>
              </fill>
            </x14:dxf>
          </x14:cfRule>
          <x14:cfRule type="containsText" priority="59993" operator="containsText" id="{BBD05F77-CF37-459A-9E5F-053622C53C2C}">
            <xm:f>NOT(ISERROR(SEARCH(bahan1,R656)))</xm:f>
            <xm:f>bahan1</xm:f>
            <x14:dxf>
              <fill>
                <patternFill>
                  <bgColor theme="7" tint="0.39994506668294322"/>
                </patternFill>
              </fill>
            </x14:dxf>
          </x14:cfRule>
          <xm:sqref>R656</xm:sqref>
        </x14:conditionalFormatting>
        <x14:conditionalFormatting xmlns:xm="http://schemas.microsoft.com/office/excel/2006/main">
          <x14:cfRule type="containsText" priority="59970" operator="containsText" id="{452468B7-43F4-440C-A5E2-D89E3E208E9A}">
            <xm:f>NOT(ISERROR(SEARCH(bahan5,R657)))</xm:f>
            <xm:f>bahan5</xm:f>
            <x14:dxf>
              <fill>
                <patternFill>
                  <bgColor rgb="FF00B0F0"/>
                </patternFill>
              </fill>
            </x14:dxf>
          </x14:cfRule>
          <x14:cfRule type="containsText" priority="59969" operator="containsText" id="{75B8D0C0-C716-4F95-BCF0-228852A6A88D}">
            <xm:f>NOT(ISERROR(SEARCH(bahan1,R657)))</xm:f>
            <xm:f>bahan1</xm:f>
            <x14:dxf>
              <fill>
                <patternFill>
                  <bgColor theme="7" tint="0.39994506668294322"/>
                </patternFill>
              </fill>
            </x14:dxf>
          </x14:cfRule>
          <xm:sqref>R657:R661</xm:sqref>
        </x14:conditionalFormatting>
        <x14:conditionalFormatting xmlns:xm="http://schemas.microsoft.com/office/excel/2006/main">
          <x14:cfRule type="containsText" priority="59946" operator="containsText" id="{580ADD26-1203-43BF-A6ED-44126F0B06A3}">
            <xm:f>NOT(ISERROR(SEARCH(bahan5,R664)))</xm:f>
            <xm:f>bahan5</xm:f>
            <x14:dxf>
              <fill>
                <patternFill>
                  <bgColor rgb="FF00B0F0"/>
                </patternFill>
              </fill>
            </x14:dxf>
          </x14:cfRule>
          <x14:cfRule type="containsText" priority="59945" operator="containsText" id="{28E0D36F-F35C-41CB-BF99-6D8D1104B5B8}">
            <xm:f>NOT(ISERROR(SEARCH(bahan1,R664)))</xm:f>
            <xm:f>bahan1</xm:f>
            <x14:dxf>
              <fill>
                <patternFill>
                  <bgColor theme="7" tint="0.39994506668294322"/>
                </patternFill>
              </fill>
            </x14:dxf>
          </x14:cfRule>
          <xm:sqref>R664</xm:sqref>
        </x14:conditionalFormatting>
        <x14:conditionalFormatting xmlns:xm="http://schemas.microsoft.com/office/excel/2006/main">
          <x14:cfRule type="containsText" priority="59922" operator="containsText" id="{7AF2ABFB-3DA2-4A75-8EB8-4F1B497248E8}">
            <xm:f>NOT(ISERROR(SEARCH(bahan5,R665)))</xm:f>
            <xm:f>bahan5</xm:f>
            <x14:dxf>
              <fill>
                <patternFill>
                  <bgColor rgb="FF00B0F0"/>
                </patternFill>
              </fill>
            </x14:dxf>
          </x14:cfRule>
          <x14:cfRule type="containsText" priority="59921" operator="containsText" id="{CBF7384B-1F75-4FBB-A6FA-B03B0AFECA02}">
            <xm:f>NOT(ISERROR(SEARCH(bahan1,R665)))</xm:f>
            <xm:f>bahan1</xm:f>
            <x14:dxf>
              <fill>
                <patternFill>
                  <bgColor theme="7" tint="0.39994506668294322"/>
                </patternFill>
              </fill>
            </x14:dxf>
          </x14:cfRule>
          <xm:sqref>R665:R667</xm:sqref>
        </x14:conditionalFormatting>
        <x14:conditionalFormatting xmlns:xm="http://schemas.microsoft.com/office/excel/2006/main">
          <x14:cfRule type="containsText" priority="59898" operator="containsText" id="{618495B0-B469-481B-AE9F-A00A21F6BA37}">
            <xm:f>NOT(ISERROR(SEARCH(bahan5,R670)))</xm:f>
            <xm:f>bahan5</xm:f>
            <x14:dxf>
              <fill>
                <patternFill>
                  <bgColor rgb="FF00B0F0"/>
                </patternFill>
              </fill>
            </x14:dxf>
          </x14:cfRule>
          <x14:cfRule type="containsText" priority="59897" operator="containsText" id="{99295FAD-51A9-48AB-840E-8E4E22A2B991}">
            <xm:f>NOT(ISERROR(SEARCH(bahan1,R670)))</xm:f>
            <xm:f>bahan1</xm:f>
            <x14:dxf>
              <fill>
                <patternFill>
                  <bgColor theme="7" tint="0.39994506668294322"/>
                </patternFill>
              </fill>
            </x14:dxf>
          </x14:cfRule>
          <xm:sqref>R670:R671</xm:sqref>
        </x14:conditionalFormatting>
        <x14:conditionalFormatting xmlns:xm="http://schemas.microsoft.com/office/excel/2006/main">
          <x14:cfRule type="containsText" priority="59854" operator="containsText" id="{B44669FB-048D-4F28-83D5-88E3844AA899}">
            <xm:f>NOT(ISERROR(SEARCH(bahan5,R674)))</xm:f>
            <xm:f>bahan5</xm:f>
            <x14:dxf>
              <fill>
                <patternFill>
                  <bgColor rgb="FF00B0F0"/>
                </patternFill>
              </fill>
            </x14:dxf>
          </x14:cfRule>
          <x14:cfRule type="containsText" priority="59853" operator="containsText" id="{9FC65ED4-9792-4B1C-941B-2C69C44449FD}">
            <xm:f>NOT(ISERROR(SEARCH(bahan1,R674)))</xm:f>
            <xm:f>bahan1</xm:f>
            <x14:dxf>
              <fill>
                <patternFill>
                  <bgColor theme="7" tint="0.39994506668294322"/>
                </patternFill>
              </fill>
            </x14:dxf>
          </x14:cfRule>
          <xm:sqref>R674</xm:sqref>
        </x14:conditionalFormatting>
        <x14:conditionalFormatting xmlns:xm="http://schemas.microsoft.com/office/excel/2006/main">
          <x14:cfRule type="containsText" priority="59806" operator="containsText" id="{E3C3A67F-6FE0-46F1-996D-04095B5C4FE2}">
            <xm:f>NOT(ISERROR(SEARCH(bahan5,R675)))</xm:f>
            <xm:f>bahan5</xm:f>
            <x14:dxf>
              <fill>
                <patternFill>
                  <bgColor rgb="FF00B0F0"/>
                </patternFill>
              </fill>
            </x14:dxf>
          </x14:cfRule>
          <x14:cfRule type="containsText" priority="59805" operator="containsText" id="{FAC9C08F-7359-4EB9-87C5-7068C37AC649}">
            <xm:f>NOT(ISERROR(SEARCH(bahan1,R675)))</xm:f>
            <xm:f>bahan1</xm:f>
            <x14:dxf>
              <fill>
                <patternFill>
                  <bgColor theme="7" tint="0.39994506668294322"/>
                </patternFill>
              </fill>
            </x14:dxf>
          </x14:cfRule>
          <xm:sqref>R675:R678</xm:sqref>
        </x14:conditionalFormatting>
        <x14:conditionalFormatting xmlns:xm="http://schemas.microsoft.com/office/excel/2006/main">
          <x14:cfRule type="containsText" priority="59830" operator="containsText" id="{EB16D0B2-A9FC-49EC-A208-3AFA6EBD910D}">
            <xm:f>NOT(ISERROR(SEARCH(bahan5,R679)))</xm:f>
            <xm:f>bahan5</xm:f>
            <x14:dxf>
              <fill>
                <patternFill>
                  <bgColor rgb="FF00B0F0"/>
                </patternFill>
              </fill>
            </x14:dxf>
          </x14:cfRule>
          <x14:cfRule type="containsText" priority="59829" operator="containsText" id="{54D86C65-8024-4541-9D1B-E51A4043F71E}">
            <xm:f>NOT(ISERROR(SEARCH(bahan1,R679)))</xm:f>
            <xm:f>bahan1</xm:f>
            <x14:dxf>
              <fill>
                <patternFill>
                  <bgColor theme="7" tint="0.39994506668294322"/>
                </patternFill>
              </fill>
            </x14:dxf>
          </x14:cfRule>
          <xm:sqref>R679</xm:sqref>
        </x14:conditionalFormatting>
        <x14:conditionalFormatting xmlns:xm="http://schemas.microsoft.com/office/excel/2006/main">
          <x14:cfRule type="containsText" priority="59782" operator="containsText" id="{68042D87-877E-4FBF-B750-11B793CE9DAD}">
            <xm:f>NOT(ISERROR(SEARCH(bahan5,R680)))</xm:f>
            <xm:f>bahan5</xm:f>
            <x14:dxf>
              <fill>
                <patternFill>
                  <bgColor rgb="FF00B0F0"/>
                </patternFill>
              </fill>
            </x14:dxf>
          </x14:cfRule>
          <x14:cfRule type="containsText" priority="59781" operator="containsText" id="{5F740D4E-D95D-4BF5-92B6-5E101B78FD43}">
            <xm:f>NOT(ISERROR(SEARCH(bahan1,R680)))</xm:f>
            <xm:f>bahan1</xm:f>
            <x14:dxf>
              <fill>
                <patternFill>
                  <bgColor theme="7" tint="0.39994506668294322"/>
                </patternFill>
              </fill>
            </x14:dxf>
          </x14:cfRule>
          <xm:sqref>R680:R681</xm:sqref>
        </x14:conditionalFormatting>
        <x14:conditionalFormatting xmlns:xm="http://schemas.microsoft.com/office/excel/2006/main">
          <x14:cfRule type="containsText" priority="59738" operator="containsText" id="{25025C56-A42E-4132-B0AA-E16F04D7F8FB}">
            <xm:f>NOT(ISERROR(SEARCH(bahan5,R684)))</xm:f>
            <xm:f>bahan5</xm:f>
            <x14:dxf>
              <fill>
                <patternFill>
                  <bgColor rgb="FF00B0F0"/>
                </patternFill>
              </fill>
            </x14:dxf>
          </x14:cfRule>
          <x14:cfRule type="containsText" priority="59737" operator="containsText" id="{8D7F6D61-5EFE-42AC-87D3-F377067079C1}">
            <xm:f>NOT(ISERROR(SEARCH(bahan1,R684)))</xm:f>
            <xm:f>bahan1</xm:f>
            <x14:dxf>
              <fill>
                <patternFill>
                  <bgColor theme="7" tint="0.39994506668294322"/>
                </patternFill>
              </fill>
            </x14:dxf>
          </x14:cfRule>
          <xm:sqref>R684</xm:sqref>
        </x14:conditionalFormatting>
        <x14:conditionalFormatting xmlns:xm="http://schemas.microsoft.com/office/excel/2006/main">
          <x14:cfRule type="containsText" priority="59714" operator="containsText" id="{D21A88CB-9F2B-461D-ADC9-8EE3088390BE}">
            <xm:f>NOT(ISERROR(SEARCH(bahan5,R685)))</xm:f>
            <xm:f>bahan5</xm:f>
            <x14:dxf>
              <fill>
                <patternFill>
                  <bgColor rgb="FF00B0F0"/>
                </patternFill>
              </fill>
            </x14:dxf>
          </x14:cfRule>
          <x14:cfRule type="containsText" priority="59713" operator="containsText" id="{521CD216-4DC5-4FA7-925B-B9E40BEE546B}">
            <xm:f>NOT(ISERROR(SEARCH(bahan1,R685)))</xm:f>
            <xm:f>bahan1</xm:f>
            <x14:dxf>
              <fill>
                <patternFill>
                  <bgColor theme="7" tint="0.39994506668294322"/>
                </patternFill>
              </fill>
            </x14:dxf>
          </x14:cfRule>
          <xm:sqref>R685:R689 R693:R695 R691</xm:sqref>
        </x14:conditionalFormatting>
        <x14:conditionalFormatting xmlns:xm="http://schemas.microsoft.com/office/excel/2006/main">
          <x14:cfRule type="containsText" priority="59618" operator="containsText" id="{78F2EEE6-562A-4D3F-983A-0CF08DEDD587}">
            <xm:f>NOT(ISERROR(SEARCH(bahan5,R690)))</xm:f>
            <xm:f>bahan5</xm:f>
            <x14:dxf>
              <fill>
                <patternFill>
                  <bgColor rgb="FF00B0F0"/>
                </patternFill>
              </fill>
            </x14:dxf>
          </x14:cfRule>
          <x14:cfRule type="containsText" priority="59617" operator="containsText" id="{35222780-6AFA-430C-86D0-408FD4595949}">
            <xm:f>NOT(ISERROR(SEARCH(bahan1,R690)))</xm:f>
            <xm:f>bahan1</xm:f>
            <x14:dxf>
              <fill>
                <patternFill>
                  <bgColor theme="7" tint="0.39994506668294322"/>
                </patternFill>
              </fill>
            </x14:dxf>
          </x14:cfRule>
          <xm:sqref>R690</xm:sqref>
        </x14:conditionalFormatting>
        <x14:conditionalFormatting xmlns:xm="http://schemas.microsoft.com/office/excel/2006/main">
          <x14:cfRule type="containsText" priority="59642" operator="containsText" id="{4133EAE8-1740-46B5-A061-C39B0C1396CF}">
            <xm:f>NOT(ISERROR(SEARCH(bahan5,R692)))</xm:f>
            <xm:f>bahan5</xm:f>
            <x14:dxf>
              <fill>
                <patternFill>
                  <bgColor rgb="FF00B0F0"/>
                </patternFill>
              </fill>
            </x14:dxf>
          </x14:cfRule>
          <x14:cfRule type="containsText" priority="59641" operator="containsText" id="{A0DE4A58-310D-4533-8604-C75C96527D96}">
            <xm:f>NOT(ISERROR(SEARCH(bahan1,R692)))</xm:f>
            <xm:f>bahan1</xm:f>
            <x14:dxf>
              <fill>
                <patternFill>
                  <bgColor theme="7" tint="0.39994506668294322"/>
                </patternFill>
              </fill>
            </x14:dxf>
          </x14:cfRule>
          <xm:sqref>R692</xm:sqref>
        </x14:conditionalFormatting>
        <x14:conditionalFormatting xmlns:xm="http://schemas.microsoft.com/office/excel/2006/main">
          <x14:cfRule type="containsText" priority="59690" operator="containsText" id="{78527FC3-DB78-4262-A22A-D082D5A08726}">
            <xm:f>NOT(ISERROR(SEARCH(bahan5,R696)))</xm:f>
            <xm:f>bahan5</xm:f>
            <x14:dxf>
              <fill>
                <patternFill>
                  <bgColor rgb="FF00B0F0"/>
                </patternFill>
              </fill>
            </x14:dxf>
          </x14:cfRule>
          <x14:cfRule type="containsText" priority="59689" operator="containsText" id="{618A78F9-EC34-4A60-8E8C-004F097A6F24}">
            <xm:f>NOT(ISERROR(SEARCH(bahan1,R696)))</xm:f>
            <xm:f>bahan1</xm:f>
            <x14:dxf>
              <fill>
                <patternFill>
                  <bgColor theme="7" tint="0.39994506668294322"/>
                </patternFill>
              </fill>
            </x14:dxf>
          </x14:cfRule>
          <xm:sqref>R696</xm:sqref>
        </x14:conditionalFormatting>
        <x14:conditionalFormatting xmlns:xm="http://schemas.microsoft.com/office/excel/2006/main">
          <x14:cfRule type="containsText" priority="59666" operator="containsText" id="{19B33860-172F-4BB0-BC28-3587EB7DCE2D}">
            <xm:f>NOT(ISERROR(SEARCH(bahan5,R698)))</xm:f>
            <xm:f>bahan5</xm:f>
            <x14:dxf>
              <fill>
                <patternFill>
                  <bgColor rgb="FF00B0F0"/>
                </patternFill>
              </fill>
            </x14:dxf>
          </x14:cfRule>
          <x14:cfRule type="containsText" priority="59665" operator="containsText" id="{8E10F3E0-41E3-441B-9AD6-65E2E41A610C}">
            <xm:f>NOT(ISERROR(SEARCH(bahan1,R698)))</xm:f>
            <xm:f>bahan1</xm:f>
            <x14:dxf>
              <fill>
                <patternFill>
                  <bgColor theme="7" tint="0.39994506668294322"/>
                </patternFill>
              </fill>
            </x14:dxf>
          </x14:cfRule>
          <xm:sqref>R698</xm:sqref>
        </x14:conditionalFormatting>
        <x14:conditionalFormatting xmlns:xm="http://schemas.microsoft.com/office/excel/2006/main">
          <x14:cfRule type="containsText" priority="59594" operator="containsText" id="{B72B328A-EB34-4DE1-9E47-A2594DE62079}">
            <xm:f>NOT(ISERROR(SEARCH(bahan5,R701)))</xm:f>
            <xm:f>bahan5</xm:f>
            <x14:dxf>
              <fill>
                <patternFill>
                  <bgColor rgb="FF00B0F0"/>
                </patternFill>
              </fill>
            </x14:dxf>
          </x14:cfRule>
          <x14:cfRule type="containsText" priority="59593" operator="containsText" id="{B2B0CC3A-926D-4FDE-8B17-725BD6E56DEF}">
            <xm:f>NOT(ISERROR(SEARCH(bahan1,R701)))</xm:f>
            <xm:f>bahan1</xm:f>
            <x14:dxf>
              <fill>
                <patternFill>
                  <bgColor theme="7" tint="0.39994506668294322"/>
                </patternFill>
              </fill>
            </x14:dxf>
          </x14:cfRule>
          <xm:sqref>R701</xm:sqref>
        </x14:conditionalFormatting>
        <x14:conditionalFormatting xmlns:xm="http://schemas.microsoft.com/office/excel/2006/main">
          <x14:cfRule type="containsText" priority="59546" operator="containsText" id="{577EDE8A-AE32-4CCF-ABD7-81A5C5B3980A}">
            <xm:f>NOT(ISERROR(SEARCH(bahan5,R702)))</xm:f>
            <xm:f>bahan5</xm:f>
            <x14:dxf>
              <fill>
                <patternFill>
                  <bgColor rgb="FF00B0F0"/>
                </patternFill>
              </fill>
            </x14:dxf>
          </x14:cfRule>
          <x14:cfRule type="containsText" priority="59545" operator="containsText" id="{247D2D0D-DC5A-4B28-B9FF-AEC1E79166B8}">
            <xm:f>NOT(ISERROR(SEARCH(bahan1,R702)))</xm:f>
            <xm:f>bahan1</xm:f>
            <x14:dxf>
              <fill>
                <patternFill>
                  <bgColor theme="7" tint="0.39994506668294322"/>
                </patternFill>
              </fill>
            </x14:dxf>
          </x14:cfRule>
          <xm:sqref>R702:R707</xm:sqref>
        </x14:conditionalFormatting>
        <x14:conditionalFormatting xmlns:xm="http://schemas.microsoft.com/office/excel/2006/main">
          <x14:cfRule type="containsText" priority="59570" operator="containsText" id="{3A568863-06D7-4F20-894F-246F1BB9C418}">
            <xm:f>NOT(ISERROR(SEARCH(bahan5,R708)))</xm:f>
            <xm:f>bahan5</xm:f>
            <x14:dxf>
              <fill>
                <patternFill>
                  <bgColor rgb="FF00B0F0"/>
                </patternFill>
              </fill>
            </x14:dxf>
          </x14:cfRule>
          <x14:cfRule type="containsText" priority="59569" operator="containsText" id="{6EED09DA-B17C-4C2F-B74F-D8B646635CA3}">
            <xm:f>NOT(ISERROR(SEARCH(bahan1,R708)))</xm:f>
            <xm:f>bahan1</xm:f>
            <x14:dxf>
              <fill>
                <patternFill>
                  <bgColor theme="7" tint="0.39994506668294322"/>
                </patternFill>
              </fill>
            </x14:dxf>
          </x14:cfRule>
          <xm:sqref>R708</xm:sqref>
        </x14:conditionalFormatting>
        <x14:conditionalFormatting xmlns:xm="http://schemas.microsoft.com/office/excel/2006/main">
          <x14:cfRule type="containsText" priority="59522" operator="containsText" id="{3C829514-F095-4A02-9267-48C54FABBD9C}">
            <xm:f>NOT(ISERROR(SEARCH(bahan5,R709)))</xm:f>
            <xm:f>bahan5</xm:f>
            <x14:dxf>
              <fill>
                <patternFill>
                  <bgColor rgb="FF00B0F0"/>
                </patternFill>
              </fill>
            </x14:dxf>
          </x14:cfRule>
          <x14:cfRule type="containsText" priority="59521" operator="containsText" id="{6A6ABFD6-C68F-4F1F-BB07-B8E33F23516B}">
            <xm:f>NOT(ISERROR(SEARCH(bahan1,R709)))</xm:f>
            <xm:f>bahan1</xm:f>
            <x14:dxf>
              <fill>
                <patternFill>
                  <bgColor theme="7" tint="0.39994506668294322"/>
                </patternFill>
              </fill>
            </x14:dxf>
          </x14:cfRule>
          <xm:sqref>R709:R716</xm:sqref>
        </x14:conditionalFormatting>
        <x14:conditionalFormatting xmlns:xm="http://schemas.microsoft.com/office/excel/2006/main">
          <x14:cfRule type="containsText" priority="59498" operator="containsText" id="{6BA9D1D6-333B-48E3-AE03-C1F08D232992}">
            <xm:f>NOT(ISERROR(SEARCH(bahan5,R719)))</xm:f>
            <xm:f>bahan5</xm:f>
            <x14:dxf>
              <fill>
                <patternFill>
                  <bgColor rgb="FF00B0F0"/>
                </patternFill>
              </fill>
            </x14:dxf>
          </x14:cfRule>
          <x14:cfRule type="containsText" priority="59497" operator="containsText" id="{03F9534F-8C93-48C7-91A5-E10FB232515B}">
            <xm:f>NOT(ISERROR(SEARCH(bahan1,R719)))</xm:f>
            <xm:f>bahan1</xm:f>
            <x14:dxf>
              <fill>
                <patternFill>
                  <bgColor theme="7" tint="0.39994506668294322"/>
                </patternFill>
              </fill>
            </x14:dxf>
          </x14:cfRule>
          <xm:sqref>R719</xm:sqref>
        </x14:conditionalFormatting>
        <x14:conditionalFormatting xmlns:xm="http://schemas.microsoft.com/office/excel/2006/main">
          <x14:cfRule type="containsText" priority="59450" operator="containsText" id="{54844BFE-5772-4DCF-BEF3-89E4D73C8AC6}">
            <xm:f>NOT(ISERROR(SEARCH(bahan5,R720)))</xm:f>
            <xm:f>bahan5</xm:f>
            <x14:dxf>
              <fill>
                <patternFill>
                  <bgColor rgb="FF00B0F0"/>
                </patternFill>
              </fill>
            </x14:dxf>
          </x14:cfRule>
          <x14:cfRule type="containsText" priority="59449" operator="containsText" id="{D1559459-CEF0-44DB-9B56-CF31D00964D3}">
            <xm:f>NOT(ISERROR(SEARCH(bahan1,R720)))</xm:f>
            <xm:f>bahan1</xm:f>
            <x14:dxf>
              <fill>
                <patternFill>
                  <bgColor theme="7" tint="0.39994506668294322"/>
                </patternFill>
              </fill>
            </x14:dxf>
          </x14:cfRule>
          <xm:sqref>R720:R725</xm:sqref>
        </x14:conditionalFormatting>
        <x14:conditionalFormatting xmlns:xm="http://schemas.microsoft.com/office/excel/2006/main">
          <x14:cfRule type="containsText" priority="59474" operator="containsText" id="{29D5AA16-D011-48D7-9C9A-62B237CE257D}">
            <xm:f>NOT(ISERROR(SEARCH(bahan5,R726)))</xm:f>
            <xm:f>bahan5</xm:f>
            <x14:dxf>
              <fill>
                <patternFill>
                  <bgColor rgb="FF00B0F0"/>
                </patternFill>
              </fill>
            </x14:dxf>
          </x14:cfRule>
          <x14:cfRule type="containsText" priority="59473" operator="containsText" id="{8657B48F-F144-427F-A9D5-781CAB01A9BE}">
            <xm:f>NOT(ISERROR(SEARCH(bahan1,R726)))</xm:f>
            <xm:f>bahan1</xm:f>
            <x14:dxf>
              <fill>
                <patternFill>
                  <bgColor theme="7" tint="0.39994506668294322"/>
                </patternFill>
              </fill>
            </x14:dxf>
          </x14:cfRule>
          <xm:sqref>R726</xm:sqref>
        </x14:conditionalFormatting>
        <x14:conditionalFormatting xmlns:xm="http://schemas.microsoft.com/office/excel/2006/main">
          <x14:cfRule type="containsText" priority="59426" operator="containsText" id="{E11E1D21-8EBB-4FD4-B13E-E91AF8BB35AB}">
            <xm:f>NOT(ISERROR(SEARCH(bahan5,R727)))</xm:f>
            <xm:f>bahan5</xm:f>
            <x14:dxf>
              <fill>
                <patternFill>
                  <bgColor rgb="FF00B0F0"/>
                </patternFill>
              </fill>
            </x14:dxf>
          </x14:cfRule>
          <x14:cfRule type="containsText" priority="59425" operator="containsText" id="{57006ED0-DEE3-4F4F-8E1A-792C3BD246AD}">
            <xm:f>NOT(ISERROR(SEARCH(bahan1,R727)))</xm:f>
            <xm:f>bahan1</xm:f>
            <x14:dxf>
              <fill>
                <patternFill>
                  <bgColor theme="7" tint="0.39994506668294322"/>
                </patternFill>
              </fill>
            </x14:dxf>
          </x14:cfRule>
          <xm:sqref>R727:R734</xm:sqref>
        </x14:conditionalFormatting>
        <x14:conditionalFormatting xmlns:xm="http://schemas.microsoft.com/office/excel/2006/main">
          <x14:cfRule type="containsText" priority="59402" operator="containsText" id="{20D1D33D-C0AE-4DC5-9988-22C3B0ED157F}">
            <xm:f>NOT(ISERROR(SEARCH(bahan5,R737)))</xm:f>
            <xm:f>bahan5</xm:f>
            <x14:dxf>
              <fill>
                <patternFill>
                  <bgColor rgb="FF00B0F0"/>
                </patternFill>
              </fill>
            </x14:dxf>
          </x14:cfRule>
          <x14:cfRule type="containsText" priority="59401" operator="containsText" id="{1E4DC3F6-4E88-44CE-B0D6-DEA7141E9A84}">
            <xm:f>NOT(ISERROR(SEARCH(bahan1,R737)))</xm:f>
            <xm:f>bahan1</xm:f>
            <x14:dxf>
              <fill>
                <patternFill>
                  <bgColor theme="7" tint="0.39994506668294322"/>
                </patternFill>
              </fill>
            </x14:dxf>
          </x14:cfRule>
          <xm:sqref>R737</xm:sqref>
        </x14:conditionalFormatting>
        <x14:conditionalFormatting xmlns:xm="http://schemas.microsoft.com/office/excel/2006/main">
          <x14:cfRule type="containsText" priority="59354" operator="containsText" id="{34E02FAF-F6F4-44A2-A7CE-C85412C1545E}">
            <xm:f>NOT(ISERROR(SEARCH(bahan5,R738)))</xm:f>
            <xm:f>bahan5</xm:f>
            <x14:dxf>
              <fill>
                <patternFill>
                  <bgColor rgb="FF00B0F0"/>
                </patternFill>
              </fill>
            </x14:dxf>
          </x14:cfRule>
          <x14:cfRule type="containsText" priority="59353" operator="containsText" id="{CCABF6D2-6D28-4316-AC82-5BA5075F918B}">
            <xm:f>NOT(ISERROR(SEARCH(bahan1,R738)))</xm:f>
            <xm:f>bahan1</xm:f>
            <x14:dxf>
              <fill>
                <patternFill>
                  <bgColor theme="7" tint="0.39994506668294322"/>
                </patternFill>
              </fill>
            </x14:dxf>
          </x14:cfRule>
          <xm:sqref>R738:R743</xm:sqref>
        </x14:conditionalFormatting>
        <x14:conditionalFormatting xmlns:xm="http://schemas.microsoft.com/office/excel/2006/main">
          <x14:cfRule type="containsText" priority="59378" operator="containsText" id="{C58BEEB8-62EF-4BA8-AB0A-9E0A258CB283}">
            <xm:f>NOT(ISERROR(SEARCH(bahan5,R744)))</xm:f>
            <xm:f>bahan5</xm:f>
            <x14:dxf>
              <fill>
                <patternFill>
                  <bgColor rgb="FF00B0F0"/>
                </patternFill>
              </fill>
            </x14:dxf>
          </x14:cfRule>
          <x14:cfRule type="containsText" priority="59377" operator="containsText" id="{D0B4CCF8-0B57-46F6-8F8D-646275EC9767}">
            <xm:f>NOT(ISERROR(SEARCH(bahan1,R744)))</xm:f>
            <xm:f>bahan1</xm:f>
            <x14:dxf>
              <fill>
                <patternFill>
                  <bgColor theme="7" tint="0.39994506668294322"/>
                </patternFill>
              </fill>
            </x14:dxf>
          </x14:cfRule>
          <xm:sqref>R744</xm:sqref>
        </x14:conditionalFormatting>
        <x14:conditionalFormatting xmlns:xm="http://schemas.microsoft.com/office/excel/2006/main">
          <x14:cfRule type="containsText" priority="59330" operator="containsText" id="{3C3D41D0-DEBA-4322-B0F9-6EA2B9757B31}">
            <xm:f>NOT(ISERROR(SEARCH(bahan5,R745)))</xm:f>
            <xm:f>bahan5</xm:f>
            <x14:dxf>
              <fill>
                <patternFill>
                  <bgColor rgb="FF00B0F0"/>
                </patternFill>
              </fill>
            </x14:dxf>
          </x14:cfRule>
          <x14:cfRule type="containsText" priority="59329" operator="containsText" id="{A9814FA7-DDA5-446D-B9AC-018DA198CF87}">
            <xm:f>NOT(ISERROR(SEARCH(bahan1,R745)))</xm:f>
            <xm:f>bahan1</xm:f>
            <x14:dxf>
              <fill>
                <patternFill>
                  <bgColor theme="7" tint="0.39994506668294322"/>
                </patternFill>
              </fill>
            </x14:dxf>
          </x14:cfRule>
          <xm:sqref>R745:R752</xm:sqref>
        </x14:conditionalFormatting>
        <x14:conditionalFormatting xmlns:xm="http://schemas.microsoft.com/office/excel/2006/main">
          <x14:cfRule type="containsText" priority="59306" operator="containsText" id="{FC71D76F-C530-4209-B0DF-B58C8A39369D}">
            <xm:f>NOT(ISERROR(SEARCH(bahan5,R755)))</xm:f>
            <xm:f>bahan5</xm:f>
            <x14:dxf>
              <fill>
                <patternFill>
                  <bgColor rgb="FF00B0F0"/>
                </patternFill>
              </fill>
            </x14:dxf>
          </x14:cfRule>
          <x14:cfRule type="containsText" priority="59305" operator="containsText" id="{4D2CB250-9191-4552-B8E0-B8557DCE2C84}">
            <xm:f>NOT(ISERROR(SEARCH(bahan1,R755)))</xm:f>
            <xm:f>bahan1</xm:f>
            <x14:dxf>
              <fill>
                <patternFill>
                  <bgColor theme="7" tint="0.39994506668294322"/>
                </patternFill>
              </fill>
            </x14:dxf>
          </x14:cfRule>
          <xm:sqref>R755</xm:sqref>
        </x14:conditionalFormatting>
        <x14:conditionalFormatting xmlns:xm="http://schemas.microsoft.com/office/excel/2006/main">
          <x14:cfRule type="containsText" priority="125136" operator="containsText" id="{CD428C71-1591-4516-BD30-D2D8CD119B12}">
            <xm:f>NOT(ISERROR(SEARCH(kaca4,R755)))</xm:f>
            <xm:f>kaca4</xm:f>
            <x14:dxf>
              <fill>
                <patternFill>
                  <bgColor rgb="FF92D050"/>
                </patternFill>
              </fill>
            </x14:dxf>
          </x14:cfRule>
          <xm:sqref>R755:R784</xm:sqref>
        </x14:conditionalFormatting>
        <x14:conditionalFormatting xmlns:xm="http://schemas.microsoft.com/office/excel/2006/main">
          <x14:cfRule type="containsText" priority="59282" operator="containsText" id="{2A56F02D-8AF6-40C5-A085-DAEAFC82989D}">
            <xm:f>NOT(ISERROR(SEARCH(bahan5,R756)))</xm:f>
            <xm:f>bahan5</xm:f>
            <x14:dxf>
              <fill>
                <patternFill>
                  <bgColor rgb="FF00B0F0"/>
                </patternFill>
              </fill>
            </x14:dxf>
          </x14:cfRule>
          <x14:cfRule type="containsText" priority="59281" operator="containsText" id="{7A4E4875-E1E6-4171-8294-126C9D1A6011}">
            <xm:f>NOT(ISERROR(SEARCH(bahan1,R756)))</xm:f>
            <xm:f>bahan1</xm:f>
            <x14:dxf>
              <fill>
                <patternFill>
                  <bgColor theme="7" tint="0.39994506668294322"/>
                </patternFill>
              </fill>
            </x14:dxf>
          </x14:cfRule>
          <xm:sqref>R756:R765</xm:sqref>
        </x14:conditionalFormatting>
        <x14:conditionalFormatting xmlns:xm="http://schemas.microsoft.com/office/excel/2006/main">
          <x14:cfRule type="containsText" priority="125137" operator="containsText" id="{87D1FB66-D3E3-42B9-BFED-5A407CD6E0FE}">
            <xm:f>NOT(ISERROR(SEARCH(bahan1,R766)))</xm:f>
            <xm:f>bahan1</xm:f>
            <x14:dxf>
              <fill>
                <patternFill>
                  <bgColor theme="7" tint="0.39994506668294322"/>
                </patternFill>
              </fill>
            </x14:dxf>
          </x14:cfRule>
          <x14:cfRule type="containsText" priority="125138" operator="containsText" id="{ECEEB73E-DA06-4511-BDA3-CD50F9253F9B}">
            <xm:f>NOT(ISERROR(SEARCH(bahan5,R766)))</xm:f>
            <xm:f>bahan5</xm:f>
            <x14:dxf>
              <fill>
                <patternFill>
                  <bgColor rgb="FF00B0F0"/>
                </patternFill>
              </fill>
            </x14:dxf>
          </x14:cfRule>
          <xm:sqref>R766</xm:sqref>
        </x14:conditionalFormatting>
        <x14:conditionalFormatting xmlns:xm="http://schemas.microsoft.com/office/excel/2006/main">
          <x14:cfRule type="containsText" priority="59257" operator="containsText" id="{8EC1D016-B50C-4373-9660-40F4920B6986}">
            <xm:f>NOT(ISERROR(SEARCH(bahan1,R767)))</xm:f>
            <xm:f>bahan1</xm:f>
            <x14:dxf>
              <fill>
                <patternFill>
                  <bgColor theme="7" tint="0.39994506668294322"/>
                </patternFill>
              </fill>
            </x14:dxf>
          </x14:cfRule>
          <x14:cfRule type="containsText" priority="59258" operator="containsText" id="{4B6629E3-42A2-4C0B-91AD-76B3F0B62F63}">
            <xm:f>NOT(ISERROR(SEARCH(bahan5,R767)))</xm:f>
            <xm:f>bahan5</xm:f>
            <x14:dxf>
              <fill>
                <patternFill>
                  <bgColor rgb="FF00B0F0"/>
                </patternFill>
              </fill>
            </x14:dxf>
          </x14:cfRule>
          <xm:sqref>R767:R769</xm:sqref>
        </x14:conditionalFormatting>
        <x14:conditionalFormatting xmlns:xm="http://schemas.microsoft.com/office/excel/2006/main">
          <x14:cfRule type="containsText" priority="93042" operator="containsText" id="{437A1A3E-360D-4BA3-8356-C5E6A6EDFB4D}">
            <xm:f>NOT(ISERROR(SEARCH(bahan1,R770)))</xm:f>
            <xm:f>bahan1</xm:f>
            <x14:dxf>
              <fill>
                <patternFill>
                  <bgColor theme="7" tint="0.39994506668294322"/>
                </patternFill>
              </fill>
            </x14:dxf>
          </x14:cfRule>
          <x14:cfRule type="containsText" priority="93043" operator="containsText" id="{BDADB8EF-86F1-4403-AEC9-7AFE5D9D79C1}">
            <xm:f>NOT(ISERROR(SEARCH(bahan5,R770)))</xm:f>
            <xm:f>bahan5</xm:f>
            <x14:dxf>
              <fill>
                <patternFill>
                  <bgColor rgb="FF00B0F0"/>
                </patternFill>
              </fill>
            </x14:dxf>
          </x14:cfRule>
          <xm:sqref>R770:R771</xm:sqref>
        </x14:conditionalFormatting>
        <x14:conditionalFormatting xmlns:xm="http://schemas.microsoft.com/office/excel/2006/main">
          <x14:cfRule type="containsText" priority="59233" operator="containsText" id="{91670C2C-0D40-4082-B017-E19DDD892BDC}">
            <xm:f>NOT(ISERROR(SEARCH(bahan1,R772)))</xm:f>
            <xm:f>bahan1</xm:f>
            <x14:dxf>
              <fill>
                <patternFill>
                  <bgColor theme="7" tint="0.39994506668294322"/>
                </patternFill>
              </fill>
            </x14:dxf>
          </x14:cfRule>
          <x14:cfRule type="containsText" priority="59234" operator="containsText" id="{5DCC260F-3758-41DB-8CC1-CDC9CFA9AF92}">
            <xm:f>NOT(ISERROR(SEARCH(bahan5,R772)))</xm:f>
            <xm:f>bahan5</xm:f>
            <x14:dxf>
              <fill>
                <patternFill>
                  <bgColor rgb="FF00B0F0"/>
                </patternFill>
              </fill>
            </x14:dxf>
          </x14:cfRule>
          <xm:sqref>R772</xm:sqref>
        </x14:conditionalFormatting>
        <x14:conditionalFormatting xmlns:xm="http://schemas.microsoft.com/office/excel/2006/main">
          <x14:cfRule type="containsText" priority="59209" operator="containsText" id="{3F1B298A-35B9-44D4-9912-29157934D801}">
            <xm:f>NOT(ISERROR(SEARCH(bahan1,R773)))</xm:f>
            <xm:f>bahan1</xm:f>
            <x14:dxf>
              <fill>
                <patternFill>
                  <bgColor theme="7" tint="0.39994506668294322"/>
                </patternFill>
              </fill>
            </x14:dxf>
          </x14:cfRule>
          <x14:cfRule type="containsText" priority="59210" operator="containsText" id="{0D6A6002-93ED-4BE4-8A9D-B9C5BFF1DA0A}">
            <xm:f>NOT(ISERROR(SEARCH(bahan5,R773)))</xm:f>
            <xm:f>bahan5</xm:f>
            <x14:dxf>
              <fill>
                <patternFill>
                  <bgColor rgb="FF00B0F0"/>
                </patternFill>
              </fill>
            </x14:dxf>
          </x14:cfRule>
          <xm:sqref>R773:R780</xm:sqref>
        </x14:conditionalFormatting>
        <x14:conditionalFormatting xmlns:xm="http://schemas.microsoft.com/office/excel/2006/main">
          <x14:cfRule type="containsText" priority="59184" operator="containsText" id="{DD998218-93D8-499B-9295-7B4055D6BED6}">
            <xm:f>NOT(ISERROR(SEARCH(bahan1,R781)))</xm:f>
            <xm:f>bahan1</xm:f>
            <x14:dxf>
              <fill>
                <patternFill>
                  <bgColor theme="7" tint="0.39994506668294322"/>
                </patternFill>
              </fill>
            </x14:dxf>
          </x14:cfRule>
          <x14:cfRule type="containsText" priority="59185" operator="containsText" id="{DD736400-DD18-48F0-8CBB-5D3DC5416238}">
            <xm:f>NOT(ISERROR(SEARCH(bahan5,R781)))</xm:f>
            <xm:f>bahan5</xm:f>
            <x14:dxf>
              <fill>
                <patternFill>
                  <bgColor rgb="FF00B0F0"/>
                </patternFill>
              </fill>
            </x14:dxf>
          </x14:cfRule>
          <xm:sqref>R781</xm:sqref>
        </x14:conditionalFormatting>
        <x14:conditionalFormatting xmlns:xm="http://schemas.microsoft.com/office/excel/2006/main">
          <x14:cfRule type="containsText" priority="59161" operator="containsText" id="{E1F4944B-0AE8-400D-9AF5-5D7921CAAA97}">
            <xm:f>NOT(ISERROR(SEARCH(bahan5,R782)))</xm:f>
            <xm:f>bahan5</xm:f>
            <x14:dxf>
              <fill>
                <patternFill>
                  <bgColor rgb="FF00B0F0"/>
                </patternFill>
              </fill>
            </x14:dxf>
          </x14:cfRule>
          <x14:cfRule type="containsText" priority="59160" operator="containsText" id="{CB98BC0D-81D7-45B9-A5B8-A8E0456D6655}">
            <xm:f>NOT(ISERROR(SEARCH(bahan1,R782)))</xm:f>
            <xm:f>bahan1</xm:f>
            <x14:dxf>
              <fill>
                <patternFill>
                  <bgColor theme="7" tint="0.39994506668294322"/>
                </patternFill>
              </fill>
            </x14:dxf>
          </x14:cfRule>
          <xm:sqref>R782:R784</xm:sqref>
        </x14:conditionalFormatting>
        <x14:conditionalFormatting xmlns:xm="http://schemas.microsoft.com/office/excel/2006/main">
          <x14:cfRule type="containsText" priority="92919" operator="containsText" id="{865BE80C-1040-4650-B34D-30FA74BE2F32}">
            <xm:f>NOT(ISERROR(SEARCH(bahan5,R785)))</xm:f>
            <xm:f>bahan5</xm:f>
            <x14:dxf>
              <fill>
                <patternFill>
                  <bgColor rgb="FF00B0F0"/>
                </patternFill>
              </fill>
            </x14:dxf>
          </x14:cfRule>
          <x14:cfRule type="containsText" priority="92918" operator="containsText" id="{D62A9656-E34C-4BA0-9CF8-41B7534F06AC}">
            <xm:f>NOT(ISERROR(SEARCH(bahan1,R785)))</xm:f>
            <xm:f>bahan1</xm:f>
            <x14:dxf>
              <fill>
                <patternFill>
                  <bgColor theme="7" tint="0.39994506668294322"/>
                </patternFill>
              </fill>
            </x14:dxf>
          </x14:cfRule>
          <xm:sqref>R785:R786</xm:sqref>
        </x14:conditionalFormatting>
        <x14:conditionalFormatting xmlns:xm="http://schemas.microsoft.com/office/excel/2006/main">
          <x14:cfRule type="containsText" priority="92917" operator="containsText" id="{FAD59779-2CFD-4F85-B83F-0965FDC2CC2A}">
            <xm:f>NOT(ISERROR(SEARCH(kaca4,R785)))</xm:f>
            <xm:f>kaca4</xm:f>
            <x14:dxf>
              <fill>
                <patternFill>
                  <bgColor rgb="FF92D050"/>
                </patternFill>
              </fill>
            </x14:dxf>
          </x14:cfRule>
          <xm:sqref>R785:R813</xm:sqref>
        </x14:conditionalFormatting>
        <x14:conditionalFormatting xmlns:xm="http://schemas.microsoft.com/office/excel/2006/main">
          <x14:cfRule type="containsText" priority="59137" operator="containsText" id="{CD6137D2-1DE1-45A8-A37D-DAAF372F6EF4}">
            <xm:f>NOT(ISERROR(SEARCH(bahan5,R787)))</xm:f>
            <xm:f>bahan5</xm:f>
            <x14:dxf>
              <fill>
                <patternFill>
                  <bgColor rgb="FF00B0F0"/>
                </patternFill>
              </fill>
            </x14:dxf>
          </x14:cfRule>
          <x14:cfRule type="containsText" priority="59136" operator="containsText" id="{A7993A6E-89BA-4FF2-AEE7-545E77E9EB3A}">
            <xm:f>NOT(ISERROR(SEARCH(bahan1,R787)))</xm:f>
            <xm:f>bahan1</xm:f>
            <x14:dxf>
              <fill>
                <patternFill>
                  <bgColor theme="7" tint="0.39994506668294322"/>
                </patternFill>
              </fill>
            </x14:dxf>
          </x14:cfRule>
          <xm:sqref>R787</xm:sqref>
        </x14:conditionalFormatting>
        <x14:conditionalFormatting xmlns:xm="http://schemas.microsoft.com/office/excel/2006/main">
          <x14:cfRule type="containsText" priority="59113" operator="containsText" id="{FA925278-65E9-4894-8B62-FEE4CDC5B6EB}">
            <xm:f>NOT(ISERROR(SEARCH(bahan5,R788)))</xm:f>
            <xm:f>bahan5</xm:f>
            <x14:dxf>
              <fill>
                <patternFill>
                  <bgColor rgb="FF00B0F0"/>
                </patternFill>
              </fill>
            </x14:dxf>
          </x14:cfRule>
          <x14:cfRule type="containsText" priority="59112" operator="containsText" id="{4452AA2D-CE78-49C3-83DB-8B984F3710FF}">
            <xm:f>NOT(ISERROR(SEARCH(bahan1,R788)))</xm:f>
            <xm:f>bahan1</xm:f>
            <x14:dxf>
              <fill>
                <patternFill>
                  <bgColor theme="7" tint="0.39994506668294322"/>
                </patternFill>
              </fill>
            </x14:dxf>
          </x14:cfRule>
          <xm:sqref>R788:R789</xm:sqref>
        </x14:conditionalFormatting>
        <x14:conditionalFormatting xmlns:xm="http://schemas.microsoft.com/office/excel/2006/main">
          <x14:cfRule type="containsText" priority="59088" operator="containsText" id="{B2E72C7C-D3D7-4777-AC50-8D7C3E57DF43}">
            <xm:f>NOT(ISERROR(SEARCH(bahan1,R790)))</xm:f>
            <xm:f>bahan1</xm:f>
            <x14:dxf>
              <fill>
                <patternFill>
                  <bgColor theme="7" tint="0.39994506668294322"/>
                </patternFill>
              </fill>
            </x14:dxf>
          </x14:cfRule>
          <x14:cfRule type="containsText" priority="59089" operator="containsText" id="{A77ED243-73F9-4E1D-8377-25989CF9F47D}">
            <xm:f>NOT(ISERROR(SEARCH(bahan5,R790)))</xm:f>
            <xm:f>bahan5</xm:f>
            <x14:dxf>
              <fill>
                <patternFill>
                  <bgColor rgb="FF00B0F0"/>
                </patternFill>
              </fill>
            </x14:dxf>
          </x14:cfRule>
          <xm:sqref>R790:R792</xm:sqref>
        </x14:conditionalFormatting>
        <x14:conditionalFormatting xmlns:xm="http://schemas.microsoft.com/office/excel/2006/main">
          <x14:cfRule type="containsText" priority="59064" operator="containsText" id="{16BFD89D-65B9-4B22-A17C-C01BE13663C9}">
            <xm:f>NOT(ISERROR(SEARCH(bahan1,R793)))</xm:f>
            <xm:f>bahan1</xm:f>
            <x14:dxf>
              <fill>
                <patternFill>
                  <bgColor theme="7" tint="0.39994506668294322"/>
                </patternFill>
              </fill>
            </x14:dxf>
          </x14:cfRule>
          <x14:cfRule type="containsText" priority="59065" operator="containsText" id="{A175E125-71A3-4DA2-8D6D-6A9A50C2DBA1}">
            <xm:f>NOT(ISERROR(SEARCH(bahan5,R793)))</xm:f>
            <xm:f>bahan5</xm:f>
            <x14:dxf>
              <fill>
                <patternFill>
                  <bgColor rgb="FF00B0F0"/>
                </patternFill>
              </fill>
            </x14:dxf>
          </x14:cfRule>
          <xm:sqref>R793:R794</xm:sqref>
        </x14:conditionalFormatting>
        <x14:conditionalFormatting xmlns:xm="http://schemas.microsoft.com/office/excel/2006/main">
          <x14:cfRule type="containsText" priority="92845" operator="containsText" id="{1BFC8261-AA6C-482A-B6EF-BC764F54DD7F}">
            <xm:f>NOT(ISERROR(SEARCH(bahan1,R795)))</xm:f>
            <xm:f>bahan1</xm:f>
            <x14:dxf>
              <fill>
                <patternFill>
                  <bgColor theme="7" tint="0.39994506668294322"/>
                </patternFill>
              </fill>
            </x14:dxf>
          </x14:cfRule>
          <x14:cfRule type="containsText" priority="92846" operator="containsText" id="{5F13EDA4-B56F-4FBB-B436-3534C4EF4C31}">
            <xm:f>NOT(ISERROR(SEARCH(bahan5,R795)))</xm:f>
            <xm:f>bahan5</xm:f>
            <x14:dxf>
              <fill>
                <patternFill>
                  <bgColor rgb="FF00B0F0"/>
                </patternFill>
              </fill>
            </x14:dxf>
          </x14:cfRule>
          <xm:sqref>R795</xm:sqref>
        </x14:conditionalFormatting>
        <x14:conditionalFormatting xmlns:xm="http://schemas.microsoft.com/office/excel/2006/main">
          <x14:cfRule type="containsText" priority="59041" operator="containsText" id="{04801F28-C822-4B3F-B53A-32CEDB1233FA}">
            <xm:f>NOT(ISERROR(SEARCH(bahan5,R796)))</xm:f>
            <xm:f>bahan5</xm:f>
            <x14:dxf>
              <fill>
                <patternFill>
                  <bgColor rgb="FF00B0F0"/>
                </patternFill>
              </fill>
            </x14:dxf>
          </x14:cfRule>
          <x14:cfRule type="containsText" priority="59040" operator="containsText" id="{C2F14BB7-EA96-46B6-AAA8-7843A5C1A13B}">
            <xm:f>NOT(ISERROR(SEARCH(bahan1,R796)))</xm:f>
            <xm:f>bahan1</xm:f>
            <x14:dxf>
              <fill>
                <patternFill>
                  <bgColor theme="7" tint="0.39994506668294322"/>
                </patternFill>
              </fill>
            </x14:dxf>
          </x14:cfRule>
          <xm:sqref>R796:R803</xm:sqref>
        </x14:conditionalFormatting>
        <x14:conditionalFormatting xmlns:xm="http://schemas.microsoft.com/office/excel/2006/main">
          <x14:cfRule type="containsText" priority="92725" operator="containsText" id="{6FCEB57D-A5BC-427D-9313-7AF65D54A020}">
            <xm:f>NOT(ISERROR(SEARCH(bahan5,R804)))</xm:f>
            <xm:f>bahan5</xm:f>
            <x14:dxf>
              <fill>
                <patternFill>
                  <bgColor rgb="FF00B0F0"/>
                </patternFill>
              </fill>
            </x14:dxf>
          </x14:cfRule>
          <x14:cfRule type="containsText" priority="92724" operator="containsText" id="{BA69A79E-FA96-4D0B-B71D-CFFAC13CA27B}">
            <xm:f>NOT(ISERROR(SEARCH(bahan1,R804)))</xm:f>
            <xm:f>bahan1</xm:f>
            <x14:dxf>
              <fill>
                <patternFill>
                  <bgColor theme="7" tint="0.39994506668294322"/>
                </patternFill>
              </fill>
            </x14:dxf>
          </x14:cfRule>
          <xm:sqref>R804</xm:sqref>
        </x14:conditionalFormatting>
        <x14:conditionalFormatting xmlns:xm="http://schemas.microsoft.com/office/excel/2006/main">
          <x14:cfRule type="containsText" priority="59016" operator="containsText" id="{BB2C440B-4139-48B7-B15C-20CBC6C45401}">
            <xm:f>NOT(ISERROR(SEARCH(bahan5,R805)))</xm:f>
            <xm:f>bahan5</xm:f>
            <x14:dxf>
              <fill>
                <patternFill>
                  <bgColor rgb="FF00B0F0"/>
                </patternFill>
              </fill>
            </x14:dxf>
          </x14:cfRule>
          <x14:cfRule type="containsText" priority="59015" operator="containsText" id="{3658155A-B521-4A9E-B59E-3E13C6B22DD8}">
            <xm:f>NOT(ISERROR(SEARCH(bahan1,R805)))</xm:f>
            <xm:f>bahan1</xm:f>
            <x14:dxf>
              <fill>
                <patternFill>
                  <bgColor theme="7" tint="0.39994506668294322"/>
                </patternFill>
              </fill>
            </x14:dxf>
          </x14:cfRule>
          <xm:sqref>R805</xm:sqref>
        </x14:conditionalFormatting>
        <x14:conditionalFormatting xmlns:xm="http://schemas.microsoft.com/office/excel/2006/main">
          <x14:cfRule type="containsText" priority="58991" operator="containsText" id="{BBF1AF2D-0F73-4E5E-B791-BB9C451092A3}">
            <xm:f>NOT(ISERROR(SEARCH(bahan5,R806)))</xm:f>
            <xm:f>bahan5</xm:f>
            <x14:dxf>
              <fill>
                <patternFill>
                  <bgColor rgb="FF00B0F0"/>
                </patternFill>
              </fill>
            </x14:dxf>
          </x14:cfRule>
          <x14:cfRule type="containsText" priority="58990" operator="containsText" id="{6E336A4B-138D-483D-A9FF-CCF2452F5C90}">
            <xm:f>NOT(ISERROR(SEARCH(bahan1,R806)))</xm:f>
            <xm:f>bahan1</xm:f>
            <x14:dxf>
              <fill>
                <patternFill>
                  <bgColor theme="7" tint="0.39994506668294322"/>
                </patternFill>
              </fill>
            </x14:dxf>
          </x14:cfRule>
          <xm:sqref>R806</xm:sqref>
        </x14:conditionalFormatting>
        <x14:conditionalFormatting xmlns:xm="http://schemas.microsoft.com/office/excel/2006/main">
          <x14:cfRule type="containsText" priority="58942" operator="containsText" id="{FFE87091-188A-497A-B0AB-B3A9B600F56B}">
            <xm:f>NOT(ISERROR(SEARCH(bahan1,R807)))</xm:f>
            <xm:f>bahan1</xm:f>
            <x14:dxf>
              <fill>
                <patternFill>
                  <bgColor theme="7" tint="0.39994506668294322"/>
                </patternFill>
              </fill>
            </x14:dxf>
          </x14:cfRule>
          <x14:cfRule type="containsText" priority="58943" operator="containsText" id="{2885C7C4-CF82-4BA5-A416-375422ECF178}">
            <xm:f>NOT(ISERROR(SEARCH(bahan5,R807)))</xm:f>
            <xm:f>bahan5</xm:f>
            <x14:dxf>
              <fill>
                <patternFill>
                  <bgColor rgb="FF00B0F0"/>
                </patternFill>
              </fill>
            </x14:dxf>
          </x14:cfRule>
          <xm:sqref>R807:R812</xm:sqref>
        </x14:conditionalFormatting>
        <x14:conditionalFormatting xmlns:xm="http://schemas.microsoft.com/office/excel/2006/main">
          <x14:cfRule type="containsText" priority="58967" operator="containsText" id="{71710A8C-8A89-4DF0-AFD2-420ACAA35635}">
            <xm:f>NOT(ISERROR(SEARCH(bahan5,R813)))</xm:f>
            <xm:f>bahan5</xm:f>
            <x14:dxf>
              <fill>
                <patternFill>
                  <bgColor rgb="FF00B0F0"/>
                </patternFill>
              </fill>
            </x14:dxf>
          </x14:cfRule>
          <x14:cfRule type="containsText" priority="58966" operator="containsText" id="{D5521463-350E-4761-9B45-425E676B9E4B}">
            <xm:f>NOT(ISERROR(SEARCH(bahan1,R813)))</xm:f>
            <xm:f>bahan1</xm:f>
            <x14:dxf>
              <fill>
                <patternFill>
                  <bgColor theme="7" tint="0.39994506668294322"/>
                </patternFill>
              </fill>
            </x14:dxf>
          </x14:cfRule>
          <xm:sqref>R813</xm:sqref>
        </x14:conditionalFormatting>
        <x14:conditionalFormatting xmlns:xm="http://schemas.microsoft.com/office/excel/2006/main">
          <x14:cfRule type="containsText" priority="58917" operator="containsText" id="{A75D93AA-CB0E-4A01-877C-CDF43EED8416}">
            <xm:f>NOT(ISERROR(SEARCH(kaca4,R814)))</xm:f>
            <xm:f>kaca4</xm:f>
            <x14:dxf>
              <fill>
                <patternFill>
                  <bgColor rgb="FF92D050"/>
                </patternFill>
              </fill>
            </x14:dxf>
          </x14:cfRule>
          <x14:cfRule type="containsText" priority="58919" operator="containsText" id="{B3E538D0-8784-4F45-A8EF-A77B7BD5BEAB}">
            <xm:f>NOT(ISERROR(SEARCH(bahan5,R814)))</xm:f>
            <xm:f>bahan5</xm:f>
            <x14:dxf>
              <fill>
                <patternFill>
                  <bgColor rgb="FF00B0F0"/>
                </patternFill>
              </fill>
            </x14:dxf>
          </x14:cfRule>
          <x14:cfRule type="containsText" priority="58918" operator="containsText" id="{1DB36697-5BB8-41D0-872C-03100AF1EF32}">
            <xm:f>NOT(ISERROR(SEARCH(bahan1,R814)))</xm:f>
            <xm:f>bahan1</xm:f>
            <x14:dxf>
              <fill>
                <patternFill>
                  <bgColor theme="7" tint="0.39994506668294322"/>
                </patternFill>
              </fill>
            </x14:dxf>
          </x14:cfRule>
          <xm:sqref>R814:R816</xm:sqref>
        </x14:conditionalFormatting>
        <x14:conditionalFormatting xmlns:xm="http://schemas.microsoft.com/office/excel/2006/main">
          <x14:cfRule type="containsText" priority="92579" operator="containsText" id="{9EEF5187-75FE-4E89-B63E-2066C7025006}">
            <xm:f>NOT(ISERROR(SEARCH(bahan1,R817)))</xm:f>
            <xm:f>bahan1</xm:f>
            <x14:dxf>
              <fill>
                <patternFill>
                  <bgColor theme="7" tint="0.39994506668294322"/>
                </patternFill>
              </fill>
            </x14:dxf>
          </x14:cfRule>
          <x14:cfRule type="containsText" priority="92580" operator="containsText" id="{F2C8FAEB-46B2-4045-B5ED-EF22AC45E718}">
            <xm:f>NOT(ISERROR(SEARCH(bahan5,R817)))</xm:f>
            <xm:f>bahan5</xm:f>
            <x14:dxf>
              <fill>
                <patternFill>
                  <bgColor rgb="FF00B0F0"/>
                </patternFill>
              </fill>
            </x14:dxf>
          </x14:cfRule>
          <xm:sqref>R817:R818</xm:sqref>
        </x14:conditionalFormatting>
        <x14:conditionalFormatting xmlns:xm="http://schemas.microsoft.com/office/excel/2006/main">
          <x14:cfRule type="containsText" priority="92578" operator="containsText" id="{0A88D99E-547D-4FF3-8C89-E013FBAB1D64}">
            <xm:f>NOT(ISERROR(SEARCH(kaca4,R817)))</xm:f>
            <xm:f>kaca4</xm:f>
            <x14:dxf>
              <fill>
                <patternFill>
                  <bgColor rgb="FF92D050"/>
                </patternFill>
              </fill>
            </x14:dxf>
          </x14:cfRule>
          <xm:sqref>R817:R839</xm:sqref>
        </x14:conditionalFormatting>
        <x14:conditionalFormatting xmlns:xm="http://schemas.microsoft.com/office/excel/2006/main">
          <x14:cfRule type="containsText" priority="92482" operator="containsText" id="{50C5D5DF-5401-4828-B35B-C221A255998F}">
            <xm:f>NOT(ISERROR(SEARCH(bahan1,R821)))</xm:f>
            <xm:f>bahan1</xm:f>
            <x14:dxf>
              <fill>
                <patternFill>
                  <bgColor theme="7" tint="0.39994506668294322"/>
                </patternFill>
              </fill>
            </x14:dxf>
          </x14:cfRule>
          <x14:cfRule type="containsText" priority="92483" operator="containsText" id="{C7E7F8F4-F8F9-4792-9DBE-5C3C693AFE23}">
            <xm:f>NOT(ISERROR(SEARCH(bahan5,R821)))</xm:f>
            <xm:f>bahan5</xm:f>
            <x14:dxf>
              <fill>
                <patternFill>
                  <bgColor rgb="FF00B0F0"/>
                </patternFill>
              </fill>
            </x14:dxf>
          </x14:cfRule>
          <xm:sqref>R821</xm:sqref>
        </x14:conditionalFormatting>
        <x14:conditionalFormatting xmlns:xm="http://schemas.microsoft.com/office/excel/2006/main">
          <x14:cfRule type="containsText" priority="92433" operator="containsText" id="{02D495AB-CC53-421C-BDC4-F9E3EA23C2B5}">
            <xm:f>NOT(ISERROR(SEARCH(bahan1,R822)))</xm:f>
            <xm:f>bahan1</xm:f>
            <x14:dxf>
              <fill>
                <patternFill>
                  <bgColor theme="7" tint="0.39994506668294322"/>
                </patternFill>
              </fill>
            </x14:dxf>
          </x14:cfRule>
          <x14:cfRule type="containsText" priority="92434" operator="containsText" id="{E39BF648-108E-4697-AA9F-41B9937D3DBE}">
            <xm:f>NOT(ISERROR(SEARCH(bahan5,R822)))</xm:f>
            <xm:f>bahan5</xm:f>
            <x14:dxf>
              <fill>
                <patternFill>
                  <bgColor rgb="FF00B0F0"/>
                </patternFill>
              </fill>
            </x14:dxf>
          </x14:cfRule>
          <xm:sqref>R822:R826</xm:sqref>
        </x14:conditionalFormatting>
        <x14:conditionalFormatting xmlns:xm="http://schemas.microsoft.com/office/excel/2006/main">
          <x14:cfRule type="containsText" priority="92459" operator="containsText" id="{C074DF77-93AC-41B1-B728-F8DDBB6F7A89}">
            <xm:f>NOT(ISERROR(SEARCH(bahan5,R827)))</xm:f>
            <xm:f>bahan5</xm:f>
            <x14:dxf>
              <fill>
                <patternFill>
                  <bgColor rgb="FF00B0F0"/>
                </patternFill>
              </fill>
            </x14:dxf>
          </x14:cfRule>
          <x14:cfRule type="containsText" priority="92458" operator="containsText" id="{A94BE644-F77B-44BE-9216-4183CD7D67AE}">
            <xm:f>NOT(ISERROR(SEARCH(bahan1,R827)))</xm:f>
            <xm:f>bahan1</xm:f>
            <x14:dxf>
              <fill>
                <patternFill>
                  <bgColor theme="7" tint="0.39994506668294322"/>
                </patternFill>
              </fill>
            </x14:dxf>
          </x14:cfRule>
          <xm:sqref>R827</xm:sqref>
        </x14:conditionalFormatting>
        <x14:conditionalFormatting xmlns:xm="http://schemas.microsoft.com/office/excel/2006/main">
          <x14:cfRule type="containsText" priority="92410" operator="containsText" id="{ED72FCFD-05DB-4910-8443-32B4F90B1E7F}">
            <xm:f>NOT(ISERROR(SEARCH(bahan1,R828)))</xm:f>
            <xm:f>bahan1</xm:f>
            <x14:dxf>
              <fill>
                <patternFill>
                  <bgColor theme="7" tint="0.39994506668294322"/>
                </patternFill>
              </fill>
            </x14:dxf>
          </x14:cfRule>
          <x14:cfRule type="containsText" priority="92411" operator="containsText" id="{BB930441-344C-4342-A716-AD91CB28E1DB}">
            <xm:f>NOT(ISERROR(SEARCH(bahan5,R828)))</xm:f>
            <xm:f>bahan5</xm:f>
            <x14:dxf>
              <fill>
                <patternFill>
                  <bgColor rgb="FF00B0F0"/>
                </patternFill>
              </fill>
            </x14:dxf>
          </x14:cfRule>
          <xm:sqref>R828</xm:sqref>
        </x14:conditionalFormatting>
        <x14:conditionalFormatting xmlns:xm="http://schemas.microsoft.com/office/excel/2006/main">
          <x14:cfRule type="containsText" priority="92286" operator="containsText" id="{EE8D49BA-16E1-44DA-B522-33A7E1C76448}">
            <xm:f>NOT(ISERROR(SEARCH(bahan1,R829)))</xm:f>
            <xm:f>bahan1</xm:f>
            <x14:dxf>
              <fill>
                <patternFill>
                  <bgColor theme="7" tint="0.39994506668294322"/>
                </patternFill>
              </fill>
            </x14:dxf>
          </x14:cfRule>
          <x14:cfRule type="containsText" priority="92287" operator="containsText" id="{1A33D415-90CB-4038-BB08-14C70511DF3D}">
            <xm:f>NOT(ISERROR(SEARCH(bahan5,R829)))</xm:f>
            <xm:f>bahan5</xm:f>
            <x14:dxf>
              <fill>
                <patternFill>
                  <bgColor rgb="FF00B0F0"/>
                </patternFill>
              </fill>
            </x14:dxf>
          </x14:cfRule>
          <xm:sqref>R829</xm:sqref>
        </x14:conditionalFormatting>
        <x14:conditionalFormatting xmlns:xm="http://schemas.microsoft.com/office/excel/2006/main">
          <x14:cfRule type="containsText" priority="92628" operator="containsText" id="{3008C5C8-EA1C-439E-BF84-F8700CBE4C93}">
            <xm:f>NOT(ISERROR(SEARCH(bahan5,R830)))</xm:f>
            <xm:f>bahan5</xm:f>
            <x14:dxf>
              <fill>
                <patternFill>
                  <bgColor rgb="FF00B0F0"/>
                </patternFill>
              </fill>
            </x14:dxf>
          </x14:cfRule>
          <x14:cfRule type="containsText" priority="92627" operator="containsText" id="{6981663E-6753-4D24-80B5-8F24D42AC84D}">
            <xm:f>NOT(ISERROR(SEARCH(bahan1,R830)))</xm:f>
            <xm:f>bahan1</xm:f>
            <x14:dxf>
              <fill>
                <patternFill>
                  <bgColor theme="7" tint="0.39994506668294322"/>
                </patternFill>
              </fill>
            </x14:dxf>
          </x14:cfRule>
          <xm:sqref>R830</xm:sqref>
        </x14:conditionalFormatting>
        <x14:conditionalFormatting xmlns:xm="http://schemas.microsoft.com/office/excel/2006/main">
          <x14:cfRule type="containsText" priority="92385" operator="containsText" id="{DD7E456F-84C8-4CEB-A628-F847BF949B65}">
            <xm:f>NOT(ISERROR(SEARCH(bahan5,R831)))</xm:f>
            <xm:f>bahan5</xm:f>
            <x14:dxf>
              <fill>
                <patternFill>
                  <bgColor rgb="FF00B0F0"/>
                </patternFill>
              </fill>
            </x14:dxf>
          </x14:cfRule>
          <x14:cfRule type="containsText" priority="92384" operator="containsText" id="{282554CB-C845-4089-9E1A-E07E512D8A2C}">
            <xm:f>NOT(ISERROR(SEARCH(bahan1,R831)))</xm:f>
            <xm:f>bahan1</xm:f>
            <x14:dxf>
              <fill>
                <patternFill>
                  <bgColor theme="7" tint="0.39994506668294322"/>
                </patternFill>
              </fill>
            </x14:dxf>
          </x14:cfRule>
          <xm:sqref>R831</xm:sqref>
        </x14:conditionalFormatting>
        <x14:conditionalFormatting xmlns:xm="http://schemas.microsoft.com/office/excel/2006/main">
          <x14:cfRule type="containsText" priority="92335" operator="containsText" id="{7E22F20D-F05D-4F0D-8C8B-73BD8D9713BB}">
            <xm:f>NOT(ISERROR(SEARCH(bahan1,R832)))</xm:f>
            <xm:f>bahan1</xm:f>
            <x14:dxf>
              <fill>
                <patternFill>
                  <bgColor theme="7" tint="0.39994506668294322"/>
                </patternFill>
              </fill>
            </x14:dxf>
          </x14:cfRule>
          <x14:cfRule type="containsText" priority="92336" operator="containsText" id="{8C313EA0-B02D-4BB3-94C5-092E2E88635F}">
            <xm:f>NOT(ISERROR(SEARCH(bahan5,R832)))</xm:f>
            <xm:f>bahan5</xm:f>
            <x14:dxf>
              <fill>
                <patternFill>
                  <bgColor rgb="FF00B0F0"/>
                </patternFill>
              </fill>
            </x14:dxf>
          </x14:cfRule>
          <xm:sqref>R832:R836</xm:sqref>
        </x14:conditionalFormatting>
        <x14:conditionalFormatting xmlns:xm="http://schemas.microsoft.com/office/excel/2006/main">
          <x14:cfRule type="containsText" priority="92360" operator="containsText" id="{348AEA1D-8CAE-4583-AFED-0EFFCFE73261}">
            <xm:f>NOT(ISERROR(SEARCH(bahan1,R837)))</xm:f>
            <xm:f>bahan1</xm:f>
            <x14:dxf>
              <fill>
                <patternFill>
                  <bgColor theme="7" tint="0.39994506668294322"/>
                </patternFill>
              </fill>
            </x14:dxf>
          </x14:cfRule>
          <x14:cfRule type="containsText" priority="92361" operator="containsText" id="{9ECC7BD9-96B0-481B-A5D9-361FBBE88783}">
            <xm:f>NOT(ISERROR(SEARCH(bahan5,R837)))</xm:f>
            <xm:f>bahan5</xm:f>
            <x14:dxf>
              <fill>
                <patternFill>
                  <bgColor rgb="FF00B0F0"/>
                </patternFill>
              </fill>
            </x14:dxf>
          </x14:cfRule>
          <xm:sqref>R837</xm:sqref>
        </x14:conditionalFormatting>
        <x14:conditionalFormatting xmlns:xm="http://schemas.microsoft.com/office/excel/2006/main">
          <x14:cfRule type="containsText" priority="92312" operator="containsText" id="{37F8C080-8CEB-4931-AC03-B6E6299EFCCD}">
            <xm:f>NOT(ISERROR(SEARCH(bahan1,R838)))</xm:f>
            <xm:f>bahan1</xm:f>
            <x14:dxf>
              <fill>
                <patternFill>
                  <bgColor theme="7" tint="0.39994506668294322"/>
                </patternFill>
              </fill>
            </x14:dxf>
          </x14:cfRule>
          <x14:cfRule type="containsText" priority="92313" operator="containsText" id="{8B4B68FF-CDDD-469C-9543-9E2BA93C940F}">
            <xm:f>NOT(ISERROR(SEARCH(bahan5,R838)))</xm:f>
            <xm:f>bahan5</xm:f>
            <x14:dxf>
              <fill>
                <patternFill>
                  <bgColor rgb="FF00B0F0"/>
                </patternFill>
              </fill>
            </x14:dxf>
          </x14:cfRule>
          <xm:sqref>R838</xm:sqref>
        </x14:conditionalFormatting>
        <x14:conditionalFormatting xmlns:xm="http://schemas.microsoft.com/office/excel/2006/main">
          <x14:cfRule type="containsText" priority="92262" operator="containsText" id="{EAEDABC4-2CF9-40B0-86E1-B1F1B6F1358A}">
            <xm:f>NOT(ISERROR(SEARCH(bahan1,R839)))</xm:f>
            <xm:f>bahan1</xm:f>
            <x14:dxf>
              <fill>
                <patternFill>
                  <bgColor theme="7" tint="0.39994506668294322"/>
                </patternFill>
              </fill>
            </x14:dxf>
          </x14:cfRule>
          <x14:cfRule type="containsText" priority="92263" operator="containsText" id="{C5BA7B4E-A223-4A93-B296-5B8F002557DD}">
            <xm:f>NOT(ISERROR(SEARCH(bahan5,R839)))</xm:f>
            <xm:f>bahan5</xm:f>
            <x14:dxf>
              <fill>
                <patternFill>
                  <bgColor rgb="FF00B0F0"/>
                </patternFill>
              </fill>
            </x14:dxf>
          </x14:cfRule>
          <xm:sqref>R839</xm:sqref>
        </x14:conditionalFormatting>
        <x14:conditionalFormatting xmlns:xm="http://schemas.microsoft.com/office/excel/2006/main">
          <x14:cfRule type="containsText" priority="92238" operator="containsText" id="{6FF8F584-8E95-465B-B3F4-B6108B1792D5}">
            <xm:f>NOT(ISERROR(SEARCH(bahan1,R840)))</xm:f>
            <xm:f>bahan1</xm:f>
            <x14:dxf>
              <fill>
                <patternFill>
                  <bgColor theme="7" tint="0.39994506668294322"/>
                </patternFill>
              </fill>
            </x14:dxf>
          </x14:cfRule>
          <x14:cfRule type="containsText" priority="92239" operator="containsText" id="{638BFA4A-D3BA-4A65-B46D-3E0DDA2CBA14}">
            <xm:f>NOT(ISERROR(SEARCH(bahan5,R840)))</xm:f>
            <xm:f>bahan5</xm:f>
            <x14:dxf>
              <fill>
                <patternFill>
                  <bgColor rgb="FF00B0F0"/>
                </patternFill>
              </fill>
            </x14:dxf>
          </x14:cfRule>
          <xm:sqref>R840</xm:sqref>
        </x14:conditionalFormatting>
        <x14:conditionalFormatting xmlns:xm="http://schemas.microsoft.com/office/excel/2006/main">
          <x14:cfRule type="containsText" priority="92237" operator="containsText" id="{FFEECF98-42A8-4032-9AE5-A4D8DD7D54D6}">
            <xm:f>NOT(ISERROR(SEARCH(kaca4,R840)))</xm:f>
            <xm:f>kaca4</xm:f>
            <x14:dxf>
              <fill>
                <patternFill>
                  <bgColor rgb="FF92D050"/>
                </patternFill>
              </fill>
            </x14:dxf>
          </x14:cfRule>
          <xm:sqref>R840:R888</xm:sqref>
        </x14:conditionalFormatting>
        <x14:conditionalFormatting xmlns:xm="http://schemas.microsoft.com/office/excel/2006/main">
          <x14:cfRule type="containsText" priority="92191" operator="containsText" id="{71BF627E-1F16-461A-9779-DEEC434E42C3}">
            <xm:f>NOT(ISERROR(SEARCH(bahan5,R841)))</xm:f>
            <xm:f>bahan5</xm:f>
            <x14:dxf>
              <fill>
                <patternFill>
                  <bgColor rgb="FF00B0F0"/>
                </patternFill>
              </fill>
            </x14:dxf>
          </x14:cfRule>
          <x14:cfRule type="containsText" priority="92190" operator="containsText" id="{A3700F0C-E3D1-4B51-AD63-B3F659ED3A55}">
            <xm:f>NOT(ISERROR(SEARCH(bahan1,R841)))</xm:f>
            <xm:f>bahan1</xm:f>
            <x14:dxf>
              <fill>
                <patternFill>
                  <bgColor theme="7" tint="0.39994506668294322"/>
                </patternFill>
              </fill>
            </x14:dxf>
          </x14:cfRule>
          <xm:sqref>R841</xm:sqref>
        </x14:conditionalFormatting>
        <x14:conditionalFormatting xmlns:xm="http://schemas.microsoft.com/office/excel/2006/main">
          <x14:cfRule type="containsText" priority="92167" operator="containsText" id="{4F968B8E-9FA8-410F-B48D-A322590AFAF6}">
            <xm:f>NOT(ISERROR(SEARCH(bahan5,R842)))</xm:f>
            <xm:f>bahan5</xm:f>
            <x14:dxf>
              <fill>
                <patternFill>
                  <bgColor rgb="FF00B0F0"/>
                </patternFill>
              </fill>
            </x14:dxf>
          </x14:cfRule>
          <x14:cfRule type="containsText" priority="92166" operator="containsText" id="{E26DA622-311D-45CA-8D9A-CDEBB4D67656}">
            <xm:f>NOT(ISERROR(SEARCH(bahan1,R842)))</xm:f>
            <xm:f>bahan1</xm:f>
            <x14:dxf>
              <fill>
                <patternFill>
                  <bgColor theme="7" tint="0.39994506668294322"/>
                </patternFill>
              </fill>
            </x14:dxf>
          </x14:cfRule>
          <xm:sqref>R842:R845</xm:sqref>
        </x14:conditionalFormatting>
        <x14:conditionalFormatting xmlns:xm="http://schemas.microsoft.com/office/excel/2006/main">
          <x14:cfRule type="containsText" priority="92095" operator="containsText" id="{1C751A0B-055C-42C8-AE21-D2E3E40056BB}">
            <xm:f>NOT(ISERROR(SEARCH(bahan5,R848)))</xm:f>
            <xm:f>bahan5</xm:f>
            <x14:dxf>
              <fill>
                <patternFill>
                  <bgColor rgb="FF00B0F0"/>
                </patternFill>
              </fill>
            </x14:dxf>
          </x14:cfRule>
          <x14:cfRule type="containsText" priority="92094" operator="containsText" id="{BE7C65DB-0487-45C1-A2BA-41780A910037}">
            <xm:f>NOT(ISERROR(SEARCH(bahan1,R848)))</xm:f>
            <xm:f>bahan1</xm:f>
            <x14:dxf>
              <fill>
                <patternFill>
                  <bgColor theme="7" tint="0.39994506668294322"/>
                </patternFill>
              </fill>
            </x14:dxf>
          </x14:cfRule>
          <xm:sqref>R848</xm:sqref>
        </x14:conditionalFormatting>
        <x14:conditionalFormatting xmlns:xm="http://schemas.microsoft.com/office/excel/2006/main">
          <x14:cfRule type="containsText" priority="92071" operator="containsText" id="{3FF9ED15-4F5B-4E85-99E8-B3DEF3D3A8B3}">
            <xm:f>NOT(ISERROR(SEARCH(bahan5,R849)))</xm:f>
            <xm:f>bahan5</xm:f>
            <x14:dxf>
              <fill>
                <patternFill>
                  <bgColor rgb="FF00B0F0"/>
                </patternFill>
              </fill>
            </x14:dxf>
          </x14:cfRule>
          <x14:cfRule type="containsText" priority="92070" operator="containsText" id="{B5A5FEB3-D219-46D6-A396-72CF2B96638A}">
            <xm:f>NOT(ISERROR(SEARCH(bahan1,R849)))</xm:f>
            <xm:f>bahan1</xm:f>
            <x14:dxf>
              <fill>
                <patternFill>
                  <bgColor theme="7" tint="0.39994506668294322"/>
                </patternFill>
              </fill>
            </x14:dxf>
          </x14:cfRule>
          <xm:sqref>R849:R852</xm:sqref>
        </x14:conditionalFormatting>
        <x14:conditionalFormatting xmlns:xm="http://schemas.microsoft.com/office/excel/2006/main">
          <x14:cfRule type="containsText" priority="92047" operator="containsText" id="{65CDB535-9AC0-47CE-8EBF-701C1EC581A4}">
            <xm:f>NOT(ISERROR(SEARCH(bahan1,R854)))</xm:f>
            <xm:f>bahan1</xm:f>
            <x14:dxf>
              <fill>
                <patternFill>
                  <bgColor theme="7" tint="0.39994506668294322"/>
                </patternFill>
              </fill>
            </x14:dxf>
          </x14:cfRule>
          <x14:cfRule type="containsText" priority="92048" operator="containsText" id="{F8C62DC4-6909-4CDE-822C-11FDA3638D25}">
            <xm:f>NOT(ISERROR(SEARCH(bahan5,R854)))</xm:f>
            <xm:f>bahan5</xm:f>
            <x14:dxf>
              <fill>
                <patternFill>
                  <bgColor rgb="FF00B0F0"/>
                </patternFill>
              </fill>
            </x14:dxf>
          </x14:cfRule>
          <xm:sqref>R854:R855</xm:sqref>
        </x14:conditionalFormatting>
        <x14:conditionalFormatting xmlns:xm="http://schemas.microsoft.com/office/excel/2006/main">
          <x14:cfRule type="containsText" priority="92018" operator="containsText" id="{29DB0103-87F3-4E4F-8CEF-BF282E108FA8}">
            <xm:f>NOT(ISERROR(SEARCH(bahan1,R856)))</xm:f>
            <xm:f>bahan1</xm:f>
            <x14:dxf>
              <fill>
                <patternFill>
                  <bgColor theme="7" tint="0.39994506668294322"/>
                </patternFill>
              </fill>
            </x14:dxf>
          </x14:cfRule>
          <x14:cfRule type="containsText" priority="92019" operator="containsText" id="{F21A7AA0-F3EA-454F-8E01-198B001CE44F}">
            <xm:f>NOT(ISERROR(SEARCH(bahan5,R856)))</xm:f>
            <xm:f>bahan5</xm:f>
            <x14:dxf>
              <fill>
                <patternFill>
                  <bgColor rgb="FF00B0F0"/>
                </patternFill>
              </fill>
            </x14:dxf>
          </x14:cfRule>
          <xm:sqref>R856:R857</xm:sqref>
        </x14:conditionalFormatting>
        <x14:conditionalFormatting xmlns:xm="http://schemas.microsoft.com/office/excel/2006/main">
          <x14:cfRule type="containsText" priority="91989" operator="containsText" id="{1470BF44-4616-4755-A984-535C5373C878}">
            <xm:f>NOT(ISERROR(SEARCH(bahan5,R860)))</xm:f>
            <xm:f>bahan5</xm:f>
            <x14:dxf>
              <fill>
                <patternFill>
                  <bgColor rgb="FF00B0F0"/>
                </patternFill>
              </fill>
            </x14:dxf>
          </x14:cfRule>
          <x14:cfRule type="containsText" priority="91988" operator="containsText" id="{30C4A381-3E0F-4094-9AA9-5436EECA354D}">
            <xm:f>NOT(ISERROR(SEARCH(bahan1,R860)))</xm:f>
            <xm:f>bahan1</xm:f>
            <x14:dxf>
              <fill>
                <patternFill>
                  <bgColor theme="7" tint="0.39994506668294322"/>
                </patternFill>
              </fill>
            </x14:dxf>
          </x14:cfRule>
          <xm:sqref>R860</xm:sqref>
        </x14:conditionalFormatting>
        <x14:conditionalFormatting xmlns:xm="http://schemas.microsoft.com/office/excel/2006/main">
          <x14:cfRule type="containsText" priority="91964" operator="containsText" id="{EA9C03B2-65C6-47C2-ACD9-FF693588133D}">
            <xm:f>NOT(ISERROR(SEARCH(bahan1,R862)))</xm:f>
            <xm:f>bahan1</xm:f>
            <x14:dxf>
              <fill>
                <patternFill>
                  <bgColor theme="7" tint="0.39994506668294322"/>
                </patternFill>
              </fill>
            </x14:dxf>
          </x14:cfRule>
          <x14:cfRule type="containsText" priority="91965" operator="containsText" id="{DE57F72D-5130-49D0-904E-D069D4C3BA4F}">
            <xm:f>NOT(ISERROR(SEARCH(bahan5,R862)))</xm:f>
            <xm:f>bahan5</xm:f>
            <x14:dxf>
              <fill>
                <patternFill>
                  <bgColor rgb="FF00B0F0"/>
                </patternFill>
              </fill>
            </x14:dxf>
          </x14:cfRule>
          <xm:sqref>R862</xm:sqref>
        </x14:conditionalFormatting>
        <x14:conditionalFormatting xmlns:xm="http://schemas.microsoft.com/office/excel/2006/main">
          <x14:cfRule type="containsText" priority="92143" operator="containsText" id="{6403A9E5-93E1-4DFC-B85A-E6DCC78C37EC}">
            <xm:f>NOT(ISERROR(SEARCH(bahan5,R865)))</xm:f>
            <xm:f>bahan5</xm:f>
            <x14:dxf>
              <fill>
                <patternFill>
                  <bgColor rgb="FF00B0F0"/>
                </patternFill>
              </fill>
            </x14:dxf>
          </x14:cfRule>
          <x14:cfRule type="containsText" priority="92142" operator="containsText" id="{3E27E6F6-8CB9-4398-88E1-0E1B0313AA1E}">
            <xm:f>NOT(ISERROR(SEARCH(bahan1,R865)))</xm:f>
            <xm:f>bahan1</xm:f>
            <x14:dxf>
              <fill>
                <patternFill>
                  <bgColor theme="7" tint="0.39994506668294322"/>
                </patternFill>
              </fill>
            </x14:dxf>
          </x14:cfRule>
          <xm:sqref>R865</xm:sqref>
        </x14:conditionalFormatting>
        <x14:conditionalFormatting xmlns:xm="http://schemas.microsoft.com/office/excel/2006/main">
          <x14:cfRule type="containsText" priority="92118" operator="containsText" id="{884E8F9A-090B-4BD4-9815-45A302A5FE35}">
            <xm:f>NOT(ISERROR(SEARCH(bahan1,R866)))</xm:f>
            <xm:f>bahan1</xm:f>
            <x14:dxf>
              <fill>
                <patternFill>
                  <bgColor theme="7" tint="0.39994506668294322"/>
                </patternFill>
              </fill>
            </x14:dxf>
          </x14:cfRule>
          <x14:cfRule type="containsText" priority="92119" operator="containsText" id="{F5F3198E-2E1C-421B-B9FD-73B4F608AD89}">
            <xm:f>NOT(ISERROR(SEARCH(bahan5,R866)))</xm:f>
            <xm:f>bahan5</xm:f>
            <x14:dxf>
              <fill>
                <patternFill>
                  <bgColor rgb="FF00B0F0"/>
                </patternFill>
              </fill>
            </x14:dxf>
          </x14:cfRule>
          <xm:sqref>R866:R872</xm:sqref>
        </x14:conditionalFormatting>
        <x14:conditionalFormatting xmlns:xm="http://schemas.microsoft.com/office/excel/2006/main">
          <x14:cfRule type="containsText" priority="91936" operator="containsText" id="{3215D357-06A6-4443-819D-2B208BB66546}">
            <xm:f>NOT(ISERROR(SEARCH(bahan5,R873)))</xm:f>
            <xm:f>bahan5</xm:f>
            <x14:dxf>
              <fill>
                <patternFill>
                  <bgColor rgb="FF00B0F0"/>
                </patternFill>
              </fill>
            </x14:dxf>
          </x14:cfRule>
          <x14:cfRule type="containsText" priority="91935" operator="containsText" id="{824836DA-CB57-47EE-84C0-8DF45B196944}">
            <xm:f>NOT(ISERROR(SEARCH(bahan1,R873)))</xm:f>
            <xm:f>bahan1</xm:f>
            <x14:dxf>
              <fill>
                <patternFill>
                  <bgColor theme="7" tint="0.39994506668294322"/>
                </patternFill>
              </fill>
            </x14:dxf>
          </x14:cfRule>
          <xm:sqref>R873</xm:sqref>
        </x14:conditionalFormatting>
        <x14:conditionalFormatting xmlns:xm="http://schemas.microsoft.com/office/excel/2006/main">
          <x14:cfRule type="containsText" priority="91913" operator="containsText" id="{2EF76B39-3396-4B4C-84FC-D760F3C29511}">
            <xm:f>NOT(ISERROR(SEARCH(bahan5,R874)))</xm:f>
            <xm:f>bahan5</xm:f>
            <x14:dxf>
              <fill>
                <patternFill>
                  <bgColor rgb="FF00B0F0"/>
                </patternFill>
              </fill>
            </x14:dxf>
          </x14:cfRule>
          <x14:cfRule type="containsText" priority="91912" operator="containsText" id="{17DE137F-F61C-402D-88A9-DD13089E0F62}">
            <xm:f>NOT(ISERROR(SEARCH(bahan1,R874)))</xm:f>
            <xm:f>bahan1</xm:f>
            <x14:dxf>
              <fill>
                <patternFill>
                  <bgColor theme="7" tint="0.39994506668294322"/>
                </patternFill>
              </fill>
            </x14:dxf>
          </x14:cfRule>
          <xm:sqref>R874</xm:sqref>
        </x14:conditionalFormatting>
        <x14:conditionalFormatting xmlns:xm="http://schemas.microsoft.com/office/excel/2006/main">
          <x14:cfRule type="containsText" priority="91886" operator="containsText" id="{F8180F7A-C3B4-4D20-8FAF-92B620140743}">
            <xm:f>NOT(ISERROR(SEARCH(bahan1,R877)))</xm:f>
            <xm:f>bahan1</xm:f>
            <x14:dxf>
              <fill>
                <patternFill>
                  <bgColor theme="7" tint="0.39994506668294322"/>
                </patternFill>
              </fill>
            </x14:dxf>
          </x14:cfRule>
          <x14:cfRule type="containsText" priority="91887" operator="containsText" id="{80D73CCF-822F-4B78-A02C-737216C81FB9}">
            <xm:f>NOT(ISERROR(SEARCH(bahan5,R877)))</xm:f>
            <xm:f>bahan5</xm:f>
            <x14:dxf>
              <fill>
                <patternFill>
                  <bgColor rgb="FF00B0F0"/>
                </patternFill>
              </fill>
            </x14:dxf>
          </x14:cfRule>
          <xm:sqref>R877</xm:sqref>
        </x14:conditionalFormatting>
        <x14:conditionalFormatting xmlns:xm="http://schemas.microsoft.com/office/excel/2006/main">
          <x14:cfRule type="containsText" priority="91862" operator="containsText" id="{66240349-E719-4439-9403-4F7FB455A1F7}">
            <xm:f>NOT(ISERROR(SEARCH(bahan1,R878)))</xm:f>
            <xm:f>bahan1</xm:f>
            <x14:dxf>
              <fill>
                <patternFill>
                  <bgColor theme="7" tint="0.39994506668294322"/>
                </patternFill>
              </fill>
            </x14:dxf>
          </x14:cfRule>
          <x14:cfRule type="containsText" priority="91863" operator="containsText" id="{DDDC587E-E650-481E-AD08-DFBF09580C79}">
            <xm:f>NOT(ISERROR(SEARCH(bahan5,R878)))</xm:f>
            <xm:f>bahan5</xm:f>
            <x14:dxf>
              <fill>
                <patternFill>
                  <bgColor rgb="FF00B0F0"/>
                </patternFill>
              </fill>
            </x14:dxf>
          </x14:cfRule>
          <xm:sqref>R878:R884</xm:sqref>
        </x14:conditionalFormatting>
        <x14:conditionalFormatting xmlns:xm="http://schemas.microsoft.com/office/excel/2006/main">
          <x14:cfRule type="containsText" priority="91839" operator="containsText" id="{1FE6B731-914E-4AC5-ACBF-3F1449640231}">
            <xm:f>NOT(ISERROR(SEARCH(bahan5,R885)))</xm:f>
            <xm:f>bahan5</xm:f>
            <x14:dxf>
              <fill>
                <patternFill>
                  <bgColor rgb="FF00B0F0"/>
                </patternFill>
              </fill>
            </x14:dxf>
          </x14:cfRule>
          <x14:cfRule type="containsText" priority="91838" operator="containsText" id="{460914E3-1D66-45CE-B600-3299DFC461C1}">
            <xm:f>NOT(ISERROR(SEARCH(bahan1,R885)))</xm:f>
            <xm:f>bahan1</xm:f>
            <x14:dxf>
              <fill>
                <patternFill>
                  <bgColor theme="7" tint="0.39994506668294322"/>
                </patternFill>
              </fill>
            </x14:dxf>
          </x14:cfRule>
          <xm:sqref>R885</xm:sqref>
        </x14:conditionalFormatting>
        <x14:conditionalFormatting xmlns:xm="http://schemas.microsoft.com/office/excel/2006/main">
          <x14:cfRule type="containsText" priority="91816" operator="containsText" id="{A20D469C-1E95-4180-8AD3-C0C5771A2CE3}">
            <xm:f>NOT(ISERROR(SEARCH(bahan5,R886)))</xm:f>
            <xm:f>bahan5</xm:f>
            <x14:dxf>
              <fill>
                <patternFill>
                  <bgColor rgb="FF00B0F0"/>
                </patternFill>
              </fill>
            </x14:dxf>
          </x14:cfRule>
          <x14:cfRule type="containsText" priority="91815" operator="containsText" id="{6BD6BCD8-312E-42BE-B7E7-AD78FF157BA2}">
            <xm:f>NOT(ISERROR(SEARCH(bahan1,R886)))</xm:f>
            <xm:f>bahan1</xm:f>
            <x14:dxf>
              <fill>
                <patternFill>
                  <bgColor theme="7" tint="0.39994506668294322"/>
                </patternFill>
              </fill>
            </x14:dxf>
          </x14:cfRule>
          <xm:sqref>R886</xm:sqref>
        </x14:conditionalFormatting>
        <x14:conditionalFormatting xmlns:xm="http://schemas.microsoft.com/office/excel/2006/main">
          <x14:cfRule type="containsText" priority="91790" operator="containsText" id="{4DF033A9-804A-4722-8274-16A2FBAED128}">
            <xm:f>NOT(ISERROR(SEARCH(bahan5,R889)))</xm:f>
            <xm:f>bahan5</xm:f>
            <x14:dxf>
              <fill>
                <patternFill>
                  <bgColor rgb="FF00B0F0"/>
                </patternFill>
              </fill>
            </x14:dxf>
          </x14:cfRule>
          <x14:cfRule type="containsText" priority="91789" operator="containsText" id="{F6DBAF27-413B-4DCF-B999-D6961D123A0B}">
            <xm:f>NOT(ISERROR(SEARCH(bahan1,R889)))</xm:f>
            <xm:f>bahan1</xm:f>
            <x14:dxf>
              <fill>
                <patternFill>
                  <bgColor theme="7" tint="0.39994506668294322"/>
                </patternFill>
              </fill>
            </x14:dxf>
          </x14:cfRule>
          <xm:sqref>R889</xm:sqref>
        </x14:conditionalFormatting>
        <x14:conditionalFormatting xmlns:xm="http://schemas.microsoft.com/office/excel/2006/main">
          <x14:cfRule type="containsText" priority="91739" operator="containsText" id="{EF203A5F-F4ED-445F-99D0-029A7353A122}">
            <xm:f>NOT(ISERROR(SEARCH(kaca4,R889)))</xm:f>
            <xm:f>kaca4</xm:f>
            <x14:dxf>
              <fill>
                <patternFill>
                  <bgColor rgb="FF92D050"/>
                </patternFill>
              </fill>
            </x14:dxf>
          </x14:cfRule>
          <xm:sqref>R889:R990</xm:sqref>
        </x14:conditionalFormatting>
        <x14:conditionalFormatting xmlns:xm="http://schemas.microsoft.com/office/excel/2006/main">
          <x14:cfRule type="containsText" priority="91741" operator="containsText" id="{F8DF0149-4ED2-404C-BDC2-A9B5577645EC}">
            <xm:f>NOT(ISERROR(SEARCH(bahan5,R890)))</xm:f>
            <xm:f>bahan5</xm:f>
            <x14:dxf>
              <fill>
                <patternFill>
                  <bgColor rgb="FF00B0F0"/>
                </patternFill>
              </fill>
            </x14:dxf>
          </x14:cfRule>
          <x14:cfRule type="containsText" priority="91740" operator="containsText" id="{E4EE2415-93B0-4842-9290-BB6B349A0F61}">
            <xm:f>NOT(ISERROR(SEARCH(bahan1,R890)))</xm:f>
            <xm:f>bahan1</xm:f>
            <x14:dxf>
              <fill>
                <patternFill>
                  <bgColor theme="7" tint="0.39994506668294322"/>
                </patternFill>
              </fill>
            </x14:dxf>
          </x14:cfRule>
          <xm:sqref>R890:R895</xm:sqref>
        </x14:conditionalFormatting>
        <x14:conditionalFormatting xmlns:xm="http://schemas.microsoft.com/office/excel/2006/main">
          <x14:cfRule type="containsText" priority="91666" operator="containsText" id="{43E68396-B398-4DDB-A228-15796EF6A422}">
            <xm:f>NOT(ISERROR(SEARCH(bahan1,R896)))</xm:f>
            <xm:f>bahan1</xm:f>
            <x14:dxf>
              <fill>
                <patternFill>
                  <bgColor theme="7" tint="0.39994506668294322"/>
                </patternFill>
              </fill>
            </x14:dxf>
          </x14:cfRule>
          <x14:cfRule type="containsText" priority="91667" operator="containsText" id="{8458BF16-1A5C-4619-A1B7-A4DD08EBD408}">
            <xm:f>NOT(ISERROR(SEARCH(bahan5,R896)))</xm:f>
            <xm:f>bahan5</xm:f>
            <x14:dxf>
              <fill>
                <patternFill>
                  <bgColor rgb="FF00B0F0"/>
                </patternFill>
              </fill>
            </x14:dxf>
          </x14:cfRule>
          <xm:sqref>R896</xm:sqref>
        </x14:conditionalFormatting>
        <x14:conditionalFormatting xmlns:xm="http://schemas.microsoft.com/office/excel/2006/main">
          <x14:cfRule type="containsText" priority="91692" operator="containsText" id="{9CC4DFCA-CB8E-4BAD-9051-B9241157DE36}">
            <xm:f>NOT(ISERROR(SEARCH(bahan1,R897)))</xm:f>
            <xm:f>bahan1</xm:f>
            <x14:dxf>
              <fill>
                <patternFill>
                  <bgColor theme="7" tint="0.39994506668294322"/>
                </patternFill>
              </fill>
            </x14:dxf>
          </x14:cfRule>
          <x14:cfRule type="containsText" priority="91693" operator="containsText" id="{9BB630ED-00D5-4BA8-9E4D-093742A45C8E}">
            <xm:f>NOT(ISERROR(SEARCH(bahan5,R897)))</xm:f>
            <xm:f>bahan5</xm:f>
            <x14:dxf>
              <fill>
                <patternFill>
                  <bgColor rgb="FF00B0F0"/>
                </patternFill>
              </fill>
            </x14:dxf>
          </x14:cfRule>
          <xm:sqref>R897</xm:sqref>
        </x14:conditionalFormatting>
        <x14:conditionalFormatting xmlns:xm="http://schemas.microsoft.com/office/excel/2006/main">
          <x14:cfRule type="containsText" priority="91643" operator="containsText" id="{C5A7739A-7570-4DD8-8A06-5ECAD7143941}">
            <xm:f>NOT(ISERROR(SEARCH(bahan5,R900)))</xm:f>
            <xm:f>bahan5</xm:f>
            <x14:dxf>
              <fill>
                <patternFill>
                  <bgColor rgb="FF00B0F0"/>
                </patternFill>
              </fill>
            </x14:dxf>
          </x14:cfRule>
          <x14:cfRule type="containsText" priority="91642" operator="containsText" id="{B555EF68-EE47-4FE9-BE72-C7A33C96F8D3}">
            <xm:f>NOT(ISERROR(SEARCH(bahan1,R900)))</xm:f>
            <xm:f>bahan1</xm:f>
            <x14:dxf>
              <fill>
                <patternFill>
                  <bgColor theme="7" tint="0.39994506668294322"/>
                </patternFill>
              </fill>
            </x14:dxf>
          </x14:cfRule>
          <xm:sqref>R900</xm:sqref>
        </x14:conditionalFormatting>
        <x14:conditionalFormatting xmlns:xm="http://schemas.microsoft.com/office/excel/2006/main">
          <x14:cfRule type="containsText" priority="91617" operator="containsText" id="{928284A6-A71F-4775-8747-475BB8593473}">
            <xm:f>NOT(ISERROR(SEARCH(bahan1,R901)))</xm:f>
            <xm:f>bahan1</xm:f>
            <x14:dxf>
              <fill>
                <patternFill>
                  <bgColor theme="7" tint="0.39994506668294322"/>
                </patternFill>
              </fill>
            </x14:dxf>
          </x14:cfRule>
          <x14:cfRule type="containsText" priority="91618" operator="containsText" id="{844CB9B2-1B56-4BDF-B175-63B7F84945E5}">
            <xm:f>NOT(ISERROR(SEARCH(bahan5,R901)))</xm:f>
            <xm:f>bahan5</xm:f>
            <x14:dxf>
              <fill>
                <patternFill>
                  <bgColor rgb="FF00B0F0"/>
                </patternFill>
              </fill>
            </x14:dxf>
          </x14:cfRule>
          <xm:sqref>R901:R906</xm:sqref>
        </x14:conditionalFormatting>
        <x14:conditionalFormatting xmlns:xm="http://schemas.microsoft.com/office/excel/2006/main">
          <x14:cfRule type="containsText" priority="91568" operator="containsText" id="{C87325A3-79D4-47A3-8165-7C7F20144569}">
            <xm:f>NOT(ISERROR(SEARCH(bahan1,R907)))</xm:f>
            <xm:f>bahan1</xm:f>
            <x14:dxf>
              <fill>
                <patternFill>
                  <bgColor theme="7" tint="0.39994506668294322"/>
                </patternFill>
              </fill>
            </x14:dxf>
          </x14:cfRule>
          <x14:cfRule type="containsText" priority="91569" operator="containsText" id="{24E22C4B-82AE-4852-B1AD-32E244835E16}">
            <xm:f>NOT(ISERROR(SEARCH(bahan5,R907)))</xm:f>
            <xm:f>bahan5</xm:f>
            <x14:dxf>
              <fill>
                <patternFill>
                  <bgColor rgb="FF00B0F0"/>
                </patternFill>
              </fill>
            </x14:dxf>
          </x14:cfRule>
          <xm:sqref>R907</xm:sqref>
        </x14:conditionalFormatting>
        <x14:conditionalFormatting xmlns:xm="http://schemas.microsoft.com/office/excel/2006/main">
          <x14:cfRule type="containsText" priority="91595" operator="containsText" id="{702F8430-4A14-4BBB-B389-5E63437532FD}">
            <xm:f>NOT(ISERROR(SEARCH(bahan5,R908)))</xm:f>
            <xm:f>bahan5</xm:f>
            <x14:dxf>
              <fill>
                <patternFill>
                  <bgColor rgb="FF00B0F0"/>
                </patternFill>
              </fill>
            </x14:dxf>
          </x14:cfRule>
          <x14:cfRule type="containsText" priority="91594" operator="containsText" id="{CE9951E4-623C-409F-9A83-F8C8E6C52D29}">
            <xm:f>NOT(ISERROR(SEARCH(bahan1,R908)))</xm:f>
            <xm:f>bahan1</xm:f>
            <x14:dxf>
              <fill>
                <patternFill>
                  <bgColor theme="7" tint="0.39994506668294322"/>
                </patternFill>
              </fill>
            </x14:dxf>
          </x14:cfRule>
          <xm:sqref>R908</xm:sqref>
        </x14:conditionalFormatting>
        <x14:conditionalFormatting xmlns:xm="http://schemas.microsoft.com/office/excel/2006/main">
          <x14:cfRule type="containsText" priority="91544" operator="containsText" id="{F677876A-6208-4379-A230-38D6FF58B7E3}">
            <xm:f>NOT(ISERROR(SEARCH(bahan1,R912)))</xm:f>
            <xm:f>bahan1</xm:f>
            <x14:dxf>
              <fill>
                <patternFill>
                  <bgColor theme="7" tint="0.39994506668294322"/>
                </patternFill>
              </fill>
            </x14:dxf>
          </x14:cfRule>
          <x14:cfRule type="containsText" priority="91545" operator="containsText" id="{74B9341F-F608-4EC1-91A1-734D530D628E}">
            <xm:f>NOT(ISERROR(SEARCH(bahan5,R912)))</xm:f>
            <xm:f>bahan5</xm:f>
            <x14:dxf>
              <fill>
                <patternFill>
                  <bgColor rgb="FF00B0F0"/>
                </patternFill>
              </fill>
            </x14:dxf>
          </x14:cfRule>
          <xm:sqref>R912</xm:sqref>
        </x14:conditionalFormatting>
        <x14:conditionalFormatting xmlns:xm="http://schemas.microsoft.com/office/excel/2006/main">
          <x14:cfRule type="containsText" priority="91521" operator="containsText" id="{A7ACC18A-ED80-4638-A7C5-9EF94FBF49C9}">
            <xm:f>NOT(ISERROR(SEARCH(bahan5,R913)))</xm:f>
            <xm:f>bahan5</xm:f>
            <x14:dxf>
              <fill>
                <patternFill>
                  <bgColor rgb="FF00B0F0"/>
                </patternFill>
              </fill>
            </x14:dxf>
          </x14:cfRule>
          <x14:cfRule type="containsText" priority="91520" operator="containsText" id="{76EED513-B394-4AD3-88D9-CDA3E1CF9159}">
            <xm:f>NOT(ISERROR(SEARCH(bahan1,R913)))</xm:f>
            <xm:f>bahan1</xm:f>
            <x14:dxf>
              <fill>
                <patternFill>
                  <bgColor theme="7" tint="0.39994506668294322"/>
                </patternFill>
              </fill>
            </x14:dxf>
          </x14:cfRule>
          <xm:sqref>R913:R916</xm:sqref>
        </x14:conditionalFormatting>
        <x14:conditionalFormatting xmlns:xm="http://schemas.microsoft.com/office/excel/2006/main">
          <x14:cfRule type="containsText" priority="91496" operator="containsText" id="{9C7C0C3A-89F7-48C9-A6AA-0692BF9A0DD1}">
            <xm:f>NOT(ISERROR(SEARCH(bahan1,R918)))</xm:f>
            <xm:f>bahan1</xm:f>
            <x14:dxf>
              <fill>
                <patternFill>
                  <bgColor theme="7" tint="0.39994506668294322"/>
                </patternFill>
              </fill>
            </x14:dxf>
          </x14:cfRule>
          <x14:cfRule type="containsText" priority="91497" operator="containsText" id="{CBD2C025-5394-4AD1-9466-18A45095A8D4}">
            <xm:f>NOT(ISERROR(SEARCH(bahan5,R918)))</xm:f>
            <xm:f>bahan5</xm:f>
            <x14:dxf>
              <fill>
                <patternFill>
                  <bgColor rgb="FF00B0F0"/>
                </patternFill>
              </fill>
            </x14:dxf>
          </x14:cfRule>
          <xm:sqref>R918</xm:sqref>
        </x14:conditionalFormatting>
        <x14:conditionalFormatting xmlns:xm="http://schemas.microsoft.com/office/excel/2006/main">
          <x14:cfRule type="containsText" priority="91473" operator="containsText" id="{299FA3D2-F4DE-4CB9-8402-42A3116DF082}">
            <xm:f>NOT(ISERROR(SEARCH(bahan5,R919)))</xm:f>
            <xm:f>bahan5</xm:f>
            <x14:dxf>
              <fill>
                <patternFill>
                  <bgColor rgb="FF00B0F0"/>
                </patternFill>
              </fill>
            </x14:dxf>
          </x14:cfRule>
          <x14:cfRule type="containsText" priority="91472" operator="containsText" id="{91A9A7F4-6592-49B5-A2F9-A113C5F91C58}">
            <xm:f>NOT(ISERROR(SEARCH(bahan1,R919)))</xm:f>
            <xm:f>bahan1</xm:f>
            <x14:dxf>
              <fill>
                <patternFill>
                  <bgColor theme="7" tint="0.39994506668294322"/>
                </patternFill>
              </fill>
            </x14:dxf>
          </x14:cfRule>
          <xm:sqref>R919:R922</xm:sqref>
        </x14:conditionalFormatting>
        <x14:conditionalFormatting xmlns:xm="http://schemas.microsoft.com/office/excel/2006/main">
          <x14:cfRule type="containsText" priority="91448" operator="containsText" id="{4ABACADC-9ABC-43B2-ACF0-AFCB46B4E3E5}">
            <xm:f>NOT(ISERROR(SEARCH(bahan1,R925)))</xm:f>
            <xm:f>bahan1</xm:f>
            <x14:dxf>
              <fill>
                <patternFill>
                  <bgColor theme="7" tint="0.39994506668294322"/>
                </patternFill>
              </fill>
            </x14:dxf>
          </x14:cfRule>
          <x14:cfRule type="containsText" priority="91449" operator="containsText" id="{2B9959D6-C878-4043-800B-CA48B99E39FC}">
            <xm:f>NOT(ISERROR(SEARCH(bahan5,R925)))</xm:f>
            <xm:f>bahan5</xm:f>
            <x14:dxf>
              <fill>
                <patternFill>
                  <bgColor rgb="FF00B0F0"/>
                </patternFill>
              </fill>
            </x14:dxf>
          </x14:cfRule>
          <xm:sqref>R925</xm:sqref>
        </x14:conditionalFormatting>
        <x14:conditionalFormatting xmlns:xm="http://schemas.microsoft.com/office/excel/2006/main">
          <x14:cfRule type="containsText" priority="91424" operator="containsText" id="{0B0829E8-C8B4-4D2B-986D-D68EF6C639FD}">
            <xm:f>NOT(ISERROR(SEARCH(bahan1,R926)))</xm:f>
            <xm:f>bahan1</xm:f>
            <x14:dxf>
              <fill>
                <patternFill>
                  <bgColor theme="7" tint="0.39994506668294322"/>
                </patternFill>
              </fill>
            </x14:dxf>
          </x14:cfRule>
          <x14:cfRule type="containsText" priority="91425" operator="containsText" id="{8FF69197-AD43-4742-BD50-0B63B16EAB36}">
            <xm:f>NOT(ISERROR(SEARCH(bahan5,R926)))</xm:f>
            <xm:f>bahan5</xm:f>
            <x14:dxf>
              <fill>
                <patternFill>
                  <bgColor rgb="FF00B0F0"/>
                </patternFill>
              </fill>
            </x14:dxf>
          </x14:cfRule>
          <xm:sqref>R926:R931</xm:sqref>
        </x14:conditionalFormatting>
        <x14:conditionalFormatting xmlns:xm="http://schemas.microsoft.com/office/excel/2006/main">
          <x14:cfRule type="containsText" priority="91400" operator="containsText" id="{A504D30D-F0D1-4D9D-B7F7-0650DC752534}">
            <xm:f>NOT(ISERROR(SEARCH(bahan1,R934)))</xm:f>
            <xm:f>bahan1</xm:f>
            <x14:dxf>
              <fill>
                <patternFill>
                  <bgColor theme="7" tint="0.39994506668294322"/>
                </patternFill>
              </fill>
            </x14:dxf>
          </x14:cfRule>
          <x14:cfRule type="containsText" priority="91401" operator="containsText" id="{629EC046-7C5E-4961-A15F-BFA5005B67E2}">
            <xm:f>NOT(ISERROR(SEARCH(bahan5,R934)))</xm:f>
            <xm:f>bahan5</xm:f>
            <x14:dxf>
              <fill>
                <patternFill>
                  <bgColor rgb="FF00B0F0"/>
                </patternFill>
              </fill>
            </x14:dxf>
          </x14:cfRule>
          <xm:sqref>R934</xm:sqref>
        </x14:conditionalFormatting>
        <x14:conditionalFormatting xmlns:xm="http://schemas.microsoft.com/office/excel/2006/main">
          <x14:cfRule type="containsText" priority="91377" operator="containsText" id="{8640C8F5-F027-41BA-88F2-9409659383D4}">
            <xm:f>NOT(ISERROR(SEARCH(bahan5,R935)))</xm:f>
            <xm:f>bahan5</xm:f>
            <x14:dxf>
              <fill>
                <patternFill>
                  <bgColor rgb="FF00B0F0"/>
                </patternFill>
              </fill>
            </x14:dxf>
          </x14:cfRule>
          <x14:cfRule type="containsText" priority="91376" operator="containsText" id="{2D046EEF-68AB-435A-B539-B450F2D90A67}">
            <xm:f>NOT(ISERROR(SEARCH(bahan1,R935)))</xm:f>
            <xm:f>bahan1</xm:f>
            <x14:dxf>
              <fill>
                <patternFill>
                  <bgColor theme="7" tint="0.39994506668294322"/>
                </patternFill>
              </fill>
            </x14:dxf>
          </x14:cfRule>
          <xm:sqref>R935:R949</xm:sqref>
        </x14:conditionalFormatting>
        <x14:conditionalFormatting xmlns:xm="http://schemas.microsoft.com/office/excel/2006/main">
          <x14:cfRule type="containsText" priority="91352" operator="containsText" id="{945FB653-F4E6-422E-B1B6-8A8611F6BA34}">
            <xm:f>NOT(ISERROR(SEARCH(bahan1,R952)))</xm:f>
            <xm:f>bahan1</xm:f>
            <x14:dxf>
              <fill>
                <patternFill>
                  <bgColor theme="7" tint="0.39994506668294322"/>
                </patternFill>
              </fill>
            </x14:dxf>
          </x14:cfRule>
          <x14:cfRule type="containsText" priority="91353" operator="containsText" id="{17400F98-D5AE-46BB-A69C-40A6AA8EF1BE}">
            <xm:f>NOT(ISERROR(SEARCH(bahan5,R952)))</xm:f>
            <xm:f>bahan5</xm:f>
            <x14:dxf>
              <fill>
                <patternFill>
                  <bgColor rgb="FF00B0F0"/>
                </patternFill>
              </fill>
            </x14:dxf>
          </x14:cfRule>
          <xm:sqref>R952</xm:sqref>
        </x14:conditionalFormatting>
        <x14:conditionalFormatting xmlns:xm="http://schemas.microsoft.com/office/excel/2006/main">
          <x14:cfRule type="containsText" priority="91328" operator="containsText" id="{DCADDD50-B6AC-4D8C-AE6B-3B0FC00717A6}">
            <xm:f>NOT(ISERROR(SEARCH(bahan1,R954)))</xm:f>
            <xm:f>bahan1</xm:f>
            <x14:dxf>
              <fill>
                <patternFill>
                  <bgColor theme="7" tint="0.39994506668294322"/>
                </patternFill>
              </fill>
            </x14:dxf>
          </x14:cfRule>
          <x14:cfRule type="containsText" priority="91329" operator="containsText" id="{11C02B52-322C-4EB2-B92A-8B5C18F1143E}">
            <xm:f>NOT(ISERROR(SEARCH(bahan5,R954)))</xm:f>
            <xm:f>bahan5</xm:f>
            <x14:dxf>
              <fill>
                <patternFill>
                  <bgColor rgb="FF00B0F0"/>
                </patternFill>
              </fill>
            </x14:dxf>
          </x14:cfRule>
          <xm:sqref>R954:R955</xm:sqref>
        </x14:conditionalFormatting>
        <x14:conditionalFormatting xmlns:xm="http://schemas.microsoft.com/office/excel/2006/main">
          <x14:cfRule type="containsText" priority="91305" operator="containsText" id="{B095962A-7BA4-4858-852C-0D0B58AEF8AC}">
            <xm:f>NOT(ISERROR(SEARCH(bahan5,R957)))</xm:f>
            <xm:f>bahan5</xm:f>
            <x14:dxf>
              <fill>
                <patternFill>
                  <bgColor rgb="FF00B0F0"/>
                </patternFill>
              </fill>
            </x14:dxf>
          </x14:cfRule>
          <x14:cfRule type="containsText" priority="91304" operator="containsText" id="{D19B3CFA-85A6-44B0-AF27-C3207B01C9DB}">
            <xm:f>NOT(ISERROR(SEARCH(bahan1,R957)))</xm:f>
            <xm:f>bahan1</xm:f>
            <x14:dxf>
              <fill>
                <patternFill>
                  <bgColor theme="7" tint="0.39994506668294322"/>
                </patternFill>
              </fill>
            </x14:dxf>
          </x14:cfRule>
          <xm:sqref>R957</xm:sqref>
        </x14:conditionalFormatting>
        <x14:conditionalFormatting xmlns:xm="http://schemas.microsoft.com/office/excel/2006/main">
          <x14:cfRule type="containsText" priority="91280" operator="containsText" id="{28073991-7FA3-46CE-BBF3-DBA231E8E1F0}">
            <xm:f>NOT(ISERROR(SEARCH(bahan1,R959)))</xm:f>
            <xm:f>bahan1</xm:f>
            <x14:dxf>
              <fill>
                <patternFill>
                  <bgColor theme="7" tint="0.39994506668294322"/>
                </patternFill>
              </fill>
            </x14:dxf>
          </x14:cfRule>
          <x14:cfRule type="containsText" priority="91281" operator="containsText" id="{BFC558C5-31A9-4968-9B1C-10C566E74427}">
            <xm:f>NOT(ISERROR(SEARCH(bahan5,R959)))</xm:f>
            <xm:f>bahan5</xm:f>
            <x14:dxf>
              <fill>
                <patternFill>
                  <bgColor rgb="FF00B0F0"/>
                </patternFill>
              </fill>
            </x14:dxf>
          </x14:cfRule>
          <xm:sqref>R959:R961</xm:sqref>
        </x14:conditionalFormatting>
        <x14:conditionalFormatting xmlns:xm="http://schemas.microsoft.com/office/excel/2006/main">
          <x14:cfRule type="containsText" priority="91256" operator="containsText" id="{EEDCA0D7-BB1F-4EFA-A843-8571F7205333}">
            <xm:f>NOT(ISERROR(SEARCH(bahan1,R964)))</xm:f>
            <xm:f>bahan1</xm:f>
            <x14:dxf>
              <fill>
                <patternFill>
                  <bgColor theme="7" tint="0.39994506668294322"/>
                </patternFill>
              </fill>
            </x14:dxf>
          </x14:cfRule>
          <x14:cfRule type="containsText" priority="91257" operator="containsText" id="{28BF402F-3943-4F23-B72B-F423D8FB4A81}">
            <xm:f>NOT(ISERROR(SEARCH(bahan5,R964)))</xm:f>
            <xm:f>bahan5</xm:f>
            <x14:dxf>
              <fill>
                <patternFill>
                  <bgColor rgb="FF00B0F0"/>
                </patternFill>
              </fill>
            </x14:dxf>
          </x14:cfRule>
          <xm:sqref>R964</xm:sqref>
        </x14:conditionalFormatting>
        <x14:conditionalFormatting xmlns:xm="http://schemas.microsoft.com/office/excel/2006/main">
          <x14:cfRule type="containsText" priority="91233" operator="containsText" id="{6B0EF975-AC78-48C1-A06F-9E722CE32180}">
            <xm:f>NOT(ISERROR(SEARCH(bahan5,R965)))</xm:f>
            <xm:f>bahan5</xm:f>
            <x14:dxf>
              <fill>
                <patternFill>
                  <bgColor rgb="FF00B0F0"/>
                </patternFill>
              </fill>
            </x14:dxf>
          </x14:cfRule>
          <x14:cfRule type="containsText" priority="91232" operator="containsText" id="{17B31D41-56D6-48A1-8820-FE6B610C38EF}">
            <xm:f>NOT(ISERROR(SEARCH(bahan1,R965)))</xm:f>
            <xm:f>bahan1</xm:f>
            <x14:dxf>
              <fill>
                <patternFill>
                  <bgColor theme="7" tint="0.39994506668294322"/>
                </patternFill>
              </fill>
            </x14:dxf>
          </x14:cfRule>
          <xm:sqref>R965:R974</xm:sqref>
        </x14:conditionalFormatting>
        <x14:conditionalFormatting xmlns:xm="http://schemas.microsoft.com/office/excel/2006/main">
          <x14:cfRule type="containsText" priority="91209" operator="containsText" id="{23EB972B-B6D3-449C-BC64-4564262A563E}">
            <xm:f>NOT(ISERROR(SEARCH(bahan5,R977)))</xm:f>
            <xm:f>bahan5</xm:f>
            <x14:dxf>
              <fill>
                <patternFill>
                  <bgColor rgb="FF00B0F0"/>
                </patternFill>
              </fill>
            </x14:dxf>
          </x14:cfRule>
          <x14:cfRule type="containsText" priority="91208" operator="containsText" id="{462794A0-30A9-4E8E-8764-084F632E09B9}">
            <xm:f>NOT(ISERROR(SEARCH(bahan1,R977)))</xm:f>
            <xm:f>bahan1</xm:f>
            <x14:dxf>
              <fill>
                <patternFill>
                  <bgColor theme="7" tint="0.39994506668294322"/>
                </patternFill>
              </fill>
            </x14:dxf>
          </x14:cfRule>
          <xm:sqref>R977</xm:sqref>
        </x14:conditionalFormatting>
        <x14:conditionalFormatting xmlns:xm="http://schemas.microsoft.com/office/excel/2006/main">
          <x14:cfRule type="containsText" priority="91184" operator="containsText" id="{580BB164-C6B1-4687-BBA1-3F77716E7B61}">
            <xm:f>NOT(ISERROR(SEARCH(bahan1,R978)))</xm:f>
            <xm:f>bahan1</xm:f>
            <x14:dxf>
              <fill>
                <patternFill>
                  <bgColor theme="7" tint="0.39994506668294322"/>
                </patternFill>
              </fill>
            </x14:dxf>
          </x14:cfRule>
          <x14:cfRule type="containsText" priority="91185" operator="containsText" id="{A3AC310A-09BC-4B24-B737-C1EF7F9923EA}">
            <xm:f>NOT(ISERROR(SEARCH(bahan5,R978)))</xm:f>
            <xm:f>bahan5</xm:f>
            <x14:dxf>
              <fill>
                <patternFill>
                  <bgColor rgb="FF00B0F0"/>
                </patternFill>
              </fill>
            </x14:dxf>
          </x14:cfRule>
          <xm:sqref>R978:R982 R984:R988</xm:sqref>
        </x14:conditionalFormatting>
        <x14:conditionalFormatting xmlns:xm="http://schemas.microsoft.com/office/excel/2006/main">
          <x14:cfRule type="containsText" priority="91161" operator="containsText" id="{FBC7D1F4-A3F6-4937-A7A8-086293D854DF}">
            <xm:f>NOT(ISERROR(SEARCH(bahan5,R983)))</xm:f>
            <xm:f>bahan5</xm:f>
            <x14:dxf>
              <fill>
                <patternFill>
                  <bgColor rgb="FF00B0F0"/>
                </patternFill>
              </fill>
            </x14:dxf>
          </x14:cfRule>
          <x14:cfRule type="containsText" priority="91160" operator="containsText" id="{3B81AC7B-12C5-4AA5-BCE8-93825D7B4239}">
            <xm:f>NOT(ISERROR(SEARCH(bahan1,R983)))</xm:f>
            <xm:f>bahan1</xm:f>
            <x14:dxf>
              <fill>
                <patternFill>
                  <bgColor theme="7" tint="0.39994506668294322"/>
                </patternFill>
              </fill>
            </x14:dxf>
          </x14:cfRule>
          <xm:sqref>R983</xm:sqref>
        </x14:conditionalFormatting>
        <x14:conditionalFormatting xmlns:xm="http://schemas.microsoft.com/office/excel/2006/main">
          <x14:cfRule type="containsText" priority="91136" operator="containsText" id="{C552DADB-58E9-418E-80FA-355E013DF14D}">
            <xm:f>NOT(ISERROR(SEARCH(bahan1,R991)))</xm:f>
            <xm:f>bahan1</xm:f>
            <x14:dxf>
              <fill>
                <patternFill>
                  <bgColor theme="7" tint="0.39994506668294322"/>
                </patternFill>
              </fill>
            </x14:dxf>
          </x14:cfRule>
          <x14:cfRule type="containsText" priority="91137" operator="containsText" id="{23FCC9DB-6769-48E8-ADB4-E2DC47341915}">
            <xm:f>NOT(ISERROR(SEARCH(bahan5,R991)))</xm:f>
            <xm:f>bahan5</xm:f>
            <x14:dxf>
              <fill>
                <patternFill>
                  <bgColor rgb="FF00B0F0"/>
                </patternFill>
              </fill>
            </x14:dxf>
          </x14:cfRule>
          <xm:sqref>R991</xm:sqref>
        </x14:conditionalFormatting>
        <x14:conditionalFormatting xmlns:xm="http://schemas.microsoft.com/office/excel/2006/main">
          <x14:cfRule type="containsText" priority="91135" operator="containsText" id="{9DC4117D-7FD8-4165-AA50-33E76E8A8BC6}">
            <xm:f>NOT(ISERROR(SEARCH(kaca4,R991)))</xm:f>
            <xm:f>kaca4</xm:f>
            <x14:dxf>
              <fill>
                <patternFill>
                  <bgColor rgb="FF92D050"/>
                </patternFill>
              </fill>
            </x14:dxf>
          </x14:cfRule>
          <xm:sqref>R991:R998</xm:sqref>
        </x14:conditionalFormatting>
        <x14:conditionalFormatting xmlns:xm="http://schemas.microsoft.com/office/excel/2006/main">
          <x14:cfRule type="containsText" priority="91041" operator="containsText" id="{2AF92EB7-4DE1-451C-9499-A9213C8B61F7}">
            <xm:f>NOT(ISERROR(SEARCH(bahan5,R992)))</xm:f>
            <xm:f>bahan5</xm:f>
            <x14:dxf>
              <fill>
                <patternFill>
                  <bgColor rgb="FF00B0F0"/>
                </patternFill>
              </fill>
            </x14:dxf>
          </x14:cfRule>
          <x14:cfRule type="containsText" priority="91040" operator="containsText" id="{C47867FD-F5D0-4C61-92A3-4BF8D3A58F0E}">
            <xm:f>NOT(ISERROR(SEARCH(bahan1,R992)))</xm:f>
            <xm:f>bahan1</xm:f>
            <x14:dxf>
              <fill>
                <patternFill>
                  <bgColor theme="7" tint="0.39994506668294322"/>
                </patternFill>
              </fill>
            </x14:dxf>
          </x14:cfRule>
          <xm:sqref>R992:R996</xm:sqref>
        </x14:conditionalFormatting>
        <x14:conditionalFormatting xmlns:xm="http://schemas.microsoft.com/office/excel/2006/main">
          <x14:cfRule type="containsText" priority="90798" operator="containsText" id="{D907631D-ABB1-4E7F-A62B-10A0C76D5AF7}">
            <xm:f>NOT(ISERROR(SEARCH(bahan1,R997)))</xm:f>
            <xm:f>bahan1</xm:f>
            <x14:dxf>
              <fill>
                <patternFill>
                  <bgColor theme="7" tint="0.39994506668294322"/>
                </patternFill>
              </fill>
            </x14:dxf>
          </x14:cfRule>
          <x14:cfRule type="containsText" priority="90799" operator="containsText" id="{E59ECC9F-0D5D-44CD-BAB4-2A9122F69874}">
            <xm:f>NOT(ISERROR(SEARCH(bahan5,R997)))</xm:f>
            <xm:f>bahan5</xm:f>
            <x14:dxf>
              <fill>
                <patternFill>
                  <bgColor rgb="FF00B0F0"/>
                </patternFill>
              </fill>
            </x14:dxf>
          </x14:cfRule>
          <xm:sqref>R997:R998</xm:sqref>
        </x14:conditionalFormatting>
        <x14:conditionalFormatting xmlns:xm="http://schemas.microsoft.com/office/excel/2006/main">
          <x14:cfRule type="containsText" priority="90847" operator="containsText" id="{A4C24EB2-3A94-4050-9A1C-4B9205B1B06E}">
            <xm:f>NOT(ISERROR(SEARCH(bahan1,R999)))</xm:f>
            <xm:f>bahan1</xm:f>
            <x14:dxf>
              <fill>
                <patternFill>
                  <bgColor theme="7" tint="0.39994506668294322"/>
                </patternFill>
              </fill>
            </x14:dxf>
          </x14:cfRule>
          <x14:cfRule type="containsText" priority="90848" operator="containsText" id="{2204F981-5B8D-4963-A5FA-55D6F149734A}">
            <xm:f>NOT(ISERROR(SEARCH(bahan5,R999)))</xm:f>
            <xm:f>bahan5</xm:f>
            <x14:dxf>
              <fill>
                <patternFill>
                  <bgColor rgb="FF00B0F0"/>
                </patternFill>
              </fill>
            </x14:dxf>
          </x14:cfRule>
          <xm:sqref>R999:R1001</xm:sqref>
        </x14:conditionalFormatting>
        <x14:conditionalFormatting xmlns:xm="http://schemas.microsoft.com/office/excel/2006/main">
          <x14:cfRule type="containsText" priority="90846" operator="containsText" id="{C7708DFA-BCEF-4310-9883-3D152F28A7B9}">
            <xm:f>NOT(ISERROR(SEARCH(kaca4,R999)))</xm:f>
            <xm:f>kaca4</xm:f>
            <x14:dxf>
              <fill>
                <patternFill>
                  <bgColor rgb="FF92D050"/>
                </patternFill>
              </fill>
            </x14:dxf>
          </x14:cfRule>
          <xm:sqref>R999:R1006</xm:sqref>
        </x14:conditionalFormatting>
        <x14:conditionalFormatting xmlns:xm="http://schemas.microsoft.com/office/excel/2006/main">
          <x14:cfRule type="containsText" priority="91017" operator="containsText" id="{F4E83FD6-C582-40B7-BFF3-62FFBA2572E0}">
            <xm:f>NOT(ISERROR(SEARCH(bahan5,R1002)))</xm:f>
            <xm:f>bahan5</xm:f>
            <x14:dxf>
              <fill>
                <patternFill>
                  <bgColor rgb="FF00B0F0"/>
                </patternFill>
              </fill>
            </x14:dxf>
          </x14:cfRule>
          <x14:cfRule type="containsText" priority="91016" operator="containsText" id="{62AF4FC1-8F1D-414B-B306-D69746E066A2}">
            <xm:f>NOT(ISERROR(SEARCH(bahan1,R1002)))</xm:f>
            <xm:f>bahan1</xm:f>
            <x14:dxf>
              <fill>
                <patternFill>
                  <bgColor theme="7" tint="0.39994506668294322"/>
                </patternFill>
              </fill>
            </x14:dxf>
          </x14:cfRule>
          <xm:sqref>R1002:R1006</xm:sqref>
        </x14:conditionalFormatting>
        <x14:conditionalFormatting xmlns:xm="http://schemas.microsoft.com/office/excel/2006/main">
          <x14:cfRule type="containsText" priority="91089" operator="containsText" id="{5CA3940D-F3F1-47CB-ABC8-EE3AE37FA92E}">
            <xm:f>NOT(ISERROR(SEARCH(bahan5,R1007)))</xm:f>
            <xm:f>bahan5</xm:f>
            <x14:dxf>
              <fill>
                <patternFill>
                  <bgColor rgb="FF00B0F0"/>
                </patternFill>
              </fill>
            </x14:dxf>
          </x14:cfRule>
          <x14:cfRule type="containsText" priority="91088" operator="containsText" id="{59470502-0A62-428D-A3D2-F004F4DA5FBA}">
            <xm:f>NOT(ISERROR(SEARCH(bahan1,R1007)))</xm:f>
            <xm:f>bahan1</xm:f>
            <x14:dxf>
              <fill>
                <patternFill>
                  <bgColor theme="7" tint="0.39994506668294322"/>
                </patternFill>
              </fill>
            </x14:dxf>
          </x14:cfRule>
          <xm:sqref>R1007</xm:sqref>
        </x14:conditionalFormatting>
        <x14:conditionalFormatting xmlns:xm="http://schemas.microsoft.com/office/excel/2006/main">
          <x14:cfRule type="containsText" priority="139132" operator="containsText" id="{32DCEAEA-02FD-4F7A-8D24-D69F64151241}">
            <xm:f>NOT(ISERROR(SEARCH(kaca4,R1007)))</xm:f>
            <xm:f>kaca4</xm:f>
            <x14:dxf>
              <fill>
                <patternFill>
                  <bgColor rgb="FF92D050"/>
                </patternFill>
              </fill>
            </x14:dxf>
          </x14:cfRule>
          <xm:sqref>R1007:R1010</xm:sqref>
        </x14:conditionalFormatting>
        <x14:conditionalFormatting xmlns:xm="http://schemas.microsoft.com/office/excel/2006/main">
          <x14:cfRule type="containsText" priority="90822" operator="containsText" id="{00339481-E4B6-4C7F-85C4-501586D6DD25}">
            <xm:f>NOT(ISERROR(SEARCH(bahan1,R1008)))</xm:f>
            <xm:f>bahan1</xm:f>
            <x14:dxf>
              <fill>
                <patternFill>
                  <bgColor theme="7" tint="0.39994506668294322"/>
                </patternFill>
              </fill>
            </x14:dxf>
          </x14:cfRule>
          <x14:cfRule type="containsText" priority="90823" operator="containsText" id="{2AE40212-E7DA-412A-A9DF-4280175E83F7}">
            <xm:f>NOT(ISERROR(SEARCH(bahan5,R1008)))</xm:f>
            <xm:f>bahan5</xm:f>
            <x14:dxf>
              <fill>
                <patternFill>
                  <bgColor rgb="FF00B0F0"/>
                </patternFill>
              </fill>
            </x14:dxf>
          </x14:cfRule>
          <xm:sqref>R1008:R1010</xm:sqref>
        </x14:conditionalFormatting>
        <x14:conditionalFormatting xmlns:xm="http://schemas.microsoft.com/office/excel/2006/main">
          <x14:cfRule type="containsText" priority="90969" operator="containsText" id="{DE95FC71-65B0-4C18-8D30-6BA8B91BC0D8}">
            <xm:f>NOT(ISERROR(SEARCH(bahan5,R1011)))</xm:f>
            <xm:f>bahan5</xm:f>
            <x14:dxf>
              <fill>
                <patternFill>
                  <bgColor rgb="FF00B0F0"/>
                </patternFill>
              </fill>
            </x14:dxf>
          </x14:cfRule>
          <x14:cfRule type="containsText" priority="90968" operator="containsText" id="{D5292A8E-35AE-4077-9CAF-D6264DB25654}">
            <xm:f>NOT(ISERROR(SEARCH(bahan1,R1011)))</xm:f>
            <xm:f>bahan1</xm:f>
            <x14:dxf>
              <fill>
                <patternFill>
                  <bgColor theme="7" tint="0.39994506668294322"/>
                </patternFill>
              </fill>
            </x14:dxf>
          </x14:cfRule>
          <x14:cfRule type="containsText" priority="90967" operator="containsText" id="{49AB1208-A95C-4DF4-9D17-FD8872AF7AD6}">
            <xm:f>NOT(ISERROR(SEARCH(kaca4,R1011)))</xm:f>
            <xm:f>kaca4</xm:f>
            <x14:dxf>
              <fill>
                <patternFill>
                  <bgColor rgb="FF92D050"/>
                </patternFill>
              </fill>
            </x14:dxf>
          </x14:cfRule>
          <xm:sqref>R1011:R1015</xm:sqref>
        </x14:conditionalFormatting>
        <x14:conditionalFormatting xmlns:xm="http://schemas.microsoft.com/office/excel/2006/main">
          <x14:cfRule type="containsText" priority="90921" operator="containsText" id="{0314B999-FF41-4CCA-A828-28E65AE6194D}">
            <xm:f>NOT(ISERROR(SEARCH(bahan5,R1016)))</xm:f>
            <xm:f>bahan5</xm:f>
            <x14:dxf>
              <fill>
                <patternFill>
                  <bgColor rgb="FF00B0F0"/>
                </patternFill>
              </fill>
            </x14:dxf>
          </x14:cfRule>
          <x14:cfRule type="containsText" priority="90920" operator="containsText" id="{5561986D-2D32-406D-A7DA-25250B4B4E06}">
            <xm:f>NOT(ISERROR(SEARCH(bahan1,R1016)))</xm:f>
            <xm:f>bahan1</xm:f>
            <x14:dxf>
              <fill>
                <patternFill>
                  <bgColor theme="7" tint="0.39994506668294322"/>
                </patternFill>
              </fill>
            </x14:dxf>
          </x14:cfRule>
          <xm:sqref>R1016</xm:sqref>
        </x14:conditionalFormatting>
        <x14:conditionalFormatting xmlns:xm="http://schemas.microsoft.com/office/excel/2006/main">
          <x14:cfRule type="containsText" priority="130014" operator="containsText" id="{A6BC2541-A7DE-432E-A041-35B84A31CAF7}">
            <xm:f>NOT(ISERROR(SEARCH(kaca4,R1016)))</xm:f>
            <xm:f>kaca4</xm:f>
            <x14:dxf>
              <fill>
                <patternFill>
                  <bgColor rgb="FF92D050"/>
                </patternFill>
              </fill>
            </x14:dxf>
          </x14:cfRule>
          <xm:sqref>R1016:R1046</xm:sqref>
        </x14:conditionalFormatting>
        <x14:conditionalFormatting xmlns:xm="http://schemas.microsoft.com/office/excel/2006/main">
          <x14:cfRule type="containsText" priority="90897" operator="containsText" id="{103BB580-334E-4428-B626-5A9A2D24466D}">
            <xm:f>NOT(ISERROR(SEARCH(bahan5,R1017)))</xm:f>
            <xm:f>bahan5</xm:f>
            <x14:dxf>
              <fill>
                <patternFill>
                  <bgColor rgb="FF00B0F0"/>
                </patternFill>
              </fill>
            </x14:dxf>
          </x14:cfRule>
          <x14:cfRule type="containsText" priority="90896" operator="containsText" id="{DAA4EFCB-4B49-4523-803C-88B62C7A1072}">
            <xm:f>NOT(ISERROR(SEARCH(bahan1,R1017)))</xm:f>
            <xm:f>bahan1</xm:f>
            <x14:dxf>
              <fill>
                <patternFill>
                  <bgColor theme="7" tint="0.39994506668294322"/>
                </patternFill>
              </fill>
            </x14:dxf>
          </x14:cfRule>
          <xm:sqref>R1017:R1019</xm:sqref>
        </x14:conditionalFormatting>
        <x14:conditionalFormatting xmlns:xm="http://schemas.microsoft.com/office/excel/2006/main">
          <x14:cfRule type="containsText" priority="91065" operator="containsText" id="{797979AE-2E5B-4ED7-8EF3-374C8BEBD027}">
            <xm:f>NOT(ISERROR(SEARCH(bahan5,R1020)))</xm:f>
            <xm:f>bahan5</xm:f>
            <x14:dxf>
              <fill>
                <patternFill>
                  <bgColor rgb="FF00B0F0"/>
                </patternFill>
              </fill>
            </x14:dxf>
          </x14:cfRule>
          <x14:cfRule type="containsText" priority="91064" operator="containsText" id="{048E8582-3AED-4B6F-BDC2-5336782C4948}">
            <xm:f>NOT(ISERROR(SEARCH(bahan1,R1020)))</xm:f>
            <xm:f>bahan1</xm:f>
            <x14:dxf>
              <fill>
                <patternFill>
                  <bgColor theme="7" tint="0.39994506668294322"/>
                </patternFill>
              </fill>
            </x14:dxf>
          </x14:cfRule>
          <xm:sqref>R1020</xm:sqref>
        </x14:conditionalFormatting>
        <x14:conditionalFormatting xmlns:xm="http://schemas.microsoft.com/office/excel/2006/main">
          <x14:cfRule type="containsText" priority="90872" operator="containsText" id="{9D669E4D-7E18-4BF3-AF5A-F3EE9DF3AA2C}">
            <xm:f>NOT(ISERROR(SEARCH(bahan1,R1021)))</xm:f>
            <xm:f>bahan1</xm:f>
            <x14:dxf>
              <fill>
                <patternFill>
                  <bgColor theme="7" tint="0.39994506668294322"/>
                </patternFill>
              </fill>
            </x14:dxf>
          </x14:cfRule>
          <x14:cfRule type="containsText" priority="90873" operator="containsText" id="{A5FC4241-8272-408C-B26E-306D0F65138E}">
            <xm:f>NOT(ISERROR(SEARCH(bahan5,R1021)))</xm:f>
            <xm:f>bahan5</xm:f>
            <x14:dxf>
              <fill>
                <patternFill>
                  <bgColor rgb="FF00B0F0"/>
                </patternFill>
              </fill>
            </x14:dxf>
          </x14:cfRule>
          <xm:sqref>R1021:R1026</xm:sqref>
        </x14:conditionalFormatting>
        <x14:conditionalFormatting xmlns:xm="http://schemas.microsoft.com/office/excel/2006/main">
          <x14:cfRule type="containsText" priority="90775" operator="containsText" id="{57CB4092-7FD3-4AE3-A9B5-E34E2CA995BB}">
            <xm:f>NOT(ISERROR(SEARCH(bahan5,R1029)))</xm:f>
            <xm:f>bahan5</xm:f>
            <x14:dxf>
              <fill>
                <patternFill>
                  <bgColor rgb="FF00B0F0"/>
                </patternFill>
              </fill>
            </x14:dxf>
          </x14:cfRule>
          <x14:cfRule type="containsText" priority="90774" operator="containsText" id="{7B36A233-71F8-4465-9163-A57D5BDFA972}">
            <xm:f>NOT(ISERROR(SEARCH(bahan1,R1029)))</xm:f>
            <xm:f>bahan1</xm:f>
            <x14:dxf>
              <fill>
                <patternFill>
                  <bgColor theme="7" tint="0.39994506668294322"/>
                </patternFill>
              </fill>
            </x14:dxf>
          </x14:cfRule>
          <xm:sqref>R1029</xm:sqref>
        </x14:conditionalFormatting>
        <x14:conditionalFormatting xmlns:xm="http://schemas.microsoft.com/office/excel/2006/main">
          <x14:cfRule type="containsText" priority="90751" operator="containsText" id="{7FFD97A1-06AF-4AC1-B173-E071964361A7}">
            <xm:f>NOT(ISERROR(SEARCH(bahan5,R1030)))</xm:f>
            <xm:f>bahan5</xm:f>
            <x14:dxf>
              <fill>
                <patternFill>
                  <bgColor rgb="FF00B0F0"/>
                </patternFill>
              </fill>
            </x14:dxf>
          </x14:cfRule>
          <x14:cfRule type="containsText" priority="90750" operator="containsText" id="{731F05DD-0972-416E-93F6-101B99FDED8A}">
            <xm:f>NOT(ISERROR(SEARCH(bahan1,R1030)))</xm:f>
            <xm:f>bahan1</xm:f>
            <x14:dxf>
              <fill>
                <patternFill>
                  <bgColor theme="7" tint="0.39994506668294322"/>
                </patternFill>
              </fill>
            </x14:dxf>
          </x14:cfRule>
          <xm:sqref>R1030:R1033</xm:sqref>
        </x14:conditionalFormatting>
        <x14:conditionalFormatting xmlns:xm="http://schemas.microsoft.com/office/excel/2006/main">
          <x14:cfRule type="containsText" priority="90726" operator="containsText" id="{2F58FDF1-34CB-49C0-9517-248F8E61C2AE}">
            <xm:f>NOT(ISERROR(SEARCH(bahan1,R1036)))</xm:f>
            <xm:f>bahan1</xm:f>
            <x14:dxf>
              <fill>
                <patternFill>
                  <bgColor theme="7" tint="0.39994506668294322"/>
                </patternFill>
              </fill>
            </x14:dxf>
          </x14:cfRule>
          <x14:cfRule type="containsText" priority="90727" operator="containsText" id="{C0DBFAA5-A7C3-40E3-A00D-BA193CF96F86}">
            <xm:f>NOT(ISERROR(SEARCH(bahan5,R1036)))</xm:f>
            <xm:f>bahan5</xm:f>
            <x14:dxf>
              <fill>
                <patternFill>
                  <bgColor rgb="FF00B0F0"/>
                </patternFill>
              </fill>
            </x14:dxf>
          </x14:cfRule>
          <xm:sqref>R1036</xm:sqref>
        </x14:conditionalFormatting>
        <x14:conditionalFormatting xmlns:xm="http://schemas.microsoft.com/office/excel/2006/main">
          <x14:cfRule type="containsText" priority="90702" operator="containsText" id="{3FDBDA09-991F-4D85-9CA6-725D118ED266}">
            <xm:f>NOT(ISERROR(SEARCH(bahan1,R1037)))</xm:f>
            <xm:f>bahan1</xm:f>
            <x14:dxf>
              <fill>
                <patternFill>
                  <bgColor theme="7" tint="0.39994506668294322"/>
                </patternFill>
              </fill>
            </x14:dxf>
          </x14:cfRule>
          <x14:cfRule type="containsText" priority="90703" operator="containsText" id="{1A6D6643-C34D-4481-B8B2-4A2F98C6912A}">
            <xm:f>NOT(ISERROR(SEARCH(bahan5,R1037)))</xm:f>
            <xm:f>bahan5</xm:f>
            <x14:dxf>
              <fill>
                <patternFill>
                  <bgColor rgb="FF00B0F0"/>
                </patternFill>
              </fill>
            </x14:dxf>
          </x14:cfRule>
          <xm:sqref>R1037:R1040</xm:sqref>
        </x14:conditionalFormatting>
        <x14:conditionalFormatting xmlns:xm="http://schemas.microsoft.com/office/excel/2006/main">
          <x14:cfRule type="containsText" priority="90679" operator="containsText" id="{0ABD4205-3103-4775-A259-5D4A8A94AFF4}">
            <xm:f>NOT(ISERROR(SEARCH(bahan5,R1042)))</xm:f>
            <xm:f>bahan5</xm:f>
            <x14:dxf>
              <fill>
                <patternFill>
                  <bgColor rgb="FF00B0F0"/>
                </patternFill>
              </fill>
            </x14:dxf>
          </x14:cfRule>
          <x14:cfRule type="containsText" priority="90678" operator="containsText" id="{7D6858F3-BD66-45C8-AB59-6BA8141B75F1}">
            <xm:f>NOT(ISERROR(SEARCH(bahan1,R1042)))</xm:f>
            <xm:f>bahan1</xm:f>
            <x14:dxf>
              <fill>
                <patternFill>
                  <bgColor theme="7" tint="0.39994506668294322"/>
                </patternFill>
              </fill>
            </x14:dxf>
          </x14:cfRule>
          <xm:sqref>R1042:R1044</xm:sqref>
        </x14:conditionalFormatting>
        <x14:conditionalFormatting xmlns:xm="http://schemas.microsoft.com/office/excel/2006/main">
          <x14:cfRule type="containsText" priority="90655" operator="containsText" id="{A471BB34-D8DB-47D1-A3D5-E70FD82AB8AB}">
            <xm:f>NOT(ISERROR(SEARCH(bahan5,R1046)))</xm:f>
            <xm:f>bahan5</xm:f>
            <x14:dxf>
              <fill>
                <patternFill>
                  <bgColor rgb="FF00B0F0"/>
                </patternFill>
              </fill>
            </x14:dxf>
          </x14:cfRule>
          <x14:cfRule type="containsText" priority="90654" operator="containsText" id="{02B4566A-4F4C-4692-B0C5-A1A010132785}">
            <xm:f>NOT(ISERROR(SEARCH(bahan1,R1046)))</xm:f>
            <xm:f>bahan1</xm:f>
            <x14:dxf>
              <fill>
                <patternFill>
                  <bgColor theme="7" tint="0.39994506668294322"/>
                </patternFill>
              </fill>
            </x14:dxf>
          </x14:cfRule>
          <xm:sqref>R1046</xm:sqref>
        </x14:conditionalFormatting>
        <x14:conditionalFormatting xmlns:xm="http://schemas.microsoft.com/office/excel/2006/main">
          <x14:cfRule type="containsText" priority="90630" operator="containsText" id="{6852FD6E-889E-4D4F-A0CA-1720BD488EFB}">
            <xm:f>NOT(ISERROR(SEARCH(bahan1,R1047)))</xm:f>
            <xm:f>bahan1</xm:f>
            <x14:dxf>
              <fill>
                <patternFill>
                  <bgColor theme="7" tint="0.39994506668294322"/>
                </patternFill>
              </fill>
            </x14:dxf>
          </x14:cfRule>
          <x14:cfRule type="containsText" priority="90631" operator="containsText" id="{810553C4-801E-4828-80C1-E3F676C98245}">
            <xm:f>NOT(ISERROR(SEARCH(bahan5,R1047)))</xm:f>
            <xm:f>bahan5</xm:f>
            <x14:dxf>
              <fill>
                <patternFill>
                  <bgColor rgb="FF00B0F0"/>
                </patternFill>
              </fill>
            </x14:dxf>
          </x14:cfRule>
          <xm:sqref>R1047:R1048</xm:sqref>
        </x14:conditionalFormatting>
        <x14:conditionalFormatting xmlns:xm="http://schemas.microsoft.com/office/excel/2006/main">
          <x14:cfRule type="containsText" priority="90629" operator="containsText" id="{77D70E90-7DD3-4DDE-B89B-70C7A65959D5}">
            <xm:f>NOT(ISERROR(SEARCH(kaca4,R1047)))</xm:f>
            <xm:f>kaca4</xm:f>
            <x14:dxf>
              <fill>
                <patternFill>
                  <bgColor rgb="FF92D050"/>
                </patternFill>
              </fill>
            </x14:dxf>
          </x14:cfRule>
          <xm:sqref>R1047:R1048576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IS5110"/>
  <sheetViews>
    <sheetView view="pageBreakPreview" zoomScale="85" zoomScaleNormal="100" zoomScaleSheetLayoutView="85" workbookViewId="0">
      <pane ySplit="14" topLeftCell="A15" activePane="bottomLeft" state="frozen"/>
      <selection activeCell="CE12" sqref="CE12:CE953"/>
      <selection pane="bottomLeft" activeCell="N23" sqref="N23"/>
    </sheetView>
  </sheetViews>
  <sheetFormatPr baseColWidth="10" defaultColWidth="8.83203125" defaultRowHeight="16"/>
  <cols>
    <col min="1" max="1" width="4" customWidth="1"/>
    <col min="2" max="2" width="37.1640625" customWidth="1"/>
    <col min="3" max="3" width="18.6640625" customWidth="1"/>
    <col min="4" max="5" width="4.6640625" customWidth="1"/>
    <col min="6" max="6" width="4.6640625" style="1" customWidth="1"/>
    <col min="7" max="7" width="4.6640625" style="2" customWidth="1"/>
    <col min="8" max="8" width="16.6640625" customWidth="1"/>
    <col min="9" max="9" width="6.83203125" style="1" customWidth="1"/>
    <col min="10" max="10" width="1.6640625" style="1" customWidth="1"/>
    <col min="11" max="11" width="6.83203125" style="1" customWidth="1"/>
    <col min="12" max="12" width="1.6640625" style="1" customWidth="1"/>
    <col min="13" max="13" width="6.83203125" style="1" customWidth="1"/>
    <col min="14" max="14" width="6.83203125" customWidth="1"/>
  </cols>
  <sheetData>
    <row r="1" spans="1:253" ht="20">
      <c r="A1" s="866" t="s">
        <v>2172</v>
      </c>
      <c r="B1" s="866"/>
      <c r="C1" s="866"/>
      <c r="D1" s="866"/>
      <c r="E1" s="866"/>
      <c r="F1" s="866"/>
      <c r="G1" s="866"/>
      <c r="H1" s="866"/>
      <c r="I1" s="360"/>
      <c r="J1" s="143"/>
      <c r="K1" s="143"/>
      <c r="L1" s="143"/>
      <c r="M1" s="143"/>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c r="II1" s="42"/>
      <c r="IJ1" s="42"/>
      <c r="IK1" s="42"/>
      <c r="IL1" s="42"/>
      <c r="IM1" s="42"/>
      <c r="IN1" s="42"/>
      <c r="IO1" s="42"/>
      <c r="IP1" s="42"/>
      <c r="IQ1" s="42"/>
      <c r="IR1" s="42"/>
      <c r="IS1" s="42"/>
    </row>
    <row r="2" spans="1:253" ht="18">
      <c r="A2" s="3"/>
      <c r="B2" s="53" t="s">
        <v>1658</v>
      </c>
      <c r="C2" s="5"/>
      <c r="D2" s="5"/>
      <c r="E2" s="5"/>
      <c r="F2" s="5"/>
      <c r="G2" s="5"/>
      <c r="H2" s="6"/>
      <c r="I2" s="43"/>
      <c r="J2" s="143"/>
      <c r="K2" s="143"/>
      <c r="L2" s="143"/>
      <c r="M2" s="143"/>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row>
    <row r="3" spans="1:253">
      <c r="A3" s="7" t="s">
        <v>327</v>
      </c>
      <c r="B3" s="18"/>
      <c r="C3" s="8" t="str">
        <f>No_proyek</f>
        <v>RZ0458</v>
      </c>
      <c r="D3" s="9"/>
      <c r="E3" s="9"/>
      <c r="F3" s="10"/>
      <c r="G3" s="11" t="s">
        <v>2173</v>
      </c>
      <c r="H3" s="12"/>
      <c r="I3" s="16"/>
      <c r="J3" s="143"/>
      <c r="K3" s="143"/>
      <c r="L3" s="143"/>
      <c r="M3" s="143"/>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c r="II3" s="42"/>
      <c r="IJ3" s="42"/>
      <c r="IK3" s="42"/>
      <c r="IL3" s="42"/>
      <c r="IM3" s="42"/>
      <c r="IN3" s="42"/>
      <c r="IO3" s="42"/>
      <c r="IP3" s="42"/>
      <c r="IQ3" s="42"/>
      <c r="IR3" s="42"/>
      <c r="IS3" s="42"/>
    </row>
    <row r="4" spans="1:253">
      <c r="A4" s="7" t="s">
        <v>2174</v>
      </c>
      <c r="B4" s="18"/>
      <c r="C4" s="8" t="str">
        <f>no_kontrak</f>
        <v>127/RK-RL-PI/PAP-LL/XII/2025</v>
      </c>
      <c r="D4" s="9"/>
      <c r="E4" s="9"/>
      <c r="F4" s="366"/>
      <c r="G4" s="421" t="str">
        <f>IF(Spek!$D$7="√","√","")</f>
        <v/>
      </c>
      <c r="H4" s="13" t="s">
        <v>1509</v>
      </c>
      <c r="I4" s="16"/>
      <c r="J4" s="143"/>
      <c r="K4" s="143"/>
      <c r="L4" s="143"/>
      <c r="M4" s="143"/>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row>
    <row r="5" spans="1:253">
      <c r="A5" s="14" t="s">
        <v>1508</v>
      </c>
      <c r="B5" s="66"/>
      <c r="C5" s="8" t="str">
        <f>nip</f>
        <v>25LL017MPC</v>
      </c>
      <c r="D5" s="9"/>
      <c r="E5" s="9"/>
      <c r="F5" s="9"/>
      <c r="G5" s="421" t="str">
        <f>IF(Spek!$D$8="√","√","")</f>
        <v>√</v>
      </c>
      <c r="H5" s="15" t="s">
        <v>1511</v>
      </c>
      <c r="I5" s="8" t="s">
        <v>2175</v>
      </c>
      <c r="J5" s="143"/>
      <c r="K5" s="143"/>
      <c r="L5" s="143"/>
      <c r="M5" s="143"/>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c r="II5" s="42"/>
      <c r="IJ5" s="42"/>
      <c r="IK5" s="42"/>
      <c r="IL5" s="42"/>
      <c r="IM5" s="42"/>
      <c r="IN5" s="42"/>
      <c r="IO5" s="42"/>
      <c r="IP5" s="42"/>
      <c r="IQ5" s="42"/>
      <c r="IR5" s="42"/>
      <c r="IS5" s="42"/>
    </row>
    <row r="6" spans="1:253">
      <c r="A6" s="7" t="s">
        <v>2176</v>
      </c>
      <c r="B6" s="18"/>
      <c r="C6" s="8" t="str">
        <f>nama_proyek</f>
        <v>PT Malindo Feedmill Tbk-Dry Pantry</v>
      </c>
      <c r="D6" s="9"/>
      <c r="E6" s="9"/>
      <c r="F6" s="16"/>
      <c r="G6" s="17"/>
      <c r="H6" s="18"/>
      <c r="I6" s="8" t="s">
        <v>2177</v>
      </c>
      <c r="J6" s="143"/>
      <c r="K6" s="143"/>
      <c r="L6" s="143"/>
      <c r="M6" s="143"/>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42"/>
      <c r="IS6" s="42"/>
    </row>
    <row r="7" spans="1:253">
      <c r="A7" s="7" t="s">
        <v>2178</v>
      </c>
      <c r="B7" s="18"/>
      <c r="C7" s="19">
        <f>tgl</f>
        <v>46163</v>
      </c>
      <c r="D7" s="20"/>
      <c r="E7" s="21"/>
      <c r="F7" s="22"/>
      <c r="G7" s="23" t="s">
        <v>2259</v>
      </c>
      <c r="H7" s="18"/>
      <c r="I7" s="8"/>
      <c r="J7" s="143"/>
      <c r="K7" s="143"/>
      <c r="L7" s="143"/>
      <c r="M7" s="143"/>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2"/>
      <c r="EH7" s="42"/>
      <c r="EI7" s="42"/>
      <c r="EJ7" s="42"/>
      <c r="EK7" s="42"/>
      <c r="EL7" s="42"/>
      <c r="EM7" s="42"/>
      <c r="EN7" s="42"/>
      <c r="EO7" s="42"/>
      <c r="EP7" s="42"/>
      <c r="EQ7" s="42"/>
      <c r="ER7" s="42"/>
      <c r="ES7" s="42"/>
      <c r="ET7" s="42"/>
      <c r="EU7" s="42"/>
      <c r="EV7" s="42"/>
      <c r="EW7" s="42"/>
      <c r="EX7" s="42"/>
      <c r="EY7" s="42"/>
      <c r="EZ7" s="42"/>
      <c r="FA7" s="42"/>
      <c r="FB7" s="42"/>
      <c r="FC7" s="42"/>
      <c r="FD7" s="42"/>
      <c r="FE7" s="42"/>
      <c r="FF7" s="42"/>
      <c r="FG7" s="42"/>
      <c r="FH7" s="42"/>
      <c r="FI7" s="42"/>
      <c r="FJ7" s="42"/>
      <c r="FK7" s="42"/>
      <c r="FL7" s="42"/>
      <c r="FM7" s="42"/>
      <c r="FN7" s="42"/>
      <c r="FO7" s="42"/>
      <c r="FP7" s="42"/>
      <c r="FQ7" s="42"/>
      <c r="FR7" s="42"/>
      <c r="FS7" s="42"/>
      <c r="FT7" s="42"/>
      <c r="FU7" s="42"/>
      <c r="FV7" s="42"/>
      <c r="FW7" s="42"/>
      <c r="FX7" s="42"/>
      <c r="FY7" s="42"/>
      <c r="FZ7" s="42"/>
      <c r="GA7" s="42"/>
      <c r="GB7" s="42"/>
      <c r="GC7" s="42"/>
      <c r="GD7" s="42"/>
      <c r="GE7" s="42"/>
      <c r="GF7" s="42"/>
      <c r="GG7" s="42"/>
      <c r="GH7" s="42"/>
      <c r="GI7" s="42"/>
      <c r="GJ7" s="42"/>
      <c r="GK7" s="42"/>
      <c r="GL7" s="42"/>
      <c r="GM7" s="42"/>
      <c r="GN7" s="42"/>
      <c r="GO7" s="42"/>
      <c r="GP7" s="42"/>
      <c r="GQ7" s="42"/>
      <c r="GR7" s="42"/>
      <c r="GS7" s="42"/>
      <c r="GT7" s="42"/>
      <c r="GU7" s="42"/>
      <c r="GV7" s="42"/>
      <c r="GW7" s="42"/>
      <c r="GX7" s="42"/>
      <c r="GY7" s="42"/>
      <c r="GZ7" s="42"/>
      <c r="HA7" s="42"/>
      <c r="HB7" s="42"/>
      <c r="HC7" s="42"/>
      <c r="HD7" s="42"/>
      <c r="HE7" s="42"/>
      <c r="HF7" s="42"/>
      <c r="HG7" s="42"/>
      <c r="HH7" s="42"/>
      <c r="HI7" s="42"/>
      <c r="HJ7" s="42"/>
      <c r="HK7" s="42"/>
      <c r="HL7" s="42"/>
      <c r="HM7" s="42"/>
      <c r="HN7" s="42"/>
      <c r="HO7" s="42"/>
      <c r="HP7" s="42"/>
      <c r="HQ7" s="42"/>
      <c r="HR7" s="42"/>
      <c r="HS7" s="42"/>
      <c r="HT7" s="42"/>
      <c r="HU7" s="42"/>
      <c r="HV7" s="42"/>
      <c r="HW7" s="42"/>
      <c r="HX7" s="42"/>
      <c r="HY7" s="42"/>
      <c r="HZ7" s="42"/>
      <c r="IA7" s="42"/>
      <c r="IB7" s="42"/>
      <c r="IC7" s="42"/>
      <c r="ID7" s="42"/>
      <c r="IE7" s="42"/>
      <c r="IF7" s="42"/>
      <c r="IG7" s="42"/>
      <c r="IH7" s="42"/>
      <c r="II7" s="42"/>
      <c r="IJ7" s="42"/>
      <c r="IK7" s="42"/>
      <c r="IL7" s="42"/>
      <c r="IM7" s="42"/>
      <c r="IN7" s="42"/>
      <c r="IO7" s="42"/>
      <c r="IP7" s="42"/>
      <c r="IQ7" s="42"/>
      <c r="IR7" s="42"/>
      <c r="IS7" s="42"/>
    </row>
    <row r="8" spans="1:253">
      <c r="A8" s="7" t="s">
        <v>2179</v>
      </c>
      <c r="B8" s="18"/>
      <c r="C8" s="24"/>
      <c r="D8" s="25"/>
      <c r="E8" s="26"/>
      <c r="F8" s="27"/>
      <c r="G8" s="421" t="str">
        <f>IF(Spek!$D$9="√","√","")</f>
        <v/>
      </c>
      <c r="H8" s="421" t="str">
        <f>IF(Spek!$D$10="√","√","")</f>
        <v>√</v>
      </c>
      <c r="I8" s="8"/>
      <c r="J8" s="143"/>
      <c r="K8" s="143"/>
      <c r="L8" s="143"/>
      <c r="M8" s="143"/>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c r="HP8" s="42"/>
      <c r="HQ8" s="42"/>
      <c r="HR8" s="42"/>
      <c r="HS8" s="42"/>
      <c r="HT8" s="42"/>
      <c r="HU8" s="42"/>
      <c r="HV8" s="42"/>
      <c r="HW8" s="42"/>
      <c r="HX8" s="42"/>
      <c r="HY8" s="42"/>
      <c r="HZ8" s="42"/>
      <c r="IA8" s="42"/>
      <c r="IB8" s="42"/>
      <c r="IC8" s="42"/>
      <c r="ID8" s="42"/>
      <c r="IE8" s="42"/>
      <c r="IF8" s="42"/>
      <c r="IG8" s="42"/>
      <c r="IH8" s="42"/>
      <c r="II8" s="42"/>
      <c r="IJ8" s="42"/>
      <c r="IK8" s="42"/>
      <c r="IL8" s="42"/>
      <c r="IM8" s="42"/>
      <c r="IN8" s="42"/>
      <c r="IO8" s="42"/>
      <c r="IP8" s="42"/>
      <c r="IQ8" s="42"/>
      <c r="IR8" s="42"/>
      <c r="IS8" s="42"/>
    </row>
    <row r="9" spans="1:253">
      <c r="A9" s="28" t="s">
        <v>2180</v>
      </c>
      <c r="B9" s="32"/>
      <c r="C9" s="8" t="str">
        <f>Estimator</f>
        <v>Fahrudin</v>
      </c>
      <c r="D9" s="9"/>
      <c r="E9" s="9"/>
      <c r="F9" s="16"/>
      <c r="G9" s="17"/>
      <c r="H9" s="18"/>
      <c r="I9" s="461" t="str">
        <f>IFERROR(INDEX((footer_koord),MATCH(Spek!$D$5,koord,0)),"...")</f>
        <v>(   Reza Pahlevi    )         ( Dedy Cahyadi )           (  Mucshon Adie S  )          ( ……….…….)         (  Reza Pahlevi  )</v>
      </c>
      <c r="J9" s="143"/>
      <c r="K9" s="143"/>
      <c r="L9" s="22"/>
      <c r="M9" s="143"/>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2"/>
      <c r="DZ9" s="42"/>
      <c r="EA9" s="42"/>
      <c r="EB9" s="42"/>
      <c r="EC9" s="42"/>
      <c r="ED9" s="42"/>
      <c r="EE9" s="42"/>
      <c r="EF9" s="42"/>
      <c r="EG9" s="42"/>
      <c r="EH9" s="42"/>
      <c r="EI9" s="42"/>
      <c r="EJ9" s="42"/>
      <c r="EK9" s="42"/>
      <c r="EL9" s="42"/>
      <c r="EM9" s="42"/>
      <c r="EN9" s="42"/>
      <c r="EO9" s="42"/>
      <c r="EP9" s="42"/>
      <c r="EQ9" s="42"/>
      <c r="ER9" s="42"/>
      <c r="ES9" s="42"/>
      <c r="ET9" s="42"/>
      <c r="EU9" s="42"/>
      <c r="EV9" s="42"/>
      <c r="EW9" s="42"/>
      <c r="EX9" s="42"/>
      <c r="EY9" s="42"/>
      <c r="EZ9" s="42"/>
      <c r="FA9" s="42"/>
      <c r="FB9" s="42"/>
      <c r="FC9" s="42"/>
      <c r="FD9" s="42"/>
      <c r="FE9" s="42"/>
      <c r="FF9" s="42"/>
      <c r="FG9" s="42"/>
      <c r="FH9" s="42"/>
      <c r="FI9" s="42"/>
      <c r="FJ9" s="42"/>
      <c r="FK9" s="42"/>
      <c r="FL9" s="42"/>
      <c r="FM9" s="42"/>
      <c r="FN9" s="42"/>
      <c r="FO9" s="42"/>
      <c r="FP9" s="42"/>
      <c r="FQ9" s="42"/>
      <c r="FR9" s="42"/>
      <c r="FS9" s="42"/>
      <c r="FT9" s="42"/>
      <c r="FU9" s="42"/>
      <c r="FV9" s="42"/>
      <c r="FW9" s="42"/>
      <c r="FX9" s="42"/>
      <c r="FY9" s="42"/>
      <c r="FZ9" s="42"/>
      <c r="GA9" s="42"/>
      <c r="GB9" s="42"/>
      <c r="GC9" s="42"/>
      <c r="GD9" s="42"/>
      <c r="GE9" s="42"/>
      <c r="GF9" s="42"/>
      <c r="GG9" s="42"/>
      <c r="GH9" s="42"/>
      <c r="GI9" s="42"/>
      <c r="GJ9" s="42"/>
      <c r="GK9" s="42"/>
      <c r="GL9" s="42"/>
      <c r="GM9" s="42"/>
      <c r="GN9" s="42"/>
      <c r="GO9" s="42"/>
      <c r="GP9" s="42"/>
      <c r="GQ9" s="42"/>
      <c r="GR9" s="42"/>
      <c r="GS9" s="42"/>
      <c r="GT9" s="42"/>
      <c r="GU9" s="42"/>
      <c r="GV9" s="42"/>
      <c r="GW9" s="42"/>
      <c r="GX9" s="42"/>
      <c r="GY9" s="42"/>
      <c r="GZ9" s="42"/>
      <c r="HA9" s="42"/>
      <c r="HB9" s="42"/>
      <c r="HC9" s="42"/>
      <c r="HD9" s="42"/>
      <c r="HE9" s="42"/>
      <c r="HF9" s="42"/>
      <c r="HG9" s="42"/>
      <c r="HH9" s="42"/>
      <c r="HI9" s="42"/>
      <c r="HJ9" s="42"/>
      <c r="HK9" s="42"/>
      <c r="HL9" s="42"/>
      <c r="HM9" s="42"/>
      <c r="HN9" s="42"/>
      <c r="HO9" s="42"/>
      <c r="HP9" s="42"/>
      <c r="HQ9" s="42"/>
      <c r="HR9" s="42"/>
      <c r="HS9" s="42"/>
      <c r="HT9" s="42"/>
      <c r="HU9" s="42"/>
      <c r="HV9" s="42"/>
      <c r="HW9" s="42"/>
      <c r="HX9" s="42"/>
      <c r="HY9" s="42"/>
      <c r="HZ9" s="42"/>
      <c r="IA9" s="42"/>
      <c r="IB9" s="42"/>
      <c r="IC9" s="42"/>
      <c r="ID9" s="42"/>
      <c r="IE9" s="42"/>
      <c r="IF9" s="42"/>
      <c r="IG9" s="42"/>
      <c r="IH9" s="42"/>
      <c r="II9" s="42"/>
      <c r="IJ9" s="42"/>
      <c r="IK9" s="42"/>
      <c r="IL9" s="42"/>
      <c r="IM9" s="42"/>
      <c r="IN9" s="42"/>
      <c r="IO9" s="42"/>
      <c r="IP9" s="42"/>
      <c r="IQ9" s="42"/>
      <c r="IR9" s="42"/>
      <c r="IS9" s="42"/>
    </row>
    <row r="10" spans="1:253">
      <c r="A10" s="29" t="s">
        <v>2182</v>
      </c>
      <c r="B10" s="68"/>
      <c r="C10" s="30" t="str">
        <f>CONCATENATE("Kabinet"," ",bahan1," ",kabinet1," ",edgingkab1)</f>
        <v>Kabinet Ply HB_41130 Edg_Décor_1723_B</v>
      </c>
      <c r="D10" s="9"/>
      <c r="E10" s="9"/>
      <c r="F10" s="16"/>
      <c r="G10" s="17"/>
      <c r="H10" s="18"/>
      <c r="I10" s="16"/>
      <c r="J10" s="143"/>
      <c r="K10" s="143"/>
      <c r="L10" s="143"/>
      <c r="M10" s="143"/>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42"/>
      <c r="IS10" s="42"/>
    </row>
    <row r="11" spans="1:253">
      <c r="A11" s="31"/>
      <c r="B11" s="66"/>
      <c r="C11" s="30" t="str">
        <f>CONCATENATE("Pintu"," ",bahan5)</f>
        <v>Pintu Ply</v>
      </c>
      <c r="D11" s="9"/>
      <c r="E11" s="10"/>
      <c r="F11" s="16"/>
      <c r="G11" s="17"/>
      <c r="H11" s="32"/>
      <c r="I11" s="22"/>
      <c r="J11" s="143"/>
      <c r="K11" s="143"/>
      <c r="L11" s="143"/>
      <c r="M11" s="143"/>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c r="FJ11" s="42"/>
      <c r="FK11" s="42"/>
      <c r="FL11" s="42"/>
      <c r="FM11" s="42"/>
      <c r="FN11" s="42"/>
      <c r="FO11" s="42"/>
      <c r="FP11" s="42"/>
      <c r="FQ11" s="42"/>
      <c r="FR11" s="42"/>
      <c r="FS11" s="42"/>
      <c r="FT11" s="42"/>
      <c r="FU11" s="42"/>
      <c r="FV11" s="42"/>
      <c r="FW11" s="42"/>
      <c r="FX11" s="42"/>
      <c r="FY11" s="42"/>
      <c r="FZ11" s="42"/>
      <c r="GA11" s="42"/>
      <c r="GB11" s="42"/>
      <c r="GC11" s="42"/>
      <c r="GD11" s="42"/>
      <c r="GE11" s="42"/>
      <c r="GF11" s="42"/>
      <c r="GG11" s="42"/>
      <c r="GH11" s="42"/>
      <c r="GI11" s="42"/>
      <c r="GJ11" s="42"/>
      <c r="GK11" s="42"/>
      <c r="GL11" s="42"/>
      <c r="GM11" s="42"/>
      <c r="GN11" s="42"/>
      <c r="GO11" s="42"/>
      <c r="GP11" s="42"/>
      <c r="GQ11" s="42"/>
      <c r="GR11" s="42"/>
      <c r="GS11" s="42"/>
      <c r="GT11" s="42"/>
      <c r="GU11" s="42"/>
      <c r="GV11" s="42"/>
      <c r="GW11" s="42"/>
      <c r="GX11" s="42"/>
      <c r="GY11" s="42"/>
      <c r="GZ11" s="42"/>
      <c r="HA11" s="42"/>
      <c r="HB11" s="42"/>
      <c r="HC11" s="42"/>
      <c r="HD11" s="42"/>
      <c r="HE11" s="42"/>
      <c r="HF11" s="42"/>
      <c r="HG11" s="42"/>
      <c r="HH11" s="42"/>
      <c r="HI11" s="42"/>
      <c r="HJ11" s="42"/>
      <c r="HK11" s="42"/>
      <c r="HL11" s="42"/>
      <c r="HM11" s="42"/>
      <c r="HN11" s="42"/>
      <c r="HO11" s="42"/>
      <c r="HP11" s="42"/>
      <c r="HQ11" s="42"/>
      <c r="HR11" s="42"/>
      <c r="HS11" s="42"/>
      <c r="HT11" s="42"/>
      <c r="HU11" s="42"/>
      <c r="HV11" s="42"/>
      <c r="HW11" s="42"/>
      <c r="HX11" s="42"/>
      <c r="HY11" s="42"/>
      <c r="HZ11" s="42"/>
      <c r="IA11" s="42"/>
      <c r="IB11" s="42"/>
      <c r="IC11" s="42"/>
      <c r="ID11" s="42"/>
      <c r="IE11" s="42"/>
      <c r="IF11" s="42"/>
      <c r="IG11" s="42"/>
      <c r="IH11" s="42"/>
      <c r="II11" s="42"/>
      <c r="IJ11" s="42"/>
      <c r="IK11" s="42"/>
      <c r="IL11" s="42"/>
      <c r="IM11" s="42"/>
      <c r="IN11" s="42"/>
      <c r="IO11" s="42"/>
      <c r="IP11" s="42"/>
      <c r="IQ11" s="42"/>
      <c r="IR11" s="42"/>
      <c r="IS11" s="42"/>
    </row>
    <row r="12" spans="1:253">
      <c r="A12" s="33"/>
      <c r="B12" s="759"/>
      <c r="C12" s="34"/>
      <c r="D12" s="1"/>
      <c r="E12" s="1"/>
      <c r="G12"/>
      <c r="H12" s="35"/>
    </row>
    <row r="13" spans="1:253">
      <c r="A13" s="36"/>
      <c r="B13" s="926" t="s">
        <v>2923</v>
      </c>
      <c r="C13" s="927"/>
      <c r="D13" s="927"/>
      <c r="E13" s="927"/>
      <c r="F13" s="838"/>
      <c r="G13" s="355" t="s">
        <v>1506</v>
      </c>
      <c r="H13" s="37"/>
    </row>
    <row r="14" spans="1:253" ht="17">
      <c r="A14" s="36" t="s">
        <v>2135</v>
      </c>
      <c r="B14" s="926" t="s">
        <v>2157</v>
      </c>
      <c r="C14" s="837" t="s">
        <v>2138</v>
      </c>
      <c r="D14" s="837" t="s">
        <v>2134</v>
      </c>
      <c r="E14" s="837" t="s">
        <v>2133</v>
      </c>
      <c r="F14" s="838" t="s">
        <v>2220</v>
      </c>
      <c r="G14" s="38" t="s">
        <v>2184</v>
      </c>
      <c r="H14" s="39" t="s">
        <v>333</v>
      </c>
    </row>
    <row r="15" spans="1:253">
      <c r="A15" s="129"/>
      <c r="B15" s="864" t="s">
        <v>4749</v>
      </c>
      <c r="C15" s="841" t="s">
        <v>4750</v>
      </c>
      <c r="D15" s="864" t="s">
        <v>2166</v>
      </c>
      <c r="E15" s="841" t="s">
        <v>3243</v>
      </c>
      <c r="F15" s="921">
        <v>1</v>
      </c>
      <c r="G15" s="40"/>
      <c r="H15" s="36"/>
      <c r="I15" s="1" t="str">
        <f>LEFT(C15,4)</f>
        <v>2000</v>
      </c>
      <c r="J15" s="1" t="s">
        <v>2137</v>
      </c>
      <c r="K15" s="1">
        <v>400</v>
      </c>
      <c r="L15" s="1" t="s">
        <v>2137</v>
      </c>
      <c r="M15" s="1">
        <v>60</v>
      </c>
      <c r="N15" s="56">
        <v>1</v>
      </c>
    </row>
    <row r="16" spans="1:253">
      <c r="A16" s="129"/>
      <c r="B16" s="867"/>
      <c r="C16" s="841" t="s">
        <v>4751</v>
      </c>
      <c r="D16" s="865" t="s">
        <v>2166</v>
      </c>
      <c r="E16" s="841" t="s">
        <v>3243</v>
      </c>
      <c r="F16" s="921">
        <v>1</v>
      </c>
      <c r="G16" s="40"/>
      <c r="H16" s="36"/>
      <c r="I16" s="1">
        <v>1808</v>
      </c>
      <c r="J16" s="1" t="s">
        <v>2137</v>
      </c>
      <c r="K16" s="1">
        <v>400</v>
      </c>
      <c r="L16" s="1" t="s">
        <v>2137</v>
      </c>
      <c r="M16" s="1">
        <v>60</v>
      </c>
      <c r="N16" s="56">
        <v>1</v>
      </c>
    </row>
    <row r="17" spans="1:14">
      <c r="A17" s="129"/>
      <c r="B17" s="867"/>
      <c r="C17" s="841" t="s">
        <v>4752</v>
      </c>
      <c r="D17" s="865" t="s">
        <v>2166</v>
      </c>
      <c r="E17" s="841" t="s">
        <v>3243</v>
      </c>
      <c r="F17" s="921">
        <v>1</v>
      </c>
      <c r="G17" s="40"/>
      <c r="H17" s="36"/>
      <c r="I17" s="1">
        <v>1767</v>
      </c>
      <c r="J17" s="1" t="s">
        <v>2137</v>
      </c>
      <c r="K17" s="1">
        <v>400</v>
      </c>
      <c r="L17" s="1" t="s">
        <v>2137</v>
      </c>
      <c r="M17" s="1">
        <v>60</v>
      </c>
      <c r="N17" s="56">
        <v>1</v>
      </c>
    </row>
    <row r="18" spans="1:14">
      <c r="A18" s="129"/>
      <c r="B18" s="867"/>
      <c r="C18" s="841" t="s">
        <v>4753</v>
      </c>
      <c r="D18" s="865" t="s">
        <v>2166</v>
      </c>
      <c r="E18" s="841" t="s">
        <v>3243</v>
      </c>
      <c r="F18" s="921">
        <v>1</v>
      </c>
      <c r="G18" s="40"/>
      <c r="H18" s="36"/>
      <c r="I18" s="1">
        <v>1102</v>
      </c>
      <c r="J18" s="1" t="s">
        <v>2137</v>
      </c>
      <c r="K18" s="1">
        <v>560</v>
      </c>
      <c r="L18" s="1" t="s">
        <v>2137</v>
      </c>
      <c r="M18" s="1">
        <v>678</v>
      </c>
      <c r="N18" s="56">
        <v>1</v>
      </c>
    </row>
    <row r="19" spans="1:14">
      <c r="A19" s="129"/>
      <c r="B19" s="867"/>
      <c r="C19" s="841" t="s">
        <v>4754</v>
      </c>
      <c r="D19" s="865" t="s">
        <v>2166</v>
      </c>
      <c r="E19" s="841" t="s">
        <v>3243</v>
      </c>
      <c r="F19" s="921">
        <v>1</v>
      </c>
      <c r="G19" s="40"/>
      <c r="H19" s="36"/>
      <c r="I19" s="1">
        <v>824</v>
      </c>
      <c r="J19" s="1" t="s">
        <v>2137</v>
      </c>
      <c r="K19" s="1">
        <v>79</v>
      </c>
      <c r="L19" s="1" t="s">
        <v>2137</v>
      </c>
      <c r="M19" s="1">
        <v>13</v>
      </c>
      <c r="N19" s="56">
        <v>2</v>
      </c>
    </row>
    <row r="20" spans="1:14">
      <c r="A20" s="129"/>
      <c r="B20" s="867"/>
      <c r="C20" s="841" t="s">
        <v>4755</v>
      </c>
      <c r="D20" s="865" t="s">
        <v>2166</v>
      </c>
      <c r="E20" s="841" t="s">
        <v>3243</v>
      </c>
      <c r="F20" s="921">
        <v>1</v>
      </c>
      <c r="G20" s="40"/>
      <c r="H20" s="36"/>
      <c r="I20" s="1">
        <v>1433</v>
      </c>
      <c r="J20" s="1" t="s">
        <v>2137</v>
      </c>
      <c r="K20" s="1">
        <v>902</v>
      </c>
      <c r="L20" s="1" t="s">
        <v>2137</v>
      </c>
      <c r="M20" s="1">
        <v>10</v>
      </c>
      <c r="N20" s="56">
        <v>1</v>
      </c>
    </row>
    <row r="21" spans="1:14">
      <c r="A21" s="129"/>
      <c r="B21" s="864" t="s">
        <v>4756</v>
      </c>
      <c r="C21" s="841" t="s">
        <v>4757</v>
      </c>
      <c r="D21" s="865" t="s">
        <v>2166</v>
      </c>
      <c r="E21" s="841" t="s">
        <v>3243</v>
      </c>
      <c r="F21" s="921">
        <v>1</v>
      </c>
      <c r="G21" s="40"/>
      <c r="H21" s="36"/>
    </row>
    <row r="22" spans="1:14">
      <c r="A22" s="129"/>
      <c r="B22" s="867"/>
      <c r="C22" s="841" t="s">
        <v>4758</v>
      </c>
      <c r="D22" s="865" t="s">
        <v>2166</v>
      </c>
      <c r="E22" s="841" t="s">
        <v>3243</v>
      </c>
      <c r="F22" s="921">
        <v>1</v>
      </c>
      <c r="G22" s="40"/>
      <c r="H22" s="36"/>
    </row>
    <row r="23" spans="1:14">
      <c r="A23" s="129"/>
      <c r="B23" s="867"/>
      <c r="C23" s="841" t="s">
        <v>4759</v>
      </c>
      <c r="D23" s="865" t="s">
        <v>2166</v>
      </c>
      <c r="E23" s="841" t="s">
        <v>3243</v>
      </c>
      <c r="F23" s="921">
        <v>1</v>
      </c>
      <c r="G23" s="40"/>
      <c r="H23" s="36"/>
    </row>
    <row r="24" spans="1:14">
      <c r="A24" s="129"/>
      <c r="B24" s="867"/>
      <c r="C24" s="841" t="s">
        <v>4760</v>
      </c>
      <c r="D24" s="865" t="s">
        <v>2166</v>
      </c>
      <c r="E24" s="841" t="s">
        <v>3243</v>
      </c>
      <c r="F24" s="921">
        <v>1</v>
      </c>
      <c r="G24" s="40"/>
      <c r="H24" s="36"/>
    </row>
    <row r="25" spans="1:14">
      <c r="A25" s="129"/>
      <c r="B25" s="841" t="s">
        <v>4761</v>
      </c>
      <c r="C25" s="841" t="s">
        <v>4762</v>
      </c>
      <c r="D25" s="865" t="s">
        <v>2166</v>
      </c>
      <c r="E25" s="841" t="s">
        <v>3243</v>
      </c>
      <c r="F25" s="921">
        <v>1</v>
      </c>
      <c r="G25" s="40"/>
      <c r="H25" s="36"/>
    </row>
    <row r="26" spans="1:14">
      <c r="A26" s="485"/>
      <c r="B26" s="841" t="s">
        <v>4763</v>
      </c>
      <c r="C26" s="841" t="s">
        <v>4764</v>
      </c>
      <c r="D26" s="865" t="s">
        <v>2166</v>
      </c>
      <c r="E26" s="841" t="s">
        <v>3243</v>
      </c>
      <c r="F26" s="921">
        <v>2</v>
      </c>
      <c r="G26" s="483"/>
      <c r="H26" s="432"/>
    </row>
    <row r="27" spans="1:14">
      <c r="A27" s="129"/>
      <c r="B27" s="864" t="s">
        <v>4765</v>
      </c>
      <c r="C27" s="841" t="s">
        <v>4766</v>
      </c>
      <c r="D27" s="865" t="s">
        <v>2166</v>
      </c>
      <c r="E27" s="841" t="s">
        <v>3243</v>
      </c>
      <c r="F27" s="921">
        <v>1</v>
      </c>
      <c r="G27" s="40"/>
      <c r="H27" s="36"/>
    </row>
    <row r="28" spans="1:14">
      <c r="A28" s="129"/>
      <c r="B28" s="867"/>
      <c r="C28" s="841" t="s">
        <v>4767</v>
      </c>
      <c r="D28" s="865" t="s">
        <v>2166</v>
      </c>
      <c r="E28" s="841" t="s">
        <v>3243</v>
      </c>
      <c r="F28" s="921">
        <v>1</v>
      </c>
      <c r="G28" s="40"/>
      <c r="H28" s="36"/>
    </row>
    <row r="29" spans="1:14">
      <c r="A29" s="129"/>
      <c r="B29" s="864" t="s">
        <v>4828</v>
      </c>
      <c r="C29" s="841" t="s">
        <v>4829</v>
      </c>
      <c r="D29" s="864" t="s">
        <v>2167</v>
      </c>
      <c r="E29" s="841" t="s">
        <v>3243</v>
      </c>
      <c r="F29" s="921">
        <v>1</v>
      </c>
      <c r="G29" s="40"/>
      <c r="H29" s="36"/>
    </row>
    <row r="30" spans="1:14">
      <c r="A30" s="129"/>
      <c r="B30" s="867"/>
      <c r="C30" s="841" t="s">
        <v>4830</v>
      </c>
      <c r="D30" s="865" t="s">
        <v>2167</v>
      </c>
      <c r="E30" s="841" t="s">
        <v>3243</v>
      </c>
      <c r="F30" s="921">
        <v>2</v>
      </c>
      <c r="G30" s="40"/>
      <c r="H30" s="36"/>
    </row>
    <row r="31" spans="1:14">
      <c r="A31" s="129"/>
      <c r="B31" s="841" t="s">
        <v>4831</v>
      </c>
      <c r="C31" s="841" t="s">
        <v>4832</v>
      </c>
      <c r="D31" s="865" t="s">
        <v>2167</v>
      </c>
      <c r="E31" s="841" t="s">
        <v>3243</v>
      </c>
      <c r="F31" s="921">
        <v>1</v>
      </c>
      <c r="G31" s="40"/>
      <c r="H31" s="36"/>
    </row>
    <row r="32" spans="1:14">
      <c r="A32" s="129"/>
      <c r="B32" s="863" t="s">
        <v>2183</v>
      </c>
      <c r="C32" s="928"/>
      <c r="D32" s="928"/>
      <c r="E32" s="929"/>
      <c r="F32" s="925">
        <v>19</v>
      </c>
      <c r="G32" s="40"/>
      <c r="H32" s="36"/>
    </row>
    <row r="33" spans="1:8">
      <c r="A33" s="36"/>
      <c r="F33"/>
      <c r="G33" s="40"/>
      <c r="H33" s="36"/>
    </row>
    <row r="34" spans="1:8">
      <c r="F34"/>
    </row>
    <row r="35" spans="1:8">
      <c r="F35"/>
    </row>
    <row r="36" spans="1:8">
      <c r="F36"/>
    </row>
    <row r="37" spans="1:8">
      <c r="F37"/>
    </row>
    <row r="38" spans="1:8">
      <c r="F38"/>
    </row>
    <row r="39" spans="1:8">
      <c r="F39"/>
    </row>
    <row r="40" spans="1:8">
      <c r="F40"/>
    </row>
    <row r="41" spans="1:8">
      <c r="F41"/>
    </row>
    <row r="42" spans="1:8">
      <c r="F42"/>
    </row>
    <row r="43" spans="1:8">
      <c r="F43"/>
    </row>
    <row r="44" spans="1:8">
      <c r="F44"/>
    </row>
    <row r="45" spans="1:8">
      <c r="F45"/>
    </row>
    <row r="46" spans="1:8">
      <c r="F46"/>
    </row>
    <row r="47" spans="1:8">
      <c r="F47"/>
    </row>
    <row r="48" spans="1:8">
      <c r="F48"/>
    </row>
    <row r="49" spans="6:6">
      <c r="F49"/>
    </row>
    <row r="50" spans="6:6">
      <c r="F50"/>
    </row>
    <row r="51" spans="6:6">
      <c r="F51"/>
    </row>
    <row r="52" spans="6:6">
      <c r="F52"/>
    </row>
    <row r="53" spans="6:6">
      <c r="F53"/>
    </row>
    <row r="54" spans="6:6">
      <c r="F54"/>
    </row>
    <row r="55" spans="6:6">
      <c r="F55"/>
    </row>
    <row r="56" spans="6:6">
      <c r="F56"/>
    </row>
    <row r="57" spans="6:6">
      <c r="F57"/>
    </row>
    <row r="58" spans="6:6">
      <c r="F58"/>
    </row>
    <row r="59" spans="6:6">
      <c r="F59"/>
    </row>
    <row r="60" spans="6:6">
      <c r="F60"/>
    </row>
    <row r="61" spans="6:6">
      <c r="F61"/>
    </row>
    <row r="62" spans="6:6">
      <c r="F62"/>
    </row>
    <row r="63" spans="6:6">
      <c r="F63"/>
    </row>
    <row r="64" spans="6:6">
      <c r="F64"/>
    </row>
    <row r="65" spans="6:6">
      <c r="F65"/>
    </row>
    <row r="66" spans="6:6">
      <c r="F66"/>
    </row>
    <row r="67" spans="6:6">
      <c r="F67"/>
    </row>
    <row r="68" spans="6:6">
      <c r="F68"/>
    </row>
    <row r="69" spans="6:6">
      <c r="F69"/>
    </row>
    <row r="70" spans="6:6">
      <c r="F70"/>
    </row>
    <row r="71" spans="6:6">
      <c r="F71"/>
    </row>
    <row r="72" spans="6:6">
      <c r="F72"/>
    </row>
    <row r="73" spans="6:6">
      <c r="F73"/>
    </row>
    <row r="74" spans="6:6">
      <c r="F74"/>
    </row>
    <row r="75" spans="6:6">
      <c r="F75"/>
    </row>
    <row r="76" spans="6:6">
      <c r="F76"/>
    </row>
    <row r="77" spans="6:6">
      <c r="F77"/>
    </row>
    <row r="78" spans="6:6">
      <c r="F78"/>
    </row>
    <row r="79" spans="6:6">
      <c r="F79"/>
    </row>
    <row r="80" spans="6:6">
      <c r="F80"/>
    </row>
    <row r="81" spans="6:6">
      <c r="F81"/>
    </row>
    <row r="82" spans="6:6">
      <c r="F82"/>
    </row>
    <row r="83" spans="6:6">
      <c r="F83"/>
    </row>
    <row r="84" spans="6:6">
      <c r="F84"/>
    </row>
    <row r="85" spans="6:6">
      <c r="F85"/>
    </row>
    <row r="86" spans="6:6">
      <c r="F86"/>
    </row>
    <row r="87" spans="6:6">
      <c r="F87"/>
    </row>
    <row r="88" spans="6:6">
      <c r="F88"/>
    </row>
    <row r="89" spans="6:6">
      <c r="F89"/>
    </row>
    <row r="90" spans="6:6">
      <c r="F90"/>
    </row>
    <row r="91" spans="6:6">
      <c r="F91"/>
    </row>
    <row r="92" spans="6:6">
      <c r="F92"/>
    </row>
    <row r="93" spans="6:6">
      <c r="F93"/>
    </row>
    <row r="94" spans="6:6">
      <c r="F94"/>
    </row>
    <row r="95" spans="6:6">
      <c r="F95"/>
    </row>
    <row r="96" spans="6:6">
      <c r="F96"/>
    </row>
    <row r="97" spans="6:6">
      <c r="F97"/>
    </row>
    <row r="98" spans="6:6">
      <c r="F98"/>
    </row>
    <row r="99" spans="6:6">
      <c r="F99"/>
    </row>
    <row r="100" spans="6:6">
      <c r="F100"/>
    </row>
    <row r="101" spans="6:6">
      <c r="F101"/>
    </row>
    <row r="102" spans="6:6">
      <c r="F102"/>
    </row>
    <row r="103" spans="6:6">
      <c r="F103"/>
    </row>
    <row r="104" spans="6:6">
      <c r="F104"/>
    </row>
    <row r="105" spans="6:6">
      <c r="F105"/>
    </row>
    <row r="106" spans="6:6">
      <c r="F106"/>
    </row>
    <row r="107" spans="6:6">
      <c r="F107"/>
    </row>
    <row r="108" spans="6:6">
      <c r="F108"/>
    </row>
    <row r="109" spans="6:6">
      <c r="F109"/>
    </row>
    <row r="110" spans="6:6">
      <c r="F110"/>
    </row>
    <row r="111" spans="6:6">
      <c r="F111"/>
    </row>
    <row r="112" spans="6:6">
      <c r="F112"/>
    </row>
    <row r="113" spans="6:6">
      <c r="F113"/>
    </row>
    <row r="114" spans="6:6">
      <c r="F114"/>
    </row>
    <row r="115" spans="6:6">
      <c r="F115"/>
    </row>
    <row r="116" spans="6:6">
      <c r="F116"/>
    </row>
    <row r="117" spans="6:6">
      <c r="F117"/>
    </row>
    <row r="118" spans="6:6">
      <c r="F118"/>
    </row>
    <row r="119" spans="6:6">
      <c r="F119"/>
    </row>
    <row r="120" spans="6:6">
      <c r="F120"/>
    </row>
    <row r="121" spans="6:6">
      <c r="F121"/>
    </row>
    <row r="122" spans="6:6">
      <c r="F122"/>
    </row>
    <row r="123" spans="6:6">
      <c r="F123"/>
    </row>
    <row r="124" spans="6:6">
      <c r="F124"/>
    </row>
    <row r="125" spans="6:6">
      <c r="F125"/>
    </row>
    <row r="126" spans="6:6">
      <c r="F126"/>
    </row>
    <row r="127" spans="6:6">
      <c r="F127"/>
    </row>
    <row r="128" spans="6:6">
      <c r="F128"/>
    </row>
    <row r="129" spans="6:6">
      <c r="F129"/>
    </row>
    <row r="130" spans="6:6">
      <c r="F130"/>
    </row>
    <row r="131" spans="6:6">
      <c r="F131"/>
    </row>
    <row r="132" spans="6:6">
      <c r="F132"/>
    </row>
    <row r="133" spans="6:6">
      <c r="F133"/>
    </row>
    <row r="134" spans="6:6">
      <c r="F134"/>
    </row>
    <row r="135" spans="6:6">
      <c r="F135"/>
    </row>
    <row r="136" spans="6:6">
      <c r="F136"/>
    </row>
    <row r="137" spans="6:6">
      <c r="F137"/>
    </row>
    <row r="138" spans="6:6">
      <c r="F138"/>
    </row>
    <row r="139" spans="6:6">
      <c r="F139"/>
    </row>
    <row r="140" spans="6:6">
      <c r="F140"/>
    </row>
    <row r="141" spans="6:6">
      <c r="F141"/>
    </row>
    <row r="142" spans="6:6">
      <c r="F142"/>
    </row>
    <row r="143" spans="6:6">
      <c r="F143"/>
    </row>
    <row r="144" spans="6:6">
      <c r="F144"/>
    </row>
    <row r="145" spans="6:6">
      <c r="F145"/>
    </row>
    <row r="146" spans="6:6">
      <c r="F146"/>
    </row>
    <row r="147" spans="6:6">
      <c r="F147"/>
    </row>
    <row r="148" spans="6:6">
      <c r="F148"/>
    </row>
    <row r="149" spans="6:6">
      <c r="F149"/>
    </row>
    <row r="150" spans="6:6">
      <c r="F150"/>
    </row>
    <row r="151" spans="6:6">
      <c r="F151"/>
    </row>
    <row r="152" spans="6:6">
      <c r="F152"/>
    </row>
    <row r="153" spans="6:6">
      <c r="F153"/>
    </row>
    <row r="154" spans="6:6">
      <c r="F154"/>
    </row>
    <row r="155" spans="6:6">
      <c r="F155"/>
    </row>
    <row r="156" spans="6:6">
      <c r="F156"/>
    </row>
    <row r="157" spans="6:6">
      <c r="F157"/>
    </row>
    <row r="158" spans="6:6">
      <c r="F158"/>
    </row>
    <row r="159" spans="6:6">
      <c r="F159"/>
    </row>
    <row r="160" spans="6:6">
      <c r="F160"/>
    </row>
    <row r="161" spans="6:6">
      <c r="F161"/>
    </row>
    <row r="162" spans="6:6">
      <c r="F162"/>
    </row>
    <row r="163" spans="6:6">
      <c r="F163"/>
    </row>
    <row r="164" spans="6:6">
      <c r="F164"/>
    </row>
    <row r="165" spans="6:6">
      <c r="F165"/>
    </row>
    <row r="166" spans="6:6">
      <c r="F166"/>
    </row>
    <row r="167" spans="6:6">
      <c r="F167"/>
    </row>
    <row r="168" spans="6:6">
      <c r="F168"/>
    </row>
    <row r="169" spans="6:6">
      <c r="F169"/>
    </row>
    <row r="170" spans="6:6">
      <c r="F170"/>
    </row>
    <row r="171" spans="6:6">
      <c r="F171"/>
    </row>
    <row r="172" spans="6:6">
      <c r="F172"/>
    </row>
    <row r="173" spans="6:6">
      <c r="F173"/>
    </row>
    <row r="174" spans="6:6">
      <c r="F174"/>
    </row>
    <row r="175" spans="6:6">
      <c r="F175"/>
    </row>
    <row r="176" spans="6:6">
      <c r="F176"/>
    </row>
    <row r="177" spans="6:6">
      <c r="F177"/>
    </row>
    <row r="178" spans="6:6">
      <c r="F178"/>
    </row>
    <row r="179" spans="6:6">
      <c r="F179"/>
    </row>
    <row r="180" spans="6:6">
      <c r="F180"/>
    </row>
    <row r="181" spans="6:6">
      <c r="F181"/>
    </row>
    <row r="182" spans="6:6">
      <c r="F182"/>
    </row>
    <row r="183" spans="6:6">
      <c r="F183"/>
    </row>
    <row r="184" spans="6:6">
      <c r="F184"/>
    </row>
    <row r="185" spans="6:6">
      <c r="F185"/>
    </row>
    <row r="186" spans="6:6">
      <c r="F186"/>
    </row>
    <row r="187" spans="6:6">
      <c r="F187"/>
    </row>
    <row r="188" spans="6:6">
      <c r="F188"/>
    </row>
    <row r="189" spans="6:6">
      <c r="F189"/>
    </row>
    <row r="190" spans="6:6">
      <c r="F190"/>
    </row>
    <row r="191" spans="6:6">
      <c r="F191"/>
    </row>
    <row r="192" spans="6:6">
      <c r="F192"/>
    </row>
    <row r="193" spans="6:13">
      <c r="F193"/>
    </row>
    <row r="194" spans="6:13">
      <c r="F194"/>
    </row>
    <row r="195" spans="6:13">
      <c r="F195"/>
    </row>
    <row r="196" spans="6:13">
      <c r="F196"/>
    </row>
    <row r="197" spans="6:13">
      <c r="F197"/>
    </row>
    <row r="198" spans="6:13">
      <c r="F198"/>
    </row>
    <row r="199" spans="6:13">
      <c r="F199"/>
    </row>
    <row r="200" spans="6:13">
      <c r="F200"/>
    </row>
    <row r="201" spans="6:13">
      <c r="F201"/>
    </row>
    <row r="202" spans="6:13">
      <c r="F202"/>
    </row>
    <row r="203" spans="6:13">
      <c r="F203"/>
    </row>
    <row r="204" spans="6:13">
      <c r="F204"/>
    </row>
    <row r="205" spans="6:13">
      <c r="F205"/>
    </row>
    <row r="206" spans="6:13">
      <c r="F206"/>
      <c r="G206" s="2" t="s">
        <v>3031</v>
      </c>
      <c r="I206" s="1">
        <v>1104</v>
      </c>
      <c r="K206" s="1">
        <v>300</v>
      </c>
      <c r="M206" s="1">
        <v>980</v>
      </c>
    </row>
    <row r="207" spans="6:13">
      <c r="F207"/>
      <c r="K207" s="1">
        <f>K$206</f>
        <v>300</v>
      </c>
    </row>
    <row r="208" spans="6:13">
      <c r="F208"/>
      <c r="I208" s="1">
        <f>M206-pelmet</f>
        <v>961</v>
      </c>
      <c r="K208" s="1">
        <f>K$206</f>
        <v>300</v>
      </c>
    </row>
    <row r="209" spans="6:16">
      <c r="F209"/>
      <c r="K209" s="1">
        <f>K$206</f>
        <v>300</v>
      </c>
    </row>
    <row r="210" spans="6:16">
      <c r="F210"/>
      <c r="K210" s="1">
        <f>K$206</f>
        <v>300</v>
      </c>
    </row>
    <row r="211" spans="6:16">
      <c r="F211"/>
      <c r="I211" s="1">
        <f>M206-22-pelmet</f>
        <v>939</v>
      </c>
    </row>
    <row r="212" spans="6:16">
      <c r="F212"/>
      <c r="I212" s="459">
        <f>ROUNDDOWN(M206-M209-M210-pelmet,0)</f>
        <v>961</v>
      </c>
      <c r="K212" s="1">
        <v>200</v>
      </c>
    </row>
    <row r="213" spans="6:16">
      <c r="F213"/>
    </row>
    <row r="214" spans="6:16">
      <c r="F214"/>
      <c r="K214" s="1">
        <f>+K206-amhcptr</f>
        <v>275</v>
      </c>
      <c r="O214">
        <v>3</v>
      </c>
      <c r="P214">
        <f>+O214*P206</f>
        <v>0</v>
      </c>
    </row>
    <row r="215" spans="6:16">
      <c r="F215"/>
    </row>
    <row r="216" spans="6:16">
      <c r="F216"/>
      <c r="I216" s="1">
        <f>+M206</f>
        <v>980</v>
      </c>
      <c r="K216" s="1" t="e">
        <f>+((I206-K212)/O216)-nat-nat</f>
        <v>#DIV/0!</v>
      </c>
      <c r="P216">
        <f>+O216*P206</f>
        <v>0</v>
      </c>
    </row>
    <row r="217" spans="6:16">
      <c r="F217"/>
    </row>
    <row r="218" spans="6:16">
      <c r="F218"/>
    </row>
    <row r="219" spans="6:16">
      <c r="F219"/>
    </row>
    <row r="220" spans="6:16">
      <c r="F220"/>
      <c r="G220" s="2" t="s">
        <v>3032</v>
      </c>
      <c r="I220" s="1">
        <v>1104</v>
      </c>
      <c r="K220" s="1">
        <v>300</v>
      </c>
      <c r="M220" s="1">
        <v>424</v>
      </c>
    </row>
    <row r="221" spans="6:16">
      <c r="F221"/>
    </row>
    <row r="222" spans="6:16">
      <c r="F222"/>
    </row>
    <row r="226" spans="5:16">
      <c r="I226" s="459">
        <f>ROUNDDOWN(M220-M223-M224,0)</f>
        <v>424</v>
      </c>
      <c r="K226" s="1">
        <v>200</v>
      </c>
    </row>
    <row r="228" spans="5:16">
      <c r="F228"/>
    </row>
    <row r="229" spans="5:16">
      <c r="F229"/>
    </row>
    <row r="230" spans="5:16">
      <c r="E230" t="s">
        <v>2662</v>
      </c>
      <c r="F230"/>
      <c r="I230" s="1">
        <f>+M220-2</f>
        <v>422</v>
      </c>
      <c r="K230" s="1" t="e">
        <f>+((I220-K226)/O230)-nat-nat</f>
        <v>#DIV/0!</v>
      </c>
      <c r="P230">
        <f>+O230*P220</f>
        <v>0</v>
      </c>
    </row>
    <row r="231" spans="5:16">
      <c r="F231"/>
    </row>
    <row r="232" spans="5:16">
      <c r="F232"/>
    </row>
    <row r="233" spans="5:16">
      <c r="F233"/>
      <c r="G233" s="2" t="s">
        <v>3033</v>
      </c>
      <c r="I233" s="1">
        <v>904</v>
      </c>
      <c r="K233" s="1">
        <v>300</v>
      </c>
      <c r="M233" s="1">
        <v>880</v>
      </c>
    </row>
    <row r="238" spans="5:16">
      <c r="I238" s="1">
        <f>+M233-50-22</f>
        <v>808</v>
      </c>
    </row>
    <row r="240" spans="5:16">
      <c r="I240" s="459">
        <f>ROUNDDOWN(M233-M236-M237-50-tol,0)</f>
        <v>829</v>
      </c>
    </row>
    <row r="242" spans="5:16">
      <c r="F242"/>
    </row>
    <row r="243" spans="5:16">
      <c r="F243"/>
    </row>
    <row r="244" spans="5:16">
      <c r="E244" t="s">
        <v>2663</v>
      </c>
      <c r="F244"/>
      <c r="I244" s="1">
        <f>+M233-Nat_FC</f>
        <v>850</v>
      </c>
      <c r="K244" s="1" t="e">
        <f>+((I233)/O244)-nat-nat</f>
        <v>#DIV/0!</v>
      </c>
      <c r="P244">
        <f>+O244*P233</f>
        <v>0</v>
      </c>
    </row>
    <row r="245" spans="5:16">
      <c r="F245"/>
    </row>
    <row r="246" spans="5:16">
      <c r="F246"/>
    </row>
    <row r="247" spans="5:16">
      <c r="F247"/>
      <c r="G247" s="2" t="s">
        <v>3033</v>
      </c>
      <c r="I247" s="1">
        <v>904</v>
      </c>
      <c r="K247" s="1">
        <v>300</v>
      </c>
      <c r="M247" s="1">
        <v>424</v>
      </c>
    </row>
    <row r="252" spans="5:16">
      <c r="I252" s="1">
        <f>+M247-22</f>
        <v>402</v>
      </c>
    </row>
    <row r="254" spans="5:16">
      <c r="I254" s="459">
        <f>ROUNDDOWN(M247-M250-M251-tol,0)</f>
        <v>423</v>
      </c>
    </row>
    <row r="256" spans="5:16">
      <c r="F256"/>
    </row>
    <row r="257" spans="5:16">
      <c r="F257"/>
    </row>
    <row r="258" spans="5:16">
      <c r="E258" t="s">
        <v>2663</v>
      </c>
      <c r="F258"/>
      <c r="I258" s="1">
        <f>+M247-2</f>
        <v>422</v>
      </c>
      <c r="K258" s="1" t="e">
        <f>+((I247)/O258)-nat-nat</f>
        <v>#DIV/0!</v>
      </c>
      <c r="P258">
        <f>+O258*P247</f>
        <v>0</v>
      </c>
    </row>
    <row r="259" spans="5:16">
      <c r="F259"/>
    </row>
    <row r="260" spans="5:16">
      <c r="F260"/>
    </row>
    <row r="261" spans="5:16">
      <c r="F261"/>
      <c r="G261" s="2" t="s">
        <v>3033</v>
      </c>
      <c r="I261" s="1">
        <v>904</v>
      </c>
      <c r="K261" s="1">
        <v>300</v>
      </c>
      <c r="M261" s="1">
        <v>980</v>
      </c>
    </row>
    <row r="262" spans="5:16">
      <c r="F262"/>
    </row>
    <row r="263" spans="5:16">
      <c r="F263"/>
    </row>
    <row r="264" spans="5:16">
      <c r="F264"/>
    </row>
    <row r="265" spans="5:16">
      <c r="F265"/>
    </row>
    <row r="266" spans="5:16">
      <c r="F266"/>
    </row>
    <row r="267" spans="5:16">
      <c r="F267"/>
    </row>
    <row r="268" spans="5:16">
      <c r="F268"/>
    </row>
    <row r="269" spans="5:16">
      <c r="F269"/>
    </row>
    <row r="270" spans="5:16">
      <c r="F270"/>
    </row>
    <row r="271" spans="5:16">
      <c r="F271"/>
    </row>
    <row r="272" spans="5:16">
      <c r="F272"/>
    </row>
    <row r="273" spans="6:6">
      <c r="F273"/>
    </row>
    <row r="274" spans="6:6">
      <c r="F274"/>
    </row>
    <row r="275" spans="6:6">
      <c r="F275"/>
    </row>
    <row r="276" spans="6:6">
      <c r="F276"/>
    </row>
    <row r="277" spans="6:6">
      <c r="F277"/>
    </row>
    <row r="278" spans="6:6">
      <c r="F278"/>
    </row>
    <row r="279" spans="6:6">
      <c r="F279"/>
    </row>
    <row r="280" spans="6:6">
      <c r="F280"/>
    </row>
    <row r="281" spans="6:6">
      <c r="F281"/>
    </row>
    <row r="282" spans="6:6">
      <c r="F282"/>
    </row>
    <row r="283" spans="6:6">
      <c r="F283"/>
    </row>
    <row r="284" spans="6:6">
      <c r="F284"/>
    </row>
    <row r="285" spans="6:6">
      <c r="F285"/>
    </row>
    <row r="286" spans="6:6">
      <c r="F286"/>
    </row>
    <row r="287" spans="6:6">
      <c r="F287"/>
    </row>
    <row r="288" spans="6:6">
      <c r="F288"/>
    </row>
    <row r="289" spans="6:6">
      <c r="F289"/>
    </row>
    <row r="290" spans="6:6">
      <c r="F290"/>
    </row>
    <row r="291" spans="6:6">
      <c r="F291"/>
    </row>
    <row r="292" spans="6:6">
      <c r="F292"/>
    </row>
    <row r="293" spans="6:6">
      <c r="F293"/>
    </row>
    <row r="294" spans="6:6">
      <c r="F294"/>
    </row>
    <row r="295" spans="6:6">
      <c r="F295"/>
    </row>
    <row r="296" spans="6:6">
      <c r="F296"/>
    </row>
    <row r="297" spans="6:6">
      <c r="F297"/>
    </row>
    <row r="298" spans="6:6">
      <c r="F298"/>
    </row>
    <row r="299" spans="6:6">
      <c r="F299"/>
    </row>
    <row r="300" spans="6:6">
      <c r="F300"/>
    </row>
    <row r="301" spans="6:6">
      <c r="F301"/>
    </row>
    <row r="302" spans="6:6">
      <c r="F302"/>
    </row>
    <row r="303" spans="6:6">
      <c r="F303"/>
    </row>
    <row r="304" spans="6:6">
      <c r="F304"/>
    </row>
    <row r="305" spans="6:6">
      <c r="F305"/>
    </row>
    <row r="306" spans="6:6">
      <c r="F306"/>
    </row>
    <row r="307" spans="6:6">
      <c r="F307"/>
    </row>
    <row r="308" spans="6:6">
      <c r="F308"/>
    </row>
    <row r="309" spans="6:6">
      <c r="F309"/>
    </row>
    <row r="310" spans="6:6">
      <c r="F310"/>
    </row>
    <row r="311" spans="6:6">
      <c r="F311"/>
    </row>
    <row r="312" spans="6:6">
      <c r="F312"/>
    </row>
    <row r="313" spans="6:6">
      <c r="F313"/>
    </row>
    <row r="314" spans="6:6">
      <c r="F314"/>
    </row>
    <row r="315" spans="6:6">
      <c r="F315"/>
    </row>
    <row r="316" spans="6:6">
      <c r="F316"/>
    </row>
    <row r="317" spans="6:6">
      <c r="F317"/>
    </row>
    <row r="318" spans="6:6">
      <c r="F318"/>
    </row>
    <row r="319" spans="6:6">
      <c r="F319"/>
    </row>
    <row r="320" spans="6:6">
      <c r="F320"/>
    </row>
    <row r="321" spans="6:6">
      <c r="F321"/>
    </row>
    <row r="322" spans="6:6">
      <c r="F322"/>
    </row>
    <row r="323" spans="6:6">
      <c r="F323"/>
    </row>
    <row r="324" spans="6:6">
      <c r="F324"/>
    </row>
    <row r="325" spans="6:6">
      <c r="F325"/>
    </row>
    <row r="326" spans="6:6">
      <c r="F326"/>
    </row>
    <row r="327" spans="6:6">
      <c r="F327"/>
    </row>
    <row r="328" spans="6:6">
      <c r="F328"/>
    </row>
    <row r="329" spans="6:6">
      <c r="F329"/>
    </row>
    <row r="330" spans="6:6">
      <c r="F330"/>
    </row>
    <row r="331" spans="6:6">
      <c r="F331"/>
    </row>
    <row r="332" spans="6:6">
      <c r="F332"/>
    </row>
    <row r="333" spans="6:6">
      <c r="F333"/>
    </row>
    <row r="334" spans="6:6">
      <c r="F334"/>
    </row>
    <row r="335" spans="6:6">
      <c r="F335"/>
    </row>
    <row r="336" spans="6:6">
      <c r="F336"/>
    </row>
    <row r="337" spans="6:6">
      <c r="F337"/>
    </row>
    <row r="338" spans="6:6">
      <c r="F338"/>
    </row>
    <row r="339" spans="6:6">
      <c r="F339"/>
    </row>
    <row r="340" spans="6:6">
      <c r="F340"/>
    </row>
    <row r="341" spans="6:6">
      <c r="F341"/>
    </row>
    <row r="342" spans="6:6">
      <c r="F342"/>
    </row>
    <row r="343" spans="6:6">
      <c r="F343"/>
    </row>
    <row r="344" spans="6:6">
      <c r="F344"/>
    </row>
    <row r="345" spans="6:6">
      <c r="F345"/>
    </row>
    <row r="346" spans="6:6">
      <c r="F346"/>
    </row>
    <row r="347" spans="6:6">
      <c r="F347"/>
    </row>
    <row r="348" spans="6:6">
      <c r="F348"/>
    </row>
    <row r="349" spans="6:6">
      <c r="F349"/>
    </row>
    <row r="350" spans="6:6">
      <c r="F350"/>
    </row>
    <row r="351" spans="6:6">
      <c r="F351"/>
    </row>
    <row r="352" spans="6:6">
      <c r="F352"/>
    </row>
    <row r="353" spans="6:6">
      <c r="F353"/>
    </row>
    <row r="354" spans="6:6">
      <c r="F354"/>
    </row>
    <row r="355" spans="6:6">
      <c r="F355"/>
    </row>
    <row r="356" spans="6:6">
      <c r="F356"/>
    </row>
    <row r="357" spans="6:6">
      <c r="F357"/>
    </row>
    <row r="358" spans="6:6">
      <c r="F358"/>
    </row>
    <row r="359" spans="6:6">
      <c r="F359"/>
    </row>
    <row r="5110" spans="9:9">
      <c r="I5110" s="459">
        <f>ROUNDDOWN(M5104-M5107-M5108,0)</f>
        <v>0</v>
      </c>
    </row>
  </sheetData>
  <sortState xmlns:xlrd2="http://schemas.microsoft.com/office/spreadsheetml/2017/richdata2" ref="B13:F47">
    <sortCondition ref="B15"/>
  </sortState>
  <mergeCells count="8">
    <mergeCell ref="A1:H1"/>
    <mergeCell ref="B15:B20"/>
    <mergeCell ref="B21:B24"/>
    <mergeCell ref="B27:B28"/>
    <mergeCell ref="B29:B30"/>
    <mergeCell ref="B32:E32"/>
    <mergeCell ref="D15:D28"/>
    <mergeCell ref="D29:D31"/>
  </mergeCells>
  <pageMargins left="0.1" right="0.1" top="0.5" bottom="0.1" header="0.25" footer="0.25"/>
  <pageSetup orientation="portrait" horizontalDpi="240" verticalDpi="144" r:id="rId2"/>
  <headerFooter>
    <oddHeader>&amp;L&amp;F</oddHeader>
  </headerFooter>
  <colBreaks count="1" manualBreakCount="1">
    <brk id="8" max="1048575" man="1"/>
  </colBreaks>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5"/>
  <dimension ref="A1:IS405"/>
  <sheetViews>
    <sheetView view="pageBreakPreview" zoomScale="85" zoomScaleNormal="55" zoomScaleSheetLayoutView="85" workbookViewId="0">
      <pane ySplit="14" topLeftCell="A15" activePane="bottomLeft" state="frozen"/>
      <selection activeCell="CE12" sqref="CE12:CE953"/>
      <selection pane="bottomLeft" activeCell="H32" sqref="H32"/>
    </sheetView>
  </sheetViews>
  <sheetFormatPr baseColWidth="10" defaultColWidth="9" defaultRowHeight="16"/>
  <cols>
    <col min="1" max="1" width="4" style="1" customWidth="1"/>
    <col min="2" max="2" width="39.1640625" customWidth="1"/>
    <col min="3" max="3" width="16.6640625" customWidth="1"/>
    <col min="4" max="5" width="4.6640625" customWidth="1"/>
    <col min="6" max="6" width="4.6640625" style="1" customWidth="1"/>
    <col min="7" max="7" width="4.6640625" style="2" customWidth="1"/>
    <col min="8" max="8" width="16.6640625" style="1" customWidth="1"/>
    <col min="9" max="9" width="6.83203125" customWidth="1"/>
    <col min="10" max="10" width="1.6640625" customWidth="1"/>
    <col min="11" max="11" width="6.83203125" customWidth="1"/>
    <col min="12" max="12" width="1.6640625" customWidth="1"/>
    <col min="13" max="13" width="6.83203125" customWidth="1"/>
    <col min="14" max="14" width="9" customWidth="1"/>
  </cols>
  <sheetData>
    <row r="1" spans="1:253" ht="20">
      <c r="A1" s="866" t="s">
        <v>3204</v>
      </c>
      <c r="B1" s="866"/>
      <c r="C1" s="866"/>
      <c r="D1" s="866"/>
      <c r="E1" s="866"/>
      <c r="F1" s="866"/>
      <c r="G1" s="866"/>
      <c r="H1" s="866"/>
      <c r="I1" s="360" t="s">
        <v>1766</v>
      </c>
      <c r="J1" s="143"/>
      <c r="K1" s="360" t="s">
        <v>1756</v>
      </c>
      <c r="L1" s="143"/>
      <c r="M1" s="360" t="s">
        <v>1749</v>
      </c>
      <c r="N1" s="42"/>
      <c r="O1" s="360" t="s">
        <v>2362</v>
      </c>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c r="II1" s="42"/>
      <c r="IJ1" s="42"/>
      <c r="IK1" s="42"/>
      <c r="IL1" s="42"/>
      <c r="IM1" s="42"/>
      <c r="IN1" s="42"/>
      <c r="IO1" s="42"/>
      <c r="IP1" s="42"/>
      <c r="IQ1" s="42"/>
      <c r="IR1" s="42"/>
      <c r="IS1" s="42"/>
    </row>
    <row r="2" spans="1:253" ht="18">
      <c r="A2" s="3"/>
      <c r="B2" s="53" t="s">
        <v>1658</v>
      </c>
      <c r="C2" s="5"/>
      <c r="D2" s="5"/>
      <c r="E2" s="5"/>
      <c r="F2" s="5"/>
      <c r="G2" s="5"/>
      <c r="H2" s="6"/>
      <c r="I2" s="43"/>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row>
    <row r="3" spans="1:253">
      <c r="A3" s="7" t="s">
        <v>327</v>
      </c>
      <c r="B3" s="18"/>
      <c r="C3" s="8" t="str">
        <f>No_proyek</f>
        <v>RZ0458</v>
      </c>
      <c r="D3" s="9"/>
      <c r="E3" s="9"/>
      <c r="F3" s="10"/>
      <c r="G3" s="11" t="s">
        <v>2173</v>
      </c>
      <c r="H3" s="12"/>
      <c r="I3" s="16"/>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c r="II3" s="42"/>
      <c r="IJ3" s="42"/>
      <c r="IK3" s="42"/>
      <c r="IL3" s="42"/>
      <c r="IM3" s="42"/>
      <c r="IN3" s="42"/>
      <c r="IO3" s="42"/>
      <c r="IP3" s="42"/>
      <c r="IQ3" s="42"/>
      <c r="IR3" s="42"/>
      <c r="IS3" s="42"/>
    </row>
    <row r="4" spans="1:253">
      <c r="A4" s="7" t="s">
        <v>2174</v>
      </c>
      <c r="B4" s="18"/>
      <c r="C4" s="8" t="str">
        <f>no_kontrak</f>
        <v>127/RK-RL-PI/PAP-LL/XII/2025</v>
      </c>
      <c r="D4" s="9"/>
      <c r="E4" s="9"/>
      <c r="F4" s="366"/>
      <c r="G4" s="421" t="str">
        <f>IF(Spek!$D$7="√","√","")</f>
        <v/>
      </c>
      <c r="H4" s="13" t="s">
        <v>1509</v>
      </c>
      <c r="I4" s="16"/>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row>
    <row r="5" spans="1:253">
      <c r="A5" s="14" t="s">
        <v>1508</v>
      </c>
      <c r="B5" s="66"/>
      <c r="C5" s="8" t="str">
        <f>nip</f>
        <v>25LL017MPC</v>
      </c>
      <c r="D5" s="9"/>
      <c r="E5" s="9"/>
      <c r="F5" s="9"/>
      <c r="G5" s="421" t="str">
        <f>IF(Spek!$D$8="√","√","")</f>
        <v>√</v>
      </c>
      <c r="H5" s="15" t="s">
        <v>1511</v>
      </c>
      <c r="I5" s="17" t="s">
        <v>2175</v>
      </c>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c r="II5" s="42"/>
      <c r="IJ5" s="42"/>
      <c r="IK5" s="42"/>
      <c r="IL5" s="42"/>
      <c r="IM5" s="42"/>
      <c r="IN5" s="42"/>
      <c r="IO5" s="42"/>
      <c r="IP5" s="42"/>
      <c r="IQ5" s="42"/>
      <c r="IR5" s="42"/>
      <c r="IS5" s="42"/>
    </row>
    <row r="6" spans="1:253">
      <c r="A6" s="7" t="s">
        <v>2176</v>
      </c>
      <c r="B6" s="18"/>
      <c r="C6" s="8" t="str">
        <f>nama_proyek</f>
        <v>PT Malindo Feedmill Tbk-Dry Pantry</v>
      </c>
      <c r="D6" s="9"/>
      <c r="E6" s="9"/>
      <c r="F6" s="16"/>
      <c r="G6" s="17"/>
      <c r="H6" s="18"/>
      <c r="I6" s="17" t="s">
        <v>2177</v>
      </c>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42"/>
      <c r="IS6" s="42"/>
    </row>
    <row r="7" spans="1:253">
      <c r="A7" s="7" t="s">
        <v>2178</v>
      </c>
      <c r="B7" s="18"/>
      <c r="C7" s="19">
        <f>tgl</f>
        <v>46163</v>
      </c>
      <c r="D7" s="20"/>
      <c r="E7" s="21"/>
      <c r="F7" s="22"/>
      <c r="G7" s="23" t="s">
        <v>2259</v>
      </c>
      <c r="H7" s="18"/>
      <c r="I7" s="17"/>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2"/>
      <c r="EH7" s="42"/>
      <c r="EI7" s="42"/>
      <c r="EJ7" s="42"/>
      <c r="EK7" s="42"/>
      <c r="EL7" s="42"/>
      <c r="EM7" s="42"/>
      <c r="EN7" s="42"/>
      <c r="EO7" s="42"/>
      <c r="EP7" s="42"/>
      <c r="EQ7" s="42"/>
      <c r="ER7" s="42"/>
      <c r="ES7" s="42"/>
      <c r="ET7" s="42"/>
      <c r="EU7" s="42"/>
      <c r="EV7" s="42"/>
      <c r="EW7" s="42"/>
      <c r="EX7" s="42"/>
      <c r="EY7" s="42"/>
      <c r="EZ7" s="42"/>
      <c r="FA7" s="42"/>
      <c r="FB7" s="42"/>
      <c r="FC7" s="42"/>
      <c r="FD7" s="42"/>
      <c r="FE7" s="42"/>
      <c r="FF7" s="42"/>
      <c r="FG7" s="42"/>
      <c r="FH7" s="42"/>
      <c r="FI7" s="42"/>
      <c r="FJ7" s="42"/>
      <c r="FK7" s="42"/>
      <c r="FL7" s="42"/>
      <c r="FM7" s="42"/>
      <c r="FN7" s="42"/>
      <c r="FO7" s="42"/>
      <c r="FP7" s="42"/>
      <c r="FQ7" s="42"/>
      <c r="FR7" s="42"/>
      <c r="FS7" s="42"/>
      <c r="FT7" s="42"/>
      <c r="FU7" s="42"/>
      <c r="FV7" s="42"/>
      <c r="FW7" s="42"/>
      <c r="FX7" s="42"/>
      <c r="FY7" s="42"/>
      <c r="FZ7" s="42"/>
      <c r="GA7" s="42"/>
      <c r="GB7" s="42"/>
      <c r="GC7" s="42"/>
      <c r="GD7" s="42"/>
      <c r="GE7" s="42"/>
      <c r="GF7" s="42"/>
      <c r="GG7" s="42"/>
      <c r="GH7" s="42"/>
      <c r="GI7" s="42"/>
      <c r="GJ7" s="42"/>
      <c r="GK7" s="42"/>
      <c r="GL7" s="42"/>
      <c r="GM7" s="42"/>
      <c r="GN7" s="42"/>
      <c r="GO7" s="42"/>
      <c r="GP7" s="42"/>
      <c r="GQ7" s="42"/>
      <c r="GR7" s="42"/>
      <c r="GS7" s="42"/>
      <c r="GT7" s="42"/>
      <c r="GU7" s="42"/>
      <c r="GV7" s="42"/>
      <c r="GW7" s="42"/>
      <c r="GX7" s="42"/>
      <c r="GY7" s="42"/>
      <c r="GZ7" s="42"/>
      <c r="HA7" s="42"/>
      <c r="HB7" s="42"/>
      <c r="HC7" s="42"/>
      <c r="HD7" s="42"/>
      <c r="HE7" s="42"/>
      <c r="HF7" s="42"/>
      <c r="HG7" s="42"/>
      <c r="HH7" s="42"/>
      <c r="HI7" s="42"/>
      <c r="HJ7" s="42"/>
      <c r="HK7" s="42"/>
      <c r="HL7" s="42"/>
      <c r="HM7" s="42"/>
      <c r="HN7" s="42"/>
      <c r="HO7" s="42"/>
      <c r="HP7" s="42"/>
      <c r="HQ7" s="42"/>
      <c r="HR7" s="42"/>
      <c r="HS7" s="42"/>
      <c r="HT7" s="42"/>
      <c r="HU7" s="42"/>
      <c r="HV7" s="42"/>
      <c r="HW7" s="42"/>
      <c r="HX7" s="42"/>
      <c r="HY7" s="42"/>
      <c r="HZ7" s="42"/>
      <c r="IA7" s="42"/>
      <c r="IB7" s="42"/>
      <c r="IC7" s="42"/>
      <c r="ID7" s="42"/>
      <c r="IE7" s="42"/>
      <c r="IF7" s="42"/>
      <c r="IG7" s="42"/>
      <c r="IH7" s="42"/>
      <c r="II7" s="42"/>
      <c r="IJ7" s="42"/>
      <c r="IK7" s="42"/>
      <c r="IL7" s="42"/>
      <c r="IM7" s="42"/>
      <c r="IN7" s="42"/>
      <c r="IO7" s="42"/>
      <c r="IP7" s="42"/>
      <c r="IQ7" s="42"/>
      <c r="IR7" s="42"/>
      <c r="IS7" s="42"/>
    </row>
    <row r="8" spans="1:253">
      <c r="A8" s="7" t="s">
        <v>2179</v>
      </c>
      <c r="B8" s="18"/>
      <c r="C8" s="24"/>
      <c r="D8" s="25"/>
      <c r="E8" s="26"/>
      <c r="F8" s="27"/>
      <c r="G8" s="421" t="str">
        <f>IF(Spek!$D$9="√","√","")</f>
        <v/>
      </c>
      <c r="H8" s="421" t="str">
        <f>IF(Spek!$D$10="√","√","")</f>
        <v>√</v>
      </c>
      <c r="I8" s="17"/>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c r="HP8" s="42"/>
      <c r="HQ8" s="42"/>
      <c r="HR8" s="42"/>
      <c r="HS8" s="42"/>
      <c r="HT8" s="42"/>
      <c r="HU8" s="42"/>
      <c r="HV8" s="42"/>
      <c r="HW8" s="42"/>
      <c r="HX8" s="42"/>
      <c r="HY8" s="42"/>
      <c r="HZ8" s="42"/>
      <c r="IA8" s="42"/>
      <c r="IB8" s="42"/>
      <c r="IC8" s="42"/>
      <c r="ID8" s="42"/>
      <c r="IE8" s="42"/>
      <c r="IF8" s="42"/>
      <c r="IG8" s="42"/>
      <c r="IH8" s="42"/>
      <c r="II8" s="42"/>
      <c r="IJ8" s="42"/>
      <c r="IK8" s="42"/>
      <c r="IL8" s="42"/>
      <c r="IM8" s="42"/>
      <c r="IN8" s="42"/>
      <c r="IO8" s="42"/>
      <c r="IP8" s="42"/>
      <c r="IQ8" s="42"/>
      <c r="IR8" s="42"/>
      <c r="IS8" s="42"/>
    </row>
    <row r="9" spans="1:253">
      <c r="A9" s="524" t="s">
        <v>2180</v>
      </c>
      <c r="B9" s="32"/>
      <c r="C9" s="8" t="str">
        <f>Estimator</f>
        <v>Fahrudin</v>
      </c>
      <c r="D9" s="9"/>
      <c r="E9" s="9"/>
      <c r="F9" s="16"/>
      <c r="G9" s="17"/>
      <c r="H9" s="12"/>
      <c r="I9" s="461" t="str">
        <f>CONCATENATE(,"(",koordinator,")","               ","(",ka_rakit,")","                 ","(",ka_panel,")","                 ","(",ka_QC,")","         ","(",koordinator,")")</f>
        <v>(Reza Pahlevi)               (Dedi Cahyadi)                 (Muchson Adie S)                 (Sukamto)         (Reza Pahlevi)</v>
      </c>
      <c r="J9" s="42"/>
      <c r="K9" s="42"/>
      <c r="L9" s="44"/>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2"/>
      <c r="DZ9" s="42"/>
      <c r="EA9" s="42"/>
      <c r="EB9" s="42"/>
      <c r="EC9" s="42"/>
      <c r="ED9" s="42"/>
      <c r="EE9" s="42"/>
      <c r="EF9" s="42"/>
      <c r="EG9" s="42"/>
      <c r="EH9" s="42"/>
      <c r="EI9" s="42"/>
      <c r="EJ9" s="42"/>
      <c r="EK9" s="42"/>
      <c r="EL9" s="42"/>
      <c r="EM9" s="42"/>
      <c r="EN9" s="42"/>
      <c r="EO9" s="42"/>
      <c r="EP9" s="42"/>
      <c r="EQ9" s="42"/>
      <c r="ER9" s="42"/>
      <c r="ES9" s="42"/>
      <c r="ET9" s="42"/>
      <c r="EU9" s="42"/>
      <c r="EV9" s="42"/>
      <c r="EW9" s="42"/>
      <c r="EX9" s="42"/>
      <c r="EY9" s="42"/>
      <c r="EZ9" s="42"/>
      <c r="FA9" s="42"/>
      <c r="FB9" s="42"/>
      <c r="FC9" s="42"/>
      <c r="FD9" s="42"/>
      <c r="FE9" s="42"/>
      <c r="FF9" s="42"/>
      <c r="FG9" s="42"/>
      <c r="FH9" s="42"/>
      <c r="FI9" s="42"/>
      <c r="FJ9" s="42"/>
      <c r="FK9" s="42"/>
      <c r="FL9" s="42"/>
      <c r="FM9" s="42"/>
      <c r="FN9" s="42"/>
      <c r="FO9" s="42"/>
      <c r="FP9" s="42"/>
      <c r="FQ9" s="42"/>
      <c r="FR9" s="42"/>
      <c r="FS9" s="42"/>
      <c r="FT9" s="42"/>
      <c r="FU9" s="42"/>
      <c r="FV9" s="42"/>
      <c r="FW9" s="42"/>
      <c r="FX9" s="42"/>
      <c r="FY9" s="42"/>
      <c r="FZ9" s="42"/>
      <c r="GA9" s="42"/>
      <c r="GB9" s="42"/>
      <c r="GC9" s="42"/>
      <c r="GD9" s="42"/>
      <c r="GE9" s="42"/>
      <c r="GF9" s="42"/>
      <c r="GG9" s="42"/>
      <c r="GH9" s="42"/>
      <c r="GI9" s="42"/>
      <c r="GJ9" s="42"/>
      <c r="GK9" s="42"/>
      <c r="GL9" s="42"/>
      <c r="GM9" s="42"/>
      <c r="GN9" s="42"/>
      <c r="GO9" s="42"/>
      <c r="GP9" s="42"/>
      <c r="GQ9" s="42"/>
      <c r="GR9" s="42"/>
      <c r="GS9" s="42"/>
      <c r="GT9" s="42"/>
      <c r="GU9" s="42"/>
      <c r="GV9" s="42"/>
      <c r="GW9" s="42"/>
      <c r="GX9" s="42"/>
      <c r="GY9" s="42"/>
      <c r="GZ9" s="42"/>
      <c r="HA9" s="42"/>
      <c r="HB9" s="42"/>
      <c r="HC9" s="42"/>
      <c r="HD9" s="42"/>
      <c r="HE9" s="42"/>
      <c r="HF9" s="42"/>
      <c r="HG9" s="42"/>
      <c r="HH9" s="42"/>
      <c r="HI9" s="42"/>
      <c r="HJ9" s="42"/>
      <c r="HK9" s="42"/>
      <c r="HL9" s="42"/>
      <c r="HM9" s="42"/>
      <c r="HN9" s="42"/>
      <c r="HO9" s="42"/>
      <c r="HP9" s="42"/>
      <c r="HQ9" s="42"/>
      <c r="HR9" s="42"/>
      <c r="HS9" s="42"/>
      <c r="HT9" s="42"/>
      <c r="HU9" s="42"/>
      <c r="HV9" s="42"/>
      <c r="HW9" s="42"/>
      <c r="HX9" s="42"/>
      <c r="HY9" s="42"/>
      <c r="HZ9" s="42"/>
      <c r="IA9" s="42"/>
      <c r="IB9" s="42"/>
      <c r="IC9" s="42"/>
      <c r="ID9" s="42"/>
      <c r="IE9" s="42"/>
      <c r="IF9" s="42"/>
      <c r="IG9" s="42"/>
      <c r="IH9" s="42"/>
      <c r="II9" s="42"/>
      <c r="IJ9" s="42"/>
      <c r="IK9" s="42"/>
      <c r="IL9" s="42"/>
      <c r="IM9" s="42"/>
      <c r="IN9" s="42"/>
      <c r="IO9" s="42"/>
      <c r="IP9" s="42"/>
      <c r="IQ9" s="42"/>
      <c r="IR9" s="42"/>
      <c r="IS9" s="42"/>
    </row>
    <row r="10" spans="1:253">
      <c r="A10" s="29" t="s">
        <v>2182</v>
      </c>
      <c r="B10" s="68"/>
      <c r="C10" s="30" t="str">
        <f>CONCATENATE("Kabinet"," ",bahan1," ",kabinet1," ",edgingkab1)</f>
        <v>Kabinet Ply HB_41130 Edg_Décor_1723_B</v>
      </c>
      <c r="D10" s="9"/>
      <c r="E10" s="9"/>
      <c r="F10" s="16"/>
      <c r="G10" s="17"/>
      <c r="H10" s="12"/>
      <c r="I10" s="17"/>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42"/>
      <c r="IS10" s="42"/>
    </row>
    <row r="11" spans="1:253">
      <c r="A11" s="29"/>
      <c r="B11" s="66"/>
      <c r="C11" s="30" t="str">
        <f>CONCATENATE("Pintu"," ",bahan5)</f>
        <v>Pintu Ply</v>
      </c>
      <c r="D11" s="9"/>
      <c r="E11" s="10"/>
      <c r="F11" s="16"/>
      <c r="G11" s="17"/>
      <c r="H11" s="359"/>
      <c r="I11" s="44"/>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c r="FJ11" s="42"/>
      <c r="FK11" s="42"/>
      <c r="FL11" s="42"/>
      <c r="FM11" s="42"/>
      <c r="FN11" s="42"/>
      <c r="FO11" s="42"/>
      <c r="FP11" s="42"/>
      <c r="FQ11" s="42"/>
      <c r="FR11" s="42"/>
      <c r="FS11" s="42"/>
      <c r="FT11" s="42"/>
      <c r="FU11" s="42"/>
      <c r="FV11" s="42"/>
      <c r="FW11" s="42"/>
      <c r="FX11" s="42"/>
      <c r="FY11" s="42"/>
      <c r="FZ11" s="42"/>
      <c r="GA11" s="42"/>
      <c r="GB11" s="42"/>
      <c r="GC11" s="42"/>
      <c r="GD11" s="42"/>
      <c r="GE11" s="42"/>
      <c r="GF11" s="42"/>
      <c r="GG11" s="42"/>
      <c r="GH11" s="42"/>
      <c r="GI11" s="42"/>
      <c r="GJ11" s="42"/>
      <c r="GK11" s="42"/>
      <c r="GL11" s="42"/>
      <c r="GM11" s="42"/>
      <c r="GN11" s="42"/>
      <c r="GO11" s="42"/>
      <c r="GP11" s="42"/>
      <c r="GQ11" s="42"/>
      <c r="GR11" s="42"/>
      <c r="GS11" s="42"/>
      <c r="GT11" s="42"/>
      <c r="GU11" s="42"/>
      <c r="GV11" s="42"/>
      <c r="GW11" s="42"/>
      <c r="GX11" s="42"/>
      <c r="GY11" s="42"/>
      <c r="GZ11" s="42"/>
      <c r="HA11" s="42"/>
      <c r="HB11" s="42"/>
      <c r="HC11" s="42"/>
      <c r="HD11" s="42"/>
      <c r="HE11" s="42"/>
      <c r="HF11" s="42"/>
      <c r="HG11" s="42"/>
      <c r="HH11" s="42"/>
      <c r="HI11" s="42"/>
      <c r="HJ11" s="42"/>
      <c r="HK11" s="42"/>
      <c r="HL11" s="42"/>
      <c r="HM11" s="42"/>
      <c r="HN11" s="42"/>
      <c r="HO11" s="42"/>
      <c r="HP11" s="42"/>
      <c r="HQ11" s="42"/>
      <c r="HR11" s="42"/>
      <c r="HS11" s="42"/>
      <c r="HT11" s="42"/>
      <c r="HU11" s="42"/>
      <c r="HV11" s="42"/>
      <c r="HW11" s="42"/>
      <c r="HX11" s="42"/>
      <c r="HY11" s="42"/>
      <c r="HZ11" s="42"/>
      <c r="IA11" s="42"/>
      <c r="IB11" s="42"/>
      <c r="IC11" s="42"/>
      <c r="ID11" s="42"/>
      <c r="IE11" s="42"/>
      <c r="IF11" s="42"/>
      <c r="IG11" s="42"/>
      <c r="IH11" s="42"/>
      <c r="II11" s="42"/>
      <c r="IJ11" s="42"/>
      <c r="IK11" s="42"/>
      <c r="IL11" s="42"/>
      <c r="IM11" s="42"/>
      <c r="IN11" s="42"/>
      <c r="IO11" s="42"/>
      <c r="IP11" s="42"/>
      <c r="IQ11" s="42"/>
      <c r="IR11" s="42"/>
      <c r="IS11" s="42"/>
    </row>
    <row r="12" spans="1:253">
      <c r="A12" s="33"/>
      <c r="B12" s="354"/>
      <c r="C12" s="34"/>
      <c r="D12" s="1"/>
      <c r="E12" s="1"/>
      <c r="G12"/>
      <c r="H12" s="185"/>
    </row>
    <row r="13" spans="1:253">
      <c r="A13" s="129"/>
      <c r="B13" s="926" t="s">
        <v>2923</v>
      </c>
      <c r="C13" s="927"/>
      <c r="D13" s="927"/>
      <c r="E13" s="927"/>
      <c r="F13" s="838"/>
      <c r="G13" s="355" t="s">
        <v>1506</v>
      </c>
      <c r="H13" s="493"/>
    </row>
    <row r="14" spans="1:253" ht="17">
      <c r="A14" s="485" t="s">
        <v>2135</v>
      </c>
      <c r="B14" s="840" t="s">
        <v>2157</v>
      </c>
      <c r="C14" s="837" t="s">
        <v>2138</v>
      </c>
      <c r="D14" s="837" t="s">
        <v>2134</v>
      </c>
      <c r="E14" s="837" t="s">
        <v>2133</v>
      </c>
      <c r="F14" s="838" t="s">
        <v>2220</v>
      </c>
      <c r="G14" s="484" t="s">
        <v>2184</v>
      </c>
      <c r="H14" s="494" t="s">
        <v>333</v>
      </c>
    </row>
    <row r="15" spans="1:253">
      <c r="A15" s="129"/>
      <c r="B15" s="872" t="s">
        <v>4768</v>
      </c>
      <c r="C15" s="841" t="s">
        <v>4769</v>
      </c>
      <c r="D15" s="864" t="s">
        <v>2166</v>
      </c>
      <c r="E15" s="841" t="s">
        <v>1745</v>
      </c>
      <c r="F15" s="930">
        <v>9</v>
      </c>
      <c r="G15" s="40"/>
      <c r="H15" s="129"/>
      <c r="I15" s="1" t="str">
        <f>LEFT(C15,4)</f>
        <v>2430</v>
      </c>
      <c r="J15" s="1" t="s">
        <v>2137</v>
      </c>
      <c r="K15" s="1" t="str">
        <f>MID(C15,7,4)</f>
        <v xml:space="preserve"> 55 </v>
      </c>
      <c r="L15" s="1" t="s">
        <v>2137</v>
      </c>
      <c r="M15" s="1" t="str">
        <f>RIGHT(C15,3)</f>
        <v>8,5</v>
      </c>
      <c r="N15" s="1"/>
      <c r="O15" s="1" t="str">
        <f>D15</f>
        <v>A</v>
      </c>
    </row>
    <row r="16" spans="1:253">
      <c r="A16" s="129"/>
      <c r="B16" s="873"/>
      <c r="C16" s="841" t="s">
        <v>4770</v>
      </c>
      <c r="D16" s="865" t="s">
        <v>2166</v>
      </c>
      <c r="E16" s="841" t="s">
        <v>1745</v>
      </c>
      <c r="F16" s="931">
        <v>4</v>
      </c>
      <c r="G16" s="40"/>
      <c r="H16" s="129"/>
    </row>
    <row r="17" spans="1:15">
      <c r="A17" s="129"/>
      <c r="B17" s="864"/>
      <c r="C17" s="868"/>
      <c r="D17" s="868"/>
      <c r="E17" s="868"/>
      <c r="F17" s="931"/>
      <c r="G17" s="40"/>
      <c r="H17" s="129"/>
      <c r="I17" s="1" t="str">
        <f>LEFT(C17,4)</f>
        <v/>
      </c>
      <c r="J17" s="1" t="s">
        <v>2137</v>
      </c>
      <c r="K17" s="1" t="str">
        <f>MID(C17,7,4)</f>
        <v/>
      </c>
      <c r="L17" s="1" t="s">
        <v>2137</v>
      </c>
      <c r="M17" s="1" t="str">
        <f>RIGHT(C17,3)</f>
        <v/>
      </c>
      <c r="N17" s="1"/>
      <c r="O17" s="1">
        <f>D17</f>
        <v>0</v>
      </c>
    </row>
    <row r="18" spans="1:15">
      <c r="A18" s="129">
        <v>1</v>
      </c>
      <c r="B18" s="872" t="s">
        <v>4771</v>
      </c>
      <c r="C18" s="841" t="s">
        <v>4772</v>
      </c>
      <c r="D18" s="864" t="s">
        <v>2166</v>
      </c>
      <c r="E18" s="841" t="s">
        <v>1745</v>
      </c>
      <c r="F18" s="931">
        <v>8</v>
      </c>
      <c r="G18" s="40"/>
      <c r="H18" s="129"/>
    </row>
    <row r="19" spans="1:15">
      <c r="A19" s="129"/>
      <c r="B19" s="873"/>
      <c r="C19" s="841" t="s">
        <v>4773</v>
      </c>
      <c r="D19" s="865" t="s">
        <v>2166</v>
      </c>
      <c r="E19" s="841" t="s">
        <v>1745</v>
      </c>
      <c r="F19" s="931">
        <v>8</v>
      </c>
      <c r="G19" s="40"/>
      <c r="H19" s="523"/>
      <c r="I19" s="1" t="str">
        <f>LEFT(C19,4)</f>
        <v xml:space="preserve">290 </v>
      </c>
      <c r="J19" s="1" t="s">
        <v>2137</v>
      </c>
      <c r="K19" s="1" t="str">
        <f>MID(C19,7,4)</f>
        <v xml:space="preserve">100 </v>
      </c>
      <c r="L19" s="1" t="s">
        <v>2137</v>
      </c>
      <c r="M19" s="1" t="str">
        <f>RIGHT(C19,3)</f>
        <v xml:space="preserve"> 18</v>
      </c>
      <c r="N19" s="1"/>
      <c r="O19" s="1" t="str">
        <f>D19</f>
        <v>A</v>
      </c>
    </row>
    <row r="20" spans="1:15">
      <c r="A20" s="129"/>
      <c r="B20" s="864"/>
      <c r="C20" s="868"/>
      <c r="D20" s="868"/>
      <c r="E20" s="868"/>
      <c r="F20" s="931"/>
      <c r="G20" s="40"/>
      <c r="H20" s="129"/>
    </row>
    <row r="21" spans="1:15">
      <c r="A21" s="129"/>
      <c r="B21" s="872" t="s">
        <v>4774</v>
      </c>
      <c r="C21" s="841" t="s">
        <v>4622</v>
      </c>
      <c r="D21" s="841" t="s">
        <v>2166</v>
      </c>
      <c r="E21" s="841" t="s">
        <v>1745</v>
      </c>
      <c r="F21" s="931">
        <v>4</v>
      </c>
      <c r="G21" s="40"/>
      <c r="H21" s="129"/>
      <c r="I21" s="1" t="str">
        <f>LEFT(C21,4)</f>
        <v>2430</v>
      </c>
      <c r="J21" s="1" t="s">
        <v>2137</v>
      </c>
      <c r="K21" s="1" t="str">
        <f>MID(C21,7,4)</f>
        <v xml:space="preserve"> 30 </v>
      </c>
      <c r="L21" s="1" t="s">
        <v>2137</v>
      </c>
      <c r="M21" s="1" t="str">
        <f>RIGHT(C21,3)</f>
        <v xml:space="preserve"> 19</v>
      </c>
      <c r="N21" s="1"/>
      <c r="O21" s="1" t="str">
        <f>D21</f>
        <v>A</v>
      </c>
    </row>
    <row r="22" spans="1:15">
      <c r="A22" s="129"/>
      <c r="B22" s="874"/>
      <c r="C22" s="864" t="s">
        <v>4626</v>
      </c>
      <c r="D22" s="841" t="s">
        <v>2167</v>
      </c>
      <c r="E22" s="841" t="s">
        <v>1745</v>
      </c>
      <c r="F22" s="931">
        <v>2</v>
      </c>
      <c r="G22" s="40"/>
      <c r="H22" s="129"/>
    </row>
    <row r="23" spans="1:15">
      <c r="A23" s="129"/>
      <c r="B23" s="874"/>
      <c r="C23" s="871"/>
      <c r="D23" s="841" t="s">
        <v>2166</v>
      </c>
      <c r="E23" s="841" t="s">
        <v>1745</v>
      </c>
      <c r="F23" s="931">
        <v>8</v>
      </c>
      <c r="G23" s="40"/>
      <c r="H23" s="129"/>
      <c r="I23" s="1" t="str">
        <f>LEFT(C23,4)</f>
        <v/>
      </c>
      <c r="J23" s="1" t="s">
        <v>2137</v>
      </c>
      <c r="K23" s="1" t="str">
        <f>MID(C23,7,4)</f>
        <v/>
      </c>
      <c r="L23" s="1" t="s">
        <v>2137</v>
      </c>
      <c r="M23" s="1" t="str">
        <f>RIGHT(C23,3)</f>
        <v/>
      </c>
      <c r="N23" s="1"/>
      <c r="O23" s="1" t="str">
        <f>D23</f>
        <v>A</v>
      </c>
    </row>
    <row r="24" spans="1:15">
      <c r="A24" s="129"/>
      <c r="B24" s="873"/>
      <c r="C24" s="841" t="s">
        <v>4706</v>
      </c>
      <c r="D24" s="841" t="s">
        <v>2167</v>
      </c>
      <c r="E24" s="841" t="s">
        <v>1745</v>
      </c>
      <c r="F24" s="931">
        <v>1</v>
      </c>
      <c r="G24" s="40"/>
      <c r="H24" s="129"/>
    </row>
    <row r="25" spans="1:15">
      <c r="A25" s="404"/>
      <c r="B25" s="864"/>
      <c r="C25" s="868"/>
      <c r="D25" s="868"/>
      <c r="E25" s="868"/>
      <c r="F25" s="931"/>
      <c r="G25" s="40"/>
      <c r="H25" s="129"/>
    </row>
    <row r="26" spans="1:15">
      <c r="A26" s="404"/>
      <c r="B26" s="872" t="s">
        <v>4775</v>
      </c>
      <c r="C26" s="841" t="s">
        <v>4707</v>
      </c>
      <c r="D26" s="864" t="s">
        <v>2166</v>
      </c>
      <c r="E26" s="841" t="s">
        <v>1745</v>
      </c>
      <c r="F26" s="931">
        <v>1</v>
      </c>
      <c r="G26" s="40"/>
      <c r="H26" s="129"/>
    </row>
    <row r="27" spans="1:15">
      <c r="A27" s="404"/>
      <c r="B27" s="874"/>
      <c r="C27" s="841" t="s">
        <v>4708</v>
      </c>
      <c r="D27" s="865" t="s">
        <v>2166</v>
      </c>
      <c r="E27" s="841" t="s">
        <v>1745</v>
      </c>
      <c r="F27" s="931">
        <v>1</v>
      </c>
      <c r="G27" s="40"/>
      <c r="H27" s="129"/>
    </row>
    <row r="28" spans="1:15">
      <c r="A28" s="404"/>
      <c r="B28" s="873"/>
      <c r="C28" s="841" t="s">
        <v>4709</v>
      </c>
      <c r="D28" s="865" t="s">
        <v>2166</v>
      </c>
      <c r="E28" s="841" t="s">
        <v>1745</v>
      </c>
      <c r="F28" s="931">
        <v>1</v>
      </c>
      <c r="G28" s="40"/>
      <c r="H28" s="129"/>
    </row>
    <row r="29" spans="1:15">
      <c r="A29" s="404"/>
      <c r="B29" s="864"/>
      <c r="C29" s="868"/>
      <c r="D29" s="868"/>
      <c r="E29" s="868"/>
      <c r="F29" s="931"/>
      <c r="G29" s="40"/>
      <c r="H29" s="129"/>
    </row>
    <row r="30" spans="1:15">
      <c r="A30" s="486">
        <v>2</v>
      </c>
      <c r="B30" s="872" t="s">
        <v>4776</v>
      </c>
      <c r="C30" s="841" t="s">
        <v>4777</v>
      </c>
      <c r="D30" s="864" t="s">
        <v>3093</v>
      </c>
      <c r="E30" s="841" t="s">
        <v>1745</v>
      </c>
      <c r="F30" s="931">
        <v>1</v>
      </c>
      <c r="G30" s="40"/>
      <c r="H30" s="129"/>
    </row>
    <row r="31" spans="1:15">
      <c r="A31" s="129"/>
      <c r="B31" s="874"/>
      <c r="C31" s="841" t="s">
        <v>4778</v>
      </c>
      <c r="D31" s="865" t="s">
        <v>3093</v>
      </c>
      <c r="E31" s="841" t="s">
        <v>1745</v>
      </c>
      <c r="F31" s="931">
        <v>1</v>
      </c>
      <c r="G31" s="40"/>
      <c r="H31" s="129"/>
    </row>
    <row r="32" spans="1:15">
      <c r="A32" s="129"/>
      <c r="B32" s="874"/>
      <c r="C32" s="841" t="s">
        <v>4779</v>
      </c>
      <c r="D32" s="864" t="s">
        <v>2813</v>
      </c>
      <c r="E32" s="841" t="s">
        <v>1745</v>
      </c>
      <c r="F32" s="931">
        <v>1</v>
      </c>
      <c r="G32" s="40"/>
      <c r="H32" s="129"/>
    </row>
    <row r="33" spans="1:8">
      <c r="A33" s="129"/>
      <c r="B33" s="873"/>
      <c r="C33" s="841" t="s">
        <v>4780</v>
      </c>
      <c r="D33" s="865" t="s">
        <v>2813</v>
      </c>
      <c r="E33" s="841" t="s">
        <v>1745</v>
      </c>
      <c r="F33" s="931">
        <v>1</v>
      </c>
      <c r="G33" s="40"/>
      <c r="H33" s="129"/>
    </row>
    <row r="34" spans="1:8">
      <c r="A34" s="129"/>
      <c r="B34" s="864"/>
      <c r="C34" s="868"/>
      <c r="D34" s="868"/>
      <c r="E34" s="868"/>
      <c r="F34" s="931"/>
      <c r="G34" s="40"/>
      <c r="H34" s="129"/>
    </row>
    <row r="35" spans="1:8">
      <c r="A35" s="129"/>
      <c r="B35" s="872" t="s">
        <v>4781</v>
      </c>
      <c r="C35" s="864" t="s">
        <v>4710</v>
      </c>
      <c r="D35" s="841" t="s">
        <v>2167</v>
      </c>
      <c r="E35" s="841" t="s">
        <v>1745</v>
      </c>
      <c r="F35" s="931">
        <v>2</v>
      </c>
      <c r="G35" s="40"/>
      <c r="H35" s="129"/>
    </row>
    <row r="36" spans="1:8">
      <c r="A36" s="129"/>
      <c r="B36" s="873"/>
      <c r="C36" s="871"/>
      <c r="D36" s="841" t="s">
        <v>2166</v>
      </c>
      <c r="E36" s="841" t="s">
        <v>1745</v>
      </c>
      <c r="F36" s="931">
        <v>5</v>
      </c>
      <c r="G36" s="40"/>
      <c r="H36" s="129"/>
    </row>
    <row r="37" spans="1:8">
      <c r="A37" s="129"/>
      <c r="B37" s="864"/>
      <c r="C37" s="868"/>
      <c r="D37" s="868"/>
      <c r="E37" s="868"/>
      <c r="F37" s="931"/>
      <c r="G37" s="40"/>
      <c r="H37" s="129"/>
    </row>
    <row r="38" spans="1:8">
      <c r="A38" s="129"/>
      <c r="B38" s="523" t="s">
        <v>4782</v>
      </c>
      <c r="C38" s="841" t="s">
        <v>4783</v>
      </c>
      <c r="D38" s="841" t="s">
        <v>2166</v>
      </c>
      <c r="E38" s="841" t="s">
        <v>1745</v>
      </c>
      <c r="F38" s="931">
        <v>1</v>
      </c>
      <c r="G38" s="40"/>
      <c r="H38" s="129"/>
    </row>
    <row r="39" spans="1:8">
      <c r="A39" s="129"/>
      <c r="B39" s="864"/>
      <c r="C39" s="868"/>
      <c r="D39" s="868"/>
      <c r="E39" s="868"/>
      <c r="F39" s="931"/>
      <c r="G39" s="40"/>
      <c r="H39" s="129"/>
    </row>
    <row r="40" spans="1:8">
      <c r="A40" s="129"/>
      <c r="B40" s="872" t="s">
        <v>4784</v>
      </c>
      <c r="C40" s="841" t="s">
        <v>4785</v>
      </c>
      <c r="D40" s="864" t="s">
        <v>2166</v>
      </c>
      <c r="E40" s="841" t="s">
        <v>1745</v>
      </c>
      <c r="F40" s="931">
        <v>2</v>
      </c>
      <c r="G40" s="40"/>
      <c r="H40" s="129"/>
    </row>
    <row r="41" spans="1:8">
      <c r="A41" s="129"/>
      <c r="B41" s="874"/>
      <c r="C41" s="841" t="s">
        <v>4786</v>
      </c>
      <c r="D41" s="865" t="s">
        <v>2166</v>
      </c>
      <c r="E41" s="841" t="s">
        <v>1745</v>
      </c>
      <c r="F41" s="931">
        <v>2</v>
      </c>
      <c r="G41" s="40"/>
      <c r="H41" s="129"/>
    </row>
    <row r="42" spans="1:8">
      <c r="A42" s="129"/>
      <c r="B42" s="874"/>
      <c r="C42" s="841" t="s">
        <v>4787</v>
      </c>
      <c r="D42" s="865" t="s">
        <v>2166</v>
      </c>
      <c r="E42" s="841" t="s">
        <v>1745</v>
      </c>
      <c r="F42" s="931">
        <v>2</v>
      </c>
      <c r="G42" s="40"/>
      <c r="H42" s="129"/>
    </row>
    <row r="43" spans="1:8">
      <c r="A43" s="129"/>
      <c r="B43" s="874"/>
      <c r="C43" s="841" t="s">
        <v>4788</v>
      </c>
      <c r="D43" s="865" t="s">
        <v>2166</v>
      </c>
      <c r="E43" s="841" t="s">
        <v>1745</v>
      </c>
      <c r="F43" s="931">
        <v>2</v>
      </c>
      <c r="G43" s="40"/>
      <c r="H43" s="129"/>
    </row>
    <row r="44" spans="1:8">
      <c r="A44" s="129"/>
      <c r="B44" s="874"/>
      <c r="C44" s="864" t="s">
        <v>4789</v>
      </c>
      <c r="D44" s="865" t="s">
        <v>2166</v>
      </c>
      <c r="E44" s="841" t="s">
        <v>1745</v>
      </c>
      <c r="F44" s="931">
        <v>3</v>
      </c>
      <c r="G44" s="40"/>
      <c r="H44" s="129"/>
    </row>
    <row r="45" spans="1:8">
      <c r="A45" s="129"/>
      <c r="B45" s="874"/>
      <c r="C45" s="871"/>
      <c r="D45" s="864" t="s">
        <v>2380</v>
      </c>
      <c r="E45" s="841" t="s">
        <v>1745</v>
      </c>
      <c r="F45" s="931">
        <v>1</v>
      </c>
      <c r="G45" s="40"/>
      <c r="H45" s="129"/>
    </row>
    <row r="46" spans="1:8">
      <c r="A46" s="129"/>
      <c r="B46" s="874"/>
      <c r="C46" s="841" t="s">
        <v>4790</v>
      </c>
      <c r="D46" s="865" t="s">
        <v>2380</v>
      </c>
      <c r="E46" s="841" t="s">
        <v>1745</v>
      </c>
      <c r="F46" s="931">
        <v>1</v>
      </c>
      <c r="G46" s="40"/>
      <c r="H46" s="129"/>
    </row>
    <row r="47" spans="1:8">
      <c r="A47" s="129"/>
      <c r="B47" s="874"/>
      <c r="C47" s="841" t="s">
        <v>4791</v>
      </c>
      <c r="D47" s="865" t="s">
        <v>2380</v>
      </c>
      <c r="E47" s="841" t="s">
        <v>1745</v>
      </c>
      <c r="F47" s="931">
        <v>3</v>
      </c>
      <c r="G47" s="40"/>
      <c r="H47" s="129"/>
    </row>
    <row r="48" spans="1:8">
      <c r="A48" s="129"/>
      <c r="B48" s="873"/>
      <c r="C48" s="841" t="s">
        <v>4792</v>
      </c>
      <c r="D48" s="841" t="s">
        <v>2166</v>
      </c>
      <c r="E48" s="841" t="s">
        <v>1745</v>
      </c>
      <c r="F48" s="931">
        <v>12</v>
      </c>
      <c r="G48" s="40"/>
      <c r="H48" s="129"/>
    </row>
    <row r="49" spans="1:8">
      <c r="A49" s="129"/>
      <c r="B49" s="864"/>
      <c r="C49" s="868"/>
      <c r="D49" s="868"/>
      <c r="E49" s="868"/>
      <c r="F49" s="931"/>
      <c r="G49" s="40"/>
      <c r="H49" s="129"/>
    </row>
    <row r="50" spans="1:8">
      <c r="A50" s="129"/>
      <c r="B50" s="872" t="s">
        <v>4793</v>
      </c>
      <c r="C50" s="841" t="s">
        <v>4794</v>
      </c>
      <c r="D50" s="864" t="s">
        <v>2166</v>
      </c>
      <c r="E50" s="841" t="s">
        <v>1745</v>
      </c>
      <c r="F50" s="931">
        <v>2</v>
      </c>
      <c r="G50" s="40"/>
      <c r="H50" s="129"/>
    </row>
    <row r="51" spans="1:8">
      <c r="A51" s="129"/>
      <c r="B51" s="873"/>
      <c r="C51" s="841" t="s">
        <v>4795</v>
      </c>
      <c r="D51" s="865" t="s">
        <v>2166</v>
      </c>
      <c r="E51" s="841" t="s">
        <v>1745</v>
      </c>
      <c r="F51" s="931">
        <v>6</v>
      </c>
      <c r="G51" s="40"/>
      <c r="H51" s="129"/>
    </row>
    <row r="52" spans="1:8">
      <c r="A52" s="129">
        <v>3</v>
      </c>
      <c r="B52" s="864"/>
      <c r="C52" s="868"/>
      <c r="D52" s="868"/>
      <c r="E52" s="868"/>
      <c r="F52" s="931"/>
      <c r="G52" s="40"/>
      <c r="H52" s="129"/>
    </row>
    <row r="53" spans="1:8">
      <c r="A53" s="129"/>
      <c r="B53" s="872" t="s">
        <v>4796</v>
      </c>
      <c r="C53" s="841" t="s">
        <v>4797</v>
      </c>
      <c r="D53" s="864" t="s">
        <v>2391</v>
      </c>
      <c r="E53" s="841" t="s">
        <v>1745</v>
      </c>
      <c r="F53" s="931">
        <v>1</v>
      </c>
      <c r="G53" s="40"/>
      <c r="H53" s="129"/>
    </row>
    <row r="54" spans="1:8">
      <c r="A54" s="129"/>
      <c r="B54" s="874"/>
      <c r="C54" s="841" t="s">
        <v>4798</v>
      </c>
      <c r="D54" s="865" t="s">
        <v>2391</v>
      </c>
      <c r="E54" s="841" t="s">
        <v>1745</v>
      </c>
      <c r="F54" s="931">
        <v>1</v>
      </c>
      <c r="G54" s="40"/>
      <c r="H54" s="129"/>
    </row>
    <row r="55" spans="1:8">
      <c r="A55" s="129"/>
      <c r="B55" s="873"/>
      <c r="C55" s="841" t="s">
        <v>4799</v>
      </c>
      <c r="D55" s="841" t="s">
        <v>2166</v>
      </c>
      <c r="E55" s="841" t="s">
        <v>1745</v>
      </c>
      <c r="F55" s="931">
        <v>1</v>
      </c>
      <c r="G55" s="40"/>
      <c r="H55" s="129"/>
    </row>
    <row r="56" spans="1:8">
      <c r="A56" s="129"/>
      <c r="B56" s="864"/>
      <c r="C56" s="868"/>
      <c r="D56" s="868"/>
      <c r="E56" s="868"/>
      <c r="F56" s="931"/>
      <c r="G56" s="40"/>
      <c r="H56" s="129"/>
    </row>
    <row r="57" spans="1:8">
      <c r="A57" s="129"/>
      <c r="B57" s="872" t="s">
        <v>4800</v>
      </c>
      <c r="C57" s="841" t="s">
        <v>4801</v>
      </c>
      <c r="D57" s="864" t="s">
        <v>2166</v>
      </c>
      <c r="E57" s="841" t="s">
        <v>1745</v>
      </c>
      <c r="F57" s="931">
        <v>3</v>
      </c>
      <c r="G57" s="40"/>
      <c r="H57" s="129"/>
    </row>
    <row r="58" spans="1:8">
      <c r="A58" s="129"/>
      <c r="B58" s="873"/>
      <c r="C58" s="841" t="s">
        <v>4802</v>
      </c>
      <c r="D58" s="865" t="s">
        <v>2166</v>
      </c>
      <c r="E58" s="841" t="s">
        <v>1745</v>
      </c>
      <c r="F58" s="931">
        <v>1</v>
      </c>
      <c r="G58" s="40"/>
      <c r="H58" s="129"/>
    </row>
    <row r="59" spans="1:8">
      <c r="A59" s="129"/>
      <c r="B59" s="864"/>
      <c r="C59" s="868"/>
      <c r="D59" s="868"/>
      <c r="E59" s="868"/>
      <c r="F59" s="931"/>
      <c r="G59" s="40"/>
      <c r="H59" s="129"/>
    </row>
    <row r="60" spans="1:8">
      <c r="A60" s="129"/>
      <c r="B60" s="872" t="s">
        <v>4803</v>
      </c>
      <c r="C60" s="841" t="s">
        <v>4804</v>
      </c>
      <c r="D60" s="864" t="s">
        <v>2625</v>
      </c>
      <c r="E60" s="841" t="s">
        <v>1745</v>
      </c>
      <c r="F60" s="931">
        <v>2</v>
      </c>
      <c r="G60" s="40"/>
      <c r="H60" s="129"/>
    </row>
    <row r="61" spans="1:8">
      <c r="A61" s="129"/>
      <c r="B61" s="874"/>
      <c r="C61" s="841" t="s">
        <v>4805</v>
      </c>
      <c r="D61" s="865" t="s">
        <v>2625</v>
      </c>
      <c r="E61" s="841" t="s">
        <v>1745</v>
      </c>
      <c r="F61" s="931">
        <v>2</v>
      </c>
      <c r="G61" s="40"/>
      <c r="H61" s="129"/>
    </row>
    <row r="62" spans="1:8">
      <c r="A62" s="129"/>
      <c r="B62" s="873"/>
      <c r="C62" s="841" t="s">
        <v>4806</v>
      </c>
      <c r="D62" s="841" t="s">
        <v>2167</v>
      </c>
      <c r="E62" s="841" t="s">
        <v>1745</v>
      </c>
      <c r="F62" s="931">
        <v>1</v>
      </c>
      <c r="G62" s="40"/>
      <c r="H62" s="129"/>
    </row>
    <row r="63" spans="1:8">
      <c r="A63" s="129">
        <v>4</v>
      </c>
      <c r="B63" s="864"/>
      <c r="C63" s="868"/>
      <c r="D63" s="868"/>
      <c r="E63" s="868"/>
      <c r="F63" s="931"/>
      <c r="G63" s="40"/>
      <c r="H63" s="129"/>
    </row>
    <row r="64" spans="1:8">
      <c r="A64" s="129"/>
      <c r="B64" s="872" t="s">
        <v>4807</v>
      </c>
      <c r="C64" s="841" t="s">
        <v>4711</v>
      </c>
      <c r="D64" s="864" t="s">
        <v>2166</v>
      </c>
      <c r="E64" s="841" t="s">
        <v>1745</v>
      </c>
      <c r="F64" s="931">
        <v>2</v>
      </c>
      <c r="G64" s="40"/>
      <c r="H64" s="129"/>
    </row>
    <row r="65" spans="1:8">
      <c r="A65" s="129"/>
      <c r="B65" s="874"/>
      <c r="C65" s="841" t="s">
        <v>4712</v>
      </c>
      <c r="D65" s="865" t="s">
        <v>2166</v>
      </c>
      <c r="E65" s="841" t="s">
        <v>1745</v>
      </c>
      <c r="F65" s="931">
        <v>1</v>
      </c>
      <c r="G65" s="40"/>
      <c r="H65" s="129"/>
    </row>
    <row r="66" spans="1:8">
      <c r="A66" s="129"/>
      <c r="B66" s="874"/>
      <c r="C66" s="864" t="s">
        <v>4713</v>
      </c>
      <c r="D66" s="841" t="s">
        <v>2167</v>
      </c>
      <c r="E66" s="841" t="s">
        <v>1745</v>
      </c>
      <c r="F66" s="931">
        <v>1</v>
      </c>
      <c r="G66" s="40"/>
      <c r="H66" s="129"/>
    </row>
    <row r="67" spans="1:8">
      <c r="A67" s="129"/>
      <c r="B67" s="873"/>
      <c r="C67" s="871"/>
      <c r="D67" s="841" t="s">
        <v>2166</v>
      </c>
      <c r="E67" s="841" t="s">
        <v>1745</v>
      </c>
      <c r="F67" s="931">
        <v>3</v>
      </c>
      <c r="G67" s="40"/>
      <c r="H67" s="129"/>
    </row>
    <row r="68" spans="1:8">
      <c r="A68" s="129"/>
      <c r="B68" s="864"/>
      <c r="C68" s="868"/>
      <c r="D68" s="868"/>
      <c r="E68" s="868"/>
      <c r="F68" s="931"/>
      <c r="G68" s="40"/>
      <c r="H68" s="129"/>
    </row>
    <row r="69" spans="1:8">
      <c r="A69" s="129"/>
      <c r="B69" s="872" t="s">
        <v>4808</v>
      </c>
      <c r="C69" s="841" t="s">
        <v>4809</v>
      </c>
      <c r="D69" s="864" t="s">
        <v>2166</v>
      </c>
      <c r="E69" s="841" t="s">
        <v>1745</v>
      </c>
      <c r="F69" s="931">
        <v>1</v>
      </c>
      <c r="G69" s="40"/>
      <c r="H69" s="129"/>
    </row>
    <row r="70" spans="1:8">
      <c r="A70" s="129"/>
      <c r="B70" s="874"/>
      <c r="C70" s="841" t="s">
        <v>4810</v>
      </c>
      <c r="D70" s="865" t="s">
        <v>2166</v>
      </c>
      <c r="E70" s="841" t="s">
        <v>1745</v>
      </c>
      <c r="F70" s="931">
        <v>1</v>
      </c>
      <c r="G70" s="40"/>
      <c r="H70" s="129"/>
    </row>
    <row r="71" spans="1:8">
      <c r="A71" s="129"/>
      <c r="B71" s="873"/>
      <c r="C71" s="841" t="s">
        <v>4811</v>
      </c>
      <c r="D71" s="841" t="s">
        <v>2167</v>
      </c>
      <c r="E71" s="841" t="s">
        <v>1745</v>
      </c>
      <c r="F71" s="931">
        <v>1</v>
      </c>
      <c r="G71" s="40"/>
      <c r="H71" s="129"/>
    </row>
    <row r="72" spans="1:8">
      <c r="A72" s="129"/>
      <c r="B72" s="864"/>
      <c r="C72" s="868"/>
      <c r="D72" s="868"/>
      <c r="E72" s="868"/>
      <c r="F72" s="931"/>
      <c r="G72" s="40"/>
      <c r="H72" s="129"/>
    </row>
    <row r="73" spans="1:8">
      <c r="A73" s="129"/>
      <c r="B73" s="523" t="s">
        <v>4812</v>
      </c>
      <c r="C73" s="841" t="s">
        <v>4813</v>
      </c>
      <c r="D73" s="841" t="s">
        <v>2661</v>
      </c>
      <c r="E73" s="841" t="s">
        <v>1745</v>
      </c>
      <c r="F73" s="931">
        <v>2</v>
      </c>
      <c r="G73" s="40"/>
      <c r="H73" s="129"/>
    </row>
    <row r="74" spans="1:8">
      <c r="A74" s="129"/>
      <c r="B74" s="864"/>
      <c r="C74" s="868"/>
      <c r="D74" s="868"/>
      <c r="E74" s="868"/>
      <c r="F74" s="931"/>
      <c r="G74" s="40"/>
      <c r="H74" s="129"/>
    </row>
    <row r="75" spans="1:8">
      <c r="A75" s="129"/>
      <c r="B75" s="872" t="s">
        <v>4833</v>
      </c>
      <c r="C75" s="841" t="s">
        <v>4834</v>
      </c>
      <c r="D75" s="864" t="s">
        <v>2167</v>
      </c>
      <c r="E75" s="841" t="s">
        <v>1745</v>
      </c>
      <c r="F75" s="931">
        <v>2</v>
      </c>
      <c r="G75" s="40"/>
      <c r="H75" s="129"/>
    </row>
    <row r="76" spans="1:8">
      <c r="A76" s="129">
        <v>5</v>
      </c>
      <c r="B76" s="873"/>
      <c r="C76" s="841" t="s">
        <v>4835</v>
      </c>
      <c r="D76" s="865" t="s">
        <v>2167</v>
      </c>
      <c r="E76" s="841" t="s">
        <v>1745</v>
      </c>
      <c r="F76" s="931">
        <v>1</v>
      </c>
      <c r="G76" s="40"/>
      <c r="H76" s="129"/>
    </row>
    <row r="77" spans="1:8">
      <c r="A77" s="129"/>
      <c r="B77" s="864"/>
      <c r="C77" s="868"/>
      <c r="D77" s="868"/>
      <c r="E77" s="868"/>
      <c r="F77" s="931"/>
      <c r="G77" s="40"/>
      <c r="H77" s="129"/>
    </row>
    <row r="78" spans="1:8">
      <c r="A78" s="129"/>
      <c r="B78" s="523" t="s">
        <v>4836</v>
      </c>
      <c r="C78" s="841" t="s">
        <v>4837</v>
      </c>
      <c r="D78" s="841" t="s">
        <v>2167</v>
      </c>
      <c r="E78" s="841" t="s">
        <v>1745</v>
      </c>
      <c r="F78" s="931">
        <v>1</v>
      </c>
      <c r="G78" s="40"/>
      <c r="H78" s="129"/>
    </row>
    <row r="79" spans="1:8">
      <c r="A79" s="129"/>
      <c r="B79" s="864"/>
      <c r="C79" s="868"/>
      <c r="D79" s="868"/>
      <c r="E79" s="868"/>
      <c r="F79" s="931"/>
      <c r="G79" s="40"/>
      <c r="H79" s="129"/>
    </row>
    <row r="80" spans="1:8">
      <c r="A80" s="129"/>
      <c r="B80" s="523" t="s">
        <v>4838</v>
      </c>
      <c r="C80" s="841" t="s">
        <v>4839</v>
      </c>
      <c r="D80" s="841" t="s">
        <v>2167</v>
      </c>
      <c r="E80" s="841" t="s">
        <v>1745</v>
      </c>
      <c r="F80" s="931">
        <v>2</v>
      </c>
      <c r="G80" s="40"/>
      <c r="H80" s="129"/>
    </row>
    <row r="81" spans="1:8">
      <c r="A81" s="129"/>
      <c r="B81" s="864"/>
      <c r="C81" s="868"/>
      <c r="D81" s="868"/>
      <c r="E81" s="868"/>
      <c r="F81" s="931"/>
      <c r="G81" s="40"/>
      <c r="H81" s="129"/>
    </row>
    <row r="82" spans="1:8">
      <c r="A82" s="129"/>
      <c r="B82" s="872" t="s">
        <v>4840</v>
      </c>
      <c r="C82" s="841" t="s">
        <v>4841</v>
      </c>
      <c r="D82" s="864" t="s">
        <v>2167</v>
      </c>
      <c r="E82" s="841" t="s">
        <v>1745</v>
      </c>
      <c r="F82" s="931">
        <v>1</v>
      </c>
      <c r="G82" s="40"/>
      <c r="H82" s="129"/>
    </row>
    <row r="83" spans="1:8">
      <c r="A83" s="129"/>
      <c r="B83" s="874"/>
      <c r="C83" s="841" t="s">
        <v>4842</v>
      </c>
      <c r="D83" s="865" t="s">
        <v>2167</v>
      </c>
      <c r="E83" s="841" t="s">
        <v>1745</v>
      </c>
      <c r="F83" s="931">
        <v>1</v>
      </c>
      <c r="G83" s="40"/>
      <c r="H83" s="129"/>
    </row>
    <row r="84" spans="1:8">
      <c r="A84" s="129">
        <v>6</v>
      </c>
      <c r="B84" s="873"/>
      <c r="C84" s="841" t="s">
        <v>4843</v>
      </c>
      <c r="D84" s="865" t="s">
        <v>2167</v>
      </c>
      <c r="E84" s="841" t="s">
        <v>1745</v>
      </c>
      <c r="F84" s="931">
        <v>1</v>
      </c>
      <c r="G84" s="40"/>
      <c r="H84" s="129"/>
    </row>
    <row r="85" spans="1:8">
      <c r="A85" s="129"/>
      <c r="B85" s="864"/>
      <c r="C85" s="868"/>
      <c r="D85" s="868"/>
      <c r="E85" s="868"/>
      <c r="F85" s="931"/>
      <c r="G85" s="40"/>
      <c r="H85" s="129"/>
    </row>
    <row r="86" spans="1:8">
      <c r="A86" s="129"/>
      <c r="B86" s="872" t="s">
        <v>4844</v>
      </c>
      <c r="C86" s="841" t="s">
        <v>4845</v>
      </c>
      <c r="D86" s="864" t="s">
        <v>2167</v>
      </c>
      <c r="E86" s="841" t="s">
        <v>1745</v>
      </c>
      <c r="F86" s="931">
        <v>2</v>
      </c>
      <c r="G86" s="40"/>
      <c r="H86" s="129"/>
    </row>
    <row r="87" spans="1:8">
      <c r="A87" s="129"/>
      <c r="B87" s="873"/>
      <c r="C87" s="841" t="s">
        <v>4846</v>
      </c>
      <c r="D87" s="865" t="s">
        <v>2167</v>
      </c>
      <c r="E87" s="841" t="s">
        <v>1745</v>
      </c>
      <c r="F87" s="931">
        <v>4</v>
      </c>
      <c r="G87" s="40"/>
      <c r="H87" s="129"/>
    </row>
    <row r="88" spans="1:8">
      <c r="A88" s="129"/>
      <c r="B88" s="864"/>
      <c r="C88" s="868"/>
      <c r="D88" s="868"/>
      <c r="E88" s="868"/>
      <c r="F88" s="931"/>
      <c r="G88" s="40"/>
      <c r="H88" s="129"/>
    </row>
    <row r="89" spans="1:8">
      <c r="A89" s="129">
        <v>7</v>
      </c>
      <c r="B89" s="872" t="s">
        <v>4847</v>
      </c>
      <c r="C89" s="841" t="s">
        <v>4848</v>
      </c>
      <c r="D89" s="864" t="s">
        <v>2167</v>
      </c>
      <c r="E89" s="841" t="s">
        <v>1745</v>
      </c>
      <c r="F89" s="931">
        <v>2</v>
      </c>
      <c r="G89" s="40"/>
      <c r="H89" s="129"/>
    </row>
    <row r="90" spans="1:8">
      <c r="A90" s="129"/>
      <c r="B90" s="873"/>
      <c r="C90" s="841" t="s">
        <v>4849</v>
      </c>
      <c r="D90" s="865" t="s">
        <v>2167</v>
      </c>
      <c r="E90" s="841" t="s">
        <v>1745</v>
      </c>
      <c r="F90" s="931">
        <v>4</v>
      </c>
      <c r="G90" s="40"/>
      <c r="H90" s="129"/>
    </row>
    <row r="91" spans="1:8">
      <c r="A91" s="129"/>
      <c r="B91" s="864"/>
      <c r="C91" s="868"/>
      <c r="D91" s="868"/>
      <c r="E91" s="868"/>
      <c r="F91" s="931"/>
      <c r="G91" s="40"/>
      <c r="H91" s="129"/>
    </row>
    <row r="92" spans="1:8">
      <c r="A92" s="129"/>
      <c r="B92" s="523" t="s">
        <v>4850</v>
      </c>
      <c r="C92" s="841" t="s">
        <v>4851</v>
      </c>
      <c r="D92" s="841" t="s">
        <v>2167</v>
      </c>
      <c r="E92" s="841" t="s">
        <v>1745</v>
      </c>
      <c r="F92" s="931">
        <v>3</v>
      </c>
      <c r="G92" s="40"/>
      <c r="H92" s="129"/>
    </row>
    <row r="93" spans="1:8">
      <c r="A93" s="129"/>
      <c r="B93" s="864"/>
      <c r="C93" s="868"/>
      <c r="D93" s="868"/>
      <c r="E93" s="868"/>
      <c r="F93" s="931"/>
      <c r="G93" s="40"/>
      <c r="H93" s="129"/>
    </row>
    <row r="94" spans="1:8">
      <c r="A94" s="129"/>
      <c r="B94" s="523" t="s">
        <v>4852</v>
      </c>
      <c r="C94" s="841" t="s">
        <v>4853</v>
      </c>
      <c r="D94" s="841" t="s">
        <v>2167</v>
      </c>
      <c r="E94" s="841" t="s">
        <v>1745</v>
      </c>
      <c r="F94" s="931">
        <v>1</v>
      </c>
      <c r="G94" s="40"/>
      <c r="H94" s="129"/>
    </row>
    <row r="95" spans="1:8">
      <c r="A95" s="129"/>
      <c r="B95" s="864"/>
      <c r="C95" s="868"/>
      <c r="D95" s="868"/>
      <c r="E95" s="868"/>
      <c r="F95" s="931"/>
      <c r="G95" s="40"/>
      <c r="H95" s="129"/>
    </row>
    <row r="96" spans="1:8">
      <c r="A96" s="129"/>
      <c r="B96" s="872" t="s">
        <v>4854</v>
      </c>
      <c r="C96" s="841" t="s">
        <v>4855</v>
      </c>
      <c r="D96" s="841" t="s">
        <v>2661</v>
      </c>
      <c r="E96" s="841" t="s">
        <v>1745</v>
      </c>
      <c r="F96" s="931">
        <v>1</v>
      </c>
      <c r="G96" s="40"/>
      <c r="H96" s="129"/>
    </row>
    <row r="97" spans="1:8">
      <c r="A97" s="129"/>
      <c r="B97" s="873"/>
      <c r="C97" s="841" t="s">
        <v>4856</v>
      </c>
      <c r="D97" s="841" t="s">
        <v>2167</v>
      </c>
      <c r="E97" s="841" t="s">
        <v>1745</v>
      </c>
      <c r="F97" s="931">
        <v>1</v>
      </c>
      <c r="G97" s="40"/>
      <c r="H97" s="129"/>
    </row>
    <row r="98" spans="1:8">
      <c r="A98" s="129"/>
      <c r="B98" s="864"/>
      <c r="C98" s="868"/>
      <c r="D98" s="868"/>
      <c r="E98" s="868"/>
      <c r="F98" s="931"/>
      <c r="G98" s="40"/>
      <c r="H98" s="129"/>
    </row>
    <row r="99" spans="1:8">
      <c r="A99" s="129">
        <v>8</v>
      </c>
      <c r="B99" s="523" t="s">
        <v>4857</v>
      </c>
      <c r="C99" s="841" t="s">
        <v>4856</v>
      </c>
      <c r="D99" s="841" t="s">
        <v>2167</v>
      </c>
      <c r="E99" s="841" t="s">
        <v>1745</v>
      </c>
      <c r="F99" s="931">
        <v>1</v>
      </c>
      <c r="G99" s="40"/>
      <c r="H99" s="129"/>
    </row>
    <row r="100" spans="1:8">
      <c r="A100" s="129"/>
      <c r="B100" s="864"/>
      <c r="C100" s="868"/>
      <c r="D100" s="868"/>
      <c r="E100" s="868"/>
      <c r="F100" s="931"/>
      <c r="G100" s="40"/>
      <c r="H100" s="129"/>
    </row>
    <row r="101" spans="1:8">
      <c r="A101" s="129"/>
      <c r="B101" s="872" t="s">
        <v>4858</v>
      </c>
      <c r="C101" s="841" t="s">
        <v>4859</v>
      </c>
      <c r="D101" s="864" t="s">
        <v>2167</v>
      </c>
      <c r="E101" s="841" t="s">
        <v>1745</v>
      </c>
      <c r="F101" s="931">
        <v>1</v>
      </c>
      <c r="G101" s="40"/>
      <c r="H101" s="129"/>
    </row>
    <row r="102" spans="1:8">
      <c r="A102" s="129"/>
      <c r="B102" s="873"/>
      <c r="C102" s="841" t="s">
        <v>4860</v>
      </c>
      <c r="D102" s="865" t="s">
        <v>2167</v>
      </c>
      <c r="E102" s="841" t="s">
        <v>1745</v>
      </c>
      <c r="F102" s="931">
        <v>1</v>
      </c>
      <c r="G102" s="40"/>
      <c r="H102" s="129"/>
    </row>
    <row r="103" spans="1:8">
      <c r="A103" s="129"/>
      <c r="B103" s="864"/>
      <c r="C103" s="868"/>
      <c r="D103" s="868"/>
      <c r="E103" s="868"/>
      <c r="F103" s="931"/>
      <c r="G103" s="40"/>
      <c r="H103" s="129"/>
    </row>
    <row r="104" spans="1:8">
      <c r="A104" s="129"/>
      <c r="B104" s="523" t="s">
        <v>4861</v>
      </c>
      <c r="C104" s="841" t="s">
        <v>4862</v>
      </c>
      <c r="D104" s="841" t="s">
        <v>2167</v>
      </c>
      <c r="E104" s="841" t="s">
        <v>1745</v>
      </c>
      <c r="F104" s="931">
        <v>1</v>
      </c>
      <c r="G104" s="40"/>
      <c r="H104" s="129"/>
    </row>
    <row r="105" spans="1:8">
      <c r="A105" s="129"/>
      <c r="B105" s="864"/>
      <c r="C105" s="868"/>
      <c r="D105" s="868"/>
      <c r="E105" s="868"/>
      <c r="F105" s="931"/>
      <c r="G105" s="40"/>
      <c r="H105" s="129"/>
    </row>
    <row r="106" spans="1:8">
      <c r="A106" s="129"/>
      <c r="B106" s="523" t="s">
        <v>4863</v>
      </c>
      <c r="C106" s="841" t="s">
        <v>4864</v>
      </c>
      <c r="D106" s="841" t="s">
        <v>2167</v>
      </c>
      <c r="E106" s="841" t="s">
        <v>1745</v>
      </c>
      <c r="F106" s="931">
        <v>3</v>
      </c>
      <c r="G106" s="40"/>
      <c r="H106" s="129"/>
    </row>
    <row r="107" spans="1:8">
      <c r="A107" s="129">
        <v>9</v>
      </c>
      <c r="B107" s="864"/>
      <c r="C107" s="868"/>
      <c r="D107" s="868"/>
      <c r="E107" s="868"/>
      <c r="F107" s="931"/>
      <c r="G107" s="40"/>
      <c r="H107" s="129"/>
    </row>
    <row r="108" spans="1:8">
      <c r="A108" s="129"/>
      <c r="B108" s="523" t="s">
        <v>4865</v>
      </c>
      <c r="C108" s="841" t="s">
        <v>4866</v>
      </c>
      <c r="D108" s="841" t="s">
        <v>2167</v>
      </c>
      <c r="E108" s="841" t="s">
        <v>1745</v>
      </c>
      <c r="F108" s="931">
        <v>1</v>
      </c>
      <c r="G108" s="40"/>
      <c r="H108" s="129"/>
    </row>
    <row r="109" spans="1:8">
      <c r="A109" s="129"/>
      <c r="B109" s="864"/>
      <c r="C109" s="868"/>
      <c r="D109" s="868"/>
      <c r="E109" s="868"/>
      <c r="F109" s="931"/>
      <c r="G109" s="40"/>
      <c r="H109" s="129"/>
    </row>
    <row r="110" spans="1:8">
      <c r="A110" s="129"/>
      <c r="B110" s="523" t="s">
        <v>4867</v>
      </c>
      <c r="C110" s="841" t="s">
        <v>4868</v>
      </c>
      <c r="D110" s="841" t="s">
        <v>2167</v>
      </c>
      <c r="E110" s="841" t="s">
        <v>1745</v>
      </c>
      <c r="F110" s="931">
        <v>1</v>
      </c>
      <c r="G110" s="40"/>
      <c r="H110" s="129"/>
    </row>
    <row r="111" spans="1:8">
      <c r="B111" s="864"/>
      <c r="C111" s="868"/>
      <c r="D111" s="868"/>
      <c r="E111" s="868"/>
      <c r="F111" s="931"/>
    </row>
    <row r="112" spans="1:8">
      <c r="B112" s="869" t="s">
        <v>2183</v>
      </c>
      <c r="C112" s="870"/>
      <c r="D112" s="870"/>
      <c r="E112" s="870"/>
      <c r="F112" s="925">
        <v>155</v>
      </c>
    </row>
    <row r="113" spans="6:6">
      <c r="F113"/>
    </row>
    <row r="114" spans="6:6">
      <c r="F114"/>
    </row>
    <row r="115" spans="6:6">
      <c r="F115"/>
    </row>
    <row r="116" spans="6:6">
      <c r="F116"/>
    </row>
    <row r="117" spans="6:6">
      <c r="F117"/>
    </row>
    <row r="118" spans="6:6">
      <c r="F118"/>
    </row>
    <row r="119" spans="6:6">
      <c r="F119"/>
    </row>
    <row r="120" spans="6:6">
      <c r="F120"/>
    </row>
    <row r="121" spans="6:6">
      <c r="F121"/>
    </row>
    <row r="122" spans="6:6">
      <c r="F122"/>
    </row>
    <row r="123" spans="6:6">
      <c r="F123"/>
    </row>
    <row r="124" spans="6:6">
      <c r="F124"/>
    </row>
    <row r="125" spans="6:6">
      <c r="F125"/>
    </row>
    <row r="126" spans="6:6">
      <c r="F126"/>
    </row>
    <row r="127" spans="6:6">
      <c r="F127"/>
    </row>
    <row r="128" spans="6:6">
      <c r="F128"/>
    </row>
    <row r="129" spans="6:6">
      <c r="F129"/>
    </row>
    <row r="130" spans="6:6">
      <c r="F130"/>
    </row>
    <row r="131" spans="6:6">
      <c r="F131"/>
    </row>
    <row r="132" spans="6:6">
      <c r="F132"/>
    </row>
    <row r="133" spans="6:6">
      <c r="F133"/>
    </row>
    <row r="134" spans="6:6">
      <c r="F134"/>
    </row>
    <row r="135" spans="6:6">
      <c r="F135"/>
    </row>
    <row r="136" spans="6:6">
      <c r="F136"/>
    </row>
    <row r="137" spans="6:6">
      <c r="F137"/>
    </row>
    <row r="138" spans="6:6">
      <c r="F138"/>
    </row>
    <row r="139" spans="6:6">
      <c r="F139"/>
    </row>
    <row r="140" spans="6:6">
      <c r="F140"/>
    </row>
    <row r="141" spans="6:6">
      <c r="F141"/>
    </row>
    <row r="142" spans="6:6">
      <c r="F142"/>
    </row>
    <row r="143" spans="6:6">
      <c r="F143"/>
    </row>
    <row r="144" spans="6:6">
      <c r="F144"/>
    </row>
    <row r="145" spans="6:6">
      <c r="F145"/>
    </row>
    <row r="146" spans="6:6">
      <c r="F146"/>
    </row>
    <row r="147" spans="6:6">
      <c r="F147"/>
    </row>
    <row r="148" spans="6:6">
      <c r="F148"/>
    </row>
    <row r="149" spans="6:6">
      <c r="F149"/>
    </row>
    <row r="150" spans="6:6">
      <c r="F150"/>
    </row>
    <row r="151" spans="6:6">
      <c r="F151"/>
    </row>
    <row r="152" spans="6:6">
      <c r="F152"/>
    </row>
    <row r="153" spans="6:6">
      <c r="F153"/>
    </row>
    <row r="154" spans="6:6">
      <c r="F154"/>
    </row>
    <row r="155" spans="6:6">
      <c r="F155"/>
    </row>
    <row r="156" spans="6:6">
      <c r="F156"/>
    </row>
    <row r="157" spans="6:6">
      <c r="F157"/>
    </row>
    <row r="158" spans="6:6">
      <c r="F158"/>
    </row>
    <row r="159" spans="6:6">
      <c r="F159"/>
    </row>
    <row r="160" spans="6:6">
      <c r="F160"/>
    </row>
    <row r="161" spans="6:6">
      <c r="F161"/>
    </row>
    <row r="162" spans="6:6">
      <c r="F162"/>
    </row>
    <row r="163" spans="6:6">
      <c r="F163"/>
    </row>
    <row r="164" spans="6:6">
      <c r="F164"/>
    </row>
    <row r="165" spans="6:6">
      <c r="F165"/>
    </row>
    <row r="166" spans="6:6">
      <c r="F166"/>
    </row>
    <row r="167" spans="6:6">
      <c r="F167"/>
    </row>
    <row r="168" spans="6:6">
      <c r="F168"/>
    </row>
    <row r="169" spans="6:6">
      <c r="F169"/>
    </row>
    <row r="170" spans="6:6">
      <c r="F170"/>
    </row>
    <row r="171" spans="6:6">
      <c r="F171"/>
    </row>
    <row r="172" spans="6:6">
      <c r="F172"/>
    </row>
    <row r="173" spans="6:6">
      <c r="F173"/>
    </row>
    <row r="174" spans="6:6">
      <c r="F174"/>
    </row>
    <row r="175" spans="6:6">
      <c r="F175"/>
    </row>
    <row r="176" spans="6:6">
      <c r="F176"/>
    </row>
    <row r="177" spans="6:6">
      <c r="F177"/>
    </row>
    <row r="178" spans="6:6">
      <c r="F178"/>
    </row>
    <row r="179" spans="6:6">
      <c r="F179"/>
    </row>
    <row r="180" spans="6:6">
      <c r="F180"/>
    </row>
    <row r="181" spans="6:6">
      <c r="F181"/>
    </row>
    <row r="182" spans="6:6">
      <c r="F182"/>
    </row>
    <row r="183" spans="6:6">
      <c r="F183"/>
    </row>
    <row r="184" spans="6:6">
      <c r="F184"/>
    </row>
    <row r="185" spans="6:6">
      <c r="F185"/>
    </row>
    <row r="186" spans="6:6">
      <c r="F186"/>
    </row>
    <row r="187" spans="6:6">
      <c r="F187"/>
    </row>
    <row r="188" spans="6:6">
      <c r="F188"/>
    </row>
    <row r="189" spans="6:6">
      <c r="F189"/>
    </row>
    <row r="190" spans="6:6">
      <c r="F190"/>
    </row>
    <row r="191" spans="6:6">
      <c r="F191"/>
    </row>
    <row r="192" spans="6:6">
      <c r="F192"/>
    </row>
    <row r="193" spans="6:6">
      <c r="F193"/>
    </row>
    <row r="194" spans="6:6">
      <c r="F194"/>
    </row>
    <row r="195" spans="6:6">
      <c r="F195"/>
    </row>
    <row r="196" spans="6:6">
      <c r="F196"/>
    </row>
    <row r="197" spans="6:6">
      <c r="F197"/>
    </row>
    <row r="198" spans="6:6">
      <c r="F198"/>
    </row>
    <row r="199" spans="6:6">
      <c r="F199"/>
    </row>
    <row r="200" spans="6:6">
      <c r="F200"/>
    </row>
    <row r="201" spans="6:6">
      <c r="F201"/>
    </row>
    <row r="202" spans="6:6">
      <c r="F202"/>
    </row>
    <row r="203" spans="6:6">
      <c r="F203"/>
    </row>
    <row r="204" spans="6:6">
      <c r="F204"/>
    </row>
    <row r="205" spans="6:6">
      <c r="F205"/>
    </row>
    <row r="206" spans="6:6">
      <c r="F206"/>
    </row>
    <row r="207" spans="6:6">
      <c r="F207"/>
    </row>
    <row r="208" spans="6:6">
      <c r="F208"/>
    </row>
    <row r="209" spans="6:6">
      <c r="F209"/>
    </row>
    <row r="210" spans="6:6">
      <c r="F210"/>
    </row>
    <row r="211" spans="6:6">
      <c r="F211"/>
    </row>
    <row r="212" spans="6:6">
      <c r="F212"/>
    </row>
    <row r="213" spans="6:6">
      <c r="F213"/>
    </row>
    <row r="214" spans="6:6">
      <c r="F214"/>
    </row>
    <row r="215" spans="6:6">
      <c r="F215"/>
    </row>
    <row r="216" spans="6:6">
      <c r="F216"/>
    </row>
    <row r="217" spans="6:6">
      <c r="F217"/>
    </row>
    <row r="218" spans="6:6">
      <c r="F218"/>
    </row>
    <row r="219" spans="6:6">
      <c r="F219"/>
    </row>
    <row r="220" spans="6:6">
      <c r="F220"/>
    </row>
    <row r="221" spans="6:6">
      <c r="F221"/>
    </row>
    <row r="222" spans="6:6">
      <c r="F222"/>
    </row>
    <row r="223" spans="6:6">
      <c r="F223"/>
    </row>
    <row r="224" spans="6:6">
      <c r="F224"/>
    </row>
    <row r="225" spans="6:6">
      <c r="F225"/>
    </row>
    <row r="226" spans="6:6">
      <c r="F226"/>
    </row>
    <row r="227" spans="6:6">
      <c r="F227"/>
    </row>
    <row r="228" spans="6:6">
      <c r="F228"/>
    </row>
    <row r="229" spans="6:6">
      <c r="F229"/>
    </row>
    <row r="230" spans="6:6">
      <c r="F230"/>
    </row>
    <row r="231" spans="6:6">
      <c r="F231"/>
    </row>
    <row r="232" spans="6:6">
      <c r="F232"/>
    </row>
    <row r="233" spans="6:6">
      <c r="F233"/>
    </row>
    <row r="234" spans="6:6">
      <c r="F234"/>
    </row>
    <row r="235" spans="6:6">
      <c r="F235"/>
    </row>
    <row r="236" spans="6:6">
      <c r="F236"/>
    </row>
    <row r="237" spans="6:6">
      <c r="F237"/>
    </row>
    <row r="238" spans="6:6">
      <c r="F238"/>
    </row>
    <row r="239" spans="6:6">
      <c r="F239"/>
    </row>
    <row r="240" spans="6:6">
      <c r="F240"/>
    </row>
    <row r="241" spans="6:6">
      <c r="F241"/>
    </row>
    <row r="242" spans="6:6">
      <c r="F242"/>
    </row>
    <row r="243" spans="6:6">
      <c r="F243"/>
    </row>
    <row r="244" spans="6:6">
      <c r="F244"/>
    </row>
    <row r="245" spans="6:6">
      <c r="F245"/>
    </row>
    <row r="246" spans="6:6">
      <c r="F246"/>
    </row>
    <row r="247" spans="6:6">
      <c r="F247"/>
    </row>
    <row r="248" spans="6:6">
      <c r="F248"/>
    </row>
    <row r="249" spans="6:6">
      <c r="F249"/>
    </row>
    <row r="250" spans="6:6">
      <c r="F250"/>
    </row>
    <row r="251" spans="6:6">
      <c r="F251"/>
    </row>
    <row r="252" spans="6:6">
      <c r="F252"/>
    </row>
    <row r="253" spans="6:6">
      <c r="F253"/>
    </row>
    <row r="254" spans="6:6">
      <c r="F254"/>
    </row>
    <row r="255" spans="6:6">
      <c r="F255"/>
    </row>
    <row r="256" spans="6:6">
      <c r="F256"/>
    </row>
    <row r="257" spans="6:6">
      <c r="F257"/>
    </row>
    <row r="258" spans="6:6">
      <c r="F258"/>
    </row>
    <row r="259" spans="6:6">
      <c r="F259"/>
    </row>
    <row r="260" spans="6:6">
      <c r="F260"/>
    </row>
    <row r="261" spans="6:6">
      <c r="F261"/>
    </row>
    <row r="262" spans="6:6">
      <c r="F262"/>
    </row>
    <row r="263" spans="6:6">
      <c r="F263"/>
    </row>
    <row r="264" spans="6:6">
      <c r="F264"/>
    </row>
    <row r="265" spans="6:6">
      <c r="F265"/>
    </row>
    <row r="266" spans="6:6">
      <c r="F266"/>
    </row>
    <row r="267" spans="6:6">
      <c r="F267"/>
    </row>
    <row r="268" spans="6:6">
      <c r="F268"/>
    </row>
    <row r="269" spans="6:6">
      <c r="F269"/>
    </row>
    <row r="270" spans="6:6">
      <c r="F270"/>
    </row>
    <row r="271" spans="6:6">
      <c r="F271"/>
    </row>
    <row r="272" spans="6:6">
      <c r="F272"/>
    </row>
    <row r="273" spans="6:6">
      <c r="F273"/>
    </row>
    <row r="274" spans="6:6">
      <c r="F274"/>
    </row>
    <row r="275" spans="6:6">
      <c r="F275"/>
    </row>
    <row r="276" spans="6:6">
      <c r="F276"/>
    </row>
    <row r="277" spans="6:6">
      <c r="F277"/>
    </row>
    <row r="278" spans="6:6">
      <c r="F278"/>
    </row>
    <row r="279" spans="6:6">
      <c r="F279"/>
    </row>
    <row r="280" spans="6:6">
      <c r="F280"/>
    </row>
    <row r="281" spans="6:6">
      <c r="F281"/>
    </row>
    <row r="282" spans="6:6">
      <c r="F282"/>
    </row>
    <row r="283" spans="6:6">
      <c r="F283"/>
    </row>
    <row r="284" spans="6:6">
      <c r="F284"/>
    </row>
    <row r="285" spans="6:6">
      <c r="F285"/>
    </row>
    <row r="286" spans="6:6">
      <c r="F286"/>
    </row>
    <row r="287" spans="6:6">
      <c r="F287"/>
    </row>
    <row r="288" spans="6:6">
      <c r="F288"/>
    </row>
    <row r="289" spans="6:6">
      <c r="F289"/>
    </row>
    <row r="290" spans="6:6">
      <c r="F290"/>
    </row>
    <row r="291" spans="6:6">
      <c r="F291"/>
    </row>
    <row r="292" spans="6:6">
      <c r="F292"/>
    </row>
    <row r="293" spans="6:6">
      <c r="F293"/>
    </row>
    <row r="294" spans="6:6">
      <c r="F294"/>
    </row>
    <row r="295" spans="6:6">
      <c r="F295"/>
    </row>
    <row r="296" spans="6:6">
      <c r="F296"/>
    </row>
    <row r="297" spans="6:6">
      <c r="F297"/>
    </row>
    <row r="298" spans="6:6">
      <c r="F298"/>
    </row>
    <row r="299" spans="6:6">
      <c r="F299"/>
    </row>
    <row r="300" spans="6:6">
      <c r="F300"/>
    </row>
    <row r="301" spans="6:6">
      <c r="F301"/>
    </row>
    <row r="302" spans="6:6">
      <c r="F302"/>
    </row>
    <row r="303" spans="6:6">
      <c r="F303"/>
    </row>
    <row r="304" spans="6:6">
      <c r="F304"/>
    </row>
    <row r="305" spans="6:6">
      <c r="F305"/>
    </row>
    <row r="306" spans="6:6">
      <c r="F306"/>
    </row>
    <row r="307" spans="6:6">
      <c r="F307"/>
    </row>
    <row r="308" spans="6:6">
      <c r="F308"/>
    </row>
    <row r="309" spans="6:6">
      <c r="F309"/>
    </row>
    <row r="310" spans="6:6">
      <c r="F310"/>
    </row>
    <row r="311" spans="6:6">
      <c r="F311"/>
    </row>
    <row r="312" spans="6:6">
      <c r="F312"/>
    </row>
    <row r="313" spans="6:6">
      <c r="F313"/>
    </row>
    <row r="314" spans="6:6">
      <c r="F314"/>
    </row>
    <row r="315" spans="6:6">
      <c r="F315"/>
    </row>
    <row r="316" spans="6:6">
      <c r="F316"/>
    </row>
    <row r="317" spans="6:6">
      <c r="F317"/>
    </row>
    <row r="318" spans="6:6">
      <c r="F318"/>
    </row>
    <row r="319" spans="6:6">
      <c r="F319"/>
    </row>
    <row r="320" spans="6:6">
      <c r="F320"/>
    </row>
    <row r="321" spans="6:6">
      <c r="F321"/>
    </row>
    <row r="322" spans="6:6">
      <c r="F322"/>
    </row>
    <row r="323" spans="6:6">
      <c r="F323"/>
    </row>
    <row r="324" spans="6:6">
      <c r="F324"/>
    </row>
    <row r="325" spans="6:6">
      <c r="F325"/>
    </row>
    <row r="326" spans="6:6">
      <c r="F326"/>
    </row>
    <row r="327" spans="6:6">
      <c r="F327"/>
    </row>
    <row r="328" spans="6:6">
      <c r="F328"/>
    </row>
    <row r="329" spans="6:6">
      <c r="F329"/>
    </row>
    <row r="330" spans="6:6">
      <c r="F330"/>
    </row>
    <row r="331" spans="6:6">
      <c r="F331"/>
    </row>
    <row r="332" spans="6:6">
      <c r="F332"/>
    </row>
    <row r="333" spans="6:6">
      <c r="F333"/>
    </row>
    <row r="334" spans="6:6">
      <c r="F334"/>
    </row>
    <row r="335" spans="6:6">
      <c r="F335"/>
    </row>
    <row r="336" spans="6:6">
      <c r="F336"/>
    </row>
    <row r="337" spans="6:6">
      <c r="F337"/>
    </row>
    <row r="338" spans="6:6">
      <c r="F338"/>
    </row>
    <row r="339" spans="6:6">
      <c r="F339"/>
    </row>
    <row r="340" spans="6:6">
      <c r="F340"/>
    </row>
    <row r="341" spans="6:6">
      <c r="F341"/>
    </row>
    <row r="342" spans="6:6">
      <c r="F342"/>
    </row>
    <row r="343" spans="6:6">
      <c r="F343"/>
    </row>
    <row r="344" spans="6:6">
      <c r="F344"/>
    </row>
    <row r="345" spans="6:6">
      <c r="F345"/>
    </row>
    <row r="346" spans="6:6">
      <c r="F346"/>
    </row>
    <row r="347" spans="6:6">
      <c r="F347"/>
    </row>
    <row r="348" spans="6:6">
      <c r="F348"/>
    </row>
    <row r="349" spans="6:6">
      <c r="F349"/>
    </row>
    <row r="350" spans="6:6">
      <c r="F350"/>
    </row>
    <row r="351" spans="6:6">
      <c r="F351"/>
    </row>
    <row r="352" spans="6:6">
      <c r="F352"/>
    </row>
    <row r="353" spans="6:6">
      <c r="F353"/>
    </row>
    <row r="354" spans="6:6">
      <c r="F354"/>
    </row>
    <row r="355" spans="6:6">
      <c r="F355"/>
    </row>
    <row r="356" spans="6:6">
      <c r="F356"/>
    </row>
    <row r="357" spans="6:6">
      <c r="F357"/>
    </row>
    <row r="358" spans="6:6">
      <c r="F358"/>
    </row>
    <row r="359" spans="6:6">
      <c r="F359"/>
    </row>
    <row r="360" spans="6:6">
      <c r="F360"/>
    </row>
    <row r="361" spans="6:6">
      <c r="F361"/>
    </row>
    <row r="362" spans="6:6">
      <c r="F362"/>
    </row>
    <row r="363" spans="6:6">
      <c r="F363"/>
    </row>
    <row r="364" spans="6:6">
      <c r="F364"/>
    </row>
    <row r="365" spans="6:6">
      <c r="F365"/>
    </row>
    <row r="366" spans="6:6">
      <c r="F366"/>
    </row>
    <row r="367" spans="6:6">
      <c r="F367"/>
    </row>
    <row r="368" spans="6:6">
      <c r="F368"/>
    </row>
    <row r="369" spans="6:6">
      <c r="F369"/>
    </row>
    <row r="370" spans="6:6">
      <c r="F370"/>
    </row>
    <row r="371" spans="6:6">
      <c r="F371"/>
    </row>
    <row r="372" spans="6:6">
      <c r="F372"/>
    </row>
    <row r="373" spans="6:6">
      <c r="F373"/>
    </row>
    <row r="374" spans="6:6">
      <c r="F374"/>
    </row>
    <row r="375" spans="6:6">
      <c r="F375"/>
    </row>
    <row r="376" spans="6:6">
      <c r="F376"/>
    </row>
    <row r="377" spans="6:6">
      <c r="F377"/>
    </row>
    <row r="378" spans="6:6">
      <c r="F378"/>
    </row>
    <row r="379" spans="6:6">
      <c r="F379"/>
    </row>
    <row r="380" spans="6:6">
      <c r="F380"/>
    </row>
    <row r="381" spans="6:6">
      <c r="F381"/>
    </row>
    <row r="382" spans="6:6">
      <c r="F382"/>
    </row>
    <row r="383" spans="6:6">
      <c r="F383"/>
    </row>
    <row r="384" spans="6:6">
      <c r="F384"/>
    </row>
    <row r="385" spans="6:6">
      <c r="F385"/>
    </row>
    <row r="386" spans="6:6">
      <c r="F386"/>
    </row>
    <row r="387" spans="6:6">
      <c r="F387"/>
    </row>
    <row r="388" spans="6:6">
      <c r="F388"/>
    </row>
    <row r="389" spans="6:6">
      <c r="F389"/>
    </row>
    <row r="390" spans="6:6">
      <c r="F390"/>
    </row>
    <row r="391" spans="6:6">
      <c r="F391"/>
    </row>
    <row r="392" spans="6:6">
      <c r="F392"/>
    </row>
    <row r="393" spans="6:6">
      <c r="F393"/>
    </row>
    <row r="394" spans="6:6">
      <c r="F394"/>
    </row>
    <row r="395" spans="6:6">
      <c r="F395"/>
    </row>
    <row r="396" spans="6:6">
      <c r="F396"/>
    </row>
    <row r="397" spans="6:6">
      <c r="F397"/>
    </row>
    <row r="398" spans="6:6">
      <c r="F398"/>
    </row>
    <row r="399" spans="6:6">
      <c r="F399"/>
    </row>
    <row r="400" spans="6:6">
      <c r="F400"/>
    </row>
    <row r="401" spans="6:6">
      <c r="F401"/>
    </row>
    <row r="402" spans="6:6">
      <c r="F402"/>
    </row>
    <row r="403" spans="6:6">
      <c r="F403"/>
    </row>
    <row r="404" spans="6:6">
      <c r="F404"/>
    </row>
    <row r="405" spans="6:6">
      <c r="F405"/>
    </row>
  </sheetData>
  <sortState xmlns:xlrd2="http://schemas.microsoft.com/office/spreadsheetml/2017/richdata2" ref="B13:F52">
    <sortCondition ref="B15"/>
  </sortState>
  <mergeCells count="73">
    <mergeCell ref="B111:E111"/>
    <mergeCell ref="B112:E112"/>
    <mergeCell ref="C22:C23"/>
    <mergeCell ref="C35:C36"/>
    <mergeCell ref="C44:C45"/>
    <mergeCell ref="C66:C67"/>
    <mergeCell ref="D26:D28"/>
    <mergeCell ref="D30:D31"/>
    <mergeCell ref="D32:D33"/>
    <mergeCell ref="D40:D44"/>
    <mergeCell ref="D45:D47"/>
    <mergeCell ref="D50:D51"/>
    <mergeCell ref="D53:D54"/>
    <mergeCell ref="D57:D58"/>
    <mergeCell ref="D60:D61"/>
    <mergeCell ref="D64:D65"/>
    <mergeCell ref="B74:E74"/>
    <mergeCell ref="B75:B76"/>
    <mergeCell ref="B77:E77"/>
    <mergeCell ref="B79:E79"/>
    <mergeCell ref="B81:E81"/>
    <mergeCell ref="D75:D76"/>
    <mergeCell ref="B20:E20"/>
    <mergeCell ref="B21:B24"/>
    <mergeCell ref="B25:E25"/>
    <mergeCell ref="B26:B28"/>
    <mergeCell ref="B29:E29"/>
    <mergeCell ref="B30:B33"/>
    <mergeCell ref="B34:E34"/>
    <mergeCell ref="B35:B36"/>
    <mergeCell ref="B37:E37"/>
    <mergeCell ref="B39:E39"/>
    <mergeCell ref="B63:E63"/>
    <mergeCell ref="B64:B67"/>
    <mergeCell ref="B68:E68"/>
    <mergeCell ref="B69:B71"/>
    <mergeCell ref="B72:E72"/>
    <mergeCell ref="D69:D70"/>
    <mergeCell ref="B53:B55"/>
    <mergeCell ref="B56:E56"/>
    <mergeCell ref="B57:B58"/>
    <mergeCell ref="B59:E59"/>
    <mergeCell ref="B60:B62"/>
    <mergeCell ref="B40:B48"/>
    <mergeCell ref="B49:E49"/>
    <mergeCell ref="B50:B51"/>
    <mergeCell ref="B52:E52"/>
    <mergeCell ref="A1:H1"/>
    <mergeCell ref="B15:B16"/>
    <mergeCell ref="B17:E17"/>
    <mergeCell ref="B18:B19"/>
    <mergeCell ref="D15:D16"/>
    <mergeCell ref="D18:D19"/>
    <mergeCell ref="B82:B84"/>
    <mergeCell ref="D82:D84"/>
    <mergeCell ref="B85:E85"/>
    <mergeCell ref="B86:B87"/>
    <mergeCell ref="B88:E88"/>
    <mergeCell ref="B89:B90"/>
    <mergeCell ref="B91:E91"/>
    <mergeCell ref="D86:D87"/>
    <mergeCell ref="D89:D90"/>
    <mergeCell ref="B93:E93"/>
    <mergeCell ref="B95:E95"/>
    <mergeCell ref="B96:B97"/>
    <mergeCell ref="B98:E98"/>
    <mergeCell ref="B100:E100"/>
    <mergeCell ref="B101:B102"/>
    <mergeCell ref="B103:E103"/>
    <mergeCell ref="B105:E105"/>
    <mergeCell ref="B107:E107"/>
    <mergeCell ref="B109:E109"/>
    <mergeCell ref="D101:D102"/>
  </mergeCells>
  <pageMargins left="0.1" right="0.1" top="0.5" bottom="0.1" header="0.25" footer="0.25"/>
  <pageSetup orientation="portrait" horizontalDpi="240" verticalDpi="144" r:id="rId2"/>
  <headerFooter>
    <oddHeader>&amp;L&amp;F</oddHeader>
  </headerFooter>
  <rowBreaks count="2" manualBreakCount="2">
    <brk id="48" max="7" man="1"/>
    <brk id="94" max="7" man="1"/>
  </rowBreaks>
  <colBreaks count="1" manualBreakCount="1">
    <brk id="8" max="1048575" man="1"/>
  </colBreaks>
  <drawing r:id="rId3"/>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6"/>
  <dimension ref="A1:IS405"/>
  <sheetViews>
    <sheetView view="pageBreakPreview" zoomScale="85" zoomScaleNormal="55" zoomScaleSheetLayoutView="85" workbookViewId="0">
      <pane ySplit="14" topLeftCell="A15" activePane="bottomLeft" state="frozen"/>
      <selection pane="bottomLeft" activeCell="C11" sqref="C11"/>
    </sheetView>
  </sheetViews>
  <sheetFormatPr baseColWidth="10" defaultColWidth="9" defaultRowHeight="16"/>
  <cols>
    <col min="1" max="1" width="4" style="1" customWidth="1"/>
    <col min="2" max="2" width="39.1640625" customWidth="1"/>
    <col min="3" max="3" width="16.6640625" customWidth="1"/>
    <col min="4" max="5" width="4.6640625" customWidth="1"/>
    <col min="6" max="6" width="4.6640625" style="1" customWidth="1"/>
    <col min="7" max="7" width="4.6640625" style="2" customWidth="1"/>
    <col min="8" max="8" width="16.6640625" style="1" customWidth="1"/>
    <col min="9" max="9" width="6.83203125" customWidth="1"/>
    <col min="10" max="10" width="1.6640625" customWidth="1"/>
    <col min="11" max="11" width="6.83203125" customWidth="1"/>
    <col min="12" max="12" width="1.6640625" customWidth="1"/>
    <col min="13" max="13" width="6.83203125" customWidth="1"/>
    <col min="14" max="14" width="9" customWidth="1"/>
  </cols>
  <sheetData>
    <row r="1" spans="1:253" ht="20">
      <c r="A1" s="866" t="s">
        <v>3205</v>
      </c>
      <c r="B1" s="866"/>
      <c r="C1" s="866"/>
      <c r="D1" s="866"/>
      <c r="E1" s="866"/>
      <c r="F1" s="866"/>
      <c r="G1" s="866"/>
      <c r="H1" s="866"/>
      <c r="I1" s="360" t="s">
        <v>1766</v>
      </c>
      <c r="J1" s="143"/>
      <c r="K1" s="360" t="s">
        <v>1756</v>
      </c>
      <c r="L1" s="143"/>
      <c r="M1" s="360" t="s">
        <v>1749</v>
      </c>
      <c r="N1" s="42"/>
      <c r="O1" s="360" t="s">
        <v>2362</v>
      </c>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c r="II1" s="42"/>
      <c r="IJ1" s="42"/>
      <c r="IK1" s="42"/>
      <c r="IL1" s="42"/>
      <c r="IM1" s="42"/>
      <c r="IN1" s="42"/>
      <c r="IO1" s="42"/>
      <c r="IP1" s="42"/>
      <c r="IQ1" s="42"/>
      <c r="IR1" s="42"/>
      <c r="IS1" s="42"/>
    </row>
    <row r="2" spans="1:253" ht="18">
      <c r="A2" s="3"/>
      <c r="B2" s="53" t="s">
        <v>1658</v>
      </c>
      <c r="C2" s="5"/>
      <c r="D2" s="5"/>
      <c r="E2" s="5"/>
      <c r="F2" s="5"/>
      <c r="G2" s="5"/>
      <c r="H2" s="6"/>
      <c r="I2" s="43"/>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row>
    <row r="3" spans="1:253">
      <c r="A3" s="7" t="s">
        <v>327</v>
      </c>
      <c r="B3" s="18"/>
      <c r="C3" s="8" t="str">
        <f>No_proyek</f>
        <v>RZ0458</v>
      </c>
      <c r="D3" s="9"/>
      <c r="E3" s="9"/>
      <c r="F3" s="10"/>
      <c r="G3" s="11" t="s">
        <v>2173</v>
      </c>
      <c r="H3" s="12"/>
      <c r="I3" s="16"/>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c r="II3" s="42"/>
      <c r="IJ3" s="42"/>
      <c r="IK3" s="42"/>
      <c r="IL3" s="42"/>
      <c r="IM3" s="42"/>
      <c r="IN3" s="42"/>
      <c r="IO3" s="42"/>
      <c r="IP3" s="42"/>
      <c r="IQ3" s="42"/>
      <c r="IR3" s="42"/>
      <c r="IS3" s="42"/>
    </row>
    <row r="4" spans="1:253">
      <c r="A4" s="7" t="s">
        <v>2174</v>
      </c>
      <c r="B4" s="18"/>
      <c r="C4" s="8" t="str">
        <f>no_kontrak</f>
        <v>127/RK-RL-PI/PAP-LL/XII/2025</v>
      </c>
      <c r="D4" s="9"/>
      <c r="E4" s="9"/>
      <c r="F4" s="366"/>
      <c r="G4" s="421" t="str">
        <f>IF(Spek!$D$7="√","√","")</f>
        <v/>
      </c>
      <c r="H4" s="13" t="s">
        <v>1509</v>
      </c>
      <c r="I4" s="16"/>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row>
    <row r="5" spans="1:253">
      <c r="A5" s="14" t="s">
        <v>1508</v>
      </c>
      <c r="B5" s="66"/>
      <c r="C5" s="8" t="str">
        <f>nip</f>
        <v>25LL017MPC</v>
      </c>
      <c r="D5" s="9"/>
      <c r="E5" s="9"/>
      <c r="F5" s="9"/>
      <c r="G5" s="421" t="str">
        <f>IF(Spek!$D$8="√","√","")</f>
        <v>√</v>
      </c>
      <c r="H5" s="15" t="s">
        <v>1511</v>
      </c>
      <c r="I5" s="17" t="s">
        <v>2175</v>
      </c>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c r="II5" s="42"/>
      <c r="IJ5" s="42"/>
      <c r="IK5" s="42"/>
      <c r="IL5" s="42"/>
      <c r="IM5" s="42"/>
      <c r="IN5" s="42"/>
      <c r="IO5" s="42"/>
      <c r="IP5" s="42"/>
      <c r="IQ5" s="42"/>
      <c r="IR5" s="42"/>
      <c r="IS5" s="42"/>
    </row>
    <row r="6" spans="1:253">
      <c r="A6" s="7" t="s">
        <v>2176</v>
      </c>
      <c r="B6" s="18"/>
      <c r="C6" s="8" t="str">
        <f>nama_proyek</f>
        <v>PT Malindo Feedmill Tbk-Dry Pantry</v>
      </c>
      <c r="D6" s="9"/>
      <c r="E6" s="9"/>
      <c r="F6" s="16"/>
      <c r="G6" s="17"/>
      <c r="H6" s="18"/>
      <c r="I6" s="17" t="s">
        <v>2177</v>
      </c>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42"/>
      <c r="IS6" s="42"/>
    </row>
    <row r="7" spans="1:253">
      <c r="A7" s="7" t="s">
        <v>2178</v>
      </c>
      <c r="B7" s="18"/>
      <c r="C7" s="19">
        <f>tgl</f>
        <v>46163</v>
      </c>
      <c r="D7" s="20"/>
      <c r="E7" s="21"/>
      <c r="F7" s="22"/>
      <c r="G7" s="23" t="s">
        <v>2259</v>
      </c>
      <c r="H7" s="18"/>
      <c r="I7" s="17"/>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2"/>
      <c r="EH7" s="42"/>
      <c r="EI7" s="42"/>
      <c r="EJ7" s="42"/>
      <c r="EK7" s="42"/>
      <c r="EL7" s="42"/>
      <c r="EM7" s="42"/>
      <c r="EN7" s="42"/>
      <c r="EO7" s="42"/>
      <c r="EP7" s="42"/>
      <c r="EQ7" s="42"/>
      <c r="ER7" s="42"/>
      <c r="ES7" s="42"/>
      <c r="ET7" s="42"/>
      <c r="EU7" s="42"/>
      <c r="EV7" s="42"/>
      <c r="EW7" s="42"/>
      <c r="EX7" s="42"/>
      <c r="EY7" s="42"/>
      <c r="EZ7" s="42"/>
      <c r="FA7" s="42"/>
      <c r="FB7" s="42"/>
      <c r="FC7" s="42"/>
      <c r="FD7" s="42"/>
      <c r="FE7" s="42"/>
      <c r="FF7" s="42"/>
      <c r="FG7" s="42"/>
      <c r="FH7" s="42"/>
      <c r="FI7" s="42"/>
      <c r="FJ7" s="42"/>
      <c r="FK7" s="42"/>
      <c r="FL7" s="42"/>
      <c r="FM7" s="42"/>
      <c r="FN7" s="42"/>
      <c r="FO7" s="42"/>
      <c r="FP7" s="42"/>
      <c r="FQ7" s="42"/>
      <c r="FR7" s="42"/>
      <c r="FS7" s="42"/>
      <c r="FT7" s="42"/>
      <c r="FU7" s="42"/>
      <c r="FV7" s="42"/>
      <c r="FW7" s="42"/>
      <c r="FX7" s="42"/>
      <c r="FY7" s="42"/>
      <c r="FZ7" s="42"/>
      <c r="GA7" s="42"/>
      <c r="GB7" s="42"/>
      <c r="GC7" s="42"/>
      <c r="GD7" s="42"/>
      <c r="GE7" s="42"/>
      <c r="GF7" s="42"/>
      <c r="GG7" s="42"/>
      <c r="GH7" s="42"/>
      <c r="GI7" s="42"/>
      <c r="GJ7" s="42"/>
      <c r="GK7" s="42"/>
      <c r="GL7" s="42"/>
      <c r="GM7" s="42"/>
      <c r="GN7" s="42"/>
      <c r="GO7" s="42"/>
      <c r="GP7" s="42"/>
      <c r="GQ7" s="42"/>
      <c r="GR7" s="42"/>
      <c r="GS7" s="42"/>
      <c r="GT7" s="42"/>
      <c r="GU7" s="42"/>
      <c r="GV7" s="42"/>
      <c r="GW7" s="42"/>
      <c r="GX7" s="42"/>
      <c r="GY7" s="42"/>
      <c r="GZ7" s="42"/>
      <c r="HA7" s="42"/>
      <c r="HB7" s="42"/>
      <c r="HC7" s="42"/>
      <c r="HD7" s="42"/>
      <c r="HE7" s="42"/>
      <c r="HF7" s="42"/>
      <c r="HG7" s="42"/>
      <c r="HH7" s="42"/>
      <c r="HI7" s="42"/>
      <c r="HJ7" s="42"/>
      <c r="HK7" s="42"/>
      <c r="HL7" s="42"/>
      <c r="HM7" s="42"/>
      <c r="HN7" s="42"/>
      <c r="HO7" s="42"/>
      <c r="HP7" s="42"/>
      <c r="HQ7" s="42"/>
      <c r="HR7" s="42"/>
      <c r="HS7" s="42"/>
      <c r="HT7" s="42"/>
      <c r="HU7" s="42"/>
      <c r="HV7" s="42"/>
      <c r="HW7" s="42"/>
      <c r="HX7" s="42"/>
      <c r="HY7" s="42"/>
      <c r="HZ7" s="42"/>
      <c r="IA7" s="42"/>
      <c r="IB7" s="42"/>
      <c r="IC7" s="42"/>
      <c r="ID7" s="42"/>
      <c r="IE7" s="42"/>
      <c r="IF7" s="42"/>
      <c r="IG7" s="42"/>
      <c r="IH7" s="42"/>
      <c r="II7" s="42"/>
      <c r="IJ7" s="42"/>
      <c r="IK7" s="42"/>
      <c r="IL7" s="42"/>
      <c r="IM7" s="42"/>
      <c r="IN7" s="42"/>
      <c r="IO7" s="42"/>
      <c r="IP7" s="42"/>
      <c r="IQ7" s="42"/>
      <c r="IR7" s="42"/>
      <c r="IS7" s="42"/>
    </row>
    <row r="8" spans="1:253">
      <c r="A8" s="7" t="s">
        <v>2179</v>
      </c>
      <c r="B8" s="18"/>
      <c r="C8" s="24"/>
      <c r="D8" s="25"/>
      <c r="E8" s="26"/>
      <c r="F8" s="27"/>
      <c r="G8" s="421" t="str">
        <f>IF(Spek!$D$9="√","√","")</f>
        <v/>
      </c>
      <c r="H8" s="421" t="str">
        <f>IF(Spek!$D$10="√","√","")</f>
        <v>√</v>
      </c>
      <c r="I8" s="17"/>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c r="HP8" s="42"/>
      <c r="HQ8" s="42"/>
      <c r="HR8" s="42"/>
      <c r="HS8" s="42"/>
      <c r="HT8" s="42"/>
      <c r="HU8" s="42"/>
      <c r="HV8" s="42"/>
      <c r="HW8" s="42"/>
      <c r="HX8" s="42"/>
      <c r="HY8" s="42"/>
      <c r="HZ8" s="42"/>
      <c r="IA8" s="42"/>
      <c r="IB8" s="42"/>
      <c r="IC8" s="42"/>
      <c r="ID8" s="42"/>
      <c r="IE8" s="42"/>
      <c r="IF8" s="42"/>
      <c r="IG8" s="42"/>
      <c r="IH8" s="42"/>
      <c r="II8" s="42"/>
      <c r="IJ8" s="42"/>
      <c r="IK8" s="42"/>
      <c r="IL8" s="42"/>
      <c r="IM8" s="42"/>
      <c r="IN8" s="42"/>
      <c r="IO8" s="42"/>
      <c r="IP8" s="42"/>
      <c r="IQ8" s="42"/>
      <c r="IR8" s="42"/>
      <c r="IS8" s="42"/>
    </row>
    <row r="9" spans="1:253">
      <c r="A9" s="524" t="s">
        <v>2180</v>
      </c>
      <c r="B9" s="32"/>
      <c r="C9" s="8" t="str">
        <f>Estimator</f>
        <v>Fahrudin</v>
      </c>
      <c r="D9" s="9"/>
      <c r="E9" s="9"/>
      <c r="F9" s="16"/>
      <c r="G9" s="17"/>
      <c r="H9" s="12"/>
      <c r="I9" s="461" t="str">
        <f>CONCATENATE(,"(",koordinator,")","               ","(",ka_rakit,")","                 ","(",ka_panel,")","                 ","(",ka_QC,")","         ","(",koordinator,")")</f>
        <v>(Reza Pahlevi)               (Dedi Cahyadi)                 (Muchson Adie S)                 (Sukamto)         (Reza Pahlevi)</v>
      </c>
      <c r="J9" s="42"/>
      <c r="K9" s="42"/>
      <c r="L9" s="44"/>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2"/>
      <c r="DZ9" s="42"/>
      <c r="EA9" s="42"/>
      <c r="EB9" s="42"/>
      <c r="EC9" s="42"/>
      <c r="ED9" s="42"/>
      <c r="EE9" s="42"/>
      <c r="EF9" s="42"/>
      <c r="EG9" s="42"/>
      <c r="EH9" s="42"/>
      <c r="EI9" s="42"/>
      <c r="EJ9" s="42"/>
      <c r="EK9" s="42"/>
      <c r="EL9" s="42"/>
      <c r="EM9" s="42"/>
      <c r="EN9" s="42"/>
      <c r="EO9" s="42"/>
      <c r="EP9" s="42"/>
      <c r="EQ9" s="42"/>
      <c r="ER9" s="42"/>
      <c r="ES9" s="42"/>
      <c r="ET9" s="42"/>
      <c r="EU9" s="42"/>
      <c r="EV9" s="42"/>
      <c r="EW9" s="42"/>
      <c r="EX9" s="42"/>
      <c r="EY9" s="42"/>
      <c r="EZ9" s="42"/>
      <c r="FA9" s="42"/>
      <c r="FB9" s="42"/>
      <c r="FC9" s="42"/>
      <c r="FD9" s="42"/>
      <c r="FE9" s="42"/>
      <c r="FF9" s="42"/>
      <c r="FG9" s="42"/>
      <c r="FH9" s="42"/>
      <c r="FI9" s="42"/>
      <c r="FJ9" s="42"/>
      <c r="FK9" s="42"/>
      <c r="FL9" s="42"/>
      <c r="FM9" s="42"/>
      <c r="FN9" s="42"/>
      <c r="FO9" s="42"/>
      <c r="FP9" s="42"/>
      <c r="FQ9" s="42"/>
      <c r="FR9" s="42"/>
      <c r="FS9" s="42"/>
      <c r="FT9" s="42"/>
      <c r="FU9" s="42"/>
      <c r="FV9" s="42"/>
      <c r="FW9" s="42"/>
      <c r="FX9" s="42"/>
      <c r="FY9" s="42"/>
      <c r="FZ9" s="42"/>
      <c r="GA9" s="42"/>
      <c r="GB9" s="42"/>
      <c r="GC9" s="42"/>
      <c r="GD9" s="42"/>
      <c r="GE9" s="42"/>
      <c r="GF9" s="42"/>
      <c r="GG9" s="42"/>
      <c r="GH9" s="42"/>
      <c r="GI9" s="42"/>
      <c r="GJ9" s="42"/>
      <c r="GK9" s="42"/>
      <c r="GL9" s="42"/>
      <c r="GM9" s="42"/>
      <c r="GN9" s="42"/>
      <c r="GO9" s="42"/>
      <c r="GP9" s="42"/>
      <c r="GQ9" s="42"/>
      <c r="GR9" s="42"/>
      <c r="GS9" s="42"/>
      <c r="GT9" s="42"/>
      <c r="GU9" s="42"/>
      <c r="GV9" s="42"/>
      <c r="GW9" s="42"/>
      <c r="GX9" s="42"/>
      <c r="GY9" s="42"/>
      <c r="GZ9" s="42"/>
      <c r="HA9" s="42"/>
      <c r="HB9" s="42"/>
      <c r="HC9" s="42"/>
      <c r="HD9" s="42"/>
      <c r="HE9" s="42"/>
      <c r="HF9" s="42"/>
      <c r="HG9" s="42"/>
      <c r="HH9" s="42"/>
      <c r="HI9" s="42"/>
      <c r="HJ9" s="42"/>
      <c r="HK9" s="42"/>
      <c r="HL9" s="42"/>
      <c r="HM9" s="42"/>
      <c r="HN9" s="42"/>
      <c r="HO9" s="42"/>
      <c r="HP9" s="42"/>
      <c r="HQ9" s="42"/>
      <c r="HR9" s="42"/>
      <c r="HS9" s="42"/>
      <c r="HT9" s="42"/>
      <c r="HU9" s="42"/>
      <c r="HV9" s="42"/>
      <c r="HW9" s="42"/>
      <c r="HX9" s="42"/>
      <c r="HY9" s="42"/>
      <c r="HZ9" s="42"/>
      <c r="IA9" s="42"/>
      <c r="IB9" s="42"/>
      <c r="IC9" s="42"/>
      <c r="ID9" s="42"/>
      <c r="IE9" s="42"/>
      <c r="IF9" s="42"/>
      <c r="IG9" s="42"/>
      <c r="IH9" s="42"/>
      <c r="II9" s="42"/>
      <c r="IJ9" s="42"/>
      <c r="IK9" s="42"/>
      <c r="IL9" s="42"/>
      <c r="IM9" s="42"/>
      <c r="IN9" s="42"/>
      <c r="IO9" s="42"/>
      <c r="IP9" s="42"/>
      <c r="IQ9" s="42"/>
      <c r="IR9" s="42"/>
      <c r="IS9" s="42"/>
    </row>
    <row r="10" spans="1:253">
      <c r="A10" s="29" t="s">
        <v>2182</v>
      </c>
      <c r="B10" s="68"/>
      <c r="C10" s="30" t="str">
        <f>CONCATENATE("Kabinet"," ",bahan1," ",kabinet1," ",edgingkab1)</f>
        <v>Kabinet Ply HB_41130 Edg_Décor_1723_B</v>
      </c>
      <c r="D10" s="9"/>
      <c r="E10" s="9"/>
      <c r="F10" s="16"/>
      <c r="G10" s="17"/>
      <c r="H10" s="12"/>
      <c r="I10" s="17"/>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42"/>
      <c r="IS10" s="42"/>
    </row>
    <row r="11" spans="1:253">
      <c r="A11" s="29"/>
      <c r="B11" s="66"/>
      <c r="C11" s="30" t="str">
        <f>CONCATENATE("Pintu"," ",bahan5)</f>
        <v>Pintu Ply</v>
      </c>
      <c r="D11" s="9"/>
      <c r="E11" s="10"/>
      <c r="F11" s="16"/>
      <c r="G11" s="17"/>
      <c r="H11" s="359"/>
      <c r="I11" s="44"/>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c r="FJ11" s="42"/>
      <c r="FK11" s="42"/>
      <c r="FL11" s="42"/>
      <c r="FM11" s="42"/>
      <c r="FN11" s="42"/>
      <c r="FO11" s="42"/>
      <c r="FP11" s="42"/>
      <c r="FQ11" s="42"/>
      <c r="FR11" s="42"/>
      <c r="FS11" s="42"/>
      <c r="FT11" s="42"/>
      <c r="FU11" s="42"/>
      <c r="FV11" s="42"/>
      <c r="FW11" s="42"/>
      <c r="FX11" s="42"/>
      <c r="FY11" s="42"/>
      <c r="FZ11" s="42"/>
      <c r="GA11" s="42"/>
      <c r="GB11" s="42"/>
      <c r="GC11" s="42"/>
      <c r="GD11" s="42"/>
      <c r="GE11" s="42"/>
      <c r="GF11" s="42"/>
      <c r="GG11" s="42"/>
      <c r="GH11" s="42"/>
      <c r="GI11" s="42"/>
      <c r="GJ11" s="42"/>
      <c r="GK11" s="42"/>
      <c r="GL11" s="42"/>
      <c r="GM11" s="42"/>
      <c r="GN11" s="42"/>
      <c r="GO11" s="42"/>
      <c r="GP11" s="42"/>
      <c r="GQ11" s="42"/>
      <c r="GR11" s="42"/>
      <c r="GS11" s="42"/>
      <c r="GT11" s="42"/>
      <c r="GU11" s="42"/>
      <c r="GV11" s="42"/>
      <c r="GW11" s="42"/>
      <c r="GX11" s="42"/>
      <c r="GY11" s="42"/>
      <c r="GZ11" s="42"/>
      <c r="HA11" s="42"/>
      <c r="HB11" s="42"/>
      <c r="HC11" s="42"/>
      <c r="HD11" s="42"/>
      <c r="HE11" s="42"/>
      <c r="HF11" s="42"/>
      <c r="HG11" s="42"/>
      <c r="HH11" s="42"/>
      <c r="HI11" s="42"/>
      <c r="HJ11" s="42"/>
      <c r="HK11" s="42"/>
      <c r="HL11" s="42"/>
      <c r="HM11" s="42"/>
      <c r="HN11" s="42"/>
      <c r="HO11" s="42"/>
      <c r="HP11" s="42"/>
      <c r="HQ11" s="42"/>
      <c r="HR11" s="42"/>
      <c r="HS11" s="42"/>
      <c r="HT11" s="42"/>
      <c r="HU11" s="42"/>
      <c r="HV11" s="42"/>
      <c r="HW11" s="42"/>
      <c r="HX11" s="42"/>
      <c r="HY11" s="42"/>
      <c r="HZ11" s="42"/>
      <c r="IA11" s="42"/>
      <c r="IB11" s="42"/>
      <c r="IC11" s="42"/>
      <c r="ID11" s="42"/>
      <c r="IE11" s="42"/>
      <c r="IF11" s="42"/>
      <c r="IG11" s="42"/>
      <c r="IH11" s="42"/>
      <c r="II11" s="42"/>
      <c r="IJ11" s="42"/>
      <c r="IK11" s="42"/>
      <c r="IL11" s="42"/>
      <c r="IM11" s="42"/>
      <c r="IN11" s="42"/>
      <c r="IO11" s="42"/>
      <c r="IP11" s="42"/>
      <c r="IQ11" s="42"/>
      <c r="IR11" s="42"/>
      <c r="IS11" s="42"/>
    </row>
    <row r="12" spans="1:253">
      <c r="A12" s="33"/>
      <c r="B12" s="354"/>
      <c r="C12" s="34"/>
      <c r="D12" s="1"/>
      <c r="E12" s="1"/>
      <c r="G12"/>
      <c r="H12" s="185"/>
    </row>
    <row r="13" spans="1:253">
      <c r="A13" s="129"/>
      <c r="B13" s="926" t="s">
        <v>2923</v>
      </c>
      <c r="C13" s="927"/>
      <c r="D13" s="927"/>
      <c r="E13" s="927"/>
      <c r="F13" s="838"/>
      <c r="G13" s="355" t="s">
        <v>1506</v>
      </c>
      <c r="H13" s="493"/>
    </row>
    <row r="14" spans="1:253" ht="17">
      <c r="A14" s="485" t="s">
        <v>2135</v>
      </c>
      <c r="B14" s="840" t="s">
        <v>2157</v>
      </c>
      <c r="C14" s="837" t="s">
        <v>2138</v>
      </c>
      <c r="D14" s="837" t="s">
        <v>2134</v>
      </c>
      <c r="E14" s="837" t="s">
        <v>2133</v>
      </c>
      <c r="F14" s="838" t="s">
        <v>2220</v>
      </c>
      <c r="G14" s="484" t="s">
        <v>2184</v>
      </c>
      <c r="H14" s="494" t="s">
        <v>333</v>
      </c>
    </row>
    <row r="15" spans="1:253">
      <c r="A15" s="129"/>
      <c r="B15" s="872" t="s">
        <v>4814</v>
      </c>
      <c r="C15" s="841" t="s">
        <v>4815</v>
      </c>
      <c r="D15" s="841" t="s">
        <v>2166</v>
      </c>
      <c r="E15" s="841" t="s">
        <v>3238</v>
      </c>
      <c r="F15" s="930">
        <v>1</v>
      </c>
      <c r="G15" s="40"/>
      <c r="H15" s="129"/>
      <c r="I15" s="1" t="str">
        <f>LEFT(C15,4)</f>
        <v>1004</v>
      </c>
      <c r="J15" s="1" t="s">
        <v>2137</v>
      </c>
      <c r="K15" s="1" t="str">
        <f>MID(C15,7,4)</f>
        <v xml:space="preserve"> 550</v>
      </c>
      <c r="L15" s="1" t="s">
        <v>2137</v>
      </c>
      <c r="M15" s="1" t="str">
        <f>RIGHT(C15,3)</f>
        <v xml:space="preserve"> 19</v>
      </c>
      <c r="N15" s="1"/>
      <c r="O15" s="1" t="str">
        <f>D15</f>
        <v>A</v>
      </c>
    </row>
    <row r="16" spans="1:253">
      <c r="A16" s="129"/>
      <c r="B16" s="874"/>
      <c r="C16" s="841" t="s">
        <v>4816</v>
      </c>
      <c r="D16" s="841" t="s">
        <v>3093</v>
      </c>
      <c r="E16" s="841" t="s">
        <v>3238</v>
      </c>
      <c r="F16" s="931">
        <v>1</v>
      </c>
      <c r="G16" s="40"/>
      <c r="H16" s="129"/>
    </row>
    <row r="17" spans="1:15">
      <c r="A17" s="129"/>
      <c r="B17" s="874"/>
      <c r="C17" s="841" t="s">
        <v>4817</v>
      </c>
      <c r="D17" s="841" t="s">
        <v>2813</v>
      </c>
      <c r="E17" s="841" t="s">
        <v>3238</v>
      </c>
      <c r="F17" s="931">
        <v>1</v>
      </c>
      <c r="G17" s="40"/>
      <c r="H17" s="129"/>
      <c r="I17" s="1" t="str">
        <f>LEFT(C17,4)</f>
        <v>1790</v>
      </c>
      <c r="J17" s="1" t="s">
        <v>2137</v>
      </c>
      <c r="K17" s="1" t="str">
        <f>MID(C17,7,4)</f>
        <v xml:space="preserve"> 210</v>
      </c>
      <c r="L17" s="1" t="s">
        <v>2137</v>
      </c>
      <c r="M17" s="1" t="str">
        <f>RIGHT(C17,3)</f>
        <v xml:space="preserve"> 19</v>
      </c>
      <c r="N17" s="1"/>
      <c r="O17" s="1" t="str">
        <f>D17</f>
        <v>A«</v>
      </c>
    </row>
    <row r="18" spans="1:15">
      <c r="A18" s="129">
        <v>1</v>
      </c>
      <c r="B18" s="873"/>
      <c r="C18" s="841" t="s">
        <v>4818</v>
      </c>
      <c r="D18" s="841" t="s">
        <v>2167</v>
      </c>
      <c r="E18" s="841" t="s">
        <v>3238</v>
      </c>
      <c r="F18" s="931">
        <v>1</v>
      </c>
      <c r="G18" s="40"/>
      <c r="H18" s="129"/>
    </row>
    <row r="19" spans="1:15">
      <c r="A19" s="129"/>
      <c r="B19" s="864"/>
      <c r="C19" s="868"/>
      <c r="D19" s="868"/>
      <c r="E19" s="868"/>
      <c r="F19" s="931"/>
      <c r="G19" s="40"/>
      <c r="H19" s="523"/>
      <c r="I19" s="1" t="str">
        <f>LEFT(C19,4)</f>
        <v/>
      </c>
      <c r="J19" s="1" t="s">
        <v>2137</v>
      </c>
      <c r="K19" s="1" t="str">
        <f>MID(C19,7,4)</f>
        <v/>
      </c>
      <c r="L19" s="1" t="s">
        <v>2137</v>
      </c>
      <c r="M19" s="1" t="str">
        <f>RIGHT(C19,3)</f>
        <v/>
      </c>
      <c r="N19" s="1"/>
      <c r="O19" s="1">
        <f>D19</f>
        <v>0</v>
      </c>
    </row>
    <row r="20" spans="1:15">
      <c r="A20" s="129"/>
      <c r="B20" s="872" t="s">
        <v>4819</v>
      </c>
      <c r="C20" s="841" t="s">
        <v>4820</v>
      </c>
      <c r="D20" s="864" t="s">
        <v>2166</v>
      </c>
      <c r="E20" s="841" t="s">
        <v>3238</v>
      </c>
      <c r="F20" s="931">
        <v>2</v>
      </c>
      <c r="G20" s="40"/>
      <c r="H20" s="129"/>
    </row>
    <row r="21" spans="1:15">
      <c r="A21" s="129"/>
      <c r="B21" s="874"/>
      <c r="C21" s="841" t="s">
        <v>4821</v>
      </c>
      <c r="D21" s="865" t="s">
        <v>2166</v>
      </c>
      <c r="E21" s="841" t="s">
        <v>3238</v>
      </c>
      <c r="F21" s="931">
        <v>2</v>
      </c>
      <c r="G21" s="40"/>
      <c r="H21" s="129"/>
      <c r="I21" s="1" t="str">
        <f>LEFT(C21,4)</f>
        <v>1490</v>
      </c>
      <c r="J21" s="1" t="s">
        <v>2137</v>
      </c>
      <c r="K21" s="1" t="str">
        <f>MID(C21,7,4)</f>
        <v xml:space="preserve"> 95 </v>
      </c>
      <c r="L21" s="1" t="s">
        <v>2137</v>
      </c>
      <c r="M21" s="1" t="str">
        <f>RIGHT(C21,3)</f>
        <v>x 1</v>
      </c>
      <c r="N21" s="1"/>
      <c r="O21" s="1" t="str">
        <f>D21</f>
        <v>A</v>
      </c>
    </row>
    <row r="22" spans="1:15">
      <c r="A22" s="129"/>
      <c r="B22" s="874"/>
      <c r="C22" s="841" t="s">
        <v>4822</v>
      </c>
      <c r="D22" s="865" t="s">
        <v>2166</v>
      </c>
      <c r="E22" s="841" t="s">
        <v>3238</v>
      </c>
      <c r="F22" s="931">
        <v>2</v>
      </c>
      <c r="G22" s="40"/>
      <c r="H22" s="129"/>
    </row>
    <row r="23" spans="1:15">
      <c r="A23" s="129"/>
      <c r="B23" s="873"/>
      <c r="C23" s="841" t="s">
        <v>4823</v>
      </c>
      <c r="D23" s="865" t="s">
        <v>2166</v>
      </c>
      <c r="E23" s="841" t="s">
        <v>3238</v>
      </c>
      <c r="F23" s="931">
        <v>2</v>
      </c>
      <c r="G23" s="40"/>
      <c r="H23" s="129"/>
      <c r="I23" s="1" t="str">
        <f>LEFT(C23,4)</f>
        <v>1490</v>
      </c>
      <c r="J23" s="1" t="s">
        <v>2137</v>
      </c>
      <c r="K23" s="1" t="str">
        <f>MID(C23,7,4)</f>
        <v xml:space="preserve"> 840</v>
      </c>
      <c r="L23" s="1" t="s">
        <v>2137</v>
      </c>
      <c r="M23" s="1" t="str">
        <f>RIGHT(C23,3)</f>
        <v>x 1</v>
      </c>
      <c r="N23" s="1"/>
      <c r="O23" s="1" t="str">
        <f>D23</f>
        <v>A</v>
      </c>
    </row>
    <row r="24" spans="1:15">
      <c r="A24" s="129"/>
      <c r="B24" s="864"/>
      <c r="C24" s="868"/>
      <c r="D24" s="868"/>
      <c r="E24" s="868"/>
      <c r="F24" s="931"/>
      <c r="G24" s="40"/>
      <c r="H24" s="129"/>
    </row>
    <row r="25" spans="1:15">
      <c r="A25" s="404"/>
      <c r="B25" s="872" t="s">
        <v>4824</v>
      </c>
      <c r="C25" s="841" t="s">
        <v>4825</v>
      </c>
      <c r="D25" s="864" t="s">
        <v>2166</v>
      </c>
      <c r="E25" s="841" t="s">
        <v>3238</v>
      </c>
      <c r="F25" s="931">
        <v>1</v>
      </c>
      <c r="G25" s="40"/>
      <c r="H25" s="129"/>
    </row>
    <row r="26" spans="1:15">
      <c r="A26" s="404"/>
      <c r="B26" s="874"/>
      <c r="C26" s="841" t="s">
        <v>4826</v>
      </c>
      <c r="D26" s="865" t="s">
        <v>2166</v>
      </c>
      <c r="E26" s="841" t="s">
        <v>3238</v>
      </c>
      <c r="F26" s="931">
        <v>1</v>
      </c>
      <c r="G26" s="40"/>
      <c r="H26" s="129"/>
    </row>
    <row r="27" spans="1:15">
      <c r="A27" s="404"/>
      <c r="B27" s="873"/>
      <c r="C27" s="841" t="s">
        <v>4827</v>
      </c>
      <c r="D27" s="841" t="s">
        <v>2167</v>
      </c>
      <c r="E27" s="841" t="s">
        <v>3238</v>
      </c>
      <c r="F27" s="931">
        <v>1</v>
      </c>
      <c r="G27" s="40"/>
      <c r="H27" s="129"/>
    </row>
    <row r="28" spans="1:15">
      <c r="A28" s="404"/>
      <c r="B28" s="864"/>
      <c r="C28" s="868"/>
      <c r="D28" s="868"/>
      <c r="E28" s="868"/>
      <c r="F28" s="931"/>
      <c r="G28" s="40"/>
      <c r="H28" s="129"/>
    </row>
    <row r="29" spans="1:15">
      <c r="A29" s="404"/>
      <c r="B29" s="872" t="s">
        <v>4869</v>
      </c>
      <c r="C29" s="841" t="s">
        <v>4870</v>
      </c>
      <c r="D29" s="864" t="s">
        <v>2167</v>
      </c>
      <c r="E29" s="841" t="s">
        <v>3238</v>
      </c>
      <c r="F29" s="931">
        <v>1</v>
      </c>
      <c r="G29" s="40"/>
      <c r="H29" s="129"/>
    </row>
    <row r="30" spans="1:15">
      <c r="A30" s="486">
        <v>2</v>
      </c>
      <c r="B30" s="873"/>
      <c r="C30" s="841" t="s">
        <v>4871</v>
      </c>
      <c r="D30" s="865" t="s">
        <v>2167</v>
      </c>
      <c r="E30" s="841" t="s">
        <v>3238</v>
      </c>
      <c r="F30" s="931">
        <v>2</v>
      </c>
      <c r="G30" s="40"/>
      <c r="H30" s="129"/>
    </row>
    <row r="31" spans="1:15">
      <c r="A31" s="129"/>
      <c r="B31" s="864"/>
      <c r="C31" s="868"/>
      <c r="D31" s="868"/>
      <c r="E31" s="868"/>
      <c r="F31" s="931"/>
      <c r="G31" s="40"/>
      <c r="H31" s="129"/>
    </row>
    <row r="32" spans="1:15">
      <c r="A32" s="129"/>
      <c r="B32" s="872" t="s">
        <v>4872</v>
      </c>
      <c r="C32" s="841" t="s">
        <v>4873</v>
      </c>
      <c r="D32" s="864" t="s">
        <v>2167</v>
      </c>
      <c r="E32" s="841" t="s">
        <v>3238</v>
      </c>
      <c r="F32" s="931">
        <v>1</v>
      </c>
      <c r="G32" s="40"/>
      <c r="H32" s="129"/>
    </row>
    <row r="33" spans="1:8">
      <c r="A33" s="129"/>
      <c r="B33" s="873"/>
      <c r="C33" s="841" t="s">
        <v>4874</v>
      </c>
      <c r="D33" s="865" t="s">
        <v>2167</v>
      </c>
      <c r="E33" s="841" t="s">
        <v>3238</v>
      </c>
      <c r="F33" s="931">
        <v>1</v>
      </c>
      <c r="G33" s="40"/>
      <c r="H33" s="129"/>
    </row>
    <row r="34" spans="1:8">
      <c r="A34" s="129"/>
      <c r="B34" s="864"/>
      <c r="C34" s="868"/>
      <c r="D34" s="868"/>
      <c r="E34" s="868"/>
      <c r="F34" s="931"/>
      <c r="G34" s="40"/>
      <c r="H34" s="129"/>
    </row>
    <row r="35" spans="1:8">
      <c r="A35" s="129"/>
      <c r="B35" s="872" t="s">
        <v>4875</v>
      </c>
      <c r="C35" s="841" t="s">
        <v>4876</v>
      </c>
      <c r="D35" s="864" t="s">
        <v>2661</v>
      </c>
      <c r="E35" s="841" t="s">
        <v>3238</v>
      </c>
      <c r="F35" s="931">
        <v>1</v>
      </c>
      <c r="G35" s="40"/>
      <c r="H35" s="129"/>
    </row>
    <row r="36" spans="1:8">
      <c r="A36" s="129"/>
      <c r="B36" s="874"/>
      <c r="C36" s="841" t="s">
        <v>4877</v>
      </c>
      <c r="D36" s="865" t="s">
        <v>2661</v>
      </c>
      <c r="E36" s="841" t="s">
        <v>3238</v>
      </c>
      <c r="F36" s="931">
        <v>1</v>
      </c>
      <c r="G36" s="40"/>
      <c r="H36" s="129"/>
    </row>
    <row r="37" spans="1:8">
      <c r="A37" s="129"/>
      <c r="B37" s="873"/>
      <c r="C37" s="841" t="s">
        <v>4878</v>
      </c>
      <c r="D37" s="865" t="s">
        <v>2661</v>
      </c>
      <c r="E37" s="841" t="s">
        <v>3238</v>
      </c>
      <c r="F37" s="931">
        <v>1</v>
      </c>
      <c r="G37" s="40"/>
      <c r="H37" s="129"/>
    </row>
    <row r="38" spans="1:8">
      <c r="A38" s="129"/>
      <c r="B38" s="864"/>
      <c r="C38" s="868"/>
      <c r="D38" s="868"/>
      <c r="E38" s="868"/>
      <c r="F38" s="931"/>
      <c r="G38" s="40"/>
      <c r="H38" s="129"/>
    </row>
    <row r="39" spans="1:8">
      <c r="A39" s="129"/>
      <c r="B39" s="869" t="s">
        <v>2183</v>
      </c>
      <c r="C39" s="870"/>
      <c r="D39" s="870"/>
      <c r="E39" s="870"/>
      <c r="F39" s="925">
        <v>23</v>
      </c>
      <c r="G39" s="40"/>
      <c r="H39" s="129"/>
    </row>
    <row r="40" spans="1:8">
      <c r="A40" s="129"/>
      <c r="F40"/>
      <c r="G40" s="40"/>
      <c r="H40" s="129"/>
    </row>
    <row r="41" spans="1:8">
      <c r="A41" s="129"/>
      <c r="F41"/>
      <c r="G41" s="40"/>
      <c r="H41" s="129"/>
    </row>
    <row r="42" spans="1:8">
      <c r="A42" s="129"/>
      <c r="F42"/>
      <c r="G42" s="40"/>
      <c r="H42" s="129"/>
    </row>
    <row r="43" spans="1:8">
      <c r="A43" s="129"/>
      <c r="F43"/>
      <c r="G43" s="40"/>
      <c r="H43" s="129"/>
    </row>
    <row r="44" spans="1:8">
      <c r="A44" s="129"/>
      <c r="F44"/>
      <c r="G44" s="40"/>
      <c r="H44" s="129"/>
    </row>
    <row r="45" spans="1:8">
      <c r="A45" s="129"/>
      <c r="F45"/>
      <c r="G45" s="40"/>
      <c r="H45" s="129"/>
    </row>
    <row r="46" spans="1:8">
      <c r="A46" s="129"/>
      <c r="F46"/>
      <c r="G46" s="40"/>
      <c r="H46" s="129"/>
    </row>
    <row r="47" spans="1:8">
      <c r="A47" s="129"/>
      <c r="F47"/>
      <c r="G47" s="40"/>
      <c r="H47" s="129"/>
    </row>
    <row r="48" spans="1:8">
      <c r="A48" s="129"/>
      <c r="F48"/>
      <c r="G48" s="40"/>
      <c r="H48" s="129"/>
    </row>
    <row r="49" spans="1:8">
      <c r="A49" s="129"/>
      <c r="F49"/>
      <c r="G49" s="40"/>
      <c r="H49" s="129"/>
    </row>
    <row r="50" spans="1:8">
      <c r="A50" s="129"/>
      <c r="F50"/>
      <c r="G50" s="40"/>
      <c r="H50" s="129"/>
    </row>
    <row r="51" spans="1:8">
      <c r="A51" s="129"/>
      <c r="F51"/>
      <c r="G51" s="40"/>
      <c r="H51" s="129"/>
    </row>
    <row r="52" spans="1:8">
      <c r="A52" s="129">
        <v>3</v>
      </c>
      <c r="F52"/>
      <c r="G52" s="40"/>
      <c r="H52" s="129"/>
    </row>
    <row r="53" spans="1:8">
      <c r="A53" s="129"/>
      <c r="F53"/>
      <c r="G53" s="40"/>
      <c r="H53" s="129"/>
    </row>
    <row r="54" spans="1:8">
      <c r="A54" s="129"/>
      <c r="F54"/>
      <c r="G54" s="40"/>
      <c r="H54" s="129"/>
    </row>
    <row r="55" spans="1:8">
      <c r="A55" s="129"/>
      <c r="F55"/>
      <c r="G55" s="40"/>
      <c r="H55" s="129"/>
    </row>
    <row r="56" spans="1:8">
      <c r="A56" s="129"/>
      <c r="F56"/>
      <c r="G56" s="40"/>
      <c r="H56" s="129"/>
    </row>
    <row r="57" spans="1:8">
      <c r="A57" s="129"/>
      <c r="F57"/>
      <c r="G57" s="40"/>
      <c r="H57" s="129"/>
    </row>
    <row r="58" spans="1:8">
      <c r="A58" s="129"/>
      <c r="F58"/>
      <c r="G58" s="40"/>
      <c r="H58" s="129"/>
    </row>
    <row r="59" spans="1:8">
      <c r="A59" s="129"/>
      <c r="F59"/>
      <c r="G59" s="40"/>
      <c r="H59" s="129"/>
    </row>
    <row r="60" spans="1:8">
      <c r="A60" s="129"/>
      <c r="F60"/>
      <c r="G60" s="40"/>
      <c r="H60" s="129"/>
    </row>
    <row r="61" spans="1:8">
      <c r="A61" s="129"/>
      <c r="F61"/>
      <c r="G61" s="40"/>
      <c r="H61" s="129"/>
    </row>
    <row r="62" spans="1:8">
      <c r="A62" s="129"/>
      <c r="F62"/>
      <c r="G62" s="40"/>
      <c r="H62" s="129"/>
    </row>
    <row r="63" spans="1:8">
      <c r="A63" s="129">
        <v>4</v>
      </c>
      <c r="F63"/>
      <c r="G63" s="40"/>
      <c r="H63" s="129"/>
    </row>
    <row r="64" spans="1:8">
      <c r="A64" s="129"/>
      <c r="F64"/>
      <c r="G64" s="40"/>
      <c r="H64" s="129"/>
    </row>
    <row r="65" spans="1:8">
      <c r="A65" s="129"/>
      <c r="F65"/>
      <c r="G65" s="40"/>
      <c r="H65" s="129"/>
    </row>
    <row r="66" spans="1:8">
      <c r="A66" s="129"/>
      <c r="F66"/>
      <c r="G66" s="40"/>
      <c r="H66" s="129"/>
    </row>
    <row r="67" spans="1:8">
      <c r="A67" s="129"/>
      <c r="F67"/>
      <c r="G67" s="40"/>
      <c r="H67" s="129"/>
    </row>
    <row r="68" spans="1:8">
      <c r="A68" s="129"/>
      <c r="F68"/>
      <c r="G68" s="40"/>
      <c r="H68" s="129"/>
    </row>
    <row r="69" spans="1:8">
      <c r="A69" s="129"/>
      <c r="F69"/>
      <c r="G69" s="40"/>
      <c r="H69" s="129"/>
    </row>
    <row r="70" spans="1:8">
      <c r="A70" s="129"/>
      <c r="F70"/>
      <c r="G70" s="40"/>
      <c r="H70" s="129"/>
    </row>
    <row r="71" spans="1:8">
      <c r="A71" s="129"/>
      <c r="F71"/>
      <c r="G71" s="40"/>
      <c r="H71" s="129"/>
    </row>
    <row r="72" spans="1:8">
      <c r="A72" s="129"/>
      <c r="F72"/>
      <c r="G72" s="40"/>
      <c r="H72" s="129"/>
    </row>
    <row r="73" spans="1:8">
      <c r="A73" s="129"/>
      <c r="F73"/>
      <c r="G73" s="40"/>
      <c r="H73" s="129"/>
    </row>
    <row r="74" spans="1:8">
      <c r="A74" s="129"/>
      <c r="F74"/>
      <c r="G74" s="40"/>
      <c r="H74" s="129"/>
    </row>
    <row r="75" spans="1:8">
      <c r="A75" s="129"/>
      <c r="F75"/>
      <c r="G75" s="40"/>
      <c r="H75" s="129"/>
    </row>
    <row r="76" spans="1:8">
      <c r="A76" s="129">
        <v>5</v>
      </c>
      <c r="F76"/>
      <c r="G76" s="40"/>
      <c r="H76" s="129"/>
    </row>
    <row r="77" spans="1:8">
      <c r="A77" s="129"/>
      <c r="F77"/>
      <c r="G77" s="40"/>
      <c r="H77" s="129"/>
    </row>
    <row r="78" spans="1:8">
      <c r="A78" s="129"/>
      <c r="F78"/>
      <c r="G78" s="40"/>
      <c r="H78" s="129"/>
    </row>
    <row r="79" spans="1:8">
      <c r="A79" s="129"/>
      <c r="F79"/>
      <c r="G79" s="40"/>
      <c r="H79" s="129"/>
    </row>
    <row r="80" spans="1:8">
      <c r="A80" s="129"/>
      <c r="F80"/>
      <c r="G80" s="40"/>
      <c r="H80" s="129"/>
    </row>
    <row r="81" spans="1:8">
      <c r="A81" s="129"/>
      <c r="F81"/>
      <c r="G81" s="40"/>
      <c r="H81" s="129"/>
    </row>
    <row r="82" spans="1:8">
      <c r="A82" s="129"/>
      <c r="F82"/>
      <c r="G82" s="40"/>
      <c r="H82" s="129"/>
    </row>
    <row r="83" spans="1:8">
      <c r="A83" s="129"/>
      <c r="F83"/>
      <c r="G83" s="40"/>
      <c r="H83" s="129"/>
    </row>
    <row r="84" spans="1:8">
      <c r="A84" s="129">
        <v>6</v>
      </c>
      <c r="F84"/>
      <c r="G84" s="40"/>
      <c r="H84" s="129"/>
    </row>
    <row r="85" spans="1:8">
      <c r="A85" s="129"/>
      <c r="F85"/>
      <c r="G85" s="40"/>
      <c r="H85" s="129"/>
    </row>
    <row r="86" spans="1:8">
      <c r="A86" s="129"/>
      <c r="F86"/>
      <c r="G86" s="40"/>
      <c r="H86" s="129"/>
    </row>
    <row r="87" spans="1:8">
      <c r="A87" s="129"/>
      <c r="F87"/>
      <c r="G87" s="40"/>
      <c r="H87" s="129"/>
    </row>
    <row r="88" spans="1:8">
      <c r="A88" s="129"/>
      <c r="F88"/>
      <c r="G88" s="40"/>
      <c r="H88" s="129"/>
    </row>
    <row r="89" spans="1:8">
      <c r="A89" s="129">
        <v>7</v>
      </c>
      <c r="F89"/>
      <c r="G89" s="40"/>
      <c r="H89" s="129"/>
    </row>
    <row r="90" spans="1:8">
      <c r="A90" s="129"/>
      <c r="F90"/>
      <c r="G90" s="40"/>
      <c r="H90" s="129"/>
    </row>
    <row r="91" spans="1:8">
      <c r="A91" s="129"/>
      <c r="F91"/>
      <c r="G91" s="40"/>
      <c r="H91" s="129"/>
    </row>
    <row r="92" spans="1:8">
      <c r="A92" s="129"/>
      <c r="F92"/>
      <c r="G92" s="40"/>
      <c r="H92" s="129"/>
    </row>
    <row r="93" spans="1:8">
      <c r="A93" s="129"/>
      <c r="F93"/>
      <c r="G93" s="40"/>
      <c r="H93" s="129"/>
    </row>
    <row r="94" spans="1:8">
      <c r="A94" s="129"/>
      <c r="F94"/>
      <c r="G94" s="40"/>
      <c r="H94" s="129"/>
    </row>
    <row r="95" spans="1:8">
      <c r="A95" s="129"/>
      <c r="F95"/>
      <c r="G95" s="40"/>
      <c r="H95" s="129"/>
    </row>
    <row r="96" spans="1:8">
      <c r="A96" s="129"/>
      <c r="F96"/>
      <c r="G96" s="40"/>
      <c r="H96" s="129"/>
    </row>
    <row r="97" spans="1:8">
      <c r="A97" s="129"/>
      <c r="F97"/>
      <c r="G97" s="40"/>
      <c r="H97" s="129"/>
    </row>
    <row r="98" spans="1:8">
      <c r="A98" s="129"/>
      <c r="F98"/>
      <c r="G98" s="40"/>
      <c r="H98" s="129"/>
    </row>
    <row r="99" spans="1:8">
      <c r="A99" s="129">
        <v>8</v>
      </c>
      <c r="F99"/>
      <c r="G99" s="40"/>
      <c r="H99" s="129"/>
    </row>
    <row r="100" spans="1:8">
      <c r="A100" s="129"/>
      <c r="F100"/>
      <c r="G100" s="40"/>
      <c r="H100" s="129"/>
    </row>
    <row r="101" spans="1:8">
      <c r="A101" s="129"/>
      <c r="F101"/>
      <c r="G101" s="40"/>
      <c r="H101" s="129"/>
    </row>
    <row r="102" spans="1:8">
      <c r="A102" s="129"/>
      <c r="F102"/>
      <c r="G102" s="40"/>
      <c r="H102" s="129"/>
    </row>
    <row r="103" spans="1:8">
      <c r="A103" s="129"/>
      <c r="F103"/>
      <c r="G103" s="40"/>
      <c r="H103" s="129"/>
    </row>
    <row r="104" spans="1:8">
      <c r="A104" s="129"/>
      <c r="F104"/>
      <c r="G104" s="40"/>
      <c r="H104" s="129"/>
    </row>
    <row r="105" spans="1:8">
      <c r="A105" s="129"/>
      <c r="F105"/>
      <c r="G105" s="40"/>
      <c r="H105" s="129"/>
    </row>
    <row r="106" spans="1:8">
      <c r="A106" s="129"/>
      <c r="F106"/>
      <c r="G106" s="40"/>
      <c r="H106" s="129"/>
    </row>
    <row r="107" spans="1:8">
      <c r="A107" s="129">
        <v>9</v>
      </c>
      <c r="F107"/>
      <c r="G107" s="40"/>
      <c r="H107" s="129"/>
    </row>
    <row r="108" spans="1:8">
      <c r="A108" s="129"/>
      <c r="F108"/>
      <c r="G108" s="40"/>
      <c r="H108" s="129"/>
    </row>
    <row r="109" spans="1:8">
      <c r="A109" s="129"/>
      <c r="F109"/>
      <c r="G109" s="40"/>
      <c r="H109" s="129"/>
    </row>
    <row r="110" spans="1:8">
      <c r="A110" s="129"/>
      <c r="F110"/>
      <c r="G110" s="40"/>
      <c r="H110" s="129"/>
    </row>
    <row r="111" spans="1:8">
      <c r="F111"/>
    </row>
    <row r="112" spans="1:8">
      <c r="F112"/>
    </row>
    <row r="113" spans="6:6">
      <c r="F113"/>
    </row>
    <row r="114" spans="6:6">
      <c r="F114"/>
    </row>
    <row r="115" spans="6:6">
      <c r="F115"/>
    </row>
    <row r="116" spans="6:6">
      <c r="F116"/>
    </row>
    <row r="117" spans="6:6">
      <c r="F117"/>
    </row>
    <row r="118" spans="6:6">
      <c r="F118"/>
    </row>
    <row r="119" spans="6:6">
      <c r="F119"/>
    </row>
    <row r="120" spans="6:6">
      <c r="F120"/>
    </row>
    <row r="121" spans="6:6">
      <c r="F121"/>
    </row>
    <row r="122" spans="6:6">
      <c r="F122"/>
    </row>
    <row r="123" spans="6:6">
      <c r="F123"/>
    </row>
    <row r="124" spans="6:6">
      <c r="F124"/>
    </row>
    <row r="125" spans="6:6">
      <c r="F125"/>
    </row>
    <row r="126" spans="6:6">
      <c r="F126"/>
    </row>
    <row r="127" spans="6:6">
      <c r="F127"/>
    </row>
    <row r="128" spans="6:6">
      <c r="F128"/>
    </row>
    <row r="129" spans="6:6">
      <c r="F129"/>
    </row>
    <row r="130" spans="6:6">
      <c r="F130"/>
    </row>
    <row r="131" spans="6:6">
      <c r="F131"/>
    </row>
    <row r="132" spans="6:6">
      <c r="F132"/>
    </row>
    <row r="133" spans="6:6">
      <c r="F133"/>
    </row>
    <row r="134" spans="6:6">
      <c r="F134"/>
    </row>
    <row r="135" spans="6:6">
      <c r="F135"/>
    </row>
    <row r="136" spans="6:6">
      <c r="F136"/>
    </row>
    <row r="137" spans="6:6">
      <c r="F137"/>
    </row>
    <row r="138" spans="6:6">
      <c r="F138"/>
    </row>
    <row r="139" spans="6:6">
      <c r="F139"/>
    </row>
    <row r="140" spans="6:6">
      <c r="F140"/>
    </row>
    <row r="141" spans="6:6">
      <c r="F141"/>
    </row>
    <row r="142" spans="6:6">
      <c r="F142"/>
    </row>
    <row r="143" spans="6:6">
      <c r="F143"/>
    </row>
    <row r="144" spans="6:6">
      <c r="F144"/>
    </row>
    <row r="145" spans="6:6">
      <c r="F145"/>
    </row>
    <row r="146" spans="6:6">
      <c r="F146"/>
    </row>
    <row r="147" spans="6:6">
      <c r="F147"/>
    </row>
    <row r="148" spans="6:6">
      <c r="F148"/>
    </row>
    <row r="149" spans="6:6">
      <c r="F149"/>
    </row>
    <row r="150" spans="6:6">
      <c r="F150"/>
    </row>
    <row r="151" spans="6:6">
      <c r="F151"/>
    </row>
    <row r="152" spans="6:6">
      <c r="F152"/>
    </row>
    <row r="153" spans="6:6">
      <c r="F153"/>
    </row>
    <row r="154" spans="6:6">
      <c r="F154"/>
    </row>
    <row r="155" spans="6:6">
      <c r="F155"/>
    </row>
    <row r="156" spans="6:6">
      <c r="F156"/>
    </row>
    <row r="157" spans="6:6">
      <c r="F157"/>
    </row>
    <row r="158" spans="6:6">
      <c r="F158"/>
    </row>
    <row r="159" spans="6:6">
      <c r="F159"/>
    </row>
    <row r="160" spans="6:6">
      <c r="F160"/>
    </row>
    <row r="161" spans="6:6">
      <c r="F161"/>
    </row>
    <row r="162" spans="6:6">
      <c r="F162"/>
    </row>
    <row r="163" spans="6:6">
      <c r="F163"/>
    </row>
    <row r="164" spans="6:6">
      <c r="F164"/>
    </row>
    <row r="165" spans="6:6">
      <c r="F165"/>
    </row>
    <row r="166" spans="6:6">
      <c r="F166"/>
    </row>
    <row r="167" spans="6:6">
      <c r="F167"/>
    </row>
    <row r="168" spans="6:6">
      <c r="F168"/>
    </row>
    <row r="169" spans="6:6">
      <c r="F169"/>
    </row>
    <row r="170" spans="6:6">
      <c r="F170"/>
    </row>
    <row r="171" spans="6:6">
      <c r="F171"/>
    </row>
    <row r="172" spans="6:6">
      <c r="F172"/>
    </row>
    <row r="173" spans="6:6">
      <c r="F173"/>
    </row>
    <row r="174" spans="6:6">
      <c r="F174"/>
    </row>
    <row r="175" spans="6:6">
      <c r="F175"/>
    </row>
    <row r="176" spans="6:6">
      <c r="F176"/>
    </row>
    <row r="177" spans="6:6">
      <c r="F177"/>
    </row>
    <row r="178" spans="6:6">
      <c r="F178"/>
    </row>
    <row r="179" spans="6:6">
      <c r="F179"/>
    </row>
    <row r="180" spans="6:6">
      <c r="F180"/>
    </row>
    <row r="181" spans="6:6">
      <c r="F181"/>
    </row>
    <row r="182" spans="6:6">
      <c r="F182"/>
    </row>
    <row r="183" spans="6:6">
      <c r="F183"/>
    </row>
    <row r="184" spans="6:6">
      <c r="F184"/>
    </row>
    <row r="185" spans="6:6">
      <c r="F185"/>
    </row>
    <row r="186" spans="6:6">
      <c r="F186"/>
    </row>
    <row r="187" spans="6:6">
      <c r="F187"/>
    </row>
    <row r="188" spans="6:6">
      <c r="F188"/>
    </row>
    <row r="189" spans="6:6">
      <c r="F189"/>
    </row>
    <row r="190" spans="6:6">
      <c r="F190"/>
    </row>
    <row r="191" spans="6:6">
      <c r="F191"/>
    </row>
    <row r="192" spans="6:6">
      <c r="F192"/>
    </row>
    <row r="193" spans="6:6">
      <c r="F193"/>
    </row>
    <row r="194" spans="6:6">
      <c r="F194"/>
    </row>
    <row r="195" spans="6:6">
      <c r="F195"/>
    </row>
    <row r="196" spans="6:6">
      <c r="F196"/>
    </row>
    <row r="197" spans="6:6">
      <c r="F197"/>
    </row>
    <row r="198" spans="6:6">
      <c r="F198"/>
    </row>
    <row r="199" spans="6:6">
      <c r="F199"/>
    </row>
    <row r="200" spans="6:6">
      <c r="F200"/>
    </row>
    <row r="201" spans="6:6">
      <c r="F201"/>
    </row>
    <row r="202" spans="6:6">
      <c r="F202"/>
    </row>
    <row r="203" spans="6:6">
      <c r="F203"/>
    </row>
    <row r="204" spans="6:6">
      <c r="F204"/>
    </row>
    <row r="205" spans="6:6">
      <c r="F205"/>
    </row>
    <row r="206" spans="6:6">
      <c r="F206"/>
    </row>
    <row r="207" spans="6:6">
      <c r="F207"/>
    </row>
    <row r="208" spans="6:6">
      <c r="F208"/>
    </row>
    <row r="209" spans="6:6">
      <c r="F209"/>
    </row>
    <row r="210" spans="6:6">
      <c r="F210"/>
    </row>
    <row r="211" spans="6:6">
      <c r="F211"/>
    </row>
    <row r="212" spans="6:6">
      <c r="F212"/>
    </row>
    <row r="213" spans="6:6">
      <c r="F213"/>
    </row>
    <row r="214" spans="6:6">
      <c r="F214"/>
    </row>
    <row r="215" spans="6:6">
      <c r="F215"/>
    </row>
    <row r="216" spans="6:6">
      <c r="F216"/>
    </row>
    <row r="217" spans="6:6">
      <c r="F217"/>
    </row>
    <row r="218" spans="6:6">
      <c r="F218"/>
    </row>
    <row r="219" spans="6:6">
      <c r="F219"/>
    </row>
    <row r="220" spans="6:6">
      <c r="F220"/>
    </row>
    <row r="221" spans="6:6">
      <c r="F221"/>
    </row>
    <row r="222" spans="6:6">
      <c r="F222"/>
    </row>
    <row r="223" spans="6:6">
      <c r="F223"/>
    </row>
    <row r="224" spans="6:6">
      <c r="F224"/>
    </row>
    <row r="225" spans="6:6">
      <c r="F225"/>
    </row>
    <row r="226" spans="6:6">
      <c r="F226"/>
    </row>
    <row r="227" spans="6:6">
      <c r="F227"/>
    </row>
    <row r="228" spans="6:6">
      <c r="F228"/>
    </row>
    <row r="229" spans="6:6">
      <c r="F229"/>
    </row>
    <row r="230" spans="6:6">
      <c r="F230"/>
    </row>
    <row r="231" spans="6:6">
      <c r="F231"/>
    </row>
    <row r="232" spans="6:6">
      <c r="F232"/>
    </row>
    <row r="233" spans="6:6">
      <c r="F233"/>
    </row>
    <row r="234" spans="6:6">
      <c r="F234"/>
    </row>
    <row r="235" spans="6:6">
      <c r="F235"/>
    </row>
    <row r="236" spans="6:6">
      <c r="F236"/>
    </row>
    <row r="237" spans="6:6">
      <c r="F237"/>
    </row>
    <row r="238" spans="6:6">
      <c r="F238"/>
    </row>
    <row r="239" spans="6:6">
      <c r="F239"/>
    </row>
    <row r="240" spans="6:6">
      <c r="F240"/>
    </row>
    <row r="241" spans="6:6">
      <c r="F241"/>
    </row>
    <row r="242" spans="6:6">
      <c r="F242"/>
    </row>
    <row r="243" spans="6:6">
      <c r="F243"/>
    </row>
    <row r="244" spans="6:6">
      <c r="F244"/>
    </row>
    <row r="245" spans="6:6">
      <c r="F245"/>
    </row>
    <row r="246" spans="6:6">
      <c r="F246"/>
    </row>
    <row r="247" spans="6:6">
      <c r="F247"/>
    </row>
    <row r="248" spans="6:6">
      <c r="F248"/>
    </row>
    <row r="249" spans="6:6">
      <c r="F249"/>
    </row>
    <row r="250" spans="6:6">
      <c r="F250"/>
    </row>
    <row r="251" spans="6:6">
      <c r="F251"/>
    </row>
    <row r="252" spans="6:6">
      <c r="F252"/>
    </row>
    <row r="253" spans="6:6">
      <c r="F253"/>
    </row>
    <row r="254" spans="6:6">
      <c r="F254"/>
    </row>
    <row r="255" spans="6:6">
      <c r="F255"/>
    </row>
    <row r="256" spans="6:6">
      <c r="F256"/>
    </row>
    <row r="257" spans="6:6">
      <c r="F257"/>
    </row>
    <row r="258" spans="6:6">
      <c r="F258"/>
    </row>
    <row r="259" spans="6:6">
      <c r="F259"/>
    </row>
    <row r="260" spans="6:6">
      <c r="F260"/>
    </row>
    <row r="261" spans="6:6">
      <c r="F261"/>
    </row>
    <row r="262" spans="6:6">
      <c r="F262"/>
    </row>
    <row r="263" spans="6:6">
      <c r="F263"/>
    </row>
    <row r="264" spans="6:6">
      <c r="F264"/>
    </row>
    <row r="265" spans="6:6">
      <c r="F265"/>
    </row>
    <row r="266" spans="6:6">
      <c r="F266"/>
    </row>
    <row r="267" spans="6:6">
      <c r="F267"/>
    </row>
    <row r="268" spans="6:6">
      <c r="F268"/>
    </row>
    <row r="269" spans="6:6">
      <c r="F269"/>
    </row>
    <row r="270" spans="6:6">
      <c r="F270"/>
    </row>
    <row r="271" spans="6:6">
      <c r="F271"/>
    </row>
    <row r="272" spans="6:6">
      <c r="F272"/>
    </row>
    <row r="273" spans="6:6">
      <c r="F273"/>
    </row>
    <row r="274" spans="6:6">
      <c r="F274"/>
    </row>
    <row r="275" spans="6:6">
      <c r="F275"/>
    </row>
    <row r="276" spans="6:6">
      <c r="F276"/>
    </row>
    <row r="277" spans="6:6">
      <c r="F277"/>
    </row>
    <row r="278" spans="6:6">
      <c r="F278"/>
    </row>
    <row r="279" spans="6:6">
      <c r="F279"/>
    </row>
    <row r="280" spans="6:6">
      <c r="F280"/>
    </row>
    <row r="281" spans="6:6">
      <c r="F281"/>
    </row>
    <row r="282" spans="6:6">
      <c r="F282"/>
    </row>
    <row r="283" spans="6:6">
      <c r="F283"/>
    </row>
    <row r="284" spans="6:6">
      <c r="F284"/>
    </row>
    <row r="285" spans="6:6">
      <c r="F285"/>
    </row>
    <row r="286" spans="6:6">
      <c r="F286"/>
    </row>
    <row r="287" spans="6:6">
      <c r="F287"/>
    </row>
    <row r="288" spans="6:6">
      <c r="F288"/>
    </row>
    <row r="289" spans="6:6">
      <c r="F289"/>
    </row>
    <row r="290" spans="6:6">
      <c r="F290"/>
    </row>
    <row r="291" spans="6:6">
      <c r="F291"/>
    </row>
    <row r="292" spans="6:6">
      <c r="F292"/>
    </row>
    <row r="293" spans="6:6">
      <c r="F293"/>
    </row>
    <row r="294" spans="6:6">
      <c r="F294"/>
    </row>
    <row r="295" spans="6:6">
      <c r="F295"/>
    </row>
    <row r="296" spans="6:6">
      <c r="F296"/>
    </row>
    <row r="297" spans="6:6">
      <c r="F297"/>
    </row>
    <row r="298" spans="6:6">
      <c r="F298"/>
    </row>
    <row r="299" spans="6:6">
      <c r="F299"/>
    </row>
    <row r="300" spans="6:6">
      <c r="F300"/>
    </row>
    <row r="301" spans="6:6">
      <c r="F301"/>
    </row>
    <row r="302" spans="6:6">
      <c r="F302"/>
    </row>
    <row r="303" spans="6:6">
      <c r="F303"/>
    </row>
    <row r="304" spans="6:6">
      <c r="F304"/>
    </row>
    <row r="305" spans="6:6">
      <c r="F305"/>
    </row>
    <row r="306" spans="6:6">
      <c r="F306"/>
    </row>
    <row r="307" spans="6:6">
      <c r="F307"/>
    </row>
    <row r="308" spans="6:6">
      <c r="F308"/>
    </row>
    <row r="309" spans="6:6">
      <c r="F309"/>
    </row>
    <row r="310" spans="6:6">
      <c r="F310"/>
    </row>
    <row r="311" spans="6:6">
      <c r="F311"/>
    </row>
    <row r="312" spans="6:6">
      <c r="F312"/>
    </row>
    <row r="313" spans="6:6">
      <c r="F313"/>
    </row>
    <row r="314" spans="6:6">
      <c r="F314"/>
    </row>
    <row r="315" spans="6:6">
      <c r="F315"/>
    </row>
    <row r="316" spans="6:6">
      <c r="F316"/>
    </row>
    <row r="317" spans="6:6">
      <c r="F317"/>
    </row>
    <row r="318" spans="6:6">
      <c r="F318"/>
    </row>
    <row r="319" spans="6:6">
      <c r="F319"/>
    </row>
    <row r="320" spans="6:6">
      <c r="F320"/>
    </row>
    <row r="321" spans="6:6">
      <c r="F321"/>
    </row>
    <row r="322" spans="6:6">
      <c r="F322"/>
    </row>
    <row r="323" spans="6:6">
      <c r="F323"/>
    </row>
    <row r="324" spans="6:6">
      <c r="F324"/>
    </row>
    <row r="325" spans="6:6">
      <c r="F325"/>
    </row>
    <row r="326" spans="6:6">
      <c r="F326"/>
    </row>
    <row r="327" spans="6:6">
      <c r="F327"/>
    </row>
    <row r="328" spans="6:6">
      <c r="F328"/>
    </row>
    <row r="329" spans="6:6">
      <c r="F329"/>
    </row>
    <row r="330" spans="6:6">
      <c r="F330"/>
    </row>
    <row r="331" spans="6:6">
      <c r="F331"/>
    </row>
    <row r="332" spans="6:6">
      <c r="F332"/>
    </row>
    <row r="333" spans="6:6">
      <c r="F333"/>
    </row>
    <row r="334" spans="6:6">
      <c r="F334"/>
    </row>
    <row r="335" spans="6:6">
      <c r="F335"/>
    </row>
    <row r="336" spans="6:6">
      <c r="F336"/>
    </row>
    <row r="337" spans="6:6">
      <c r="F337"/>
    </row>
    <row r="338" spans="6:6">
      <c r="F338"/>
    </row>
    <row r="339" spans="6:6">
      <c r="F339"/>
    </row>
    <row r="340" spans="6:6">
      <c r="F340"/>
    </row>
    <row r="341" spans="6:6">
      <c r="F341"/>
    </row>
    <row r="342" spans="6:6">
      <c r="F342"/>
    </row>
    <row r="343" spans="6:6">
      <c r="F343"/>
    </row>
    <row r="344" spans="6:6">
      <c r="F344"/>
    </row>
    <row r="345" spans="6:6">
      <c r="F345"/>
    </row>
    <row r="346" spans="6:6">
      <c r="F346"/>
    </row>
    <row r="347" spans="6:6">
      <c r="F347"/>
    </row>
    <row r="348" spans="6:6">
      <c r="F348"/>
    </row>
    <row r="349" spans="6:6">
      <c r="F349"/>
    </row>
    <row r="350" spans="6:6">
      <c r="F350"/>
    </row>
    <row r="351" spans="6:6">
      <c r="F351"/>
    </row>
    <row r="352" spans="6:6">
      <c r="F352"/>
    </row>
    <row r="353" spans="6:6">
      <c r="F353"/>
    </row>
    <row r="354" spans="6:6">
      <c r="F354"/>
    </row>
    <row r="355" spans="6:6">
      <c r="F355"/>
    </row>
    <row r="356" spans="6:6">
      <c r="F356"/>
    </row>
    <row r="357" spans="6:6">
      <c r="F357"/>
    </row>
    <row r="358" spans="6:6">
      <c r="F358"/>
    </row>
    <row r="359" spans="6:6">
      <c r="F359"/>
    </row>
    <row r="360" spans="6:6">
      <c r="F360"/>
    </row>
    <row r="361" spans="6:6">
      <c r="F361"/>
    </row>
    <row r="362" spans="6:6">
      <c r="F362"/>
    </row>
    <row r="363" spans="6:6">
      <c r="F363"/>
    </row>
    <row r="364" spans="6:6">
      <c r="F364"/>
    </row>
    <row r="365" spans="6:6">
      <c r="F365"/>
    </row>
    <row r="366" spans="6:6">
      <c r="F366"/>
    </row>
    <row r="367" spans="6:6">
      <c r="F367"/>
    </row>
    <row r="368" spans="6:6">
      <c r="F368"/>
    </row>
    <row r="369" spans="6:6">
      <c r="F369"/>
    </row>
    <row r="370" spans="6:6">
      <c r="F370"/>
    </row>
    <row r="371" spans="6:6">
      <c r="F371"/>
    </row>
    <row r="372" spans="6:6">
      <c r="F372"/>
    </row>
    <row r="373" spans="6:6">
      <c r="F373"/>
    </row>
    <row r="374" spans="6:6">
      <c r="F374"/>
    </row>
    <row r="375" spans="6:6">
      <c r="F375"/>
    </row>
    <row r="376" spans="6:6">
      <c r="F376"/>
    </row>
    <row r="377" spans="6:6">
      <c r="F377"/>
    </row>
    <row r="378" spans="6:6">
      <c r="F378"/>
    </row>
    <row r="379" spans="6:6">
      <c r="F379"/>
    </row>
    <row r="380" spans="6:6">
      <c r="F380"/>
    </row>
    <row r="381" spans="6:6">
      <c r="F381"/>
    </row>
    <row r="382" spans="6:6">
      <c r="F382"/>
    </row>
    <row r="383" spans="6:6">
      <c r="F383"/>
    </row>
    <row r="384" spans="6:6">
      <c r="F384"/>
    </row>
    <row r="385" spans="6:6">
      <c r="F385"/>
    </row>
    <row r="386" spans="6:6">
      <c r="F386"/>
    </row>
    <row r="387" spans="6:6">
      <c r="F387"/>
    </row>
    <row r="388" spans="6:6">
      <c r="F388"/>
    </row>
    <row r="389" spans="6:6">
      <c r="F389"/>
    </row>
    <row r="390" spans="6:6">
      <c r="F390"/>
    </row>
    <row r="391" spans="6:6">
      <c r="F391"/>
    </row>
    <row r="392" spans="6:6">
      <c r="F392"/>
    </row>
    <row r="393" spans="6:6">
      <c r="F393"/>
    </row>
    <row r="394" spans="6:6">
      <c r="F394"/>
    </row>
    <row r="395" spans="6:6">
      <c r="F395"/>
    </row>
    <row r="396" spans="6:6">
      <c r="F396"/>
    </row>
    <row r="397" spans="6:6">
      <c r="F397"/>
    </row>
    <row r="398" spans="6:6">
      <c r="F398"/>
    </row>
    <row r="399" spans="6:6">
      <c r="F399"/>
    </row>
    <row r="400" spans="6:6">
      <c r="F400"/>
    </row>
    <row r="401" spans="6:6">
      <c r="F401"/>
    </row>
    <row r="402" spans="6:6">
      <c r="F402"/>
    </row>
    <row r="403" spans="6:6">
      <c r="F403"/>
    </row>
    <row r="404" spans="6:6">
      <c r="F404"/>
    </row>
    <row r="405" spans="6:6">
      <c r="F405"/>
    </row>
  </sheetData>
  <sortState xmlns:xlrd2="http://schemas.microsoft.com/office/spreadsheetml/2017/richdata2" ref="B13:F69">
    <sortCondition ref="B15"/>
  </sortState>
  <mergeCells count="19">
    <mergeCell ref="B38:E38"/>
    <mergeCell ref="B39:E39"/>
    <mergeCell ref="D20:D23"/>
    <mergeCell ref="D25:D26"/>
    <mergeCell ref="D29:D30"/>
    <mergeCell ref="D32:D33"/>
    <mergeCell ref="D35:D37"/>
    <mergeCell ref="B29:B30"/>
    <mergeCell ref="B31:E31"/>
    <mergeCell ref="B32:B33"/>
    <mergeCell ref="B34:E34"/>
    <mergeCell ref="B35:B37"/>
    <mergeCell ref="A1:H1"/>
    <mergeCell ref="B15:B18"/>
    <mergeCell ref="B19:E19"/>
    <mergeCell ref="B20:B23"/>
    <mergeCell ref="B24:E24"/>
    <mergeCell ref="B25:B27"/>
    <mergeCell ref="B28:E28"/>
  </mergeCells>
  <pageMargins left="0.1" right="0.1" top="0.5" bottom="0.1" header="0.25" footer="0.25"/>
  <pageSetup orientation="portrait" horizontalDpi="240" verticalDpi="144" r:id="rId2"/>
  <headerFooter>
    <oddHeader>&amp;L&amp;F</oddHeader>
  </headerFooter>
  <rowBreaks count="2" manualBreakCount="2">
    <brk id="48" max="7" man="1"/>
    <brk id="94" max="7" man="1"/>
  </rowBreaks>
  <colBreaks count="1" manualBreakCount="1">
    <brk id="8" max="1048575" man="1"/>
  </colBreaks>
  <drawing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9"/>
  <dimension ref="A1:IS405"/>
  <sheetViews>
    <sheetView view="pageBreakPreview" zoomScale="85" zoomScaleNormal="55" zoomScaleSheetLayoutView="85" workbookViewId="0">
      <pane ySplit="14" topLeftCell="A25" activePane="bottomLeft" state="frozen"/>
      <selection pane="bottomLeft" activeCell="C11" sqref="C11"/>
    </sheetView>
  </sheetViews>
  <sheetFormatPr baseColWidth="10" defaultColWidth="9" defaultRowHeight="16"/>
  <cols>
    <col min="1" max="1" width="4" style="1" customWidth="1"/>
    <col min="2" max="2" width="39.1640625" customWidth="1"/>
    <col min="3" max="3" width="16.6640625" customWidth="1"/>
    <col min="4" max="5" width="4.6640625" customWidth="1"/>
    <col min="6" max="6" width="4.6640625" style="1" customWidth="1"/>
    <col min="7" max="7" width="4.6640625" style="2" customWidth="1"/>
    <col min="8" max="8" width="16.6640625" style="1" customWidth="1"/>
    <col min="9" max="9" width="6.83203125" customWidth="1"/>
    <col min="10" max="10" width="1.6640625" customWidth="1"/>
    <col min="11" max="11" width="6.83203125" customWidth="1"/>
    <col min="12" max="12" width="1.6640625" customWidth="1"/>
    <col min="13" max="13" width="6.83203125" customWidth="1"/>
    <col min="14" max="14" width="9" customWidth="1"/>
  </cols>
  <sheetData>
    <row r="1" spans="1:253" ht="20">
      <c r="A1" s="866" t="s">
        <v>3860</v>
      </c>
      <c r="B1" s="866"/>
      <c r="C1" s="866"/>
      <c r="D1" s="866"/>
      <c r="E1" s="866"/>
      <c r="F1" s="866"/>
      <c r="G1" s="866"/>
      <c r="H1" s="866"/>
      <c r="I1" s="360" t="s">
        <v>1766</v>
      </c>
      <c r="J1" s="143"/>
      <c r="K1" s="360" t="s">
        <v>1756</v>
      </c>
      <c r="L1" s="143"/>
      <c r="M1" s="360" t="s">
        <v>1749</v>
      </c>
      <c r="N1" s="42"/>
      <c r="O1" s="360" t="s">
        <v>2362</v>
      </c>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c r="II1" s="42"/>
      <c r="IJ1" s="42"/>
      <c r="IK1" s="42"/>
      <c r="IL1" s="42"/>
      <c r="IM1" s="42"/>
      <c r="IN1" s="42"/>
      <c r="IO1" s="42"/>
      <c r="IP1" s="42"/>
      <c r="IQ1" s="42"/>
      <c r="IR1" s="42"/>
      <c r="IS1" s="42"/>
    </row>
    <row r="2" spans="1:253" ht="18">
      <c r="A2" s="3"/>
      <c r="B2" s="53" t="s">
        <v>1658</v>
      </c>
      <c r="C2" s="5"/>
      <c r="D2" s="5"/>
      <c r="E2" s="5"/>
      <c r="F2" s="5"/>
      <c r="G2" s="5"/>
      <c r="H2" s="6"/>
      <c r="I2" s="43"/>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row>
    <row r="3" spans="1:253">
      <c r="A3" s="7" t="s">
        <v>327</v>
      </c>
      <c r="B3" s="18"/>
      <c r="C3" s="8" t="str">
        <f>No_proyek</f>
        <v>RZ0458</v>
      </c>
      <c r="D3" s="9"/>
      <c r="E3" s="9"/>
      <c r="F3" s="10"/>
      <c r="G3" s="11" t="s">
        <v>2173</v>
      </c>
      <c r="H3" s="12"/>
      <c r="I3" s="16"/>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c r="II3" s="42"/>
      <c r="IJ3" s="42"/>
      <c r="IK3" s="42"/>
      <c r="IL3" s="42"/>
      <c r="IM3" s="42"/>
      <c r="IN3" s="42"/>
      <c r="IO3" s="42"/>
      <c r="IP3" s="42"/>
      <c r="IQ3" s="42"/>
      <c r="IR3" s="42"/>
      <c r="IS3" s="42"/>
    </row>
    <row r="4" spans="1:253">
      <c r="A4" s="7" t="s">
        <v>2174</v>
      </c>
      <c r="B4" s="18"/>
      <c r="C4" s="8" t="str">
        <f>no_kontrak</f>
        <v>127/RK-RL-PI/PAP-LL/XII/2025</v>
      </c>
      <c r="D4" s="9"/>
      <c r="E4" s="9"/>
      <c r="F4" s="366"/>
      <c r="G4" s="421" t="str">
        <f>IF(Spek!$D$7="√","√","")</f>
        <v/>
      </c>
      <c r="H4" s="13" t="s">
        <v>1509</v>
      </c>
      <c r="I4" s="16"/>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row>
    <row r="5" spans="1:253">
      <c r="A5" s="14" t="s">
        <v>1508</v>
      </c>
      <c r="B5" s="66"/>
      <c r="C5" s="8" t="str">
        <f>nip</f>
        <v>25LL017MPC</v>
      </c>
      <c r="D5" s="9"/>
      <c r="E5" s="9"/>
      <c r="F5" s="9"/>
      <c r="G5" s="421" t="str">
        <f>IF(Spek!$D$8="√","√","")</f>
        <v>√</v>
      </c>
      <c r="H5" s="15" t="s">
        <v>1511</v>
      </c>
      <c r="I5" s="17" t="s">
        <v>2175</v>
      </c>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c r="II5" s="42"/>
      <c r="IJ5" s="42"/>
      <c r="IK5" s="42"/>
      <c r="IL5" s="42"/>
      <c r="IM5" s="42"/>
      <c r="IN5" s="42"/>
      <c r="IO5" s="42"/>
      <c r="IP5" s="42"/>
      <c r="IQ5" s="42"/>
      <c r="IR5" s="42"/>
      <c r="IS5" s="42"/>
    </row>
    <row r="6" spans="1:253">
      <c r="A6" s="7" t="s">
        <v>2176</v>
      </c>
      <c r="B6" s="18"/>
      <c r="C6" s="8" t="str">
        <f>nama_proyek</f>
        <v>PT Malindo Feedmill Tbk-Dry Pantry</v>
      </c>
      <c r="D6" s="9"/>
      <c r="E6" s="9"/>
      <c r="F6" s="16"/>
      <c r="G6" s="17"/>
      <c r="H6" s="18"/>
      <c r="I6" s="17" t="s">
        <v>2177</v>
      </c>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42"/>
      <c r="IS6" s="42"/>
    </row>
    <row r="7" spans="1:253">
      <c r="A7" s="7" t="s">
        <v>2178</v>
      </c>
      <c r="B7" s="18"/>
      <c r="C7" s="19">
        <f>tgl</f>
        <v>46163</v>
      </c>
      <c r="D7" s="20"/>
      <c r="E7" s="21"/>
      <c r="F7" s="22"/>
      <c r="G7" s="23" t="s">
        <v>2259</v>
      </c>
      <c r="H7" s="18"/>
      <c r="I7" s="17"/>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2"/>
      <c r="EH7" s="42"/>
      <c r="EI7" s="42"/>
      <c r="EJ7" s="42"/>
      <c r="EK7" s="42"/>
      <c r="EL7" s="42"/>
      <c r="EM7" s="42"/>
      <c r="EN7" s="42"/>
      <c r="EO7" s="42"/>
      <c r="EP7" s="42"/>
      <c r="EQ7" s="42"/>
      <c r="ER7" s="42"/>
      <c r="ES7" s="42"/>
      <c r="ET7" s="42"/>
      <c r="EU7" s="42"/>
      <c r="EV7" s="42"/>
      <c r="EW7" s="42"/>
      <c r="EX7" s="42"/>
      <c r="EY7" s="42"/>
      <c r="EZ7" s="42"/>
      <c r="FA7" s="42"/>
      <c r="FB7" s="42"/>
      <c r="FC7" s="42"/>
      <c r="FD7" s="42"/>
      <c r="FE7" s="42"/>
      <c r="FF7" s="42"/>
      <c r="FG7" s="42"/>
      <c r="FH7" s="42"/>
      <c r="FI7" s="42"/>
      <c r="FJ7" s="42"/>
      <c r="FK7" s="42"/>
      <c r="FL7" s="42"/>
      <c r="FM7" s="42"/>
      <c r="FN7" s="42"/>
      <c r="FO7" s="42"/>
      <c r="FP7" s="42"/>
      <c r="FQ7" s="42"/>
      <c r="FR7" s="42"/>
      <c r="FS7" s="42"/>
      <c r="FT7" s="42"/>
      <c r="FU7" s="42"/>
      <c r="FV7" s="42"/>
      <c r="FW7" s="42"/>
      <c r="FX7" s="42"/>
      <c r="FY7" s="42"/>
      <c r="FZ7" s="42"/>
      <c r="GA7" s="42"/>
      <c r="GB7" s="42"/>
      <c r="GC7" s="42"/>
      <c r="GD7" s="42"/>
      <c r="GE7" s="42"/>
      <c r="GF7" s="42"/>
      <c r="GG7" s="42"/>
      <c r="GH7" s="42"/>
      <c r="GI7" s="42"/>
      <c r="GJ7" s="42"/>
      <c r="GK7" s="42"/>
      <c r="GL7" s="42"/>
      <c r="GM7" s="42"/>
      <c r="GN7" s="42"/>
      <c r="GO7" s="42"/>
      <c r="GP7" s="42"/>
      <c r="GQ7" s="42"/>
      <c r="GR7" s="42"/>
      <c r="GS7" s="42"/>
      <c r="GT7" s="42"/>
      <c r="GU7" s="42"/>
      <c r="GV7" s="42"/>
      <c r="GW7" s="42"/>
      <c r="GX7" s="42"/>
      <c r="GY7" s="42"/>
      <c r="GZ7" s="42"/>
      <c r="HA7" s="42"/>
      <c r="HB7" s="42"/>
      <c r="HC7" s="42"/>
      <c r="HD7" s="42"/>
      <c r="HE7" s="42"/>
      <c r="HF7" s="42"/>
      <c r="HG7" s="42"/>
      <c r="HH7" s="42"/>
      <c r="HI7" s="42"/>
      <c r="HJ7" s="42"/>
      <c r="HK7" s="42"/>
      <c r="HL7" s="42"/>
      <c r="HM7" s="42"/>
      <c r="HN7" s="42"/>
      <c r="HO7" s="42"/>
      <c r="HP7" s="42"/>
      <c r="HQ7" s="42"/>
      <c r="HR7" s="42"/>
      <c r="HS7" s="42"/>
      <c r="HT7" s="42"/>
      <c r="HU7" s="42"/>
      <c r="HV7" s="42"/>
      <c r="HW7" s="42"/>
      <c r="HX7" s="42"/>
      <c r="HY7" s="42"/>
      <c r="HZ7" s="42"/>
      <c r="IA7" s="42"/>
      <c r="IB7" s="42"/>
      <c r="IC7" s="42"/>
      <c r="ID7" s="42"/>
      <c r="IE7" s="42"/>
      <c r="IF7" s="42"/>
      <c r="IG7" s="42"/>
      <c r="IH7" s="42"/>
      <c r="II7" s="42"/>
      <c r="IJ7" s="42"/>
      <c r="IK7" s="42"/>
      <c r="IL7" s="42"/>
      <c r="IM7" s="42"/>
      <c r="IN7" s="42"/>
      <c r="IO7" s="42"/>
      <c r="IP7" s="42"/>
      <c r="IQ7" s="42"/>
      <c r="IR7" s="42"/>
      <c r="IS7" s="42"/>
    </row>
    <row r="8" spans="1:253">
      <c r="A8" s="7" t="s">
        <v>2179</v>
      </c>
      <c r="B8" s="18"/>
      <c r="C8" s="24"/>
      <c r="D8" s="25"/>
      <c r="E8" s="26"/>
      <c r="F8" s="27"/>
      <c r="G8" s="421" t="str">
        <f>IF(Spek!$D$9="√","√","")</f>
        <v/>
      </c>
      <c r="H8" s="421" t="str">
        <f>IF(Spek!$D$10="√","√","")</f>
        <v>√</v>
      </c>
      <c r="I8" s="17"/>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c r="HP8" s="42"/>
      <c r="HQ8" s="42"/>
      <c r="HR8" s="42"/>
      <c r="HS8" s="42"/>
      <c r="HT8" s="42"/>
      <c r="HU8" s="42"/>
      <c r="HV8" s="42"/>
      <c r="HW8" s="42"/>
      <c r="HX8" s="42"/>
      <c r="HY8" s="42"/>
      <c r="HZ8" s="42"/>
      <c r="IA8" s="42"/>
      <c r="IB8" s="42"/>
      <c r="IC8" s="42"/>
      <c r="ID8" s="42"/>
      <c r="IE8" s="42"/>
      <c r="IF8" s="42"/>
      <c r="IG8" s="42"/>
      <c r="IH8" s="42"/>
      <c r="II8" s="42"/>
      <c r="IJ8" s="42"/>
      <c r="IK8" s="42"/>
      <c r="IL8" s="42"/>
      <c r="IM8" s="42"/>
      <c r="IN8" s="42"/>
      <c r="IO8" s="42"/>
      <c r="IP8" s="42"/>
      <c r="IQ8" s="42"/>
      <c r="IR8" s="42"/>
      <c r="IS8" s="42"/>
    </row>
    <row r="9" spans="1:253">
      <c r="A9" s="524" t="s">
        <v>2180</v>
      </c>
      <c r="B9" s="32"/>
      <c r="C9" s="8" t="str">
        <f>Estimator</f>
        <v>Fahrudin</v>
      </c>
      <c r="D9" s="9"/>
      <c r="E9" s="9"/>
      <c r="F9" s="16"/>
      <c r="G9" s="17"/>
      <c r="H9" s="12"/>
      <c r="I9" s="461" t="str">
        <f>CONCATENATE(,"(",koordinator,")","               ","(",ka_rakit,")","                 ","(",ka_panel,")","                 ","(",ka_QC,")","         ","(",koordinator,")")</f>
        <v>(Reza Pahlevi)               (Dedi Cahyadi)                 (Muchson Adie S)                 (Sukamto)         (Reza Pahlevi)</v>
      </c>
      <c r="J9" s="42"/>
      <c r="K9" s="42"/>
      <c r="L9" s="44"/>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2"/>
      <c r="DZ9" s="42"/>
      <c r="EA9" s="42"/>
      <c r="EB9" s="42"/>
      <c r="EC9" s="42"/>
      <c r="ED9" s="42"/>
      <c r="EE9" s="42"/>
      <c r="EF9" s="42"/>
      <c r="EG9" s="42"/>
      <c r="EH9" s="42"/>
      <c r="EI9" s="42"/>
      <c r="EJ9" s="42"/>
      <c r="EK9" s="42"/>
      <c r="EL9" s="42"/>
      <c r="EM9" s="42"/>
      <c r="EN9" s="42"/>
      <c r="EO9" s="42"/>
      <c r="EP9" s="42"/>
      <c r="EQ9" s="42"/>
      <c r="ER9" s="42"/>
      <c r="ES9" s="42"/>
      <c r="ET9" s="42"/>
      <c r="EU9" s="42"/>
      <c r="EV9" s="42"/>
      <c r="EW9" s="42"/>
      <c r="EX9" s="42"/>
      <c r="EY9" s="42"/>
      <c r="EZ9" s="42"/>
      <c r="FA9" s="42"/>
      <c r="FB9" s="42"/>
      <c r="FC9" s="42"/>
      <c r="FD9" s="42"/>
      <c r="FE9" s="42"/>
      <c r="FF9" s="42"/>
      <c r="FG9" s="42"/>
      <c r="FH9" s="42"/>
      <c r="FI9" s="42"/>
      <c r="FJ9" s="42"/>
      <c r="FK9" s="42"/>
      <c r="FL9" s="42"/>
      <c r="FM9" s="42"/>
      <c r="FN9" s="42"/>
      <c r="FO9" s="42"/>
      <c r="FP9" s="42"/>
      <c r="FQ9" s="42"/>
      <c r="FR9" s="42"/>
      <c r="FS9" s="42"/>
      <c r="FT9" s="42"/>
      <c r="FU9" s="42"/>
      <c r="FV9" s="42"/>
      <c r="FW9" s="42"/>
      <c r="FX9" s="42"/>
      <c r="FY9" s="42"/>
      <c r="FZ9" s="42"/>
      <c r="GA9" s="42"/>
      <c r="GB9" s="42"/>
      <c r="GC9" s="42"/>
      <c r="GD9" s="42"/>
      <c r="GE9" s="42"/>
      <c r="GF9" s="42"/>
      <c r="GG9" s="42"/>
      <c r="GH9" s="42"/>
      <c r="GI9" s="42"/>
      <c r="GJ9" s="42"/>
      <c r="GK9" s="42"/>
      <c r="GL9" s="42"/>
      <c r="GM9" s="42"/>
      <c r="GN9" s="42"/>
      <c r="GO9" s="42"/>
      <c r="GP9" s="42"/>
      <c r="GQ9" s="42"/>
      <c r="GR9" s="42"/>
      <c r="GS9" s="42"/>
      <c r="GT9" s="42"/>
      <c r="GU9" s="42"/>
      <c r="GV9" s="42"/>
      <c r="GW9" s="42"/>
      <c r="GX9" s="42"/>
      <c r="GY9" s="42"/>
      <c r="GZ9" s="42"/>
      <c r="HA9" s="42"/>
      <c r="HB9" s="42"/>
      <c r="HC9" s="42"/>
      <c r="HD9" s="42"/>
      <c r="HE9" s="42"/>
      <c r="HF9" s="42"/>
      <c r="HG9" s="42"/>
      <c r="HH9" s="42"/>
      <c r="HI9" s="42"/>
      <c r="HJ9" s="42"/>
      <c r="HK9" s="42"/>
      <c r="HL9" s="42"/>
      <c r="HM9" s="42"/>
      <c r="HN9" s="42"/>
      <c r="HO9" s="42"/>
      <c r="HP9" s="42"/>
      <c r="HQ9" s="42"/>
      <c r="HR9" s="42"/>
      <c r="HS9" s="42"/>
      <c r="HT9" s="42"/>
      <c r="HU9" s="42"/>
      <c r="HV9" s="42"/>
      <c r="HW9" s="42"/>
      <c r="HX9" s="42"/>
      <c r="HY9" s="42"/>
      <c r="HZ9" s="42"/>
      <c r="IA9" s="42"/>
      <c r="IB9" s="42"/>
      <c r="IC9" s="42"/>
      <c r="ID9" s="42"/>
      <c r="IE9" s="42"/>
      <c r="IF9" s="42"/>
      <c r="IG9" s="42"/>
      <c r="IH9" s="42"/>
      <c r="II9" s="42"/>
      <c r="IJ9" s="42"/>
      <c r="IK9" s="42"/>
      <c r="IL9" s="42"/>
      <c r="IM9" s="42"/>
      <c r="IN9" s="42"/>
      <c r="IO9" s="42"/>
      <c r="IP9" s="42"/>
      <c r="IQ9" s="42"/>
      <c r="IR9" s="42"/>
      <c r="IS9" s="42"/>
    </row>
    <row r="10" spans="1:253">
      <c r="A10" s="29" t="s">
        <v>2182</v>
      </c>
      <c r="B10" s="68"/>
      <c r="C10" s="30" t="str">
        <f>CONCATENATE("Kabinet"," ",bahan1," ",kabinet1," ",edgingkab1)</f>
        <v>Kabinet Ply HB_41130 Edg_Décor_1723_B</v>
      </c>
      <c r="D10" s="9"/>
      <c r="E10" s="9"/>
      <c r="F10" s="16"/>
      <c r="G10" s="17"/>
      <c r="H10" s="12"/>
      <c r="I10" s="17"/>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42"/>
      <c r="IS10" s="42"/>
    </row>
    <row r="11" spans="1:253">
      <c r="A11" s="29"/>
      <c r="B11" s="66"/>
      <c r="C11" s="30" t="str">
        <f>CONCATENATE("Pintu"," ",bahan5)</f>
        <v>Pintu Ply</v>
      </c>
      <c r="D11" s="9"/>
      <c r="E11" s="10"/>
      <c r="F11" s="16"/>
      <c r="G11" s="17"/>
      <c r="H11" s="359"/>
      <c r="I11" s="44"/>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c r="FJ11" s="42"/>
      <c r="FK11" s="42"/>
      <c r="FL11" s="42"/>
      <c r="FM11" s="42"/>
      <c r="FN11" s="42"/>
      <c r="FO11" s="42"/>
      <c r="FP11" s="42"/>
      <c r="FQ11" s="42"/>
      <c r="FR11" s="42"/>
      <c r="FS11" s="42"/>
      <c r="FT11" s="42"/>
      <c r="FU11" s="42"/>
      <c r="FV11" s="42"/>
      <c r="FW11" s="42"/>
      <c r="FX11" s="42"/>
      <c r="FY11" s="42"/>
      <c r="FZ11" s="42"/>
      <c r="GA11" s="42"/>
      <c r="GB11" s="42"/>
      <c r="GC11" s="42"/>
      <c r="GD11" s="42"/>
      <c r="GE11" s="42"/>
      <c r="GF11" s="42"/>
      <c r="GG11" s="42"/>
      <c r="GH11" s="42"/>
      <c r="GI11" s="42"/>
      <c r="GJ11" s="42"/>
      <c r="GK11" s="42"/>
      <c r="GL11" s="42"/>
      <c r="GM11" s="42"/>
      <c r="GN11" s="42"/>
      <c r="GO11" s="42"/>
      <c r="GP11" s="42"/>
      <c r="GQ11" s="42"/>
      <c r="GR11" s="42"/>
      <c r="GS11" s="42"/>
      <c r="GT11" s="42"/>
      <c r="GU11" s="42"/>
      <c r="GV11" s="42"/>
      <c r="GW11" s="42"/>
      <c r="GX11" s="42"/>
      <c r="GY11" s="42"/>
      <c r="GZ11" s="42"/>
      <c r="HA11" s="42"/>
      <c r="HB11" s="42"/>
      <c r="HC11" s="42"/>
      <c r="HD11" s="42"/>
      <c r="HE11" s="42"/>
      <c r="HF11" s="42"/>
      <c r="HG11" s="42"/>
      <c r="HH11" s="42"/>
      <c r="HI11" s="42"/>
      <c r="HJ11" s="42"/>
      <c r="HK11" s="42"/>
      <c r="HL11" s="42"/>
      <c r="HM11" s="42"/>
      <c r="HN11" s="42"/>
      <c r="HO11" s="42"/>
      <c r="HP11" s="42"/>
      <c r="HQ11" s="42"/>
      <c r="HR11" s="42"/>
      <c r="HS11" s="42"/>
      <c r="HT11" s="42"/>
      <c r="HU11" s="42"/>
      <c r="HV11" s="42"/>
      <c r="HW11" s="42"/>
      <c r="HX11" s="42"/>
      <c r="HY11" s="42"/>
      <c r="HZ11" s="42"/>
      <c r="IA11" s="42"/>
      <c r="IB11" s="42"/>
      <c r="IC11" s="42"/>
      <c r="ID11" s="42"/>
      <c r="IE11" s="42"/>
      <c r="IF11" s="42"/>
      <c r="IG11" s="42"/>
      <c r="IH11" s="42"/>
      <c r="II11" s="42"/>
      <c r="IJ11" s="42"/>
      <c r="IK11" s="42"/>
      <c r="IL11" s="42"/>
      <c r="IM11" s="42"/>
      <c r="IN11" s="42"/>
      <c r="IO11" s="42"/>
      <c r="IP11" s="42"/>
      <c r="IQ11" s="42"/>
      <c r="IR11" s="42"/>
      <c r="IS11" s="42"/>
    </row>
    <row r="12" spans="1:253">
      <c r="A12" s="33"/>
      <c r="B12" s="354"/>
      <c r="C12" s="34"/>
      <c r="D12" s="1"/>
      <c r="E12" s="1"/>
      <c r="G12"/>
      <c r="H12" s="185"/>
    </row>
    <row r="13" spans="1:253">
      <c r="A13" s="129"/>
      <c r="B13" s="926" t="s">
        <v>2923</v>
      </c>
      <c r="C13" s="927"/>
      <c r="D13" s="927"/>
      <c r="E13" s="927"/>
      <c r="F13" s="838"/>
      <c r="G13" s="355" t="s">
        <v>1506</v>
      </c>
      <c r="H13" s="493"/>
    </row>
    <row r="14" spans="1:253" ht="17">
      <c r="A14" s="485" t="s">
        <v>2135</v>
      </c>
      <c r="B14" s="840" t="s">
        <v>2157</v>
      </c>
      <c r="C14" s="837" t="s">
        <v>2138</v>
      </c>
      <c r="D14" s="837" t="s">
        <v>2134</v>
      </c>
      <c r="E14" s="837" t="s">
        <v>2133</v>
      </c>
      <c r="F14" s="838" t="s">
        <v>2220</v>
      </c>
      <c r="G14" s="484" t="s">
        <v>2184</v>
      </c>
      <c r="H14" s="494" t="s">
        <v>333</v>
      </c>
    </row>
    <row r="15" spans="1:253">
      <c r="A15" s="129"/>
      <c r="B15" s="523" t="s">
        <v>2185</v>
      </c>
      <c r="C15" s="841" t="s">
        <v>2185</v>
      </c>
      <c r="D15" s="841" t="s">
        <v>2185</v>
      </c>
      <c r="E15" s="841" t="s">
        <v>2185</v>
      </c>
      <c r="F15" s="930"/>
      <c r="G15" s="40"/>
      <c r="H15" s="129"/>
      <c r="I15" s="1" t="str">
        <f>LEFT(C15,4)</f>
        <v>(bla</v>
      </c>
      <c r="J15" s="1" t="s">
        <v>2137</v>
      </c>
      <c r="K15" s="1" t="str">
        <f>MID(C15,7,4)</f>
        <v>)</v>
      </c>
      <c r="L15" s="1" t="s">
        <v>2137</v>
      </c>
      <c r="M15" s="1" t="str">
        <f>RIGHT(C15,3)</f>
        <v>nk)</v>
      </c>
      <c r="N15" s="1"/>
      <c r="O15" s="1" t="str">
        <f>D15</f>
        <v>(blank)</v>
      </c>
    </row>
    <row r="16" spans="1:253">
      <c r="A16" s="129"/>
      <c r="B16" s="864"/>
      <c r="C16" s="868"/>
      <c r="D16" s="868"/>
      <c r="E16" s="868"/>
      <c r="F16" s="931"/>
      <c r="G16" s="40"/>
      <c r="H16" s="129"/>
    </row>
    <row r="17" spans="1:15">
      <c r="A17" s="129"/>
      <c r="B17" s="523" t="s">
        <v>4879</v>
      </c>
      <c r="C17" s="841" t="s">
        <v>2185</v>
      </c>
      <c r="D17" s="841" t="s">
        <v>2185</v>
      </c>
      <c r="E17" s="841" t="s">
        <v>2185</v>
      </c>
      <c r="F17" s="931"/>
      <c r="G17" s="40"/>
      <c r="H17" s="129"/>
      <c r="I17" s="1" t="str">
        <f>LEFT(C17,4)</f>
        <v>(bla</v>
      </c>
      <c r="J17" s="1" t="s">
        <v>2137</v>
      </c>
      <c r="K17" s="1" t="str">
        <f>MID(C17,7,4)</f>
        <v>)</v>
      </c>
      <c r="L17" s="1" t="s">
        <v>2137</v>
      </c>
      <c r="M17" s="1" t="str">
        <f>RIGHT(C17,3)</f>
        <v>nk)</v>
      </c>
      <c r="N17" s="1"/>
      <c r="O17" s="1" t="str">
        <f>D17</f>
        <v>(blank)</v>
      </c>
    </row>
    <row r="18" spans="1:15">
      <c r="A18" s="129">
        <v>1</v>
      </c>
      <c r="B18" s="864"/>
      <c r="C18" s="868"/>
      <c r="D18" s="868"/>
      <c r="E18" s="868"/>
      <c r="F18" s="931"/>
      <c r="G18" s="40"/>
      <c r="H18" s="129"/>
    </row>
    <row r="19" spans="1:15">
      <c r="A19" s="129"/>
      <c r="B19" s="523" t="s">
        <v>3551</v>
      </c>
      <c r="C19" s="841" t="s">
        <v>2185</v>
      </c>
      <c r="D19" s="841" t="s">
        <v>2185</v>
      </c>
      <c r="E19" s="841" t="s">
        <v>2185</v>
      </c>
      <c r="F19" s="931"/>
      <c r="G19" s="40"/>
      <c r="H19" s="523"/>
      <c r="I19" s="1" t="str">
        <f>LEFT(C19,4)</f>
        <v>(bla</v>
      </c>
      <c r="J19" s="1" t="s">
        <v>2137</v>
      </c>
      <c r="K19" s="1" t="str">
        <f>MID(C19,7,4)</f>
        <v>)</v>
      </c>
      <c r="L19" s="1" t="s">
        <v>2137</v>
      </c>
      <c r="M19" s="1" t="str">
        <f>RIGHT(C19,3)</f>
        <v>nk)</v>
      </c>
      <c r="N19" s="1"/>
      <c r="O19" s="1" t="str">
        <f>D19</f>
        <v>(blank)</v>
      </c>
    </row>
    <row r="20" spans="1:15">
      <c r="A20" s="129"/>
      <c r="B20" s="864"/>
      <c r="C20" s="868"/>
      <c r="D20" s="868"/>
      <c r="E20" s="868"/>
      <c r="F20" s="931"/>
      <c r="G20" s="40"/>
      <c r="H20" s="129"/>
    </row>
    <row r="21" spans="1:15">
      <c r="A21" s="129"/>
      <c r="B21" s="869" t="s">
        <v>2183</v>
      </c>
      <c r="C21" s="870"/>
      <c r="D21" s="870"/>
      <c r="E21" s="870"/>
      <c r="F21" s="925"/>
      <c r="G21" s="40"/>
      <c r="H21" s="129"/>
      <c r="I21" s="1" t="str">
        <f>LEFT(C21,4)</f>
        <v/>
      </c>
      <c r="J21" s="1" t="s">
        <v>2137</v>
      </c>
      <c r="K21" s="1" t="str">
        <f>MID(C21,7,4)</f>
        <v/>
      </c>
      <c r="L21" s="1" t="s">
        <v>2137</v>
      </c>
      <c r="M21" s="1" t="str">
        <f>RIGHT(C21,3)</f>
        <v/>
      </c>
      <c r="N21" s="1"/>
      <c r="O21" s="1">
        <f>D21</f>
        <v>0</v>
      </c>
    </row>
    <row r="22" spans="1:15">
      <c r="A22" s="129"/>
      <c r="F22"/>
      <c r="G22" s="40"/>
      <c r="H22" s="129"/>
    </row>
    <row r="23" spans="1:15">
      <c r="A23" s="129"/>
      <c r="F23"/>
      <c r="G23" s="40"/>
      <c r="H23" s="129"/>
      <c r="I23" s="1" t="str">
        <f>LEFT(C23,4)</f>
        <v/>
      </c>
      <c r="J23" s="1" t="s">
        <v>2137</v>
      </c>
      <c r="K23" s="1" t="str">
        <f>MID(C23,7,4)</f>
        <v/>
      </c>
      <c r="L23" s="1" t="s">
        <v>2137</v>
      </c>
      <c r="M23" s="1" t="str">
        <f>RIGHT(C23,3)</f>
        <v/>
      </c>
      <c r="N23" s="1"/>
      <c r="O23" s="1">
        <f>D23</f>
        <v>0</v>
      </c>
    </row>
    <row r="24" spans="1:15">
      <c r="A24" s="129"/>
      <c r="F24"/>
      <c r="G24" s="40"/>
      <c r="H24" s="129"/>
    </row>
    <row r="25" spans="1:15">
      <c r="A25" s="404"/>
      <c r="F25"/>
      <c r="G25" s="40"/>
      <c r="H25" s="129"/>
    </row>
    <row r="26" spans="1:15">
      <c r="A26" s="404"/>
      <c r="F26"/>
      <c r="G26" s="40"/>
      <c r="H26" s="129"/>
    </row>
    <row r="27" spans="1:15">
      <c r="A27" s="404"/>
      <c r="F27"/>
      <c r="G27" s="40"/>
      <c r="H27" s="129"/>
    </row>
    <row r="28" spans="1:15">
      <c r="A28" s="404"/>
      <c r="F28"/>
      <c r="G28" s="40"/>
      <c r="H28" s="129"/>
    </row>
    <row r="29" spans="1:15">
      <c r="A29" s="404"/>
      <c r="F29"/>
      <c r="G29" s="40"/>
      <c r="H29" s="129"/>
    </row>
    <row r="30" spans="1:15">
      <c r="A30" s="486">
        <v>2</v>
      </c>
      <c r="F30"/>
      <c r="G30" s="40"/>
      <c r="H30" s="129"/>
    </row>
    <row r="31" spans="1:15">
      <c r="A31" s="129"/>
      <c r="F31"/>
      <c r="G31" s="40"/>
      <c r="H31" s="129"/>
    </row>
    <row r="32" spans="1:15">
      <c r="A32" s="129"/>
      <c r="F32"/>
      <c r="G32" s="40"/>
      <c r="H32" s="129"/>
    </row>
    <row r="33" spans="1:8">
      <c r="A33" s="129"/>
      <c r="F33"/>
      <c r="G33" s="40"/>
      <c r="H33" s="129"/>
    </row>
    <row r="34" spans="1:8">
      <c r="A34" s="129"/>
      <c r="F34"/>
      <c r="G34" s="40"/>
      <c r="H34" s="129"/>
    </row>
    <row r="35" spans="1:8">
      <c r="A35" s="129"/>
      <c r="F35"/>
      <c r="G35" s="40"/>
      <c r="H35" s="129"/>
    </row>
    <row r="36" spans="1:8">
      <c r="A36" s="129"/>
      <c r="F36"/>
      <c r="G36" s="40"/>
      <c r="H36" s="129"/>
    </row>
    <row r="37" spans="1:8">
      <c r="A37" s="129"/>
      <c r="F37"/>
      <c r="G37" s="40"/>
      <c r="H37" s="129"/>
    </row>
    <row r="38" spans="1:8">
      <c r="A38" s="129"/>
      <c r="F38"/>
      <c r="G38" s="40"/>
      <c r="H38" s="129"/>
    </row>
    <row r="39" spans="1:8">
      <c r="A39" s="129"/>
      <c r="F39"/>
      <c r="G39" s="40"/>
      <c r="H39" s="129"/>
    </row>
    <row r="40" spans="1:8">
      <c r="A40" s="129"/>
      <c r="F40"/>
      <c r="G40" s="40"/>
      <c r="H40" s="129"/>
    </row>
    <row r="41" spans="1:8">
      <c r="A41" s="129"/>
      <c r="F41"/>
      <c r="G41" s="40"/>
      <c r="H41" s="129"/>
    </row>
    <row r="42" spans="1:8">
      <c r="A42" s="129"/>
      <c r="F42"/>
      <c r="G42" s="40"/>
      <c r="H42" s="129"/>
    </row>
    <row r="43" spans="1:8">
      <c r="A43" s="129"/>
      <c r="F43"/>
      <c r="G43" s="40"/>
      <c r="H43" s="129"/>
    </row>
    <row r="44" spans="1:8">
      <c r="A44" s="129"/>
      <c r="F44"/>
      <c r="G44" s="40"/>
      <c r="H44" s="129"/>
    </row>
    <row r="45" spans="1:8">
      <c r="A45" s="129"/>
      <c r="F45"/>
      <c r="G45" s="40"/>
      <c r="H45" s="129"/>
    </row>
    <row r="46" spans="1:8">
      <c r="A46" s="129"/>
      <c r="F46"/>
      <c r="G46" s="40"/>
      <c r="H46" s="129"/>
    </row>
    <row r="47" spans="1:8">
      <c r="A47" s="129"/>
      <c r="F47"/>
      <c r="G47" s="40"/>
      <c r="H47" s="129"/>
    </row>
    <row r="48" spans="1:8">
      <c r="A48" s="129"/>
      <c r="F48"/>
      <c r="G48" s="40"/>
      <c r="H48" s="129"/>
    </row>
    <row r="49" spans="1:8">
      <c r="A49" s="129"/>
      <c r="F49"/>
      <c r="G49" s="40"/>
      <c r="H49" s="129"/>
    </row>
    <row r="50" spans="1:8">
      <c r="A50" s="129"/>
      <c r="F50"/>
      <c r="G50" s="40"/>
      <c r="H50" s="129"/>
    </row>
    <row r="51" spans="1:8">
      <c r="A51" s="129"/>
      <c r="F51"/>
      <c r="G51" s="40"/>
      <c r="H51" s="129"/>
    </row>
    <row r="52" spans="1:8">
      <c r="A52" s="129">
        <v>3</v>
      </c>
      <c r="F52"/>
      <c r="G52" s="40"/>
      <c r="H52" s="129"/>
    </row>
    <row r="53" spans="1:8">
      <c r="A53" s="129"/>
      <c r="F53"/>
      <c r="G53" s="40"/>
      <c r="H53" s="129"/>
    </row>
    <row r="54" spans="1:8">
      <c r="A54" s="129"/>
      <c r="F54"/>
      <c r="G54" s="40"/>
      <c r="H54" s="129"/>
    </row>
    <row r="55" spans="1:8">
      <c r="A55" s="129"/>
      <c r="F55"/>
      <c r="G55" s="40"/>
      <c r="H55" s="129"/>
    </row>
    <row r="56" spans="1:8">
      <c r="A56" s="129"/>
      <c r="F56"/>
      <c r="G56" s="40"/>
      <c r="H56" s="129"/>
    </row>
    <row r="57" spans="1:8">
      <c r="A57" s="129"/>
      <c r="F57"/>
      <c r="G57" s="40"/>
      <c r="H57" s="129"/>
    </row>
    <row r="58" spans="1:8">
      <c r="A58" s="129"/>
      <c r="F58"/>
      <c r="G58" s="40"/>
      <c r="H58" s="129"/>
    </row>
    <row r="59" spans="1:8">
      <c r="A59" s="129"/>
      <c r="F59"/>
      <c r="G59" s="40"/>
      <c r="H59" s="129"/>
    </row>
    <row r="60" spans="1:8">
      <c r="A60" s="129"/>
      <c r="F60"/>
      <c r="G60" s="40"/>
      <c r="H60" s="129"/>
    </row>
    <row r="61" spans="1:8">
      <c r="A61" s="129"/>
      <c r="F61"/>
      <c r="G61" s="40"/>
      <c r="H61" s="129"/>
    </row>
    <row r="62" spans="1:8">
      <c r="A62" s="129"/>
      <c r="F62"/>
      <c r="G62" s="40"/>
      <c r="H62" s="129"/>
    </row>
    <row r="63" spans="1:8">
      <c r="A63" s="129">
        <v>4</v>
      </c>
      <c r="F63"/>
      <c r="G63" s="40"/>
      <c r="H63" s="129"/>
    </row>
    <row r="64" spans="1:8">
      <c r="A64" s="129"/>
      <c r="F64"/>
      <c r="G64" s="40"/>
      <c r="H64" s="129"/>
    </row>
    <row r="65" spans="1:8">
      <c r="A65" s="129"/>
      <c r="F65"/>
      <c r="G65" s="40"/>
      <c r="H65" s="129"/>
    </row>
    <row r="66" spans="1:8">
      <c r="A66" s="129"/>
      <c r="F66"/>
      <c r="G66" s="40"/>
      <c r="H66" s="129"/>
    </row>
    <row r="67" spans="1:8">
      <c r="A67" s="129"/>
      <c r="F67"/>
      <c r="G67" s="40"/>
      <c r="H67" s="129"/>
    </row>
    <row r="68" spans="1:8">
      <c r="A68" s="129"/>
      <c r="F68"/>
      <c r="G68" s="40"/>
      <c r="H68" s="129"/>
    </row>
    <row r="69" spans="1:8">
      <c r="A69" s="129"/>
      <c r="F69"/>
      <c r="G69" s="40"/>
      <c r="H69" s="129"/>
    </row>
    <row r="70" spans="1:8">
      <c r="A70" s="129"/>
      <c r="F70"/>
      <c r="G70" s="40"/>
      <c r="H70" s="129"/>
    </row>
    <row r="71" spans="1:8">
      <c r="A71" s="129"/>
      <c r="F71"/>
      <c r="G71" s="40"/>
      <c r="H71" s="129"/>
    </row>
    <row r="72" spans="1:8">
      <c r="A72" s="129"/>
      <c r="F72"/>
      <c r="G72" s="40"/>
      <c r="H72" s="129"/>
    </row>
    <row r="73" spans="1:8">
      <c r="A73" s="129"/>
      <c r="F73"/>
      <c r="G73" s="40"/>
      <c r="H73" s="129"/>
    </row>
    <row r="74" spans="1:8">
      <c r="A74" s="129"/>
      <c r="F74"/>
      <c r="G74" s="40"/>
      <c r="H74" s="129"/>
    </row>
    <row r="75" spans="1:8">
      <c r="A75" s="129"/>
      <c r="F75"/>
      <c r="G75" s="40"/>
      <c r="H75" s="129"/>
    </row>
    <row r="76" spans="1:8">
      <c r="A76" s="129">
        <v>5</v>
      </c>
      <c r="F76"/>
      <c r="G76" s="40"/>
      <c r="H76" s="129"/>
    </row>
    <row r="77" spans="1:8">
      <c r="A77" s="129"/>
      <c r="F77"/>
      <c r="G77" s="40"/>
      <c r="H77" s="129"/>
    </row>
    <row r="78" spans="1:8">
      <c r="A78" s="129"/>
      <c r="F78"/>
      <c r="G78" s="40"/>
      <c r="H78" s="129"/>
    </row>
    <row r="79" spans="1:8">
      <c r="A79" s="129"/>
      <c r="F79"/>
      <c r="G79" s="40"/>
      <c r="H79" s="129"/>
    </row>
    <row r="80" spans="1:8">
      <c r="A80" s="129"/>
      <c r="F80"/>
      <c r="G80" s="40"/>
      <c r="H80" s="129"/>
    </row>
    <row r="81" spans="1:8">
      <c r="A81" s="129"/>
      <c r="F81"/>
      <c r="G81" s="40"/>
      <c r="H81" s="129"/>
    </row>
    <row r="82" spans="1:8">
      <c r="A82" s="129"/>
      <c r="F82"/>
      <c r="G82" s="40"/>
      <c r="H82" s="129"/>
    </row>
    <row r="83" spans="1:8">
      <c r="A83" s="129"/>
      <c r="F83"/>
      <c r="G83" s="40"/>
      <c r="H83" s="129"/>
    </row>
    <row r="84" spans="1:8">
      <c r="A84" s="129">
        <v>6</v>
      </c>
      <c r="F84"/>
      <c r="G84" s="40"/>
      <c r="H84" s="129"/>
    </row>
    <row r="85" spans="1:8">
      <c r="A85" s="129"/>
      <c r="F85"/>
      <c r="G85" s="40"/>
      <c r="H85" s="129"/>
    </row>
    <row r="86" spans="1:8">
      <c r="A86" s="129"/>
      <c r="F86"/>
      <c r="G86" s="40"/>
      <c r="H86" s="129"/>
    </row>
    <row r="87" spans="1:8">
      <c r="A87" s="129"/>
      <c r="F87"/>
      <c r="G87" s="40"/>
      <c r="H87" s="129"/>
    </row>
    <row r="88" spans="1:8">
      <c r="A88" s="129"/>
      <c r="F88"/>
      <c r="G88" s="40"/>
      <c r="H88" s="129"/>
    </row>
    <row r="89" spans="1:8">
      <c r="A89" s="129">
        <v>7</v>
      </c>
      <c r="F89"/>
      <c r="G89" s="40"/>
      <c r="H89" s="129"/>
    </row>
    <row r="90" spans="1:8">
      <c r="A90" s="129"/>
      <c r="F90"/>
      <c r="G90" s="40"/>
      <c r="H90" s="129"/>
    </row>
    <row r="91" spans="1:8">
      <c r="A91" s="129"/>
      <c r="F91"/>
      <c r="G91" s="40"/>
      <c r="H91" s="129"/>
    </row>
    <row r="92" spans="1:8">
      <c r="A92" s="129"/>
      <c r="F92"/>
      <c r="G92" s="40"/>
      <c r="H92" s="129"/>
    </row>
    <row r="93" spans="1:8">
      <c r="A93" s="129"/>
      <c r="F93"/>
      <c r="G93" s="40"/>
      <c r="H93" s="129"/>
    </row>
    <row r="94" spans="1:8">
      <c r="A94" s="129"/>
      <c r="F94"/>
      <c r="G94" s="40"/>
      <c r="H94" s="129"/>
    </row>
    <row r="95" spans="1:8">
      <c r="A95" s="129"/>
      <c r="F95"/>
      <c r="G95" s="40"/>
      <c r="H95" s="129"/>
    </row>
    <row r="96" spans="1:8">
      <c r="A96" s="129"/>
      <c r="F96"/>
      <c r="G96" s="40"/>
      <c r="H96" s="129"/>
    </row>
    <row r="97" spans="1:8">
      <c r="A97" s="129"/>
      <c r="F97"/>
      <c r="G97" s="40"/>
      <c r="H97" s="129"/>
    </row>
    <row r="98" spans="1:8">
      <c r="A98" s="129"/>
      <c r="F98"/>
      <c r="G98" s="40"/>
      <c r="H98" s="129"/>
    </row>
    <row r="99" spans="1:8">
      <c r="A99" s="129">
        <v>8</v>
      </c>
      <c r="F99"/>
      <c r="G99" s="40"/>
      <c r="H99" s="129"/>
    </row>
    <row r="100" spans="1:8">
      <c r="A100" s="129"/>
      <c r="F100"/>
      <c r="G100" s="40"/>
      <c r="H100" s="129"/>
    </row>
    <row r="101" spans="1:8">
      <c r="A101" s="129"/>
      <c r="F101"/>
      <c r="G101" s="40"/>
      <c r="H101" s="129"/>
    </row>
    <row r="102" spans="1:8">
      <c r="A102" s="129"/>
      <c r="F102"/>
      <c r="G102" s="40"/>
      <c r="H102" s="129"/>
    </row>
    <row r="103" spans="1:8">
      <c r="A103" s="129"/>
      <c r="F103"/>
      <c r="G103" s="40"/>
      <c r="H103" s="129"/>
    </row>
    <row r="104" spans="1:8">
      <c r="A104" s="129"/>
      <c r="F104"/>
      <c r="G104" s="40"/>
      <c r="H104" s="129"/>
    </row>
    <row r="105" spans="1:8">
      <c r="A105" s="129"/>
      <c r="F105"/>
      <c r="G105" s="40"/>
      <c r="H105" s="129"/>
    </row>
    <row r="106" spans="1:8">
      <c r="A106" s="129"/>
      <c r="F106"/>
      <c r="G106" s="40"/>
      <c r="H106" s="129"/>
    </row>
    <row r="107" spans="1:8">
      <c r="A107" s="129">
        <v>9</v>
      </c>
      <c r="F107"/>
      <c r="G107" s="40"/>
      <c r="H107" s="129"/>
    </row>
    <row r="108" spans="1:8">
      <c r="A108" s="129"/>
      <c r="F108"/>
      <c r="G108" s="40"/>
      <c r="H108" s="129"/>
    </row>
    <row r="109" spans="1:8">
      <c r="A109" s="129"/>
      <c r="F109"/>
      <c r="G109" s="40"/>
      <c r="H109" s="129"/>
    </row>
    <row r="110" spans="1:8">
      <c r="A110" s="129"/>
      <c r="F110"/>
      <c r="G110" s="40"/>
      <c r="H110" s="129"/>
    </row>
    <row r="111" spans="1:8">
      <c r="F111"/>
    </row>
    <row r="112" spans="1:8">
      <c r="F112"/>
    </row>
    <row r="113" spans="6:6">
      <c r="F113"/>
    </row>
    <row r="114" spans="6:6">
      <c r="F114"/>
    </row>
    <row r="115" spans="6:6">
      <c r="F115"/>
    </row>
    <row r="116" spans="6:6">
      <c r="F116"/>
    </row>
    <row r="117" spans="6:6">
      <c r="F117"/>
    </row>
    <row r="118" spans="6:6">
      <c r="F118"/>
    </row>
    <row r="119" spans="6:6">
      <c r="F119"/>
    </row>
    <row r="120" spans="6:6">
      <c r="F120"/>
    </row>
    <row r="121" spans="6:6">
      <c r="F121"/>
    </row>
    <row r="122" spans="6:6">
      <c r="F122"/>
    </row>
    <row r="123" spans="6:6">
      <c r="F123"/>
    </row>
    <row r="124" spans="6:6">
      <c r="F124"/>
    </row>
    <row r="125" spans="6:6">
      <c r="F125"/>
    </row>
    <row r="126" spans="6:6">
      <c r="F126"/>
    </row>
    <row r="127" spans="6:6">
      <c r="F127"/>
    </row>
    <row r="128" spans="6:6">
      <c r="F128"/>
    </row>
    <row r="129" spans="6:6">
      <c r="F129"/>
    </row>
    <row r="130" spans="6:6">
      <c r="F130"/>
    </row>
    <row r="131" spans="6:6">
      <c r="F131"/>
    </row>
    <row r="132" spans="6:6">
      <c r="F132"/>
    </row>
    <row r="133" spans="6:6">
      <c r="F133"/>
    </row>
    <row r="134" spans="6:6">
      <c r="F134"/>
    </row>
    <row r="135" spans="6:6">
      <c r="F135"/>
    </row>
    <row r="136" spans="6:6">
      <c r="F136"/>
    </row>
    <row r="137" spans="6:6">
      <c r="F137"/>
    </row>
    <row r="138" spans="6:6">
      <c r="F138"/>
    </row>
    <row r="139" spans="6:6">
      <c r="F139"/>
    </row>
    <row r="140" spans="6:6">
      <c r="F140"/>
    </row>
    <row r="141" spans="6:6">
      <c r="F141"/>
    </row>
    <row r="142" spans="6:6">
      <c r="F142"/>
    </row>
    <row r="143" spans="6:6">
      <c r="F143"/>
    </row>
    <row r="144" spans="6:6">
      <c r="F144"/>
    </row>
    <row r="145" spans="6:6">
      <c r="F145"/>
    </row>
    <row r="146" spans="6:6">
      <c r="F146"/>
    </row>
    <row r="147" spans="6:6">
      <c r="F147"/>
    </row>
    <row r="148" spans="6:6">
      <c r="F148"/>
    </row>
    <row r="149" spans="6:6">
      <c r="F149"/>
    </row>
    <row r="150" spans="6:6">
      <c r="F150"/>
    </row>
    <row r="151" spans="6:6">
      <c r="F151"/>
    </row>
    <row r="152" spans="6:6">
      <c r="F152"/>
    </row>
    <row r="153" spans="6:6">
      <c r="F153"/>
    </row>
    <row r="154" spans="6:6">
      <c r="F154"/>
    </row>
    <row r="155" spans="6:6">
      <c r="F155"/>
    </row>
    <row r="156" spans="6:6">
      <c r="F156"/>
    </row>
    <row r="157" spans="6:6">
      <c r="F157"/>
    </row>
    <row r="158" spans="6:6">
      <c r="F158"/>
    </row>
    <row r="159" spans="6:6">
      <c r="F159"/>
    </row>
    <row r="160" spans="6:6">
      <c r="F160"/>
    </row>
    <row r="161" spans="6:6">
      <c r="F161"/>
    </row>
    <row r="162" spans="6:6">
      <c r="F162"/>
    </row>
    <row r="163" spans="6:6">
      <c r="F163"/>
    </row>
    <row r="164" spans="6:6">
      <c r="F164"/>
    </row>
    <row r="165" spans="6:6">
      <c r="F165"/>
    </row>
    <row r="166" spans="6:6">
      <c r="F166"/>
    </row>
    <row r="167" spans="6:6">
      <c r="F167"/>
    </row>
    <row r="168" spans="6:6">
      <c r="F168"/>
    </row>
    <row r="169" spans="6:6">
      <c r="F169"/>
    </row>
    <row r="170" spans="6:6">
      <c r="F170"/>
    </row>
    <row r="171" spans="6:6">
      <c r="F171"/>
    </row>
    <row r="172" spans="6:6">
      <c r="F172"/>
    </row>
    <row r="173" spans="6:6">
      <c r="F173"/>
    </row>
    <row r="174" spans="6:6">
      <c r="F174"/>
    </row>
    <row r="175" spans="6:6">
      <c r="F175"/>
    </row>
    <row r="176" spans="6:6">
      <c r="F176"/>
    </row>
    <row r="177" spans="6:6">
      <c r="F177"/>
    </row>
    <row r="178" spans="6:6">
      <c r="F178"/>
    </row>
    <row r="179" spans="6:6">
      <c r="F179"/>
    </row>
    <row r="180" spans="6:6">
      <c r="F180"/>
    </row>
    <row r="181" spans="6:6">
      <c r="F181"/>
    </row>
    <row r="182" spans="6:6">
      <c r="F182"/>
    </row>
    <row r="183" spans="6:6">
      <c r="F183"/>
    </row>
    <row r="184" spans="6:6">
      <c r="F184"/>
    </row>
    <row r="185" spans="6:6">
      <c r="F185"/>
    </row>
    <row r="186" spans="6:6">
      <c r="F186"/>
    </row>
    <row r="187" spans="6:6">
      <c r="F187"/>
    </row>
    <row r="188" spans="6:6">
      <c r="F188"/>
    </row>
    <row r="189" spans="6:6">
      <c r="F189"/>
    </row>
    <row r="190" spans="6:6">
      <c r="F190"/>
    </row>
    <row r="191" spans="6:6">
      <c r="F191"/>
    </row>
    <row r="192" spans="6:6">
      <c r="F192"/>
    </row>
    <row r="193" spans="6:6">
      <c r="F193"/>
    </row>
    <row r="194" spans="6:6">
      <c r="F194"/>
    </row>
    <row r="195" spans="6:6">
      <c r="F195"/>
    </row>
    <row r="196" spans="6:6">
      <c r="F196"/>
    </row>
    <row r="197" spans="6:6">
      <c r="F197"/>
    </row>
    <row r="198" spans="6:6">
      <c r="F198"/>
    </row>
    <row r="199" spans="6:6">
      <c r="F199"/>
    </row>
    <row r="200" spans="6:6">
      <c r="F200"/>
    </row>
    <row r="201" spans="6:6">
      <c r="F201"/>
    </row>
    <row r="202" spans="6:6">
      <c r="F202"/>
    </row>
    <row r="203" spans="6:6">
      <c r="F203"/>
    </row>
    <row r="204" spans="6:6">
      <c r="F204"/>
    </row>
    <row r="205" spans="6:6">
      <c r="F205"/>
    </row>
    <row r="206" spans="6:6">
      <c r="F206"/>
    </row>
    <row r="207" spans="6:6">
      <c r="F207"/>
    </row>
    <row r="208" spans="6:6">
      <c r="F208"/>
    </row>
    <row r="209" spans="6:6">
      <c r="F209"/>
    </row>
    <row r="210" spans="6:6">
      <c r="F210"/>
    </row>
    <row r="211" spans="6:6">
      <c r="F211"/>
    </row>
    <row r="212" spans="6:6">
      <c r="F212"/>
    </row>
    <row r="213" spans="6:6">
      <c r="F213"/>
    </row>
    <row r="214" spans="6:6">
      <c r="F214"/>
    </row>
    <row r="215" spans="6:6">
      <c r="F215"/>
    </row>
    <row r="216" spans="6:6">
      <c r="F216"/>
    </row>
    <row r="217" spans="6:6">
      <c r="F217"/>
    </row>
    <row r="218" spans="6:6">
      <c r="F218"/>
    </row>
    <row r="219" spans="6:6">
      <c r="F219"/>
    </row>
    <row r="220" spans="6:6">
      <c r="F220"/>
    </row>
    <row r="221" spans="6:6">
      <c r="F221"/>
    </row>
    <row r="222" spans="6:6">
      <c r="F222"/>
    </row>
    <row r="223" spans="6:6">
      <c r="F223"/>
    </row>
    <row r="224" spans="6:6">
      <c r="F224"/>
    </row>
    <row r="225" spans="6:6">
      <c r="F225"/>
    </row>
    <row r="226" spans="6:6">
      <c r="F226"/>
    </row>
    <row r="227" spans="6:6">
      <c r="F227"/>
    </row>
    <row r="228" spans="6:6">
      <c r="F228"/>
    </row>
    <row r="229" spans="6:6">
      <c r="F229"/>
    </row>
    <row r="230" spans="6:6">
      <c r="F230"/>
    </row>
    <row r="231" spans="6:6">
      <c r="F231"/>
    </row>
    <row r="232" spans="6:6">
      <c r="F232"/>
    </row>
    <row r="233" spans="6:6">
      <c r="F233"/>
    </row>
    <row r="234" spans="6:6">
      <c r="F234"/>
    </row>
    <row r="235" spans="6:6">
      <c r="F235"/>
    </row>
    <row r="236" spans="6:6">
      <c r="F236"/>
    </row>
    <row r="237" spans="6:6">
      <c r="F237"/>
    </row>
    <row r="238" spans="6:6">
      <c r="F238"/>
    </row>
    <row r="239" spans="6:6">
      <c r="F239"/>
    </row>
    <row r="240" spans="6:6">
      <c r="F240"/>
    </row>
    <row r="241" spans="6:6">
      <c r="F241"/>
    </row>
    <row r="242" spans="6:6">
      <c r="F242"/>
    </row>
    <row r="243" spans="6:6">
      <c r="F243"/>
    </row>
    <row r="244" spans="6:6">
      <c r="F244"/>
    </row>
    <row r="245" spans="6:6">
      <c r="F245"/>
    </row>
    <row r="246" spans="6:6">
      <c r="F246"/>
    </row>
    <row r="247" spans="6:6">
      <c r="F247"/>
    </row>
    <row r="248" spans="6:6">
      <c r="F248"/>
    </row>
    <row r="249" spans="6:6">
      <c r="F249"/>
    </row>
    <row r="250" spans="6:6">
      <c r="F250"/>
    </row>
    <row r="251" spans="6:6">
      <c r="F251"/>
    </row>
    <row r="252" spans="6:6">
      <c r="F252"/>
    </row>
    <row r="253" spans="6:6">
      <c r="F253"/>
    </row>
    <row r="254" spans="6:6">
      <c r="F254"/>
    </row>
    <row r="255" spans="6:6">
      <c r="F255"/>
    </row>
    <row r="256" spans="6:6">
      <c r="F256"/>
    </row>
    <row r="257" spans="6:6">
      <c r="F257"/>
    </row>
    <row r="258" spans="6:6">
      <c r="F258"/>
    </row>
    <row r="259" spans="6:6">
      <c r="F259"/>
    </row>
    <row r="260" spans="6:6">
      <c r="F260"/>
    </row>
    <row r="261" spans="6:6">
      <c r="F261"/>
    </row>
    <row r="262" spans="6:6">
      <c r="F262"/>
    </row>
    <row r="263" spans="6:6">
      <c r="F263"/>
    </row>
    <row r="264" spans="6:6">
      <c r="F264"/>
    </row>
    <row r="265" spans="6:6">
      <c r="F265"/>
    </row>
    <row r="266" spans="6:6">
      <c r="F266"/>
    </row>
    <row r="267" spans="6:6">
      <c r="F267"/>
    </row>
    <row r="268" spans="6:6">
      <c r="F268"/>
    </row>
    <row r="269" spans="6:6">
      <c r="F269"/>
    </row>
    <row r="270" spans="6:6">
      <c r="F270"/>
    </row>
    <row r="271" spans="6:6">
      <c r="F271"/>
    </row>
    <row r="272" spans="6:6">
      <c r="F272"/>
    </row>
    <row r="273" spans="6:6">
      <c r="F273"/>
    </row>
    <row r="274" spans="6:6">
      <c r="F274"/>
    </row>
    <row r="275" spans="6:6">
      <c r="F275"/>
    </row>
    <row r="276" spans="6:6">
      <c r="F276"/>
    </row>
    <row r="277" spans="6:6">
      <c r="F277"/>
    </row>
    <row r="278" spans="6:6">
      <c r="F278"/>
    </row>
    <row r="279" spans="6:6">
      <c r="F279"/>
    </row>
    <row r="280" spans="6:6">
      <c r="F280"/>
    </row>
    <row r="281" spans="6:6">
      <c r="F281"/>
    </row>
    <row r="282" spans="6:6">
      <c r="F282"/>
    </row>
    <row r="283" spans="6:6">
      <c r="F283"/>
    </row>
    <row r="284" spans="6:6">
      <c r="F284"/>
    </row>
    <row r="285" spans="6:6">
      <c r="F285"/>
    </row>
    <row r="286" spans="6:6">
      <c r="F286"/>
    </row>
    <row r="287" spans="6:6">
      <c r="F287"/>
    </row>
    <row r="288" spans="6:6">
      <c r="F288"/>
    </row>
    <row r="289" spans="6:6">
      <c r="F289"/>
    </row>
    <row r="290" spans="6:6">
      <c r="F290"/>
    </row>
    <row r="291" spans="6:6">
      <c r="F291"/>
    </row>
    <row r="292" spans="6:6">
      <c r="F292"/>
    </row>
    <row r="293" spans="6:6">
      <c r="F293"/>
    </row>
    <row r="294" spans="6:6">
      <c r="F294"/>
    </row>
    <row r="295" spans="6:6">
      <c r="F295"/>
    </row>
    <row r="296" spans="6:6">
      <c r="F296"/>
    </row>
    <row r="297" spans="6:6">
      <c r="F297"/>
    </row>
    <row r="298" spans="6:6">
      <c r="F298"/>
    </row>
    <row r="299" spans="6:6">
      <c r="F299"/>
    </row>
    <row r="300" spans="6:6">
      <c r="F300"/>
    </row>
    <row r="301" spans="6:6">
      <c r="F301"/>
    </row>
    <row r="302" spans="6:6">
      <c r="F302"/>
    </row>
    <row r="303" spans="6:6">
      <c r="F303"/>
    </row>
    <row r="304" spans="6:6">
      <c r="F304"/>
    </row>
    <row r="305" spans="6:6">
      <c r="F305"/>
    </row>
    <row r="306" spans="6:6">
      <c r="F306"/>
    </row>
    <row r="307" spans="6:6">
      <c r="F307"/>
    </row>
    <row r="308" spans="6:6">
      <c r="F308"/>
    </row>
    <row r="309" spans="6:6">
      <c r="F309"/>
    </row>
    <row r="310" spans="6:6">
      <c r="F310"/>
    </row>
    <row r="311" spans="6:6">
      <c r="F311"/>
    </row>
    <row r="312" spans="6:6">
      <c r="F312"/>
    </row>
    <row r="313" spans="6:6">
      <c r="F313"/>
    </row>
    <row r="314" spans="6:6">
      <c r="F314"/>
    </row>
    <row r="315" spans="6:6">
      <c r="F315"/>
    </row>
    <row r="316" spans="6:6">
      <c r="F316"/>
    </row>
    <row r="317" spans="6:6">
      <c r="F317"/>
    </row>
    <row r="318" spans="6:6">
      <c r="F318"/>
    </row>
    <row r="319" spans="6:6">
      <c r="F319"/>
    </row>
    <row r="320" spans="6:6">
      <c r="F320"/>
    </row>
    <row r="321" spans="6:6">
      <c r="F321"/>
    </row>
    <row r="322" spans="6:6">
      <c r="F322"/>
    </row>
    <row r="323" spans="6:6">
      <c r="F323"/>
    </row>
    <row r="324" spans="6:6">
      <c r="F324"/>
    </row>
    <row r="325" spans="6:6">
      <c r="F325"/>
    </row>
    <row r="326" spans="6:6">
      <c r="F326"/>
    </row>
    <row r="327" spans="6:6">
      <c r="F327"/>
    </row>
    <row r="328" spans="6:6">
      <c r="F328"/>
    </row>
    <row r="329" spans="6:6">
      <c r="F329"/>
    </row>
    <row r="330" spans="6:6">
      <c r="F330"/>
    </row>
    <row r="331" spans="6:6">
      <c r="F331"/>
    </row>
    <row r="332" spans="6:6">
      <c r="F332"/>
    </row>
    <row r="333" spans="6:6">
      <c r="F333"/>
    </row>
    <row r="334" spans="6:6">
      <c r="F334"/>
    </row>
    <row r="335" spans="6:6">
      <c r="F335"/>
    </row>
    <row r="336" spans="6:6">
      <c r="F336"/>
    </row>
    <row r="337" spans="6:6">
      <c r="F337"/>
    </row>
    <row r="338" spans="6:6">
      <c r="F338"/>
    </row>
    <row r="339" spans="6:6">
      <c r="F339"/>
    </row>
    <row r="340" spans="6:6">
      <c r="F340"/>
    </row>
    <row r="341" spans="6:6">
      <c r="F341"/>
    </row>
    <row r="342" spans="6:6">
      <c r="F342"/>
    </row>
    <row r="343" spans="6:6">
      <c r="F343"/>
    </row>
    <row r="344" spans="6:6">
      <c r="F344"/>
    </row>
    <row r="345" spans="6:6">
      <c r="F345"/>
    </row>
    <row r="346" spans="6:6">
      <c r="F346"/>
    </row>
    <row r="347" spans="6:6">
      <c r="F347"/>
    </row>
    <row r="348" spans="6:6">
      <c r="F348"/>
    </row>
    <row r="349" spans="6:6">
      <c r="F349"/>
    </row>
    <row r="350" spans="6:6">
      <c r="F350"/>
    </row>
    <row r="351" spans="6:6">
      <c r="F351"/>
    </row>
    <row r="352" spans="6:6">
      <c r="F352"/>
    </row>
    <row r="353" spans="6:6">
      <c r="F353"/>
    </row>
    <row r="354" spans="6:6">
      <c r="F354"/>
    </row>
    <row r="355" spans="6:6">
      <c r="F355"/>
    </row>
    <row r="356" spans="6:6">
      <c r="F356"/>
    </row>
    <row r="357" spans="6:6">
      <c r="F357"/>
    </row>
    <row r="358" spans="6:6">
      <c r="F358"/>
    </row>
    <row r="359" spans="6:6">
      <c r="F359"/>
    </row>
    <row r="360" spans="6:6">
      <c r="F360"/>
    </row>
    <row r="361" spans="6:6">
      <c r="F361"/>
    </row>
    <row r="362" spans="6:6">
      <c r="F362"/>
    </row>
    <row r="363" spans="6:6">
      <c r="F363"/>
    </row>
    <row r="364" spans="6:6">
      <c r="F364"/>
    </row>
    <row r="365" spans="6:6">
      <c r="F365"/>
    </row>
    <row r="366" spans="6:6">
      <c r="F366"/>
    </row>
    <row r="367" spans="6:6">
      <c r="F367"/>
    </row>
    <row r="368" spans="6:6">
      <c r="F368"/>
    </row>
    <row r="369" spans="6:6">
      <c r="F369"/>
    </row>
    <row r="370" spans="6:6">
      <c r="F370"/>
    </row>
    <row r="371" spans="6:6">
      <c r="F371"/>
    </row>
    <row r="372" spans="6:6">
      <c r="F372"/>
    </row>
    <row r="373" spans="6:6">
      <c r="F373"/>
    </row>
    <row r="374" spans="6:6">
      <c r="F374"/>
    </row>
    <row r="375" spans="6:6">
      <c r="F375"/>
    </row>
    <row r="376" spans="6:6">
      <c r="F376"/>
    </row>
    <row r="377" spans="6:6">
      <c r="F377"/>
    </row>
    <row r="378" spans="6:6">
      <c r="F378"/>
    </row>
    <row r="379" spans="6:6">
      <c r="F379"/>
    </row>
    <row r="380" spans="6:6">
      <c r="F380"/>
    </row>
    <row r="381" spans="6:6">
      <c r="F381"/>
    </row>
    <row r="382" spans="6:6">
      <c r="F382"/>
    </row>
    <row r="383" spans="6:6">
      <c r="F383"/>
    </row>
    <row r="384" spans="6:6">
      <c r="F384"/>
    </row>
    <row r="385" spans="6:6">
      <c r="F385"/>
    </row>
    <row r="386" spans="6:6">
      <c r="F386"/>
    </row>
    <row r="387" spans="6:6">
      <c r="F387"/>
    </row>
    <row r="388" spans="6:6">
      <c r="F388"/>
    </row>
    <row r="389" spans="6:6">
      <c r="F389"/>
    </row>
    <row r="390" spans="6:6">
      <c r="F390"/>
    </row>
    <row r="391" spans="6:6">
      <c r="F391"/>
    </row>
    <row r="392" spans="6:6">
      <c r="F392"/>
    </row>
    <row r="393" spans="6:6">
      <c r="F393"/>
    </row>
    <row r="394" spans="6:6">
      <c r="F394"/>
    </row>
    <row r="395" spans="6:6">
      <c r="F395"/>
    </row>
    <row r="396" spans="6:6">
      <c r="F396"/>
    </row>
    <row r="397" spans="6:6">
      <c r="F397"/>
    </row>
    <row r="398" spans="6:6">
      <c r="F398"/>
    </row>
    <row r="399" spans="6:6">
      <c r="F399"/>
    </row>
    <row r="400" spans="6:6">
      <c r="F400"/>
    </row>
    <row r="401" spans="6:6">
      <c r="F401"/>
    </row>
    <row r="402" spans="6:6">
      <c r="F402"/>
    </row>
    <row r="403" spans="6:6">
      <c r="F403"/>
    </row>
    <row r="404" spans="6:6">
      <c r="F404"/>
    </row>
    <row r="405" spans="6:6">
      <c r="F405"/>
    </row>
  </sheetData>
  <mergeCells count="5">
    <mergeCell ref="A1:H1"/>
    <mergeCell ref="B16:E16"/>
    <mergeCell ref="B18:E18"/>
    <mergeCell ref="B20:E20"/>
    <mergeCell ref="B21:E21"/>
  </mergeCells>
  <pageMargins left="0.1" right="0.1" top="0.5" bottom="0.1" header="0.25" footer="0.25"/>
  <pageSetup orientation="portrait" horizontalDpi="240" verticalDpi="144" r:id="rId2"/>
  <headerFooter>
    <oddHeader>&amp;L&amp;F</oddHeader>
  </headerFooter>
  <rowBreaks count="2" manualBreakCount="2">
    <brk id="48" max="7" man="1"/>
    <brk id="94" max="7" man="1"/>
  </rowBreaks>
  <colBreaks count="1" manualBreakCount="1">
    <brk id="8" max="1048575" man="1"/>
  </colBreaks>
  <drawing r:id="rId3"/>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4"/>
  <dimension ref="A1:IT416"/>
  <sheetViews>
    <sheetView view="pageBreakPreview" zoomScaleNormal="100" zoomScaleSheetLayoutView="70" workbookViewId="0">
      <pane xSplit="1" ySplit="14" topLeftCell="RCS15" activePane="bottomRight" state="frozen"/>
      <selection pane="topRight" activeCell="B1" sqref="B1"/>
      <selection pane="bottomLeft" activeCell="A15" sqref="A15"/>
      <selection pane="bottomRight" activeCell="A12" sqref="A12"/>
    </sheetView>
  </sheetViews>
  <sheetFormatPr baseColWidth="10" defaultColWidth="9" defaultRowHeight="16"/>
  <cols>
    <col min="1" max="1" width="3.6640625" customWidth="1"/>
    <col min="2" max="2" width="2.6640625" style="34" customWidth="1"/>
    <col min="3" max="3" width="36.5" customWidth="1"/>
    <col min="4" max="4" width="17.6640625" customWidth="1"/>
    <col min="5" max="5" width="4.6640625" customWidth="1"/>
    <col min="6" max="7" width="4.6640625" style="1" customWidth="1"/>
    <col min="8" max="8" width="5.33203125" style="1" customWidth="1"/>
    <col min="9" max="11" width="5.1640625" customWidth="1"/>
    <col min="12" max="12" width="5.33203125" customWidth="1"/>
    <col min="13" max="13" width="1.6640625" customWidth="1"/>
    <col min="14" max="14" width="6.83203125" customWidth="1"/>
    <col min="15" max="15" width="1.6640625" customWidth="1"/>
    <col min="16" max="17" width="6.83203125" customWidth="1"/>
  </cols>
  <sheetData>
    <row r="1" spans="1:254" ht="20">
      <c r="A1" s="866" t="s">
        <v>2186</v>
      </c>
      <c r="B1" s="866"/>
      <c r="C1" s="866"/>
      <c r="D1" s="866"/>
      <c r="E1" s="866"/>
      <c r="F1" s="866"/>
      <c r="G1" s="866"/>
      <c r="H1" s="866"/>
      <c r="I1" s="866"/>
      <c r="J1" s="866"/>
      <c r="K1" s="866"/>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c r="II1" s="42"/>
      <c r="IJ1" s="42"/>
      <c r="IK1" s="42"/>
      <c r="IL1" s="42"/>
      <c r="IM1" s="42"/>
      <c r="IN1" s="42"/>
      <c r="IO1" s="42"/>
      <c r="IP1" s="42"/>
      <c r="IQ1" s="42"/>
      <c r="IR1" s="42"/>
      <c r="IS1" s="42"/>
      <c r="IT1" s="42"/>
    </row>
    <row r="2" spans="1:254" ht="18">
      <c r="A2" s="429"/>
      <c r="B2" s="4"/>
      <c r="C2" s="515"/>
      <c r="D2" s="5"/>
      <c r="E2" s="5"/>
      <c r="F2" s="5"/>
      <c r="G2" s="5"/>
      <c r="H2" s="5"/>
      <c r="I2" s="5"/>
      <c r="J2" s="43"/>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c r="IT2" s="42"/>
    </row>
    <row r="3" spans="1:254">
      <c r="A3" s="8" t="s">
        <v>327</v>
      </c>
      <c r="B3" s="428"/>
      <c r="C3" s="17"/>
      <c r="D3" s="8" t="str">
        <f>No_proyek</f>
        <v>RZ0458</v>
      </c>
      <c r="E3" s="9"/>
      <c r="F3" s="9"/>
      <c r="G3" s="10"/>
      <c r="H3" s="10"/>
      <c r="I3" s="16"/>
      <c r="J3" s="16"/>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c r="II3" s="42"/>
      <c r="IJ3" s="42"/>
      <c r="IK3" s="42"/>
      <c r="IL3" s="42"/>
      <c r="IM3" s="42"/>
      <c r="IN3" s="42"/>
      <c r="IO3" s="42"/>
      <c r="IP3" s="42"/>
      <c r="IQ3" s="42"/>
      <c r="IR3" s="42"/>
      <c r="IS3" s="42"/>
      <c r="IT3" s="42"/>
    </row>
    <row r="4" spans="1:254" s="42" customFormat="1" ht="15">
      <c r="A4" s="8" t="s">
        <v>2174</v>
      </c>
      <c r="B4" s="428"/>
      <c r="C4" s="17"/>
      <c r="D4" s="8" t="str">
        <f>no_kontrak</f>
        <v>127/RK-RL-PI/PAP-LL/XII/2025</v>
      </c>
      <c r="E4" s="9"/>
      <c r="F4" s="9"/>
      <c r="G4" s="16"/>
      <c r="H4" s="16"/>
      <c r="I4" s="8"/>
      <c r="J4" s="16"/>
      <c r="L4" s="142" t="s">
        <v>2187</v>
      </c>
      <c r="N4" s="143"/>
      <c r="O4" s="143"/>
      <c r="P4" s="143"/>
      <c r="Q4" s="143"/>
      <c r="R4" s="143"/>
      <c r="S4" s="143"/>
      <c r="T4" s="143"/>
      <c r="U4" s="143"/>
      <c r="V4" s="143"/>
      <c r="W4" s="143"/>
      <c r="X4" s="143"/>
    </row>
    <row r="5" spans="1:254" s="42" customFormat="1">
      <c r="A5" s="430" t="s">
        <v>1508</v>
      </c>
      <c r="B5" s="428"/>
      <c r="C5" s="17"/>
      <c r="D5" s="8" t="str">
        <f>nip</f>
        <v>25LL017MPC</v>
      </c>
      <c r="E5" s="9"/>
      <c r="F5" s="9"/>
      <c r="G5" s="9"/>
      <c r="H5" s="9"/>
      <c r="I5" s="8"/>
      <c r="J5" s="16"/>
      <c r="L5" s="144" t="s">
        <v>2281</v>
      </c>
      <c r="M5" s="145"/>
      <c r="N5" s="146"/>
      <c r="O5" s="146"/>
      <c r="P5" s="146"/>
      <c r="Q5" s="146"/>
      <c r="R5" s="146"/>
      <c r="S5" s="146"/>
      <c r="T5" s="146"/>
      <c r="U5" s="146"/>
      <c r="V5" s="146"/>
      <c r="W5" s="146"/>
      <c r="X5" s="146"/>
    </row>
    <row r="6" spans="1:254" s="42" customFormat="1">
      <c r="A6" s="8" t="s">
        <v>2176</v>
      </c>
      <c r="B6" s="428"/>
      <c r="C6" s="17"/>
      <c r="D6" s="8" t="str">
        <f>nama_proyek</f>
        <v>PT Malindo Feedmill Tbk-Dry Pantry</v>
      </c>
      <c r="E6" s="9"/>
      <c r="F6" s="9"/>
      <c r="G6" s="16"/>
      <c r="H6" s="16"/>
      <c r="I6" s="17"/>
      <c r="J6" s="16"/>
      <c r="L6" s="144" t="s">
        <v>2188</v>
      </c>
      <c r="M6" s="144"/>
      <c r="N6" s="146"/>
      <c r="O6" s="146"/>
      <c r="P6" s="146"/>
      <c r="Q6" s="146"/>
      <c r="R6" s="146"/>
      <c r="S6" s="146"/>
      <c r="T6" s="146"/>
      <c r="U6" s="146"/>
      <c r="V6" s="146"/>
      <c r="W6" s="146"/>
      <c r="X6" s="146"/>
    </row>
    <row r="7" spans="1:254" s="42" customFormat="1">
      <c r="A7" s="8" t="s">
        <v>2178</v>
      </c>
      <c r="B7" s="428"/>
      <c r="C7" s="760"/>
      <c r="D7" s="19">
        <f>tgl</f>
        <v>46163</v>
      </c>
      <c r="E7" s="19"/>
      <c r="F7" s="19"/>
      <c r="G7" s="30"/>
      <c r="H7" s="30"/>
      <c r="I7" s="17"/>
      <c r="J7" s="17"/>
      <c r="L7" s="146"/>
      <c r="M7" s="146"/>
      <c r="N7" s="146"/>
      <c r="O7" s="146"/>
      <c r="P7" s="146"/>
      <c r="Q7" s="146"/>
      <c r="R7" s="146"/>
      <c r="S7" s="146"/>
      <c r="T7" s="146"/>
      <c r="U7" s="146"/>
      <c r="V7" s="146"/>
      <c r="W7" s="146"/>
      <c r="X7" s="146"/>
    </row>
    <row r="8" spans="1:254" s="42" customFormat="1">
      <c r="A8" s="8" t="s">
        <v>2179</v>
      </c>
      <c r="B8" s="428"/>
      <c r="C8" s="761"/>
      <c r="D8" s="24"/>
      <c r="E8" s="24"/>
      <c r="F8" s="24"/>
      <c r="G8" s="9"/>
      <c r="H8" s="9"/>
      <c r="I8" s="17"/>
      <c r="J8" s="17"/>
      <c r="L8" s="146"/>
      <c r="M8" s="146"/>
      <c r="N8" s="146"/>
      <c r="O8" s="146"/>
      <c r="P8" s="146"/>
      <c r="Q8" s="146"/>
      <c r="R8" s="146"/>
      <c r="S8" s="146"/>
      <c r="T8" s="146"/>
      <c r="U8" s="146"/>
      <c r="V8" s="146"/>
      <c r="W8" s="146"/>
      <c r="X8" s="146"/>
    </row>
    <row r="9" spans="1:254" s="42" customFormat="1">
      <c r="A9" s="30" t="s">
        <v>2189</v>
      </c>
      <c r="B9" s="388"/>
      <c r="C9" s="17"/>
      <c r="D9" s="8" t="str">
        <f>koordinator</f>
        <v>Reza Pahlevi</v>
      </c>
      <c r="E9" s="9"/>
      <c r="F9" s="9"/>
      <c r="G9" s="16"/>
      <c r="H9" s="16"/>
      <c r="I9" s="17"/>
      <c r="J9" s="17"/>
      <c r="L9" s="461" t="str">
        <f>CONCATENATE(,"(",koordinator,")","                   ","(","             ",")","                       ","(","                   ",")","                 ","(","                                     ",")","                            ","(","           ",")")</f>
        <v>(Reza Pahlevi)                   (             )                       (                   )                 (                                     )                            (           )</v>
      </c>
      <c r="M9" s="146"/>
      <c r="N9" s="146"/>
      <c r="O9" s="146"/>
      <c r="P9" s="146"/>
      <c r="Q9" s="146"/>
      <c r="R9" s="146"/>
      <c r="S9" s="146"/>
      <c r="T9" s="146"/>
      <c r="U9" s="146"/>
      <c r="V9" s="146"/>
      <c r="W9" s="146"/>
      <c r="X9" s="146"/>
    </row>
    <row r="10" spans="1:254" s="42" customFormat="1">
      <c r="A10" s="30" t="s">
        <v>2190</v>
      </c>
      <c r="B10" s="388"/>
      <c r="C10" s="44"/>
      <c r="D10" s="30"/>
      <c r="E10" s="9"/>
      <c r="F10" s="9"/>
      <c r="G10" s="16"/>
      <c r="H10" s="16"/>
      <c r="I10" s="17"/>
      <c r="J10" s="17"/>
      <c r="L10" s="144" t="s">
        <v>2283</v>
      </c>
      <c r="M10" s="145"/>
      <c r="N10" s="146"/>
      <c r="O10" s="146"/>
      <c r="P10" s="146"/>
      <c r="Q10" s="146"/>
      <c r="R10" s="146"/>
      <c r="S10" s="146"/>
      <c r="T10" s="146"/>
      <c r="U10" s="146"/>
      <c r="V10" s="146"/>
      <c r="W10" s="146"/>
      <c r="X10" s="146"/>
    </row>
    <row r="11" spans="1:254">
      <c r="A11" s="431" t="s">
        <v>2191</v>
      </c>
      <c r="B11" s="388"/>
      <c r="C11" s="44"/>
      <c r="D11" s="30"/>
      <c r="E11" s="10"/>
      <c r="F11" s="10"/>
      <c r="G11" s="16"/>
      <c r="H11" s="16"/>
      <c r="I11" s="44"/>
      <c r="J11" s="44"/>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c r="FJ11" s="42"/>
      <c r="FK11" s="42"/>
      <c r="FL11" s="42"/>
      <c r="FM11" s="42"/>
      <c r="FN11" s="42"/>
      <c r="FO11" s="42"/>
      <c r="FP11" s="42"/>
      <c r="FQ11" s="42"/>
      <c r="FR11" s="42"/>
      <c r="FS11" s="42"/>
      <c r="FT11" s="42"/>
      <c r="FU11" s="42"/>
      <c r="FV11" s="42"/>
      <c r="FW11" s="42"/>
      <c r="FX11" s="42"/>
      <c r="FY11" s="42"/>
      <c r="FZ11" s="42"/>
      <c r="GA11" s="42"/>
      <c r="GB11" s="42"/>
      <c r="GC11" s="42"/>
      <c r="GD11" s="42"/>
      <c r="GE11" s="42"/>
      <c r="GF11" s="42"/>
      <c r="GG11" s="42"/>
      <c r="GH11" s="42"/>
      <c r="GI11" s="42"/>
      <c r="GJ11" s="42"/>
      <c r="GK11" s="42"/>
      <c r="GL11" s="42"/>
      <c r="GM11" s="42"/>
      <c r="GN11" s="42"/>
      <c r="GO11" s="42"/>
      <c r="GP11" s="42"/>
      <c r="GQ11" s="42"/>
      <c r="GR11" s="42"/>
      <c r="GS11" s="42"/>
      <c r="GT11" s="42"/>
      <c r="GU11" s="42"/>
      <c r="GV11" s="42"/>
      <c r="GW11" s="42"/>
      <c r="GX11" s="42"/>
      <c r="GY11" s="42"/>
      <c r="GZ11" s="42"/>
      <c r="HA11" s="42"/>
      <c r="HB11" s="42"/>
      <c r="HC11" s="42"/>
      <c r="HD11" s="42"/>
      <c r="HE11" s="42"/>
      <c r="HF11" s="42"/>
      <c r="HG11" s="42"/>
      <c r="HH11" s="42"/>
      <c r="HI11" s="42"/>
      <c r="HJ11" s="42"/>
      <c r="HK11" s="42"/>
      <c r="HL11" s="42"/>
      <c r="HM11" s="42"/>
      <c r="HN11" s="42"/>
      <c r="HO11" s="42"/>
      <c r="HP11" s="42"/>
      <c r="HQ11" s="42"/>
      <c r="HR11" s="42"/>
      <c r="HS11" s="42"/>
      <c r="HT11" s="42"/>
      <c r="HU11" s="42"/>
      <c r="HV11" s="42"/>
      <c r="HW11" s="42"/>
      <c r="HX11" s="42"/>
      <c r="HY11" s="42"/>
      <c r="HZ11" s="42"/>
      <c r="IA11" s="42"/>
      <c r="IB11" s="42"/>
      <c r="IC11" s="42"/>
      <c r="ID11" s="42"/>
      <c r="IE11" s="42"/>
      <c r="IF11" s="42"/>
      <c r="IG11" s="42"/>
      <c r="IH11" s="42"/>
      <c r="II11" s="42"/>
      <c r="IJ11" s="42"/>
      <c r="IK11" s="42"/>
      <c r="IL11" s="42"/>
      <c r="IM11" s="42"/>
      <c r="IN11" s="42"/>
      <c r="IO11" s="42"/>
      <c r="IP11" s="42"/>
      <c r="IQ11" s="42"/>
      <c r="IR11" s="42"/>
      <c r="IS11" s="42"/>
      <c r="IT11" s="42"/>
    </row>
    <row r="12" spans="1:254">
      <c r="A12" s="385"/>
      <c r="B12" s="358"/>
      <c r="D12" s="1"/>
      <c r="E12" s="1"/>
      <c r="F12" s="399"/>
    </row>
    <row r="13" spans="1:254" ht="30">
      <c r="A13" s="933" t="s">
        <v>1506</v>
      </c>
      <c r="B13" s="934"/>
      <c r="C13" s="934"/>
      <c r="D13" s="934"/>
      <c r="E13" s="934"/>
      <c r="F13" s="936"/>
      <c r="G13" s="787"/>
      <c r="H13" s="876" t="s">
        <v>2192</v>
      </c>
      <c r="I13" s="704" t="s">
        <v>2260</v>
      </c>
      <c r="J13" s="356" t="s">
        <v>2261</v>
      </c>
      <c r="K13" s="356" t="s">
        <v>2262</v>
      </c>
      <c r="L13" s="702"/>
    </row>
    <row r="14" spans="1:254" ht="26">
      <c r="A14" s="935" t="s">
        <v>2135</v>
      </c>
      <c r="B14" s="837" t="s">
        <v>3897</v>
      </c>
      <c r="C14" s="937" t="s">
        <v>2136</v>
      </c>
      <c r="D14" s="784" t="s">
        <v>2138</v>
      </c>
      <c r="E14" s="784" t="s">
        <v>2134</v>
      </c>
      <c r="F14" s="785" t="s">
        <v>2133</v>
      </c>
      <c r="G14" s="838" t="s">
        <v>2220</v>
      </c>
      <c r="H14" s="876"/>
      <c r="I14" s="705" t="s">
        <v>2193</v>
      </c>
      <c r="J14" s="141" t="s">
        <v>2193</v>
      </c>
      <c r="K14" s="141" t="s">
        <v>2193</v>
      </c>
      <c r="L14" s="703"/>
      <c r="N14" s="360" t="s">
        <v>1756</v>
      </c>
      <c r="P14" s="360" t="s">
        <v>1749</v>
      </c>
      <c r="Q14" s="360" t="s">
        <v>2319</v>
      </c>
      <c r="R14" s="360" t="s">
        <v>2362</v>
      </c>
    </row>
    <row r="15" spans="1:254">
      <c r="A15" s="864" t="s">
        <v>2984</v>
      </c>
      <c r="B15" s="864" t="s">
        <v>1787</v>
      </c>
      <c r="C15" s="864" t="s">
        <v>1617</v>
      </c>
      <c r="D15" s="841" t="s">
        <v>4622</v>
      </c>
      <c r="E15" s="841" t="s">
        <v>2166</v>
      </c>
      <c r="F15" s="841" t="s">
        <v>1745</v>
      </c>
      <c r="G15" s="921">
        <v>4</v>
      </c>
      <c r="H15" s="129"/>
      <c r="I15" s="397"/>
      <c r="J15" s="397"/>
      <c r="K15" s="397"/>
      <c r="L15" s="1" t="str">
        <f>LEFT(B15,4)</f>
        <v>…</v>
      </c>
      <c r="M15" s="1" t="s">
        <v>2137</v>
      </c>
      <c r="N15" s="1" t="str">
        <f>MID(B15,7,4)</f>
        <v/>
      </c>
      <c r="O15" s="1" t="s">
        <v>2137</v>
      </c>
      <c r="P15" s="1" t="str">
        <f>RIGHT(B15,3)</f>
        <v>…</v>
      </c>
      <c r="Q15" s="1"/>
      <c r="R15" s="1" t="str">
        <f>+C15</f>
        <v>Dummies</v>
      </c>
    </row>
    <row r="16" spans="1:254">
      <c r="A16" s="871"/>
      <c r="B16" s="871"/>
      <c r="C16" s="871"/>
      <c r="D16" s="864" t="s">
        <v>4626</v>
      </c>
      <c r="E16" s="841" t="s">
        <v>2167</v>
      </c>
      <c r="F16" s="841" t="s">
        <v>1745</v>
      </c>
      <c r="G16" s="921">
        <v>2</v>
      </c>
      <c r="H16" s="129"/>
      <c r="I16" s="36"/>
      <c r="J16" s="36"/>
      <c r="K16" s="36"/>
    </row>
    <row r="17" spans="1:18">
      <c r="A17" s="871"/>
      <c r="B17" s="871"/>
      <c r="C17" s="871"/>
      <c r="D17" s="871"/>
      <c r="E17" s="841" t="s">
        <v>2166</v>
      </c>
      <c r="F17" s="841" t="s">
        <v>1745</v>
      </c>
      <c r="G17" s="921">
        <v>8</v>
      </c>
      <c r="H17" s="129"/>
      <c r="I17" s="36"/>
      <c r="J17" s="36"/>
      <c r="K17" s="36"/>
      <c r="L17" s="1" t="str">
        <f>LEFT(B17,4)</f>
        <v/>
      </c>
      <c r="M17" s="1" t="s">
        <v>2137</v>
      </c>
      <c r="N17" s="1" t="str">
        <f>MID(B17,7,4)</f>
        <v/>
      </c>
      <c r="O17" s="1" t="s">
        <v>2137</v>
      </c>
      <c r="P17" s="1" t="str">
        <f>RIGHT(B17,3)</f>
        <v/>
      </c>
      <c r="Q17" s="1"/>
      <c r="R17" s="1">
        <f>+C17</f>
        <v>0</v>
      </c>
    </row>
    <row r="18" spans="1:18">
      <c r="A18" s="871"/>
      <c r="B18" s="871"/>
      <c r="C18" s="871"/>
      <c r="D18" s="841" t="s">
        <v>4706</v>
      </c>
      <c r="E18" s="841" t="s">
        <v>2167</v>
      </c>
      <c r="F18" s="841" t="s">
        <v>1745</v>
      </c>
      <c r="G18" s="921">
        <v>1</v>
      </c>
      <c r="H18" s="129"/>
      <c r="I18" s="36"/>
      <c r="J18" s="36"/>
      <c r="K18" s="36"/>
    </row>
    <row r="19" spans="1:18">
      <c r="A19" s="871"/>
      <c r="B19" s="871"/>
      <c r="C19" s="864" t="s">
        <v>2467</v>
      </c>
      <c r="D19" s="841" t="s">
        <v>4707</v>
      </c>
      <c r="E19" s="864" t="s">
        <v>2166</v>
      </c>
      <c r="F19" s="841" t="s">
        <v>1745</v>
      </c>
      <c r="G19" s="921">
        <v>1</v>
      </c>
      <c r="H19" s="129"/>
      <c r="I19" s="36"/>
      <c r="J19" s="36"/>
      <c r="K19" s="36"/>
      <c r="L19" s="1" t="str">
        <f>LEFT(C19,4)</f>
        <v>Dumm</v>
      </c>
      <c r="M19" s="1" t="s">
        <v>2137</v>
      </c>
      <c r="N19" s="1" t="str">
        <f>MID(C19,7,4)</f>
        <v>s Lu</v>
      </c>
      <c r="O19" s="1" t="s">
        <v>2137</v>
      </c>
      <c r="P19" s="1" t="str">
        <f>RIGHT(C19,3)</f>
        <v>uar</v>
      </c>
      <c r="Q19" s="1"/>
      <c r="R19" s="1" t="str">
        <f>+D19</f>
        <v>760 x 40 x 21,5</v>
      </c>
    </row>
    <row r="20" spans="1:18">
      <c r="A20" s="871"/>
      <c r="B20" s="871"/>
      <c r="C20" s="871"/>
      <c r="D20" s="841" t="s">
        <v>4708</v>
      </c>
      <c r="E20" s="865" t="s">
        <v>2166</v>
      </c>
      <c r="F20" s="841" t="s">
        <v>1745</v>
      </c>
      <c r="G20" s="921">
        <v>1</v>
      </c>
      <c r="H20" s="129"/>
      <c r="I20" s="36"/>
      <c r="J20" s="36"/>
      <c r="K20" s="36"/>
    </row>
    <row r="21" spans="1:18">
      <c r="A21" s="871"/>
      <c r="B21" s="871"/>
      <c r="C21" s="871"/>
      <c r="D21" s="841" t="s">
        <v>4709</v>
      </c>
      <c r="E21" s="865" t="s">
        <v>2166</v>
      </c>
      <c r="F21" s="841" t="s">
        <v>1745</v>
      </c>
      <c r="G21" s="921">
        <v>1</v>
      </c>
      <c r="H21" s="129"/>
      <c r="I21" s="36"/>
      <c r="J21" s="36"/>
      <c r="K21" s="36"/>
      <c r="L21" s="1" t="str">
        <f>LEFT(C21,4)</f>
        <v/>
      </c>
      <c r="M21" s="1" t="s">
        <v>2137</v>
      </c>
      <c r="N21" s="1" t="str">
        <f>MID(C21,7,4)</f>
        <v/>
      </c>
      <c r="O21" s="1" t="s">
        <v>2137</v>
      </c>
      <c r="P21" s="1" t="str">
        <f>RIGHT(C21,3)</f>
        <v/>
      </c>
      <c r="Q21" s="1"/>
      <c r="R21" s="1" t="str">
        <f>+D21</f>
        <v>500 x 40 x 21,5</v>
      </c>
    </row>
    <row r="22" spans="1:18">
      <c r="A22" s="871"/>
      <c r="B22" s="871"/>
      <c r="C22" s="864" t="s">
        <v>2535</v>
      </c>
      <c r="D22" s="864" t="s">
        <v>4710</v>
      </c>
      <c r="E22" s="841" t="s">
        <v>2167</v>
      </c>
      <c r="F22" s="841" t="s">
        <v>1745</v>
      </c>
      <c r="G22" s="921">
        <v>2</v>
      </c>
      <c r="H22" s="129"/>
      <c r="I22" s="36"/>
      <c r="J22" s="36"/>
      <c r="K22" s="36"/>
    </row>
    <row r="23" spans="1:18">
      <c r="A23" s="871"/>
      <c r="B23" s="871"/>
      <c r="C23" s="871"/>
      <c r="D23" s="871"/>
      <c r="E23" s="864" t="s">
        <v>2166</v>
      </c>
      <c r="F23" s="841" t="s">
        <v>1745</v>
      </c>
      <c r="G23" s="921">
        <v>5</v>
      </c>
      <c r="H23" s="129"/>
      <c r="I23" s="36"/>
      <c r="J23" s="36"/>
      <c r="K23" s="36"/>
      <c r="L23" s="1" t="str">
        <f>LEFT(C23,4)</f>
        <v/>
      </c>
      <c r="M23" s="1" t="s">
        <v>2137</v>
      </c>
      <c r="N23" s="1" t="str">
        <f>MID(C23,7,4)</f>
        <v/>
      </c>
      <c r="O23" s="1" t="s">
        <v>2137</v>
      </c>
      <c r="P23" s="1" t="str">
        <f>RIGHT(C23,3)</f>
        <v/>
      </c>
      <c r="Q23" s="1"/>
      <c r="R23" s="1">
        <f>+D23</f>
        <v>0</v>
      </c>
    </row>
    <row r="24" spans="1:18">
      <c r="A24" s="871"/>
      <c r="B24" s="871"/>
      <c r="C24" s="864" t="s">
        <v>3059</v>
      </c>
      <c r="D24" s="841" t="s">
        <v>4711</v>
      </c>
      <c r="E24" s="865" t="s">
        <v>2166</v>
      </c>
      <c r="F24" s="841" t="s">
        <v>1745</v>
      </c>
      <c r="G24" s="921">
        <v>2</v>
      </c>
      <c r="H24" s="129"/>
      <c r="I24" s="36"/>
      <c r="J24" s="36"/>
      <c r="K24" s="36"/>
    </row>
    <row r="25" spans="1:18">
      <c r="A25" s="871"/>
      <c r="B25" s="871"/>
      <c r="C25" s="871"/>
      <c r="D25" s="841" t="s">
        <v>4712</v>
      </c>
      <c r="E25" s="865" t="s">
        <v>2166</v>
      </c>
      <c r="F25" s="841" t="s">
        <v>1745</v>
      </c>
      <c r="G25" s="921">
        <v>1</v>
      </c>
      <c r="H25" s="129"/>
      <c r="I25" s="36"/>
      <c r="J25" s="36"/>
      <c r="K25" s="36"/>
      <c r="L25" s="1" t="str">
        <f>LEFT(C25,4)</f>
        <v/>
      </c>
      <c r="M25" s="1" t="s">
        <v>2137</v>
      </c>
      <c r="N25" s="1" t="str">
        <f>MID(C25,7,4)</f>
        <v/>
      </c>
      <c r="O25" s="1" t="s">
        <v>2137</v>
      </c>
      <c r="P25" s="1" t="str">
        <f>RIGHT(C25,3)</f>
        <v/>
      </c>
      <c r="Q25" s="1"/>
      <c r="R25" s="1" t="str">
        <f>+D25</f>
        <v>1908 x 70 x 19,5</v>
      </c>
    </row>
    <row r="26" spans="1:18">
      <c r="A26" s="871"/>
      <c r="B26" s="871"/>
      <c r="C26" s="871"/>
      <c r="D26" s="864" t="s">
        <v>4713</v>
      </c>
      <c r="E26" s="841" t="s">
        <v>2167</v>
      </c>
      <c r="F26" s="841" t="s">
        <v>1745</v>
      </c>
      <c r="G26" s="921">
        <v>1</v>
      </c>
      <c r="H26" s="129"/>
      <c r="I26" s="36"/>
      <c r="J26" s="36"/>
      <c r="K26" s="36"/>
    </row>
    <row r="27" spans="1:18">
      <c r="A27" s="871"/>
      <c r="B27" s="871"/>
      <c r="C27" s="871"/>
      <c r="D27" s="871"/>
      <c r="E27" s="864" t="s">
        <v>2166</v>
      </c>
      <c r="F27" s="841" t="s">
        <v>1745</v>
      </c>
      <c r="G27" s="921">
        <v>3</v>
      </c>
      <c r="H27" s="129"/>
      <c r="I27" s="36"/>
      <c r="J27" s="36"/>
      <c r="K27" s="36"/>
      <c r="L27" s="1" t="str">
        <f>LEFT(C27,4)</f>
        <v/>
      </c>
      <c r="M27" s="1" t="s">
        <v>2137</v>
      </c>
      <c r="N27" s="1" t="str">
        <f>MID(C27,7,4)</f>
        <v/>
      </c>
      <c r="O27" s="1" t="s">
        <v>2137</v>
      </c>
      <c r="P27" s="1" t="str">
        <f>RIGHT(C27,3)</f>
        <v/>
      </c>
      <c r="Q27" s="1"/>
      <c r="R27" s="1">
        <f>+D27</f>
        <v>0</v>
      </c>
    </row>
    <row r="28" spans="1:18">
      <c r="A28" s="864" t="s">
        <v>2974</v>
      </c>
      <c r="B28" s="865" t="s">
        <v>1787</v>
      </c>
      <c r="C28" s="864" t="s">
        <v>1606</v>
      </c>
      <c r="D28" s="841" t="s">
        <v>4815</v>
      </c>
      <c r="E28" s="865" t="s">
        <v>2166</v>
      </c>
      <c r="F28" s="841" t="s">
        <v>3238</v>
      </c>
      <c r="G28" s="921">
        <v>1</v>
      </c>
      <c r="H28" s="129"/>
      <c r="I28" s="36"/>
      <c r="J28" s="36"/>
      <c r="K28" s="36"/>
    </row>
    <row r="29" spans="1:18">
      <c r="A29" s="871"/>
      <c r="B29" s="871"/>
      <c r="C29" s="871"/>
      <c r="D29" s="841" t="s">
        <v>4816</v>
      </c>
      <c r="E29" s="841" t="s">
        <v>3093</v>
      </c>
      <c r="F29" s="841" t="s">
        <v>3238</v>
      </c>
      <c r="G29" s="921">
        <v>1</v>
      </c>
      <c r="H29" s="129"/>
      <c r="I29" s="36"/>
      <c r="J29" s="36"/>
      <c r="K29" s="36"/>
      <c r="L29" s="1" t="str">
        <f>LEFT(C29,4)</f>
        <v/>
      </c>
      <c r="M29" s="1" t="s">
        <v>2137</v>
      </c>
      <c r="N29" s="1" t="str">
        <f>MID(C29,7,4)</f>
        <v/>
      </c>
      <c r="O29" s="1" t="s">
        <v>2137</v>
      </c>
      <c r="P29" s="1" t="str">
        <f>RIGHT(C29,3)</f>
        <v/>
      </c>
      <c r="Q29" s="1"/>
      <c r="R29" s="1" t="str">
        <f>+D29</f>
        <v>1948 x 210 x 19</v>
      </c>
    </row>
    <row r="30" spans="1:18">
      <c r="A30" s="871"/>
      <c r="B30" s="871"/>
      <c r="C30" s="871"/>
      <c r="D30" s="841" t="s">
        <v>4817</v>
      </c>
      <c r="E30" s="841" t="s">
        <v>2813</v>
      </c>
      <c r="F30" s="841" t="s">
        <v>3238</v>
      </c>
      <c r="G30" s="921">
        <v>1</v>
      </c>
      <c r="H30" s="129"/>
      <c r="I30" s="36"/>
      <c r="J30" s="36"/>
      <c r="K30" s="36"/>
    </row>
    <row r="31" spans="1:18">
      <c r="A31" s="871"/>
      <c r="B31" s="871"/>
      <c r="C31" s="871"/>
      <c r="D31" s="841" t="s">
        <v>4818</v>
      </c>
      <c r="E31" s="841" t="s">
        <v>2167</v>
      </c>
      <c r="F31" s="841" t="s">
        <v>3238</v>
      </c>
      <c r="G31" s="921">
        <v>1</v>
      </c>
      <c r="H31" s="129"/>
      <c r="I31" s="36"/>
      <c r="J31" s="36"/>
      <c r="K31" s="36"/>
      <c r="L31" s="1" t="str">
        <f>LEFT(C31,4)</f>
        <v/>
      </c>
      <c r="M31" s="1" t="s">
        <v>2137</v>
      </c>
      <c r="N31" s="1" t="str">
        <f>MID(C31,7,4)</f>
        <v/>
      </c>
      <c r="O31" s="1" t="s">
        <v>2137</v>
      </c>
      <c r="P31" s="1" t="str">
        <f>RIGHT(C31,3)</f>
        <v/>
      </c>
      <c r="Q31" s="1"/>
      <c r="R31" s="1" t="str">
        <f>+D31</f>
        <v>2440 x 310 x 19</v>
      </c>
    </row>
    <row r="32" spans="1:18">
      <c r="A32" s="871"/>
      <c r="B32" s="871"/>
      <c r="C32" s="864" t="s">
        <v>1615</v>
      </c>
      <c r="D32" s="841" t="s">
        <v>4809</v>
      </c>
      <c r="E32" s="864" t="s">
        <v>2166</v>
      </c>
      <c r="F32" s="841" t="s">
        <v>1745</v>
      </c>
      <c r="G32" s="921">
        <v>1</v>
      </c>
      <c r="H32" s="129"/>
      <c r="I32" s="36"/>
      <c r="J32" s="36"/>
      <c r="K32" s="36"/>
    </row>
    <row r="33" spans="1:18">
      <c r="A33" s="871"/>
      <c r="B33" s="871"/>
      <c r="C33" s="871"/>
      <c r="D33" s="841" t="s">
        <v>4810</v>
      </c>
      <c r="E33" s="865" t="s">
        <v>2166</v>
      </c>
      <c r="F33" s="841" t="s">
        <v>1745</v>
      </c>
      <c r="G33" s="921">
        <v>1</v>
      </c>
      <c r="H33" s="129"/>
      <c r="I33" s="36"/>
      <c r="J33" s="36"/>
      <c r="K33" s="36"/>
      <c r="L33" s="1" t="str">
        <f>LEFT(C33,4)</f>
        <v/>
      </c>
      <c r="M33" s="1" t="s">
        <v>2137</v>
      </c>
      <c r="N33" s="1" t="str">
        <f>MID(C33,7,4)</f>
        <v/>
      </c>
      <c r="O33" s="1" t="s">
        <v>2137</v>
      </c>
      <c r="P33" s="1" t="str">
        <f>RIGHT(C33,3)</f>
        <v/>
      </c>
      <c r="Q33" s="1"/>
      <c r="R33" s="1" t="str">
        <f>+D33</f>
        <v>1318 x 588 x 27,5</v>
      </c>
    </row>
    <row r="34" spans="1:18">
      <c r="A34" s="871"/>
      <c r="B34" s="871"/>
      <c r="C34" s="871"/>
      <c r="D34" s="841" t="s">
        <v>4811</v>
      </c>
      <c r="E34" s="841" t="s">
        <v>2167</v>
      </c>
      <c r="F34" s="841" t="s">
        <v>1745</v>
      </c>
      <c r="G34" s="921">
        <v>1</v>
      </c>
      <c r="H34" s="129"/>
      <c r="I34" s="36"/>
      <c r="J34" s="36"/>
      <c r="K34" s="36"/>
      <c r="L34" s="1" t="str">
        <f>LEFT(C34,4)</f>
        <v/>
      </c>
      <c r="M34" s="1" t="s">
        <v>2137</v>
      </c>
      <c r="N34" s="1" t="str">
        <f>MID(C34,7,4)</f>
        <v/>
      </c>
      <c r="O34" s="1" t="s">
        <v>2137</v>
      </c>
      <c r="P34" s="1" t="str">
        <f>RIGHT(C34,3)</f>
        <v/>
      </c>
      <c r="Q34" s="1"/>
      <c r="R34" s="1" t="str">
        <f>+D34</f>
        <v>1852 x 688 x 27,5</v>
      </c>
    </row>
    <row r="35" spans="1:18">
      <c r="A35" s="871"/>
      <c r="B35" s="871"/>
      <c r="C35" s="841" t="s">
        <v>3825</v>
      </c>
      <c r="D35" s="841" t="s">
        <v>4813</v>
      </c>
      <c r="E35" s="841" t="s">
        <v>2661</v>
      </c>
      <c r="F35" s="841" t="s">
        <v>1745</v>
      </c>
      <c r="G35" s="921">
        <v>2</v>
      </c>
      <c r="H35" s="129"/>
      <c r="I35" s="36"/>
      <c r="J35" s="36"/>
      <c r="K35" s="36"/>
    </row>
    <row r="36" spans="1:18">
      <c r="A36" s="871"/>
      <c r="B36" s="871"/>
      <c r="C36" s="841" t="s">
        <v>1608</v>
      </c>
      <c r="D36" s="841" t="s">
        <v>4783</v>
      </c>
      <c r="E36" s="841" t="s">
        <v>2166</v>
      </c>
      <c r="F36" s="841" t="s">
        <v>1745</v>
      </c>
      <c r="G36" s="921">
        <v>1</v>
      </c>
      <c r="H36" s="129"/>
      <c r="I36" s="36"/>
      <c r="J36" s="36"/>
      <c r="K36" s="36"/>
    </row>
    <row r="37" spans="1:18">
      <c r="A37" s="871"/>
      <c r="B37" s="871"/>
      <c r="C37" s="864" t="s">
        <v>1607</v>
      </c>
      <c r="D37" s="841" t="s">
        <v>4804</v>
      </c>
      <c r="E37" s="864" t="s">
        <v>2625</v>
      </c>
      <c r="F37" s="841" t="s">
        <v>1745</v>
      </c>
      <c r="G37" s="921">
        <v>2</v>
      </c>
      <c r="H37" s="129"/>
      <c r="I37" s="36"/>
      <c r="J37" s="36"/>
      <c r="K37" s="36"/>
    </row>
    <row r="38" spans="1:18">
      <c r="A38" s="871"/>
      <c r="B38" s="871"/>
      <c r="C38" s="871"/>
      <c r="D38" s="841" t="s">
        <v>4805</v>
      </c>
      <c r="E38" s="865" t="s">
        <v>2625</v>
      </c>
      <c r="F38" s="841" t="s">
        <v>1745</v>
      </c>
      <c r="G38" s="921">
        <v>2</v>
      </c>
      <c r="H38" s="129"/>
      <c r="I38" s="36"/>
      <c r="J38" s="36"/>
      <c r="K38" s="36"/>
    </row>
    <row r="39" spans="1:18">
      <c r="A39" s="871"/>
      <c r="B39" s="871"/>
      <c r="C39" s="871"/>
      <c r="D39" s="841" t="s">
        <v>4806</v>
      </c>
      <c r="E39" s="841" t="s">
        <v>2167</v>
      </c>
      <c r="F39" s="841" t="s">
        <v>1745</v>
      </c>
      <c r="G39" s="921">
        <v>1</v>
      </c>
      <c r="H39" s="129"/>
      <c r="I39" s="36"/>
      <c r="J39" s="36"/>
      <c r="K39" s="36"/>
    </row>
    <row r="40" spans="1:18">
      <c r="A40" s="871"/>
      <c r="B40" s="871"/>
      <c r="C40" s="864" t="s">
        <v>3074</v>
      </c>
      <c r="D40" s="841" t="s">
        <v>4825</v>
      </c>
      <c r="E40" s="864" t="s">
        <v>2166</v>
      </c>
      <c r="F40" s="841" t="s">
        <v>3238</v>
      </c>
      <c r="G40" s="921">
        <v>1</v>
      </c>
      <c r="H40" s="129"/>
      <c r="I40" s="36"/>
      <c r="J40" s="36"/>
      <c r="K40" s="36"/>
    </row>
    <row r="41" spans="1:18">
      <c r="A41" s="871"/>
      <c r="B41" s="871"/>
      <c r="C41" s="871"/>
      <c r="D41" s="841" t="s">
        <v>4826</v>
      </c>
      <c r="E41" s="865" t="s">
        <v>2166</v>
      </c>
      <c r="F41" s="841" t="s">
        <v>3238</v>
      </c>
      <c r="G41" s="921">
        <v>1</v>
      </c>
      <c r="H41" s="129"/>
      <c r="I41" s="36"/>
      <c r="J41" s="36"/>
      <c r="K41" s="36"/>
    </row>
    <row r="42" spans="1:18">
      <c r="A42" s="871"/>
      <c r="B42" s="871"/>
      <c r="C42" s="871"/>
      <c r="D42" s="841" t="s">
        <v>4827</v>
      </c>
      <c r="E42" s="864" t="s">
        <v>2167</v>
      </c>
      <c r="F42" s="841" t="s">
        <v>3238</v>
      </c>
      <c r="G42" s="921">
        <v>1</v>
      </c>
      <c r="H42" s="129"/>
      <c r="I42" s="36"/>
      <c r="J42" s="36"/>
      <c r="K42" s="36"/>
    </row>
    <row r="43" spans="1:18">
      <c r="A43" s="871"/>
      <c r="B43" s="871"/>
      <c r="C43" s="864" t="s">
        <v>1786</v>
      </c>
      <c r="D43" s="841" t="s">
        <v>4873</v>
      </c>
      <c r="E43" s="865" t="s">
        <v>2167</v>
      </c>
      <c r="F43" s="841" t="s">
        <v>3238</v>
      </c>
      <c r="G43" s="921">
        <v>1</v>
      </c>
      <c r="H43" s="129"/>
      <c r="I43" s="36"/>
      <c r="J43" s="36"/>
      <c r="K43" s="36"/>
    </row>
    <row r="44" spans="1:18">
      <c r="A44" s="871"/>
      <c r="B44" s="871"/>
      <c r="C44" s="871"/>
      <c r="D44" s="841" t="s">
        <v>4874</v>
      </c>
      <c r="E44" s="865" t="s">
        <v>2167</v>
      </c>
      <c r="F44" s="841" t="s">
        <v>3238</v>
      </c>
      <c r="G44" s="921">
        <v>1</v>
      </c>
      <c r="H44" s="129"/>
      <c r="I44" s="36"/>
      <c r="J44" s="36"/>
      <c r="K44" s="36"/>
    </row>
    <row r="45" spans="1:18">
      <c r="A45" s="871"/>
      <c r="B45" s="871"/>
      <c r="C45" s="841" t="s">
        <v>1831</v>
      </c>
      <c r="D45" s="841" t="s">
        <v>4866</v>
      </c>
      <c r="E45" s="865" t="s">
        <v>2167</v>
      </c>
      <c r="F45" s="841" t="s">
        <v>1745</v>
      </c>
      <c r="G45" s="921">
        <v>1</v>
      </c>
      <c r="H45" s="129"/>
      <c r="I45" s="36"/>
      <c r="J45" s="36"/>
      <c r="K45" s="36"/>
    </row>
    <row r="46" spans="1:18">
      <c r="A46" s="841" t="s">
        <v>3003</v>
      </c>
      <c r="B46" s="841">
        <v>205412</v>
      </c>
      <c r="C46" s="841" t="s">
        <v>1028</v>
      </c>
      <c r="D46" s="841" t="s">
        <v>4916</v>
      </c>
      <c r="E46" s="841" t="s">
        <v>1787</v>
      </c>
      <c r="F46" s="841"/>
      <c r="G46" s="921">
        <v>2</v>
      </c>
      <c r="H46" s="129"/>
      <c r="I46" s="36"/>
      <c r="J46" s="36"/>
      <c r="K46" s="36"/>
    </row>
    <row r="47" spans="1:18">
      <c r="A47" s="864" t="s">
        <v>2600</v>
      </c>
      <c r="B47" s="864" t="s">
        <v>1787</v>
      </c>
      <c r="C47" s="864" t="s">
        <v>2168</v>
      </c>
      <c r="D47" s="841" t="s">
        <v>4750</v>
      </c>
      <c r="E47" s="864" t="s">
        <v>2166</v>
      </c>
      <c r="F47" s="841" t="s">
        <v>3243</v>
      </c>
      <c r="G47" s="921">
        <v>1</v>
      </c>
      <c r="H47" s="129"/>
      <c r="I47" s="36"/>
      <c r="J47" s="36"/>
      <c r="K47" s="36"/>
    </row>
    <row r="48" spans="1:18">
      <c r="A48" s="871"/>
      <c r="B48" s="871"/>
      <c r="C48" s="871"/>
      <c r="D48" s="841" t="s">
        <v>4751</v>
      </c>
      <c r="E48" s="865" t="s">
        <v>2166</v>
      </c>
      <c r="F48" s="841" t="s">
        <v>3243</v>
      </c>
      <c r="G48" s="921">
        <v>1</v>
      </c>
      <c r="H48" s="129"/>
      <c r="I48" s="36"/>
      <c r="J48" s="36"/>
      <c r="K48" s="36"/>
    </row>
    <row r="49" spans="1:11">
      <c r="A49" s="871"/>
      <c r="B49" s="871"/>
      <c r="C49" s="871"/>
      <c r="D49" s="841" t="s">
        <v>4752</v>
      </c>
      <c r="E49" s="865" t="s">
        <v>2166</v>
      </c>
      <c r="F49" s="841" t="s">
        <v>3243</v>
      </c>
      <c r="G49" s="921">
        <v>1</v>
      </c>
      <c r="H49" s="129"/>
      <c r="I49" s="36"/>
      <c r="J49" s="36"/>
      <c r="K49" s="36"/>
    </row>
    <row r="50" spans="1:11">
      <c r="A50" s="871"/>
      <c r="B50" s="871"/>
      <c r="C50" s="871"/>
      <c r="D50" s="841" t="s">
        <v>4753</v>
      </c>
      <c r="E50" s="865" t="s">
        <v>2166</v>
      </c>
      <c r="F50" s="841" t="s">
        <v>3243</v>
      </c>
      <c r="G50" s="921">
        <v>1</v>
      </c>
      <c r="H50" s="129"/>
      <c r="I50" s="36"/>
      <c r="J50" s="36"/>
      <c r="K50" s="36"/>
    </row>
    <row r="51" spans="1:11">
      <c r="A51" s="871"/>
      <c r="B51" s="871"/>
      <c r="C51" s="871"/>
      <c r="D51" s="841" t="s">
        <v>4754</v>
      </c>
      <c r="E51" s="865" t="s">
        <v>2166</v>
      </c>
      <c r="F51" s="841" t="s">
        <v>3243</v>
      </c>
      <c r="G51" s="921">
        <v>1</v>
      </c>
      <c r="H51" s="129"/>
      <c r="I51" s="36"/>
      <c r="J51" s="36"/>
      <c r="K51" s="36"/>
    </row>
    <row r="52" spans="1:11">
      <c r="A52" s="871"/>
      <c r="B52" s="871"/>
      <c r="C52" s="871"/>
      <c r="D52" s="841" t="s">
        <v>4755</v>
      </c>
      <c r="E52" s="865" t="s">
        <v>2166</v>
      </c>
      <c r="F52" s="841" t="s">
        <v>3243</v>
      </c>
      <c r="G52" s="921">
        <v>1</v>
      </c>
      <c r="H52" s="129"/>
      <c r="I52" s="36"/>
      <c r="J52" s="36"/>
      <c r="K52" s="36"/>
    </row>
    <row r="53" spans="1:11">
      <c r="A53" s="871"/>
      <c r="B53" s="871"/>
      <c r="C53" s="864" t="s">
        <v>4703</v>
      </c>
      <c r="D53" s="841" t="s">
        <v>4757</v>
      </c>
      <c r="E53" s="865" t="s">
        <v>2166</v>
      </c>
      <c r="F53" s="841" t="s">
        <v>3243</v>
      </c>
      <c r="G53" s="921">
        <v>1</v>
      </c>
      <c r="H53" s="129"/>
      <c r="I53" s="36"/>
      <c r="J53" s="36"/>
      <c r="K53" s="36"/>
    </row>
    <row r="54" spans="1:11">
      <c r="A54" s="871"/>
      <c r="B54" s="871"/>
      <c r="C54" s="871"/>
      <c r="D54" s="841" t="s">
        <v>4758</v>
      </c>
      <c r="E54" s="865" t="s">
        <v>2166</v>
      </c>
      <c r="F54" s="841" t="s">
        <v>3243</v>
      </c>
      <c r="G54" s="921">
        <v>1</v>
      </c>
      <c r="H54" s="129"/>
      <c r="I54" s="36"/>
      <c r="J54" s="36"/>
      <c r="K54" s="36"/>
    </row>
    <row r="55" spans="1:11">
      <c r="A55" s="871"/>
      <c r="B55" s="871"/>
      <c r="C55" s="871"/>
      <c r="D55" s="841" t="s">
        <v>4759</v>
      </c>
      <c r="E55" s="865" t="s">
        <v>2166</v>
      </c>
      <c r="F55" s="841" t="s">
        <v>3243</v>
      </c>
      <c r="G55" s="921">
        <v>1</v>
      </c>
      <c r="H55" s="129"/>
      <c r="I55" s="36"/>
      <c r="J55" s="36"/>
      <c r="K55" s="36"/>
    </row>
    <row r="56" spans="1:11">
      <c r="A56" s="871"/>
      <c r="B56" s="871"/>
      <c r="C56" s="871"/>
      <c r="D56" s="841" t="s">
        <v>4760</v>
      </c>
      <c r="E56" s="865" t="s">
        <v>2166</v>
      </c>
      <c r="F56" s="841" t="s">
        <v>3243</v>
      </c>
      <c r="G56" s="921">
        <v>1</v>
      </c>
      <c r="H56" s="129"/>
      <c r="I56" s="36"/>
      <c r="J56" s="36"/>
      <c r="K56" s="36"/>
    </row>
    <row r="57" spans="1:11">
      <c r="A57" s="871"/>
      <c r="B57" s="871"/>
      <c r="C57" s="841" t="s">
        <v>4704</v>
      </c>
      <c r="D57" s="841" t="s">
        <v>4762</v>
      </c>
      <c r="E57" s="865" t="s">
        <v>2166</v>
      </c>
      <c r="F57" s="841" t="s">
        <v>3243</v>
      </c>
      <c r="G57" s="921">
        <v>1</v>
      </c>
      <c r="H57" s="129"/>
      <c r="I57" s="36"/>
      <c r="J57" s="36"/>
      <c r="K57" s="36"/>
    </row>
    <row r="58" spans="1:11">
      <c r="A58" s="871"/>
      <c r="B58" s="871"/>
      <c r="C58" s="864" t="s">
        <v>4705</v>
      </c>
      <c r="D58" s="841" t="s">
        <v>4766</v>
      </c>
      <c r="E58" s="865" t="s">
        <v>2166</v>
      </c>
      <c r="F58" s="841" t="s">
        <v>3243</v>
      </c>
      <c r="G58" s="921">
        <v>1</v>
      </c>
      <c r="H58" s="129"/>
      <c r="I58" s="36"/>
      <c r="J58" s="36"/>
      <c r="K58" s="36"/>
    </row>
    <row r="59" spans="1:11">
      <c r="A59" s="871"/>
      <c r="B59" s="871"/>
      <c r="C59" s="871"/>
      <c r="D59" s="841" t="s">
        <v>4767</v>
      </c>
      <c r="E59" s="865" t="s">
        <v>2166</v>
      </c>
      <c r="F59" s="841" t="s">
        <v>3243</v>
      </c>
      <c r="G59" s="921">
        <v>1</v>
      </c>
      <c r="H59" s="129"/>
      <c r="I59" s="36"/>
      <c r="J59" s="36"/>
      <c r="K59" s="36"/>
    </row>
    <row r="60" spans="1:11">
      <c r="A60" s="871"/>
      <c r="B60" s="871"/>
      <c r="C60" s="864" t="s">
        <v>2837</v>
      </c>
      <c r="D60" s="841" t="s">
        <v>4917</v>
      </c>
      <c r="E60" s="864" t="s">
        <v>2167</v>
      </c>
      <c r="F60" s="841" t="s">
        <v>1787</v>
      </c>
      <c r="G60" s="921">
        <v>1</v>
      </c>
      <c r="H60" s="129"/>
      <c r="I60" s="36"/>
      <c r="J60" s="36"/>
      <c r="K60" s="36"/>
    </row>
    <row r="61" spans="1:11">
      <c r="A61" s="871"/>
      <c r="B61" s="871"/>
      <c r="C61" s="871"/>
      <c r="D61" s="841" t="s">
        <v>4918</v>
      </c>
      <c r="E61" s="865" t="s">
        <v>2167</v>
      </c>
      <c r="F61" s="841" t="s">
        <v>1787</v>
      </c>
      <c r="G61" s="921">
        <v>2</v>
      </c>
      <c r="H61" s="129"/>
      <c r="I61" s="36"/>
      <c r="J61" s="36"/>
      <c r="K61" s="36"/>
    </row>
    <row r="62" spans="1:11">
      <c r="A62" s="871"/>
      <c r="B62" s="871"/>
      <c r="C62" s="864" t="s">
        <v>2349</v>
      </c>
      <c r="D62" s="841" t="s">
        <v>4829</v>
      </c>
      <c r="E62" s="865" t="s">
        <v>2167</v>
      </c>
      <c r="F62" s="841" t="s">
        <v>3243</v>
      </c>
      <c r="G62" s="921">
        <v>1</v>
      </c>
      <c r="H62" s="129"/>
      <c r="I62" s="36"/>
      <c r="J62" s="36"/>
      <c r="K62" s="36"/>
    </row>
    <row r="63" spans="1:11">
      <c r="A63" s="871"/>
      <c r="B63" s="871"/>
      <c r="C63" s="871"/>
      <c r="D63" s="841" t="s">
        <v>4830</v>
      </c>
      <c r="E63" s="865" t="s">
        <v>2167</v>
      </c>
      <c r="F63" s="841" t="s">
        <v>3243</v>
      </c>
      <c r="G63" s="921">
        <v>2</v>
      </c>
      <c r="H63" s="129"/>
      <c r="I63" s="36"/>
      <c r="J63" s="36"/>
      <c r="K63" s="36"/>
    </row>
    <row r="64" spans="1:11">
      <c r="A64" s="871"/>
      <c r="B64" s="871"/>
      <c r="C64" s="841" t="s">
        <v>3894</v>
      </c>
      <c r="D64" s="841" t="s">
        <v>4832</v>
      </c>
      <c r="E64" s="865" t="s">
        <v>2167</v>
      </c>
      <c r="F64" s="841" t="s">
        <v>3243</v>
      </c>
      <c r="G64" s="921">
        <v>1</v>
      </c>
      <c r="H64" s="129"/>
      <c r="I64" s="36"/>
      <c r="J64" s="36"/>
      <c r="K64" s="36"/>
    </row>
    <row r="65" spans="1:11">
      <c r="A65" s="871"/>
      <c r="B65" s="871"/>
      <c r="C65" s="864" t="s">
        <v>2854</v>
      </c>
      <c r="D65" s="841" t="s">
        <v>4919</v>
      </c>
      <c r="E65" s="865" t="s">
        <v>2167</v>
      </c>
      <c r="F65" s="841" t="s">
        <v>1787</v>
      </c>
      <c r="G65" s="921">
        <v>1</v>
      </c>
      <c r="H65" s="129"/>
      <c r="I65" s="36"/>
      <c r="J65" s="36"/>
      <c r="K65" s="36"/>
    </row>
    <row r="66" spans="1:11">
      <c r="A66" s="871"/>
      <c r="B66" s="871"/>
      <c r="C66" s="871"/>
      <c r="D66" s="841" t="s">
        <v>4920</v>
      </c>
      <c r="E66" s="865" t="s">
        <v>2167</v>
      </c>
      <c r="F66" s="841" t="s">
        <v>1787</v>
      </c>
      <c r="G66" s="921">
        <v>1</v>
      </c>
      <c r="H66" s="129"/>
      <c r="I66" s="36"/>
      <c r="J66" s="36"/>
      <c r="K66" s="36"/>
    </row>
    <row r="67" spans="1:11">
      <c r="A67" s="871"/>
      <c r="B67" s="871"/>
      <c r="C67" s="841" t="s">
        <v>2870</v>
      </c>
      <c r="D67" s="841" t="s">
        <v>4921</v>
      </c>
      <c r="E67" s="865" t="s">
        <v>2167</v>
      </c>
      <c r="F67" s="841" t="s">
        <v>1787</v>
      </c>
      <c r="G67" s="921">
        <v>1</v>
      </c>
      <c r="H67" s="129"/>
      <c r="I67" s="36"/>
      <c r="J67" s="36"/>
      <c r="K67" s="36"/>
    </row>
    <row r="68" spans="1:11">
      <c r="A68" s="871"/>
      <c r="B68" s="841" t="s">
        <v>2185</v>
      </c>
      <c r="C68" s="841" t="s">
        <v>2348</v>
      </c>
      <c r="D68" s="841" t="s">
        <v>4764</v>
      </c>
      <c r="E68" s="841" t="s">
        <v>2166</v>
      </c>
      <c r="F68" s="841" t="s">
        <v>3243</v>
      </c>
      <c r="G68" s="921">
        <v>2</v>
      </c>
      <c r="H68" s="129"/>
      <c r="I68" s="36"/>
      <c r="J68" s="36"/>
      <c r="K68" s="36"/>
    </row>
    <row r="69" spans="1:11">
      <c r="A69" s="864" t="s">
        <v>4609</v>
      </c>
      <c r="B69" s="841" t="s">
        <v>374</v>
      </c>
      <c r="C69" s="841" t="s">
        <v>375</v>
      </c>
      <c r="D69" s="864" t="s">
        <v>1787</v>
      </c>
      <c r="E69" s="864" t="s">
        <v>1787</v>
      </c>
      <c r="F69" s="841" t="s">
        <v>1787</v>
      </c>
      <c r="G69" s="921">
        <v>4</v>
      </c>
      <c r="H69" s="129"/>
      <c r="I69" s="36"/>
      <c r="J69" s="36"/>
      <c r="K69" s="36"/>
    </row>
    <row r="70" spans="1:11">
      <c r="A70" s="875"/>
      <c r="B70" s="842">
        <v>317210</v>
      </c>
      <c r="C70" s="842" t="s">
        <v>515</v>
      </c>
      <c r="D70" s="939" t="s">
        <v>1787</v>
      </c>
      <c r="E70" s="939" t="s">
        <v>1787</v>
      </c>
      <c r="F70" s="842" t="s">
        <v>1787</v>
      </c>
      <c r="G70" s="924">
        <v>8</v>
      </c>
      <c r="H70" s="129"/>
      <c r="I70" s="36"/>
      <c r="J70" s="36"/>
      <c r="K70" s="36"/>
    </row>
    <row r="71" spans="1:11">
      <c r="B71"/>
      <c r="F71"/>
      <c r="G71"/>
      <c r="H71" s="485"/>
      <c r="I71" s="432"/>
      <c r="J71" s="432"/>
      <c r="K71" s="432"/>
    </row>
    <row r="72" spans="1:11">
      <c r="B72"/>
      <c r="F72"/>
      <c r="G72"/>
      <c r="H72" s="129"/>
      <c r="I72" s="36"/>
      <c r="J72" s="36"/>
      <c r="K72" s="36"/>
    </row>
    <row r="73" spans="1:11">
      <c r="B73"/>
      <c r="F73"/>
      <c r="G73"/>
      <c r="H73" s="129"/>
      <c r="I73" s="36"/>
      <c r="J73" s="36"/>
      <c r="K73" s="36"/>
    </row>
    <row r="74" spans="1:11">
      <c r="B74"/>
      <c r="F74"/>
      <c r="G74"/>
      <c r="H74" s="129"/>
      <c r="I74" s="36"/>
      <c r="J74" s="36"/>
      <c r="K74" s="36"/>
    </row>
    <row r="75" spans="1:11">
      <c r="B75"/>
      <c r="F75"/>
      <c r="G75"/>
      <c r="H75" s="129"/>
      <c r="I75" s="36"/>
      <c r="J75" s="36"/>
      <c r="K75" s="36"/>
    </row>
    <row r="76" spans="1:11">
      <c r="B76"/>
      <c r="F76"/>
      <c r="G76"/>
      <c r="H76" s="129"/>
      <c r="I76" s="36"/>
      <c r="J76" s="36"/>
      <c r="K76" s="36"/>
    </row>
    <row r="77" spans="1:11">
      <c r="B77"/>
      <c r="F77"/>
      <c r="G77"/>
      <c r="H77" s="129"/>
      <c r="I77" s="36"/>
      <c r="J77" s="36"/>
      <c r="K77" s="36"/>
    </row>
    <row r="78" spans="1:11">
      <c r="B78"/>
      <c r="F78"/>
      <c r="G78"/>
      <c r="H78" s="129"/>
      <c r="I78" s="36"/>
      <c r="J78" s="36"/>
      <c r="K78" s="36"/>
    </row>
    <row r="79" spans="1:11">
      <c r="B79"/>
      <c r="F79"/>
      <c r="G79"/>
      <c r="H79" s="129"/>
      <c r="I79" s="36"/>
      <c r="J79" s="36"/>
      <c r="K79" s="36"/>
    </row>
    <row r="80" spans="1:11">
      <c r="B80"/>
      <c r="F80"/>
      <c r="G80"/>
      <c r="H80" s="129"/>
      <c r="I80" s="36"/>
      <c r="J80" s="36"/>
      <c r="K80" s="36"/>
    </row>
    <row r="81" spans="2:11">
      <c r="B81"/>
      <c r="F81"/>
      <c r="G81"/>
      <c r="H81" s="129"/>
      <c r="I81" s="36"/>
      <c r="J81" s="36"/>
      <c r="K81" s="36"/>
    </row>
    <row r="82" spans="2:11">
      <c r="B82"/>
      <c r="F82"/>
      <c r="G82"/>
      <c r="H82" s="129"/>
      <c r="I82" s="36"/>
      <c r="J82" s="36"/>
      <c r="K82" s="36"/>
    </row>
    <row r="83" spans="2:11">
      <c r="B83"/>
      <c r="F83"/>
      <c r="G83"/>
      <c r="H83" s="129"/>
      <c r="I83" s="36"/>
      <c r="J83" s="36"/>
      <c r="K83" s="36"/>
    </row>
    <row r="84" spans="2:11">
      <c r="B84"/>
      <c r="F84"/>
      <c r="G84"/>
      <c r="H84" s="129"/>
      <c r="I84" s="36"/>
      <c r="J84" s="36"/>
      <c r="K84" s="36"/>
    </row>
    <row r="85" spans="2:11">
      <c r="B85"/>
      <c r="F85"/>
      <c r="G85"/>
      <c r="H85" s="129"/>
      <c r="I85" s="36"/>
      <c r="J85" s="36"/>
      <c r="K85" s="36"/>
    </row>
    <row r="86" spans="2:11">
      <c r="B86"/>
      <c r="F86"/>
      <c r="G86"/>
      <c r="H86" s="129"/>
      <c r="I86" s="36"/>
      <c r="J86" s="36"/>
      <c r="K86" s="36"/>
    </row>
    <row r="87" spans="2:11">
      <c r="B87"/>
      <c r="F87"/>
      <c r="G87"/>
      <c r="H87" s="129"/>
      <c r="I87" s="36"/>
      <c r="J87" s="36"/>
      <c r="K87" s="36"/>
    </row>
    <row r="88" spans="2:11">
      <c r="B88"/>
      <c r="F88"/>
      <c r="G88"/>
      <c r="H88" s="129"/>
      <c r="I88" s="36"/>
      <c r="J88" s="36"/>
      <c r="K88" s="36"/>
    </row>
    <row r="89" spans="2:11">
      <c r="B89"/>
      <c r="F89"/>
      <c r="G89"/>
      <c r="H89" s="129"/>
      <c r="I89" s="36"/>
      <c r="J89" s="36"/>
      <c r="K89" s="36"/>
    </row>
    <row r="90" spans="2:11">
      <c r="B90"/>
      <c r="F90"/>
      <c r="G90"/>
      <c r="H90" s="129"/>
      <c r="I90" s="36"/>
      <c r="J90" s="36"/>
      <c r="K90" s="36"/>
    </row>
    <row r="91" spans="2:11">
      <c r="B91"/>
      <c r="F91"/>
      <c r="G91"/>
      <c r="H91" s="129"/>
      <c r="I91" s="36"/>
      <c r="J91" s="36"/>
      <c r="K91" s="36"/>
    </row>
    <row r="92" spans="2:11">
      <c r="B92"/>
      <c r="F92"/>
      <c r="G92"/>
      <c r="H92" s="129"/>
      <c r="I92" s="36"/>
      <c r="J92" s="36"/>
      <c r="K92" s="36"/>
    </row>
    <row r="93" spans="2:11">
      <c r="B93"/>
      <c r="F93"/>
      <c r="G93"/>
      <c r="H93" s="129"/>
      <c r="I93" s="36"/>
      <c r="J93" s="36"/>
      <c r="K93" s="36"/>
    </row>
    <row r="94" spans="2:11">
      <c r="B94"/>
      <c r="F94"/>
      <c r="G94"/>
    </row>
    <row r="95" spans="2:11">
      <c r="B95"/>
      <c r="F95"/>
      <c r="G95"/>
    </row>
    <row r="96" spans="2:11">
      <c r="B96"/>
      <c r="F96"/>
      <c r="G96"/>
    </row>
    <row r="97" spans="2:7">
      <c r="B97"/>
      <c r="F97"/>
      <c r="G97"/>
    </row>
    <row r="98" spans="2:7">
      <c r="B98"/>
      <c r="F98"/>
      <c r="G98"/>
    </row>
    <row r="99" spans="2:7">
      <c r="B99"/>
      <c r="F99"/>
      <c r="G99"/>
    </row>
    <row r="100" spans="2:7">
      <c r="B100"/>
      <c r="F100"/>
      <c r="G100"/>
    </row>
    <row r="101" spans="2:7">
      <c r="B101"/>
      <c r="F101"/>
      <c r="G101"/>
    </row>
    <row r="102" spans="2:7">
      <c r="B102"/>
      <c r="F102"/>
      <c r="G102"/>
    </row>
    <row r="103" spans="2:7">
      <c r="B103"/>
      <c r="F103"/>
      <c r="G103"/>
    </row>
    <row r="104" spans="2:7">
      <c r="B104"/>
      <c r="F104"/>
      <c r="G104"/>
    </row>
    <row r="105" spans="2:7">
      <c r="B105"/>
      <c r="F105"/>
      <c r="G105"/>
    </row>
    <row r="106" spans="2:7">
      <c r="B106"/>
      <c r="F106"/>
      <c r="G106"/>
    </row>
    <row r="107" spans="2:7">
      <c r="B107"/>
      <c r="F107"/>
      <c r="G107"/>
    </row>
    <row r="108" spans="2:7">
      <c r="B108"/>
      <c r="F108"/>
      <c r="G108"/>
    </row>
    <row r="109" spans="2:7">
      <c r="B109"/>
      <c r="F109"/>
      <c r="G109"/>
    </row>
    <row r="110" spans="2:7">
      <c r="B110"/>
      <c r="F110"/>
      <c r="G110"/>
    </row>
    <row r="111" spans="2:7">
      <c r="B111"/>
      <c r="F111"/>
      <c r="G111"/>
    </row>
    <row r="112" spans="2:7">
      <c r="B112"/>
      <c r="F112"/>
      <c r="G112"/>
    </row>
    <row r="113" spans="2:7">
      <c r="B113"/>
      <c r="F113"/>
      <c r="G113"/>
    </row>
    <row r="114" spans="2:7">
      <c r="B114"/>
      <c r="F114"/>
      <c r="G114"/>
    </row>
    <row r="115" spans="2:7">
      <c r="B115"/>
      <c r="F115"/>
      <c r="G115"/>
    </row>
    <row r="116" spans="2:7">
      <c r="B116"/>
      <c r="F116"/>
      <c r="G116"/>
    </row>
    <row r="117" spans="2:7">
      <c r="B117"/>
      <c r="F117"/>
      <c r="G117"/>
    </row>
    <row r="118" spans="2:7">
      <c r="B118"/>
      <c r="F118"/>
      <c r="G118"/>
    </row>
    <row r="119" spans="2:7">
      <c r="B119"/>
      <c r="F119"/>
      <c r="G119"/>
    </row>
    <row r="120" spans="2:7">
      <c r="B120"/>
      <c r="F120"/>
      <c r="G120"/>
    </row>
    <row r="121" spans="2:7">
      <c r="B121"/>
      <c r="F121"/>
      <c r="G121"/>
    </row>
    <row r="122" spans="2:7">
      <c r="B122"/>
      <c r="F122"/>
      <c r="G122"/>
    </row>
    <row r="123" spans="2:7">
      <c r="B123"/>
      <c r="F123"/>
      <c r="G123"/>
    </row>
    <row r="124" spans="2:7">
      <c r="B124"/>
      <c r="F124"/>
      <c r="G124"/>
    </row>
    <row r="125" spans="2:7">
      <c r="B125"/>
      <c r="F125"/>
      <c r="G125"/>
    </row>
    <row r="126" spans="2:7">
      <c r="B126"/>
      <c r="F126"/>
      <c r="G126"/>
    </row>
    <row r="127" spans="2:7">
      <c r="B127"/>
      <c r="F127"/>
      <c r="G127"/>
    </row>
    <row r="128" spans="2:7">
      <c r="B128"/>
      <c r="F128"/>
      <c r="G128"/>
    </row>
    <row r="129" spans="2:7">
      <c r="B129"/>
      <c r="F129"/>
      <c r="G129"/>
    </row>
    <row r="130" spans="2:7">
      <c r="B130"/>
      <c r="F130"/>
      <c r="G130"/>
    </row>
    <row r="131" spans="2:7">
      <c r="B131"/>
      <c r="F131"/>
      <c r="G131"/>
    </row>
    <row r="132" spans="2:7">
      <c r="B132"/>
      <c r="F132"/>
      <c r="G132"/>
    </row>
    <row r="133" spans="2:7">
      <c r="B133"/>
      <c r="F133"/>
      <c r="G133"/>
    </row>
    <row r="134" spans="2:7">
      <c r="B134"/>
      <c r="F134"/>
      <c r="G134"/>
    </row>
    <row r="135" spans="2:7">
      <c r="B135"/>
      <c r="F135"/>
    </row>
    <row r="136" spans="2:7">
      <c r="B136"/>
      <c r="F136"/>
    </row>
    <row r="137" spans="2:7">
      <c r="B137"/>
      <c r="F137"/>
    </row>
    <row r="138" spans="2:7">
      <c r="B138"/>
      <c r="F138"/>
    </row>
    <row r="139" spans="2:7">
      <c r="B139"/>
      <c r="F139"/>
    </row>
    <row r="140" spans="2:7">
      <c r="B140"/>
      <c r="F140"/>
    </row>
    <row r="141" spans="2:7">
      <c r="F141"/>
    </row>
    <row r="142" spans="2:7">
      <c r="F142"/>
    </row>
    <row r="143" spans="2:7">
      <c r="F143"/>
    </row>
    <row r="144" spans="2:7">
      <c r="F144"/>
    </row>
    <row r="145" spans="6:6">
      <c r="F145"/>
    </row>
    <row r="146" spans="6:6">
      <c r="F146"/>
    </row>
    <row r="147" spans="6:6">
      <c r="F147"/>
    </row>
    <row r="148" spans="6:6">
      <c r="F148"/>
    </row>
    <row r="149" spans="6:6">
      <c r="F149"/>
    </row>
    <row r="150" spans="6:6">
      <c r="F150"/>
    </row>
    <row r="151" spans="6:6">
      <c r="F151"/>
    </row>
    <row r="152" spans="6:6">
      <c r="F152"/>
    </row>
    <row r="153" spans="6:6">
      <c r="F153"/>
    </row>
    <row r="154" spans="6:6">
      <c r="F154"/>
    </row>
    <row r="155" spans="6:6">
      <c r="F155"/>
    </row>
    <row r="156" spans="6:6">
      <c r="F156"/>
    </row>
    <row r="157" spans="6:6">
      <c r="F157"/>
    </row>
    <row r="158" spans="6:6">
      <c r="F158"/>
    </row>
    <row r="159" spans="6:6">
      <c r="F159"/>
    </row>
    <row r="160" spans="6:6">
      <c r="F160"/>
    </row>
    <row r="161" spans="6:6">
      <c r="F161"/>
    </row>
    <row r="162" spans="6:6">
      <c r="F162"/>
    </row>
    <row r="163" spans="6:6">
      <c r="F163"/>
    </row>
    <row r="164" spans="6:6">
      <c r="F164"/>
    </row>
    <row r="165" spans="6:6">
      <c r="F165"/>
    </row>
    <row r="166" spans="6:6">
      <c r="F166"/>
    </row>
    <row r="167" spans="6:6">
      <c r="F167"/>
    </row>
    <row r="168" spans="6:6">
      <c r="F168"/>
    </row>
    <row r="169" spans="6:6">
      <c r="F169"/>
    </row>
    <row r="170" spans="6:6">
      <c r="F170"/>
    </row>
    <row r="171" spans="6:6">
      <c r="F171"/>
    </row>
    <row r="172" spans="6:6">
      <c r="F172"/>
    </row>
    <row r="173" spans="6:6">
      <c r="F173"/>
    </row>
    <row r="174" spans="6:6">
      <c r="F174"/>
    </row>
    <row r="175" spans="6:6">
      <c r="F175"/>
    </row>
    <row r="176" spans="6:6">
      <c r="F176"/>
    </row>
    <row r="177" spans="6:6">
      <c r="F177"/>
    </row>
    <row r="178" spans="6:6">
      <c r="F178"/>
    </row>
    <row r="179" spans="6:6">
      <c r="F179"/>
    </row>
    <row r="180" spans="6:6">
      <c r="F180"/>
    </row>
    <row r="181" spans="6:6">
      <c r="F181"/>
    </row>
    <row r="182" spans="6:6">
      <c r="F182"/>
    </row>
    <row r="183" spans="6:6">
      <c r="F183"/>
    </row>
    <row r="184" spans="6:6">
      <c r="F184"/>
    </row>
    <row r="185" spans="6:6">
      <c r="F185"/>
    </row>
    <row r="186" spans="6:6">
      <c r="F186"/>
    </row>
    <row r="187" spans="6:6">
      <c r="F187"/>
    </row>
    <row r="188" spans="6:6">
      <c r="F188"/>
    </row>
    <row r="189" spans="6:6">
      <c r="F189"/>
    </row>
    <row r="190" spans="6:6">
      <c r="F190"/>
    </row>
    <row r="191" spans="6:6">
      <c r="F191"/>
    </row>
    <row r="192" spans="6:6">
      <c r="F192"/>
    </row>
    <row r="193" spans="6:6">
      <c r="F193"/>
    </row>
    <row r="194" spans="6:6">
      <c r="F194"/>
    </row>
    <row r="195" spans="6:6">
      <c r="F195"/>
    </row>
    <row r="196" spans="6:6">
      <c r="F196"/>
    </row>
    <row r="197" spans="6:6">
      <c r="F197"/>
    </row>
    <row r="198" spans="6:6">
      <c r="F198"/>
    </row>
    <row r="199" spans="6:6">
      <c r="F199"/>
    </row>
    <row r="200" spans="6:6">
      <c r="F200"/>
    </row>
    <row r="201" spans="6:6">
      <c r="F201"/>
    </row>
    <row r="202" spans="6:6">
      <c r="F202"/>
    </row>
    <row r="203" spans="6:6">
      <c r="F203"/>
    </row>
    <row r="204" spans="6:6">
      <c r="F204"/>
    </row>
    <row r="205" spans="6:6">
      <c r="F205"/>
    </row>
    <row r="206" spans="6:6">
      <c r="F206"/>
    </row>
    <row r="207" spans="6:6">
      <c r="F207"/>
    </row>
    <row r="208" spans="6:6">
      <c r="F208"/>
    </row>
    <row r="209" spans="6:6">
      <c r="F209"/>
    </row>
    <row r="210" spans="6:6">
      <c r="F210"/>
    </row>
    <row r="211" spans="6:6">
      <c r="F211"/>
    </row>
    <row r="212" spans="6:6">
      <c r="F212"/>
    </row>
    <row r="213" spans="6:6">
      <c r="F213"/>
    </row>
    <row r="214" spans="6:6">
      <c r="F214"/>
    </row>
    <row r="215" spans="6:6">
      <c r="F215"/>
    </row>
    <row r="216" spans="6:6">
      <c r="F216"/>
    </row>
    <row r="217" spans="6:6">
      <c r="F217"/>
    </row>
    <row r="218" spans="6:6">
      <c r="F218"/>
    </row>
    <row r="219" spans="6:6">
      <c r="F219"/>
    </row>
    <row r="220" spans="6:6">
      <c r="F220"/>
    </row>
    <row r="221" spans="6:6">
      <c r="F221"/>
    </row>
    <row r="222" spans="6:6">
      <c r="F222"/>
    </row>
    <row r="223" spans="6:6">
      <c r="F223"/>
    </row>
    <row r="224" spans="6:6">
      <c r="F224"/>
    </row>
    <row r="225" spans="6:6">
      <c r="F225"/>
    </row>
    <row r="226" spans="6:6">
      <c r="F226"/>
    </row>
    <row r="227" spans="6:6">
      <c r="F227"/>
    </row>
    <row r="228" spans="6:6">
      <c r="F228"/>
    </row>
    <row r="229" spans="6:6">
      <c r="F229"/>
    </row>
    <row r="230" spans="6:6">
      <c r="F230"/>
    </row>
    <row r="231" spans="6:6">
      <c r="F231"/>
    </row>
    <row r="232" spans="6:6">
      <c r="F232"/>
    </row>
    <row r="233" spans="6:6">
      <c r="F233"/>
    </row>
    <row r="234" spans="6:6">
      <c r="F234"/>
    </row>
    <row r="235" spans="6:6">
      <c r="F235"/>
    </row>
    <row r="236" spans="6:6">
      <c r="F236"/>
    </row>
    <row r="237" spans="6:6">
      <c r="F237"/>
    </row>
    <row r="238" spans="6:6">
      <c r="F238"/>
    </row>
    <row r="239" spans="6:6">
      <c r="F239"/>
    </row>
    <row r="240" spans="6:6">
      <c r="F240"/>
    </row>
    <row r="241" spans="6:6">
      <c r="F241"/>
    </row>
    <row r="242" spans="6:6">
      <c r="F242"/>
    </row>
    <row r="243" spans="6:6">
      <c r="F243"/>
    </row>
    <row r="244" spans="6:6">
      <c r="F244"/>
    </row>
    <row r="245" spans="6:6">
      <c r="F245"/>
    </row>
    <row r="246" spans="6:6">
      <c r="F246"/>
    </row>
    <row r="247" spans="6:6">
      <c r="F247"/>
    </row>
    <row r="248" spans="6:6">
      <c r="F248"/>
    </row>
    <row r="249" spans="6:6">
      <c r="F249"/>
    </row>
    <row r="250" spans="6:6">
      <c r="F250"/>
    </row>
    <row r="251" spans="6:6">
      <c r="F251"/>
    </row>
    <row r="252" spans="6:6">
      <c r="F252"/>
    </row>
    <row r="253" spans="6:6">
      <c r="F253"/>
    </row>
    <row r="254" spans="6:6">
      <c r="F254"/>
    </row>
    <row r="255" spans="6:6">
      <c r="F255"/>
    </row>
    <row r="256" spans="6:6">
      <c r="F256"/>
    </row>
    <row r="257" spans="6:6">
      <c r="F257"/>
    </row>
    <row r="258" spans="6:6">
      <c r="F258"/>
    </row>
    <row r="259" spans="6:6">
      <c r="F259"/>
    </row>
    <row r="260" spans="6:6">
      <c r="F260"/>
    </row>
    <row r="261" spans="6:6">
      <c r="F261"/>
    </row>
    <row r="262" spans="6:6">
      <c r="F262"/>
    </row>
    <row r="263" spans="6:6">
      <c r="F263"/>
    </row>
    <row r="264" spans="6:6">
      <c r="F264"/>
    </row>
    <row r="265" spans="6:6">
      <c r="F265"/>
    </row>
    <row r="266" spans="6:6">
      <c r="F266"/>
    </row>
    <row r="267" spans="6:6">
      <c r="F267"/>
    </row>
    <row r="268" spans="6:6">
      <c r="F268"/>
    </row>
    <row r="269" spans="6:6">
      <c r="F269"/>
    </row>
    <row r="270" spans="6:6">
      <c r="F270"/>
    </row>
    <row r="271" spans="6:6">
      <c r="F271"/>
    </row>
    <row r="272" spans="6:6">
      <c r="F272"/>
    </row>
    <row r="273" spans="6:6">
      <c r="F273"/>
    </row>
    <row r="274" spans="6:6">
      <c r="F274"/>
    </row>
    <row r="275" spans="6:6">
      <c r="F275"/>
    </row>
    <row r="276" spans="6:6">
      <c r="F276"/>
    </row>
    <row r="277" spans="6:6">
      <c r="F277"/>
    </row>
    <row r="278" spans="6:6">
      <c r="F278"/>
    </row>
    <row r="279" spans="6:6">
      <c r="F279"/>
    </row>
    <row r="280" spans="6:6">
      <c r="F280"/>
    </row>
    <row r="281" spans="6:6">
      <c r="F281"/>
    </row>
    <row r="282" spans="6:6">
      <c r="F282"/>
    </row>
    <row r="283" spans="6:6">
      <c r="F283"/>
    </row>
    <row r="284" spans="6:6">
      <c r="F284"/>
    </row>
    <row r="285" spans="6:6">
      <c r="F285"/>
    </row>
    <row r="286" spans="6:6">
      <c r="F286"/>
    </row>
    <row r="287" spans="6:6">
      <c r="F287"/>
    </row>
    <row r="288" spans="6:6">
      <c r="F288"/>
    </row>
    <row r="289" spans="6:6">
      <c r="F289"/>
    </row>
    <row r="290" spans="6:6">
      <c r="F290"/>
    </row>
    <row r="291" spans="6:6">
      <c r="F291"/>
    </row>
    <row r="292" spans="6:6">
      <c r="F292"/>
    </row>
    <row r="293" spans="6:6">
      <c r="F293"/>
    </row>
    <row r="294" spans="6:6">
      <c r="F294"/>
    </row>
    <row r="295" spans="6:6">
      <c r="F295"/>
    </row>
    <row r="296" spans="6:6">
      <c r="F296"/>
    </row>
    <row r="297" spans="6:6">
      <c r="F297"/>
    </row>
    <row r="298" spans="6:6">
      <c r="F298"/>
    </row>
    <row r="299" spans="6:6">
      <c r="F299"/>
    </row>
    <row r="300" spans="6:6">
      <c r="F300"/>
    </row>
    <row r="301" spans="6:6">
      <c r="F301"/>
    </row>
    <row r="302" spans="6:6">
      <c r="F302"/>
    </row>
    <row r="303" spans="6:6">
      <c r="F303"/>
    </row>
    <row r="304" spans="6:6">
      <c r="F304"/>
    </row>
    <row r="305" spans="6:6">
      <c r="F305"/>
    </row>
    <row r="306" spans="6:6">
      <c r="F306"/>
    </row>
    <row r="307" spans="6:6">
      <c r="F307"/>
    </row>
    <row r="308" spans="6:6">
      <c r="F308"/>
    </row>
    <row r="309" spans="6:6">
      <c r="F309"/>
    </row>
    <row r="310" spans="6:6">
      <c r="F310"/>
    </row>
    <row r="311" spans="6:6">
      <c r="F311"/>
    </row>
    <row r="312" spans="6:6">
      <c r="F312"/>
    </row>
    <row r="313" spans="6:6">
      <c r="F313"/>
    </row>
    <row r="314" spans="6:6">
      <c r="F314"/>
    </row>
    <row r="315" spans="6:6">
      <c r="F315"/>
    </row>
    <row r="316" spans="6:6">
      <c r="F316"/>
    </row>
    <row r="317" spans="6:6">
      <c r="F317"/>
    </row>
    <row r="318" spans="6:6">
      <c r="F318"/>
    </row>
    <row r="319" spans="6:6">
      <c r="F319"/>
    </row>
    <row r="320" spans="6:6">
      <c r="F320"/>
    </row>
    <row r="321" spans="6:6">
      <c r="F321"/>
    </row>
    <row r="322" spans="6:6">
      <c r="F322"/>
    </row>
    <row r="323" spans="6:6">
      <c r="F323"/>
    </row>
    <row r="324" spans="6:6">
      <c r="F324"/>
    </row>
    <row r="325" spans="6:6">
      <c r="F325"/>
    </row>
    <row r="326" spans="6:6">
      <c r="F326"/>
    </row>
    <row r="327" spans="6:6">
      <c r="F327"/>
    </row>
    <row r="328" spans="6:6">
      <c r="F328"/>
    </row>
    <row r="329" spans="6:6">
      <c r="F329"/>
    </row>
    <row r="330" spans="6:6">
      <c r="F330"/>
    </row>
    <row r="331" spans="6:6">
      <c r="F331"/>
    </row>
    <row r="332" spans="6:6">
      <c r="F332"/>
    </row>
    <row r="333" spans="6:6">
      <c r="F333"/>
    </row>
    <row r="334" spans="6:6">
      <c r="F334"/>
    </row>
    <row r="335" spans="6:6">
      <c r="F335"/>
    </row>
    <row r="336" spans="6:6">
      <c r="F336"/>
    </row>
    <row r="337" spans="6:6">
      <c r="F337"/>
    </row>
    <row r="338" spans="6:6">
      <c r="F338"/>
    </row>
    <row r="339" spans="6:6">
      <c r="F339"/>
    </row>
    <row r="340" spans="6:6">
      <c r="F340"/>
    </row>
    <row r="341" spans="6:6">
      <c r="F341"/>
    </row>
    <row r="342" spans="6:6">
      <c r="F342"/>
    </row>
    <row r="343" spans="6:6">
      <c r="F343"/>
    </row>
    <row r="344" spans="6:6">
      <c r="F344"/>
    </row>
    <row r="345" spans="6:6">
      <c r="F345"/>
    </row>
    <row r="346" spans="6:6">
      <c r="F346"/>
    </row>
    <row r="347" spans="6:6">
      <c r="F347"/>
    </row>
    <row r="348" spans="6:6">
      <c r="F348"/>
    </row>
    <row r="349" spans="6:6">
      <c r="F349"/>
    </row>
    <row r="350" spans="6:6">
      <c r="F350"/>
    </row>
    <row r="351" spans="6:6">
      <c r="F351"/>
    </row>
    <row r="352" spans="6:6">
      <c r="F352"/>
    </row>
    <row r="353" spans="6:6">
      <c r="F353"/>
    </row>
    <row r="354" spans="6:6">
      <c r="F354"/>
    </row>
    <row r="355" spans="6:6">
      <c r="F355"/>
    </row>
    <row r="356" spans="6:6">
      <c r="F356"/>
    </row>
    <row r="357" spans="6:6">
      <c r="F357"/>
    </row>
    <row r="358" spans="6:6">
      <c r="F358"/>
    </row>
    <row r="359" spans="6:6">
      <c r="F359"/>
    </row>
    <row r="360" spans="6:6">
      <c r="F360"/>
    </row>
    <row r="361" spans="6:6">
      <c r="F361"/>
    </row>
    <row r="362" spans="6:6">
      <c r="F362"/>
    </row>
    <row r="363" spans="6:6">
      <c r="F363"/>
    </row>
    <row r="364" spans="6:6">
      <c r="F364"/>
    </row>
    <row r="365" spans="6:6">
      <c r="F365"/>
    </row>
    <row r="366" spans="6:6">
      <c r="F366"/>
    </row>
    <row r="367" spans="6:6">
      <c r="F367"/>
    </row>
    <row r="368" spans="6:6">
      <c r="F368"/>
    </row>
    <row r="369" spans="6:6">
      <c r="F369"/>
    </row>
    <row r="370" spans="6:6">
      <c r="F370"/>
    </row>
    <row r="371" spans="6:6">
      <c r="F371"/>
    </row>
    <row r="372" spans="6:6">
      <c r="F372"/>
    </row>
    <row r="373" spans="6:6">
      <c r="F373"/>
    </row>
    <row r="374" spans="6:6">
      <c r="F374"/>
    </row>
    <row r="375" spans="6:6">
      <c r="F375"/>
    </row>
    <row r="376" spans="6:6">
      <c r="F376"/>
    </row>
    <row r="377" spans="6:6">
      <c r="F377"/>
    </row>
    <row r="378" spans="6:6">
      <c r="F378"/>
    </row>
    <row r="379" spans="6:6">
      <c r="F379"/>
    </row>
    <row r="380" spans="6:6">
      <c r="F380"/>
    </row>
    <row r="381" spans="6:6">
      <c r="F381"/>
    </row>
    <row r="382" spans="6:6">
      <c r="F382"/>
    </row>
    <row r="383" spans="6:6">
      <c r="F383"/>
    </row>
    <row r="384" spans="6:6">
      <c r="F384"/>
    </row>
    <row r="385" spans="6:6">
      <c r="F385"/>
    </row>
    <row r="386" spans="6:6">
      <c r="F386"/>
    </row>
    <row r="387" spans="6:6">
      <c r="F387"/>
    </row>
    <row r="388" spans="6:6">
      <c r="F388"/>
    </row>
    <row r="389" spans="6:6">
      <c r="F389"/>
    </row>
    <row r="390" spans="6:6">
      <c r="F390"/>
    </row>
    <row r="391" spans="6:6">
      <c r="F391"/>
    </row>
    <row r="392" spans="6:6">
      <c r="F392"/>
    </row>
    <row r="393" spans="6:6">
      <c r="F393"/>
    </row>
    <row r="394" spans="6:6">
      <c r="F394"/>
    </row>
    <row r="395" spans="6:6">
      <c r="F395"/>
    </row>
    <row r="396" spans="6:6">
      <c r="F396"/>
    </row>
    <row r="397" spans="6:6">
      <c r="F397"/>
    </row>
    <row r="398" spans="6:6">
      <c r="F398"/>
    </row>
    <row r="399" spans="6:6">
      <c r="F399"/>
    </row>
    <row r="400" spans="6:6">
      <c r="F400"/>
    </row>
    <row r="401" spans="6:6">
      <c r="F401"/>
    </row>
    <row r="402" spans="6:6">
      <c r="F402"/>
    </row>
    <row r="403" spans="6:6">
      <c r="F403"/>
    </row>
    <row r="404" spans="6:6">
      <c r="F404"/>
    </row>
    <row r="405" spans="6:6">
      <c r="F405"/>
    </row>
    <row r="406" spans="6:6">
      <c r="F406"/>
    </row>
    <row r="407" spans="6:6">
      <c r="F407"/>
    </row>
    <row r="408" spans="6:6">
      <c r="F408"/>
    </row>
    <row r="409" spans="6:6">
      <c r="F409"/>
    </row>
    <row r="410" spans="6:6">
      <c r="F410"/>
    </row>
    <row r="411" spans="6:6">
      <c r="F411"/>
    </row>
    <row r="412" spans="6:6">
      <c r="F412"/>
    </row>
    <row r="413" spans="6:6">
      <c r="F413"/>
    </row>
    <row r="414" spans="6:6">
      <c r="F414"/>
    </row>
    <row r="415" spans="6:6">
      <c r="F415"/>
    </row>
    <row r="416" spans="6:6">
      <c r="F416"/>
    </row>
  </sheetData>
  <sortState xmlns:xlrd2="http://schemas.microsoft.com/office/spreadsheetml/2017/richdata2" ref="A13:G51">
    <sortCondition ref="C15"/>
  </sortState>
  <mergeCells count="37">
    <mergeCell ref="E60:E67"/>
    <mergeCell ref="E69:E70"/>
    <mergeCell ref="C65:C66"/>
    <mergeCell ref="D16:D17"/>
    <mergeCell ref="D22:D23"/>
    <mergeCell ref="D26:D27"/>
    <mergeCell ref="D69:D70"/>
    <mergeCell ref="C47:C52"/>
    <mergeCell ref="C53:C56"/>
    <mergeCell ref="C58:C59"/>
    <mergeCell ref="C60:C61"/>
    <mergeCell ref="C62:C63"/>
    <mergeCell ref="A15:A27"/>
    <mergeCell ref="A28:A45"/>
    <mergeCell ref="A47:A68"/>
    <mergeCell ref="A69:A70"/>
    <mergeCell ref="B15:B45"/>
    <mergeCell ref="B47:B67"/>
    <mergeCell ref="C15:C18"/>
    <mergeCell ref="C19:C21"/>
    <mergeCell ref="C22:C23"/>
    <mergeCell ref="C24:C27"/>
    <mergeCell ref="C28:C31"/>
    <mergeCell ref="C32:C34"/>
    <mergeCell ref="C37:C39"/>
    <mergeCell ref="C40:C42"/>
    <mergeCell ref="E32:E33"/>
    <mergeCell ref="E37:E38"/>
    <mergeCell ref="E40:E41"/>
    <mergeCell ref="E42:E45"/>
    <mergeCell ref="E47:E59"/>
    <mergeCell ref="E19:E21"/>
    <mergeCell ref="E23:E25"/>
    <mergeCell ref="E27:E28"/>
    <mergeCell ref="C43:C44"/>
    <mergeCell ref="A1:K1"/>
    <mergeCell ref="H13:H14"/>
  </mergeCells>
  <pageMargins left="0.1" right="0.1" top="0.5" bottom="0.1" header="0.25" footer="0.25"/>
  <pageSetup orientation="portrait" horizontalDpi="240" verticalDpi="144" r:id="rId2"/>
  <headerFooter>
    <oddHeader>&amp;L&amp;F</oddHeader>
  </headerFooter>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IS752"/>
  <sheetViews>
    <sheetView view="pageBreakPreview" zoomScale="70" zoomScaleNormal="100" zoomScaleSheetLayoutView="70" workbookViewId="0">
      <pane ySplit="14" topLeftCell="A15" activePane="bottomLeft" state="frozen"/>
      <selection pane="bottomLeft" activeCell="A6" sqref="A6:B6"/>
    </sheetView>
  </sheetViews>
  <sheetFormatPr baseColWidth="10" defaultColWidth="9" defaultRowHeight="16"/>
  <cols>
    <col min="1" max="1" width="4" customWidth="1"/>
    <col min="2" max="2" width="38.1640625" style="34" customWidth="1"/>
    <col min="3" max="3" width="17.6640625" customWidth="1"/>
    <col min="4" max="5" width="4.6640625" customWidth="1"/>
    <col min="6" max="6" width="4.6640625" style="1" customWidth="1"/>
    <col min="7" max="7" width="5.33203125" style="1" customWidth="1"/>
    <col min="8" max="10" width="5.33203125" customWidth="1"/>
    <col min="11" max="11" width="6.83203125" customWidth="1"/>
    <col min="12" max="12" width="1.6640625" customWidth="1"/>
    <col min="13" max="13" width="6.83203125" customWidth="1"/>
    <col min="14" max="14" width="1.6640625" customWidth="1"/>
    <col min="15" max="16" width="6.83203125" customWidth="1"/>
  </cols>
  <sheetData>
    <row r="1" spans="1:253" ht="20">
      <c r="A1" s="866" t="s">
        <v>2186</v>
      </c>
      <c r="B1" s="866"/>
      <c r="C1" s="866"/>
      <c r="D1" s="866"/>
      <c r="E1" s="866"/>
      <c r="F1" s="866"/>
      <c r="G1" s="866"/>
      <c r="H1" s="866"/>
      <c r="I1" s="866"/>
      <c r="J1" s="866"/>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c r="II1" s="42"/>
      <c r="IJ1" s="42"/>
      <c r="IK1" s="42"/>
      <c r="IL1" s="42"/>
      <c r="IM1" s="42"/>
      <c r="IN1" s="42"/>
      <c r="IO1" s="42"/>
      <c r="IP1" s="42"/>
      <c r="IQ1" s="42"/>
      <c r="IR1" s="42"/>
      <c r="IS1" s="42"/>
    </row>
    <row r="2" spans="1:253" ht="18">
      <c r="A2" s="5"/>
      <c r="B2" s="4"/>
      <c r="C2" s="5"/>
      <c r="D2" s="5"/>
      <c r="E2" s="5"/>
      <c r="F2" s="5"/>
      <c r="G2" s="5"/>
      <c r="H2" s="5"/>
      <c r="I2" s="43"/>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row>
    <row r="3" spans="1:253">
      <c r="A3" s="879" t="s">
        <v>327</v>
      </c>
      <c r="B3" s="880"/>
      <c r="C3" s="8" t="str">
        <f>No_proyek</f>
        <v>RZ0458</v>
      </c>
      <c r="D3" s="9"/>
      <c r="E3" s="9"/>
      <c r="F3" s="9"/>
      <c r="G3" s="10"/>
      <c r="H3" s="16"/>
      <c r="I3" s="16"/>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c r="II3" s="42"/>
      <c r="IJ3" s="42"/>
      <c r="IK3" s="42"/>
      <c r="IL3" s="42"/>
      <c r="IM3" s="42"/>
      <c r="IN3" s="42"/>
      <c r="IO3" s="42"/>
      <c r="IP3" s="42"/>
      <c r="IQ3" s="42"/>
      <c r="IR3" s="42"/>
      <c r="IS3" s="42"/>
    </row>
    <row r="4" spans="1:253" s="42" customFormat="1" ht="15">
      <c r="A4" s="879" t="s">
        <v>2174</v>
      </c>
      <c r="B4" s="880"/>
      <c r="C4" s="8" t="str">
        <f>no_kontrak</f>
        <v>127/RK-RL-PI/PAP-LL/XII/2025</v>
      </c>
      <c r="D4" s="9"/>
      <c r="E4" s="9"/>
      <c r="F4" s="9"/>
      <c r="G4" s="16"/>
      <c r="H4" s="8"/>
      <c r="I4" s="16"/>
      <c r="K4" s="142" t="s">
        <v>2187</v>
      </c>
      <c r="M4" s="143"/>
      <c r="N4" s="143"/>
      <c r="O4" s="143"/>
      <c r="P4" s="143"/>
      <c r="Q4" s="143"/>
      <c r="R4" s="143"/>
      <c r="S4" s="143"/>
      <c r="T4" s="143"/>
      <c r="U4" s="143"/>
      <c r="V4" s="143"/>
      <c r="W4" s="143"/>
    </row>
    <row r="5" spans="1:253" s="42" customFormat="1">
      <c r="A5" s="8" t="s">
        <v>1508</v>
      </c>
      <c r="B5" s="428"/>
      <c r="C5" s="8" t="str">
        <f>nip</f>
        <v>25LL017MPC</v>
      </c>
      <c r="D5" s="9"/>
      <c r="E5" s="9"/>
      <c r="F5" s="9"/>
      <c r="G5" s="9"/>
      <c r="H5" s="8"/>
      <c r="I5" s="16"/>
      <c r="K5" s="144" t="s">
        <v>2281</v>
      </c>
      <c r="L5" s="145"/>
      <c r="M5" s="146"/>
      <c r="N5" s="146"/>
      <c r="O5" s="146"/>
      <c r="P5" s="146"/>
      <c r="Q5" s="146"/>
      <c r="R5" s="146"/>
      <c r="S5" s="146"/>
      <c r="T5" s="146"/>
      <c r="U5" s="146"/>
      <c r="V5" s="146"/>
      <c r="W5" s="146"/>
    </row>
    <row r="6" spans="1:253" s="42" customFormat="1">
      <c r="A6" s="879" t="s">
        <v>2176</v>
      </c>
      <c r="B6" s="880"/>
      <c r="C6" s="8" t="str">
        <f>nama_proyek</f>
        <v>PT Malindo Feedmill Tbk-Dry Pantry</v>
      </c>
      <c r="D6" s="9"/>
      <c r="E6" s="9"/>
      <c r="F6" s="9"/>
      <c r="G6" s="16"/>
      <c r="H6" s="17"/>
      <c r="I6" s="16"/>
      <c r="K6" s="144" t="s">
        <v>2188</v>
      </c>
      <c r="L6" s="144"/>
      <c r="M6" s="146"/>
      <c r="N6" s="146"/>
      <c r="O6" s="146"/>
      <c r="P6" s="146"/>
      <c r="Q6" s="146"/>
      <c r="R6" s="146"/>
      <c r="S6" s="146"/>
      <c r="T6" s="146"/>
      <c r="U6" s="146"/>
      <c r="V6" s="146"/>
      <c r="W6" s="146"/>
    </row>
    <row r="7" spans="1:253" s="42" customFormat="1">
      <c r="A7" s="879" t="s">
        <v>2178</v>
      </c>
      <c r="B7" s="880"/>
      <c r="C7" s="881">
        <f>tgl</f>
        <v>46163</v>
      </c>
      <c r="D7" s="882"/>
      <c r="E7" s="881"/>
      <c r="F7" s="19"/>
      <c r="G7" s="30"/>
      <c r="H7" s="17"/>
      <c r="I7" s="17"/>
      <c r="K7" s="146"/>
      <c r="L7" s="146"/>
      <c r="M7" s="146"/>
      <c r="N7" s="146"/>
      <c r="O7" s="146"/>
      <c r="P7" s="146"/>
      <c r="Q7" s="146"/>
      <c r="R7" s="146"/>
      <c r="S7" s="146"/>
      <c r="T7" s="146"/>
      <c r="U7" s="146"/>
      <c r="V7" s="146"/>
      <c r="W7" s="146"/>
    </row>
    <row r="8" spans="1:253" s="42" customFormat="1">
      <c r="A8" s="879" t="s">
        <v>2179</v>
      </c>
      <c r="B8" s="880"/>
      <c r="C8" s="883"/>
      <c r="D8" s="884"/>
      <c r="E8" s="883"/>
      <c r="F8" s="24"/>
      <c r="G8" s="9"/>
      <c r="H8" s="17"/>
      <c r="I8" s="17"/>
      <c r="K8" s="146"/>
      <c r="L8" s="146"/>
      <c r="M8" s="146"/>
      <c r="N8" s="146"/>
      <c r="O8" s="146"/>
      <c r="P8" s="146"/>
      <c r="Q8" s="146"/>
      <c r="R8" s="146"/>
      <c r="S8" s="146"/>
      <c r="T8" s="146"/>
      <c r="U8" s="146"/>
      <c r="V8" s="146"/>
      <c r="W8" s="146"/>
    </row>
    <row r="9" spans="1:253" s="42" customFormat="1">
      <c r="A9" s="885" t="s">
        <v>2189</v>
      </c>
      <c r="B9" s="886"/>
      <c r="C9" s="8" t="str">
        <f>koordinator</f>
        <v>Reza Pahlevi</v>
      </c>
      <c r="D9" s="9"/>
      <c r="E9" s="9"/>
      <c r="F9" s="9"/>
      <c r="G9" s="16"/>
      <c r="H9" s="17"/>
      <c r="I9" s="17"/>
      <c r="K9" s="461" t="str">
        <f>CONCATENATE(,"(",koordinator,")","                   ","(","             ",")","                       ","(","                   ",")","                 ","(","                                     ",")","                            ","(","           ",")")</f>
        <v>(Reza Pahlevi)                   (             )                       (                   )                 (                                     )                            (           )</v>
      </c>
      <c r="L9" s="146"/>
      <c r="M9" s="146"/>
      <c r="N9" s="146"/>
      <c r="O9" s="146"/>
      <c r="P9" s="146"/>
      <c r="Q9" s="146"/>
      <c r="R9" s="146"/>
      <c r="S9" s="146"/>
      <c r="T9" s="146"/>
      <c r="U9" s="146"/>
      <c r="V9" s="146"/>
      <c r="W9" s="146"/>
    </row>
    <row r="10" spans="1:253" s="42" customFormat="1">
      <c r="A10" s="885" t="s">
        <v>2190</v>
      </c>
      <c r="B10" s="886"/>
      <c r="C10" s="30"/>
      <c r="D10" s="9"/>
      <c r="E10" s="9"/>
      <c r="F10" s="9"/>
      <c r="G10" s="16"/>
      <c r="H10" s="17"/>
      <c r="I10" s="17"/>
      <c r="K10" s="144" t="s">
        <v>2283</v>
      </c>
      <c r="L10" s="145"/>
      <c r="M10" s="146"/>
      <c r="N10" s="146"/>
      <c r="O10" s="146"/>
      <c r="P10" s="146"/>
      <c r="Q10" s="146"/>
      <c r="R10" s="146"/>
      <c r="S10" s="146"/>
      <c r="T10" s="146"/>
      <c r="U10" s="146"/>
      <c r="V10" s="146"/>
      <c r="W10" s="146"/>
    </row>
    <row r="11" spans="1:253">
      <c r="A11" s="30" t="s">
        <v>2191</v>
      </c>
      <c r="B11" s="388"/>
      <c r="C11" s="30"/>
      <c r="D11" s="9"/>
      <c r="E11" s="10"/>
      <c r="F11" s="10"/>
      <c r="G11" s="16"/>
      <c r="H11" s="44"/>
      <c r="I11" s="44"/>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c r="FJ11" s="42"/>
      <c r="FK11" s="42"/>
      <c r="FL11" s="42"/>
      <c r="FM11" s="42"/>
      <c r="FN11" s="42"/>
      <c r="FO11" s="42"/>
      <c r="FP11" s="42"/>
      <c r="FQ11" s="42"/>
      <c r="FR11" s="42"/>
      <c r="FS11" s="42"/>
      <c r="FT11" s="42"/>
      <c r="FU11" s="42"/>
      <c r="FV11" s="42"/>
      <c r="FW11" s="42"/>
      <c r="FX11" s="42"/>
      <c r="FY11" s="42"/>
      <c r="FZ11" s="42"/>
      <c r="GA11" s="42"/>
      <c r="GB11" s="42"/>
      <c r="GC11" s="42"/>
      <c r="GD11" s="42"/>
      <c r="GE11" s="42"/>
      <c r="GF11" s="42"/>
      <c r="GG11" s="42"/>
      <c r="GH11" s="42"/>
      <c r="GI11" s="42"/>
      <c r="GJ11" s="42"/>
      <c r="GK11" s="42"/>
      <c r="GL11" s="42"/>
      <c r="GM11" s="42"/>
      <c r="GN11" s="42"/>
      <c r="GO11" s="42"/>
      <c r="GP11" s="42"/>
      <c r="GQ11" s="42"/>
      <c r="GR11" s="42"/>
      <c r="GS11" s="42"/>
      <c r="GT11" s="42"/>
      <c r="GU11" s="42"/>
      <c r="GV11" s="42"/>
      <c r="GW11" s="42"/>
      <c r="GX11" s="42"/>
      <c r="GY11" s="42"/>
      <c r="GZ11" s="42"/>
      <c r="HA11" s="42"/>
      <c r="HB11" s="42"/>
      <c r="HC11" s="42"/>
      <c r="HD11" s="42"/>
      <c r="HE11" s="42"/>
      <c r="HF11" s="42"/>
      <c r="HG11" s="42"/>
      <c r="HH11" s="42"/>
      <c r="HI11" s="42"/>
      <c r="HJ11" s="42"/>
      <c r="HK11" s="42"/>
      <c r="HL11" s="42"/>
      <c r="HM11" s="42"/>
      <c r="HN11" s="42"/>
      <c r="HO11" s="42"/>
      <c r="HP11" s="42"/>
      <c r="HQ11" s="42"/>
      <c r="HR11" s="42"/>
      <c r="HS11" s="42"/>
      <c r="HT11" s="42"/>
      <c r="HU11" s="42"/>
      <c r="HV11" s="42"/>
      <c r="HW11" s="42"/>
      <c r="HX11" s="42"/>
      <c r="HY11" s="42"/>
      <c r="HZ11" s="42"/>
      <c r="IA11" s="42"/>
      <c r="IB11" s="42"/>
      <c r="IC11" s="42"/>
      <c r="ID11" s="42"/>
      <c r="IE11" s="42"/>
      <c r="IF11" s="42"/>
      <c r="IG11" s="42"/>
      <c r="IH11" s="42"/>
      <c r="II11" s="42"/>
      <c r="IJ11" s="42"/>
      <c r="IK11" s="42"/>
      <c r="IL11" s="42"/>
      <c r="IM11" s="42"/>
      <c r="IN11" s="42"/>
      <c r="IO11" s="42"/>
      <c r="IP11" s="42"/>
      <c r="IQ11" s="42"/>
      <c r="IR11" s="42"/>
      <c r="IS11" s="42"/>
    </row>
    <row r="12" spans="1:253">
      <c r="A12" s="139"/>
      <c r="B12" s="358"/>
      <c r="C12" s="34"/>
      <c r="D12" s="1"/>
      <c r="E12" s="1"/>
    </row>
    <row r="13" spans="1:253" ht="30">
      <c r="A13" s="36"/>
      <c r="B13" s="840" t="s">
        <v>2924</v>
      </c>
      <c r="C13" s="845"/>
      <c r="D13" s="845"/>
      <c r="E13" s="845"/>
      <c r="F13" s="838"/>
      <c r="G13" s="876" t="s">
        <v>2192</v>
      </c>
      <c r="H13" s="356" t="s">
        <v>2260</v>
      </c>
      <c r="I13" s="356" t="s">
        <v>2261</v>
      </c>
      <c r="J13" s="356" t="s">
        <v>2262</v>
      </c>
    </row>
    <row r="14" spans="1:253" ht="26">
      <c r="A14" s="36" t="s">
        <v>2135</v>
      </c>
      <c r="B14" s="840" t="s">
        <v>2157</v>
      </c>
      <c r="C14" s="837" t="s">
        <v>2138</v>
      </c>
      <c r="D14" s="837" t="s">
        <v>2134</v>
      </c>
      <c r="E14" s="837" t="s">
        <v>2133</v>
      </c>
      <c r="F14" s="838" t="s">
        <v>2220</v>
      </c>
      <c r="G14" s="876"/>
      <c r="H14" s="141" t="s">
        <v>2193</v>
      </c>
      <c r="I14" s="141" t="s">
        <v>2193</v>
      </c>
      <c r="J14" s="141" t="s">
        <v>2193</v>
      </c>
      <c r="K14" s="360" t="s">
        <v>1766</v>
      </c>
      <c r="M14" s="360" t="s">
        <v>1756</v>
      </c>
      <c r="O14" s="360" t="s">
        <v>1749</v>
      </c>
      <c r="P14" s="360" t="s">
        <v>2319</v>
      </c>
      <c r="Q14" s="360" t="s">
        <v>2362</v>
      </c>
    </row>
    <row r="15" spans="1:253">
      <c r="A15" s="36"/>
      <c r="B15" s="864" t="s">
        <v>2185</v>
      </c>
      <c r="C15" s="864" t="s">
        <v>2185</v>
      </c>
      <c r="D15" s="841" t="s">
        <v>2185</v>
      </c>
      <c r="E15" s="841" t="s">
        <v>2185</v>
      </c>
      <c r="F15" s="921"/>
      <c r="G15" s="129"/>
      <c r="H15" s="36"/>
      <c r="I15" s="36"/>
      <c r="J15" s="36"/>
      <c r="K15" s="1" t="str">
        <f>LEFT(C15,4)</f>
        <v>(bla</v>
      </c>
      <c r="L15" s="1" t="s">
        <v>2137</v>
      </c>
      <c r="M15" s="1" t="str">
        <f>MID(C15,7,4)</f>
        <v>)</v>
      </c>
      <c r="N15" s="1" t="s">
        <v>2137</v>
      </c>
      <c r="O15" s="1" t="str">
        <f>RIGHT(C15,3)</f>
        <v>nk)</v>
      </c>
      <c r="P15" s="1"/>
      <c r="Q15" s="1" t="str">
        <f>+D15</f>
        <v>(blank)</v>
      </c>
    </row>
    <row r="16" spans="1:253">
      <c r="A16" s="36"/>
      <c r="B16" s="938"/>
      <c r="C16" s="871"/>
      <c r="D16" s="864" t="s">
        <v>1787</v>
      </c>
      <c r="E16" s="841" t="s">
        <v>1787</v>
      </c>
      <c r="F16" s="921"/>
      <c r="G16" s="129"/>
      <c r="H16" s="36"/>
      <c r="I16" s="36"/>
      <c r="J16" s="36"/>
    </row>
    <row r="17" spans="1:17">
      <c r="A17" s="36"/>
      <c r="B17" s="938"/>
      <c r="C17" s="841" t="s">
        <v>1787</v>
      </c>
      <c r="D17" s="865" t="s">
        <v>1787</v>
      </c>
      <c r="E17" s="841" t="s">
        <v>1787</v>
      </c>
      <c r="F17" s="921">
        <v>12</v>
      </c>
      <c r="G17" s="129"/>
      <c r="H17" s="36"/>
      <c r="I17" s="36"/>
      <c r="J17" s="36"/>
      <c r="K17" s="1" t="str">
        <f>LEFT(C17,4)</f>
        <v>…</v>
      </c>
      <c r="L17" s="1" t="s">
        <v>2137</v>
      </c>
      <c r="M17" s="1" t="str">
        <f>MID(C17,7,4)</f>
        <v/>
      </c>
      <c r="N17" s="1" t="s">
        <v>2137</v>
      </c>
      <c r="O17" s="1" t="str">
        <f>RIGHT(C17,3)</f>
        <v>…</v>
      </c>
      <c r="P17" s="1"/>
      <c r="Q17" s="1" t="str">
        <f>+D17</f>
        <v>…</v>
      </c>
    </row>
    <row r="18" spans="1:17">
      <c r="A18" s="36"/>
      <c r="B18" s="877"/>
      <c r="C18" s="878"/>
      <c r="D18" s="878"/>
      <c r="E18" s="878"/>
      <c r="F18" s="924"/>
      <c r="G18" s="129"/>
      <c r="H18" s="36"/>
      <c r="I18" s="36"/>
      <c r="J18" s="36"/>
    </row>
    <row r="19" spans="1:17">
      <c r="A19" s="36"/>
      <c r="B19"/>
      <c r="F19"/>
      <c r="G19" s="129"/>
      <c r="H19" s="36"/>
      <c r="I19" s="36"/>
      <c r="J19" s="36"/>
      <c r="K19" s="1" t="str">
        <f>LEFT(C19,4)</f>
        <v/>
      </c>
      <c r="L19" s="1" t="s">
        <v>2137</v>
      </c>
      <c r="M19" s="1" t="str">
        <f>MID(C19,7,4)</f>
        <v/>
      </c>
      <c r="N19" s="1" t="s">
        <v>2137</v>
      </c>
      <c r="O19" s="1" t="str">
        <f>RIGHT(C19,3)</f>
        <v/>
      </c>
      <c r="P19" s="1"/>
      <c r="Q19" s="1">
        <f>+D19</f>
        <v>0</v>
      </c>
    </row>
    <row r="20" spans="1:17">
      <c r="A20" s="36"/>
      <c r="B20"/>
      <c r="F20"/>
      <c r="G20" s="129"/>
      <c r="H20" s="36"/>
      <c r="I20" s="36"/>
      <c r="J20" s="36"/>
    </row>
    <row r="21" spans="1:17">
      <c r="A21" s="36"/>
      <c r="B21"/>
      <c r="F21"/>
      <c r="G21" s="129"/>
      <c r="H21" s="36"/>
      <c r="I21" s="36"/>
      <c r="J21" s="36"/>
      <c r="K21" s="1" t="str">
        <f>LEFT(C21,4)</f>
        <v/>
      </c>
      <c r="L21" s="1" t="s">
        <v>2137</v>
      </c>
      <c r="M21" s="1" t="str">
        <f>MID(C21,7,4)</f>
        <v/>
      </c>
      <c r="N21" s="1" t="s">
        <v>2137</v>
      </c>
      <c r="O21" s="1" t="str">
        <f>RIGHT(C21,3)</f>
        <v/>
      </c>
      <c r="P21" s="1"/>
      <c r="Q21" s="1">
        <f>+D21</f>
        <v>0</v>
      </c>
    </row>
    <row r="22" spans="1:17">
      <c r="A22" s="36"/>
      <c r="B22"/>
      <c r="F22"/>
      <c r="G22" s="129"/>
      <c r="H22" s="36"/>
      <c r="I22" s="36"/>
      <c r="J22" s="36"/>
    </row>
    <row r="23" spans="1:17">
      <c r="A23" s="36"/>
      <c r="B23"/>
      <c r="F23"/>
      <c r="G23" s="129"/>
      <c r="H23" s="36"/>
      <c r="I23" s="36"/>
      <c r="J23" s="36"/>
      <c r="K23" s="1" t="str">
        <f>LEFT(C23,4)</f>
        <v/>
      </c>
      <c r="L23" s="1" t="s">
        <v>2137</v>
      </c>
      <c r="M23" s="1" t="str">
        <f>MID(C23,7,4)</f>
        <v/>
      </c>
      <c r="N23" s="1" t="s">
        <v>2137</v>
      </c>
      <c r="O23" s="1" t="str">
        <f>RIGHT(C23,3)</f>
        <v/>
      </c>
      <c r="P23" s="1"/>
      <c r="Q23" s="1">
        <f>+D23</f>
        <v>0</v>
      </c>
    </row>
    <row r="24" spans="1:17">
      <c r="A24" s="36"/>
      <c r="B24"/>
      <c r="F24"/>
      <c r="G24" s="129"/>
      <c r="H24" s="36"/>
      <c r="I24" s="36"/>
      <c r="J24" s="36"/>
    </row>
    <row r="25" spans="1:17">
      <c r="A25" s="36"/>
      <c r="B25"/>
      <c r="F25"/>
      <c r="G25" s="129"/>
      <c r="H25" s="36"/>
      <c r="I25" s="36"/>
      <c r="J25" s="36"/>
      <c r="K25" s="1" t="str">
        <f>LEFT(C25,4)</f>
        <v/>
      </c>
      <c r="L25" s="1" t="s">
        <v>2137</v>
      </c>
      <c r="M25" s="1" t="str">
        <f>MID(C25,7,4)</f>
        <v/>
      </c>
      <c r="N25" s="1" t="s">
        <v>2137</v>
      </c>
      <c r="O25" s="1" t="str">
        <f>RIGHT(C25,3)</f>
        <v/>
      </c>
      <c r="P25" s="1"/>
      <c r="Q25" s="1">
        <f>+D25</f>
        <v>0</v>
      </c>
    </row>
    <row r="26" spans="1:17" ht="15.75" customHeight="1">
      <c r="A26" s="36"/>
      <c r="B26"/>
      <c r="F26"/>
      <c r="G26" s="129"/>
      <c r="H26" s="36"/>
      <c r="I26" s="36"/>
      <c r="J26" s="36"/>
    </row>
    <row r="27" spans="1:17">
      <c r="A27" s="36"/>
      <c r="B27"/>
      <c r="F27"/>
      <c r="G27" s="129"/>
      <c r="H27" s="36"/>
      <c r="I27" s="36"/>
      <c r="J27" s="36"/>
      <c r="K27" s="1" t="str">
        <f>LEFT(C27,4)</f>
        <v/>
      </c>
      <c r="L27" s="1" t="s">
        <v>2137</v>
      </c>
      <c r="M27" s="1" t="str">
        <f>MID(C27,7,4)</f>
        <v/>
      </c>
      <c r="N27" s="1" t="s">
        <v>2137</v>
      </c>
      <c r="O27" s="1" t="str">
        <f>RIGHT(C27,3)</f>
        <v/>
      </c>
      <c r="P27" s="1"/>
      <c r="Q27" s="1">
        <f>+D27</f>
        <v>0</v>
      </c>
    </row>
    <row r="28" spans="1:17">
      <c r="A28" s="36"/>
      <c r="B28"/>
      <c r="F28"/>
      <c r="G28" s="129"/>
      <c r="H28" s="36"/>
      <c r="I28" s="36"/>
      <c r="J28" s="36"/>
    </row>
    <row r="29" spans="1:17">
      <c r="A29" s="36"/>
      <c r="B29"/>
      <c r="F29"/>
      <c r="G29" s="129"/>
      <c r="H29" s="36"/>
      <c r="I29" s="36"/>
      <c r="J29" s="36"/>
      <c r="K29" s="1" t="str">
        <f>LEFT(C29,4)</f>
        <v/>
      </c>
      <c r="L29" s="1" t="s">
        <v>2137</v>
      </c>
      <c r="M29" s="1" t="str">
        <f>MID(C29,7,4)</f>
        <v/>
      </c>
      <c r="N29" s="1" t="s">
        <v>2137</v>
      </c>
      <c r="O29" s="1" t="str">
        <f>RIGHT(C29,3)</f>
        <v/>
      </c>
      <c r="P29" s="1"/>
      <c r="Q29" s="1">
        <f>+D29</f>
        <v>0</v>
      </c>
    </row>
    <row r="30" spans="1:17">
      <c r="A30" s="36"/>
      <c r="B30"/>
      <c r="F30"/>
      <c r="G30" s="129"/>
      <c r="H30" s="36"/>
      <c r="I30" s="36"/>
      <c r="J30" s="36"/>
    </row>
    <row r="31" spans="1:17">
      <c r="A31" s="36"/>
      <c r="B31"/>
      <c r="F31"/>
      <c r="G31" s="129"/>
      <c r="H31" s="36"/>
      <c r="I31" s="36"/>
      <c r="J31" s="36"/>
      <c r="K31" s="1" t="str">
        <f>LEFT(C31,4)</f>
        <v/>
      </c>
      <c r="L31" s="1" t="s">
        <v>2137</v>
      </c>
      <c r="M31" s="1" t="str">
        <f>MID(C31,7,4)</f>
        <v/>
      </c>
      <c r="N31" s="1" t="s">
        <v>2137</v>
      </c>
      <c r="O31" s="1" t="str">
        <f>RIGHT(C31,3)</f>
        <v/>
      </c>
      <c r="P31" s="1"/>
      <c r="Q31" s="1">
        <f>+D31</f>
        <v>0</v>
      </c>
    </row>
    <row r="32" spans="1:17">
      <c r="A32" s="36"/>
      <c r="B32"/>
      <c r="F32"/>
      <c r="G32" s="129"/>
      <c r="H32" s="36"/>
      <c r="I32" s="36"/>
      <c r="J32" s="36"/>
      <c r="K32" s="1" t="str">
        <f>LEFT(C32,4)</f>
        <v/>
      </c>
      <c r="L32" s="1" t="s">
        <v>2137</v>
      </c>
      <c r="M32" s="1" t="str">
        <f>MID(C32,7,4)</f>
        <v/>
      </c>
      <c r="N32" s="1" t="s">
        <v>2137</v>
      </c>
      <c r="O32" s="1" t="str">
        <f>RIGHT(C32,3)</f>
        <v/>
      </c>
      <c r="P32" s="1"/>
      <c r="Q32" s="1">
        <f>+D32</f>
        <v>0</v>
      </c>
    </row>
    <row r="33" spans="1:10">
      <c r="A33" s="36"/>
      <c r="B33"/>
      <c r="F33"/>
      <c r="G33" s="129"/>
      <c r="H33" s="36"/>
      <c r="I33" s="36"/>
      <c r="J33" s="36"/>
    </row>
    <row r="34" spans="1:10">
      <c r="A34" s="36"/>
      <c r="B34"/>
      <c r="F34"/>
      <c r="G34" s="129"/>
      <c r="H34" s="36"/>
      <c r="I34" s="36"/>
      <c r="J34" s="36"/>
    </row>
    <row r="35" spans="1:10">
      <c r="A35" s="36"/>
      <c r="B35"/>
      <c r="F35"/>
      <c r="G35" s="56"/>
      <c r="H35" s="36"/>
      <c r="I35" s="36"/>
      <c r="J35" s="36"/>
    </row>
    <row r="36" spans="1:10">
      <c r="A36" s="36"/>
      <c r="B36"/>
      <c r="F36"/>
      <c r="G36" s="56"/>
      <c r="H36" s="36"/>
      <c r="I36" s="36"/>
      <c r="J36" s="36"/>
    </row>
    <row r="37" spans="1:10">
      <c r="A37" s="36"/>
      <c r="B37"/>
      <c r="F37"/>
      <c r="G37" s="56"/>
      <c r="H37" s="129"/>
      <c r="I37" s="36"/>
      <c r="J37" s="36"/>
    </row>
    <row r="38" spans="1:10">
      <c r="A38" s="36"/>
      <c r="B38"/>
      <c r="F38"/>
      <c r="G38" s="56"/>
      <c r="H38" s="129"/>
      <c r="I38" s="36"/>
      <c r="J38" s="36"/>
    </row>
    <row r="39" spans="1:10">
      <c r="A39" s="36"/>
      <c r="B39"/>
      <c r="F39"/>
      <c r="G39" s="56"/>
      <c r="H39" s="129"/>
      <c r="I39" s="36"/>
      <c r="J39" s="36"/>
    </row>
    <row r="40" spans="1:10">
      <c r="A40" s="36"/>
      <c r="B40"/>
      <c r="F40"/>
      <c r="G40" s="56"/>
      <c r="H40" s="129"/>
      <c r="I40" s="36"/>
      <c r="J40" s="36"/>
    </row>
    <row r="41" spans="1:10">
      <c r="A41" s="36"/>
      <c r="B41"/>
      <c r="F41"/>
      <c r="G41" s="56"/>
      <c r="H41" s="129"/>
      <c r="I41" s="36"/>
      <c r="J41" s="36"/>
    </row>
    <row r="42" spans="1:10">
      <c r="A42" s="36"/>
      <c r="B42"/>
      <c r="F42"/>
      <c r="G42" s="56"/>
      <c r="H42" s="129"/>
      <c r="I42" s="36"/>
      <c r="J42" s="36"/>
    </row>
    <row r="43" spans="1:10">
      <c r="A43" s="36"/>
      <c r="B43"/>
      <c r="F43"/>
      <c r="G43" s="56"/>
      <c r="H43" s="129"/>
      <c r="I43" s="36"/>
      <c r="J43" s="36"/>
    </row>
    <row r="44" spans="1:10">
      <c r="A44" s="36"/>
      <c r="B44"/>
      <c r="F44"/>
      <c r="G44" s="56"/>
      <c r="H44" s="129"/>
      <c r="I44" s="36"/>
      <c r="J44" s="36"/>
    </row>
    <row r="45" spans="1:10">
      <c r="A45" s="36"/>
      <c r="B45"/>
      <c r="F45"/>
      <c r="G45" s="56"/>
      <c r="H45" s="129"/>
      <c r="I45" s="36"/>
      <c r="J45" s="36"/>
    </row>
    <row r="46" spans="1:10">
      <c r="A46" s="36"/>
      <c r="B46"/>
      <c r="F46"/>
      <c r="G46" s="56"/>
      <c r="H46" s="129"/>
      <c r="I46" s="36"/>
      <c r="J46" s="36"/>
    </row>
    <row r="47" spans="1:10">
      <c r="A47" s="36"/>
      <c r="B47"/>
      <c r="F47"/>
      <c r="G47" s="56"/>
      <c r="H47" s="129"/>
      <c r="I47" s="36"/>
      <c r="J47" s="36"/>
    </row>
    <row r="48" spans="1:10">
      <c r="A48" s="36"/>
      <c r="B48"/>
      <c r="F48"/>
      <c r="G48" s="56"/>
      <c r="H48" s="129"/>
      <c r="I48" s="36"/>
      <c r="J48" s="36"/>
    </row>
    <row r="49" spans="1:10">
      <c r="A49" s="36"/>
      <c r="B49"/>
      <c r="F49"/>
      <c r="G49" s="56"/>
      <c r="H49" s="129"/>
      <c r="I49" s="36"/>
      <c r="J49" s="36"/>
    </row>
    <row r="50" spans="1:10">
      <c r="A50" s="36"/>
      <c r="B50"/>
      <c r="F50"/>
      <c r="G50" s="56"/>
      <c r="H50" s="129"/>
      <c r="I50" s="36"/>
      <c r="J50" s="36"/>
    </row>
    <row r="51" spans="1:10">
      <c r="A51" s="36"/>
      <c r="B51"/>
      <c r="F51"/>
      <c r="G51" s="56"/>
      <c r="H51" s="129"/>
      <c r="I51" s="36"/>
      <c r="J51" s="36"/>
    </row>
    <row r="52" spans="1:10">
      <c r="A52" s="36"/>
      <c r="B52"/>
      <c r="F52"/>
      <c r="G52" s="56"/>
      <c r="H52" s="129"/>
      <c r="I52" s="36"/>
      <c r="J52" s="36"/>
    </row>
    <row r="53" spans="1:10">
      <c r="A53" s="36"/>
      <c r="B53"/>
      <c r="F53"/>
      <c r="G53" s="56"/>
      <c r="H53" s="129"/>
      <c r="I53" s="36"/>
      <c r="J53" s="36"/>
    </row>
    <row r="54" spans="1:10">
      <c r="A54" s="36"/>
      <c r="B54"/>
      <c r="F54"/>
      <c r="G54" s="56"/>
      <c r="H54" s="129"/>
      <c r="I54" s="36"/>
      <c r="J54" s="36"/>
    </row>
    <row r="55" spans="1:10">
      <c r="A55" s="36"/>
      <c r="B55"/>
      <c r="F55"/>
      <c r="G55" s="129"/>
      <c r="H55" s="36"/>
      <c r="I55" s="36"/>
      <c r="J55" s="36"/>
    </row>
    <row r="56" spans="1:10">
      <c r="A56" s="36"/>
      <c r="B56"/>
      <c r="F56"/>
      <c r="G56" s="129"/>
      <c r="H56" s="36"/>
      <c r="I56" s="36"/>
      <c r="J56" s="36"/>
    </row>
    <row r="57" spans="1:10">
      <c r="A57" s="36"/>
      <c r="B57"/>
      <c r="F57"/>
      <c r="G57" s="129"/>
      <c r="H57" s="36"/>
      <c r="I57" s="36"/>
      <c r="J57" s="36"/>
    </row>
    <row r="58" spans="1:10">
      <c r="A58" s="36"/>
      <c r="B58"/>
      <c r="F58"/>
      <c r="G58" s="129"/>
      <c r="H58" s="36"/>
      <c r="I58" s="36"/>
      <c r="J58" s="36"/>
    </row>
    <row r="59" spans="1:10">
      <c r="A59" s="36"/>
      <c r="B59"/>
      <c r="F59"/>
      <c r="G59" s="129"/>
      <c r="H59" s="36"/>
      <c r="I59" s="36"/>
      <c r="J59" s="36"/>
    </row>
    <row r="60" spans="1:10">
      <c r="A60" s="36"/>
      <c r="B60"/>
      <c r="F60"/>
      <c r="G60" s="129"/>
      <c r="H60" s="36"/>
      <c r="I60" s="36"/>
      <c r="J60" s="36"/>
    </row>
    <row r="61" spans="1:10">
      <c r="A61" s="36"/>
      <c r="B61"/>
      <c r="F61"/>
      <c r="G61" s="129"/>
      <c r="H61" s="36"/>
      <c r="I61" s="36"/>
      <c r="J61" s="36"/>
    </row>
    <row r="62" spans="1:10">
      <c r="A62" s="36"/>
      <c r="B62"/>
      <c r="F62"/>
      <c r="G62" s="129"/>
      <c r="H62" s="36"/>
      <c r="I62" s="36"/>
      <c r="J62" s="36"/>
    </row>
    <row r="63" spans="1:10">
      <c r="A63" s="36"/>
      <c r="B63"/>
      <c r="F63"/>
      <c r="G63" s="129"/>
      <c r="H63" s="36"/>
      <c r="I63" s="36"/>
      <c r="J63" s="36"/>
    </row>
    <row r="64" spans="1:10">
      <c r="A64" s="36"/>
      <c r="B64"/>
      <c r="F64"/>
      <c r="G64" s="129"/>
      <c r="H64" s="36"/>
      <c r="I64" s="36"/>
      <c r="J64" s="36"/>
    </row>
    <row r="65" spans="1:10">
      <c r="A65" s="36"/>
      <c r="B65"/>
      <c r="F65"/>
      <c r="G65" s="129"/>
      <c r="H65" s="36"/>
      <c r="I65" s="36"/>
      <c r="J65" s="36"/>
    </row>
    <row r="66" spans="1:10">
      <c r="A66" s="36"/>
      <c r="B66"/>
      <c r="F66"/>
      <c r="G66" s="129"/>
      <c r="H66" s="36"/>
      <c r="I66" s="36"/>
      <c r="J66" s="36"/>
    </row>
    <row r="67" spans="1:10">
      <c r="A67" s="36"/>
      <c r="B67"/>
      <c r="F67"/>
      <c r="G67" s="129"/>
      <c r="H67" s="36"/>
      <c r="I67" s="36"/>
      <c r="J67" s="36"/>
    </row>
    <row r="68" spans="1:10">
      <c r="A68" s="36"/>
      <c r="B68"/>
      <c r="F68"/>
      <c r="G68" s="129"/>
      <c r="H68" s="36"/>
      <c r="I68" s="36"/>
      <c r="J68" s="36"/>
    </row>
    <row r="69" spans="1:10">
      <c r="A69" s="36"/>
      <c r="B69"/>
      <c r="F69"/>
      <c r="G69" s="129"/>
      <c r="H69" s="36"/>
      <c r="I69" s="36"/>
      <c r="J69" s="36"/>
    </row>
    <row r="70" spans="1:10">
      <c r="A70" s="36"/>
      <c r="B70"/>
      <c r="F70"/>
      <c r="G70" s="129"/>
      <c r="H70" s="36"/>
      <c r="I70" s="36"/>
      <c r="J70" s="36"/>
    </row>
    <row r="71" spans="1:10">
      <c r="A71" s="36"/>
      <c r="B71"/>
      <c r="F71"/>
      <c r="G71" s="129"/>
      <c r="H71" s="36"/>
      <c r="I71" s="36"/>
      <c r="J71" s="36"/>
    </row>
    <row r="72" spans="1:10">
      <c r="A72" s="36"/>
      <c r="B72"/>
      <c r="F72"/>
      <c r="G72" s="129"/>
      <c r="H72" s="36"/>
      <c r="I72" s="36"/>
      <c r="J72" s="36"/>
    </row>
    <row r="73" spans="1:10">
      <c r="A73" s="36"/>
      <c r="B73"/>
      <c r="F73"/>
      <c r="G73" s="129"/>
      <c r="H73" s="36"/>
      <c r="I73" s="36"/>
      <c r="J73" s="36"/>
    </row>
    <row r="74" spans="1:10">
      <c r="A74" s="36"/>
      <c r="B74"/>
      <c r="F74"/>
      <c r="G74" s="129"/>
      <c r="H74" s="36"/>
      <c r="I74" s="36"/>
      <c r="J74" s="36"/>
    </row>
    <row r="75" spans="1:10">
      <c r="A75" s="36"/>
      <c r="B75"/>
      <c r="F75"/>
      <c r="G75" s="129"/>
      <c r="H75" s="36"/>
      <c r="I75" s="36"/>
      <c r="J75" s="36"/>
    </row>
    <row r="76" spans="1:10">
      <c r="A76" s="36"/>
      <c r="B76"/>
      <c r="F76"/>
      <c r="G76" s="129"/>
      <c r="H76" s="36"/>
      <c r="I76" s="36"/>
      <c r="J76" s="36"/>
    </row>
    <row r="77" spans="1:10">
      <c r="A77" s="36"/>
      <c r="B77"/>
      <c r="F77"/>
      <c r="G77" s="129"/>
      <c r="H77" s="36"/>
      <c r="I77" s="36"/>
      <c r="J77" s="36"/>
    </row>
    <row r="78" spans="1:10">
      <c r="A78" s="36"/>
      <c r="B78"/>
      <c r="F78"/>
      <c r="G78" s="129"/>
      <c r="H78" s="36"/>
      <c r="I78" s="36"/>
      <c r="J78" s="36"/>
    </row>
    <row r="79" spans="1:10">
      <c r="A79" s="36"/>
      <c r="B79"/>
      <c r="F79"/>
      <c r="G79" s="129"/>
      <c r="H79" s="36"/>
      <c r="I79" s="36"/>
      <c r="J79" s="36"/>
    </row>
    <row r="80" spans="1:10">
      <c r="A80" s="36"/>
      <c r="B80"/>
      <c r="F80"/>
      <c r="G80" s="129"/>
      <c r="H80" s="36"/>
      <c r="I80" s="36"/>
      <c r="J80" s="36"/>
    </row>
    <row r="81" spans="1:10">
      <c r="A81" s="394"/>
      <c r="B81"/>
      <c r="F81"/>
      <c r="G81" s="129"/>
      <c r="H81" s="36"/>
      <c r="I81" s="36"/>
      <c r="J81" s="36"/>
    </row>
    <row r="82" spans="1:10">
      <c r="A82" s="395"/>
      <c r="B82"/>
      <c r="F82"/>
      <c r="G82" s="129"/>
      <c r="H82" s="36"/>
      <c r="I82" s="36"/>
      <c r="J82" s="36"/>
    </row>
    <row r="83" spans="1:10">
      <c r="A83" s="395" t="s">
        <v>2188</v>
      </c>
      <c r="B83"/>
      <c r="F83"/>
      <c r="G83" s="129"/>
      <c r="H83" s="36"/>
      <c r="I83" s="36"/>
      <c r="J83" s="36"/>
    </row>
    <row r="84" spans="1:10">
      <c r="A84" s="394"/>
      <c r="B84"/>
      <c r="F84"/>
      <c r="G84" s="129"/>
      <c r="H84" s="36"/>
      <c r="I84" s="36"/>
      <c r="J84" s="36"/>
    </row>
    <row r="85" spans="1:10">
      <c r="A85" s="394"/>
      <c r="B85"/>
      <c r="F85"/>
      <c r="G85" s="129"/>
      <c r="H85" s="36"/>
      <c r="I85" s="36"/>
      <c r="J85" s="36"/>
    </row>
    <row r="86" spans="1:10">
      <c r="A86" s="395"/>
      <c r="B86"/>
      <c r="F86"/>
      <c r="G86" s="129"/>
      <c r="H86" s="36"/>
      <c r="I86" s="36"/>
      <c r="J86" s="36"/>
    </row>
    <row r="87" spans="1:10">
      <c r="A87" s="395"/>
      <c r="B87"/>
      <c r="F87"/>
      <c r="G87" s="129"/>
      <c r="H87" s="36"/>
      <c r="I87" s="36"/>
      <c r="J87" s="36"/>
    </row>
    <row r="88" spans="1:10">
      <c r="A88" s="36"/>
      <c r="B88"/>
      <c r="F88"/>
      <c r="G88" s="129"/>
      <c r="H88" s="36"/>
      <c r="I88" s="36"/>
      <c r="J88" s="36"/>
    </row>
    <row r="89" spans="1:10">
      <c r="A89" s="36"/>
      <c r="B89"/>
      <c r="F89"/>
      <c r="G89" s="129"/>
      <c r="H89" s="36"/>
      <c r="I89" s="36"/>
      <c r="J89" s="36"/>
    </row>
    <row r="90" spans="1:10">
      <c r="A90" s="36"/>
      <c r="B90"/>
      <c r="F90"/>
      <c r="G90" s="129"/>
      <c r="H90" s="36"/>
      <c r="I90" s="36"/>
      <c r="J90" s="36"/>
    </row>
    <row r="91" spans="1:10">
      <c r="A91" s="405"/>
      <c r="B91"/>
      <c r="F91"/>
      <c r="G91" s="129"/>
      <c r="H91" s="36"/>
      <c r="I91" s="36"/>
      <c r="J91" s="36"/>
    </row>
    <row r="92" spans="1:10">
      <c r="A92" s="395"/>
      <c r="B92"/>
      <c r="F92"/>
      <c r="G92" s="129"/>
      <c r="H92" s="36"/>
      <c r="I92" s="36"/>
      <c r="J92" s="36"/>
    </row>
    <row r="93" spans="1:10">
      <c r="A93" s="395"/>
      <c r="B93"/>
      <c r="F93"/>
      <c r="G93" s="129"/>
      <c r="H93" s="36"/>
      <c r="I93" s="36"/>
      <c r="J93" s="36"/>
    </row>
    <row r="94" spans="1:10">
      <c r="A94" s="394"/>
      <c r="B94"/>
      <c r="F94"/>
      <c r="G94" s="129"/>
      <c r="H94" s="36"/>
      <c r="I94" s="36"/>
      <c r="J94" s="36"/>
    </row>
    <row r="95" spans="1:10">
      <c r="A95" s="394"/>
      <c r="B95"/>
      <c r="F95"/>
      <c r="G95" s="129"/>
      <c r="H95" s="36"/>
      <c r="I95" s="36"/>
      <c r="J95" s="36"/>
    </row>
    <row r="96" spans="1:10">
      <c r="B96"/>
      <c r="F96"/>
    </row>
    <row r="97" spans="1:6">
      <c r="B97"/>
      <c r="F97"/>
    </row>
    <row r="98" spans="1:6">
      <c r="A98" s="142" t="s">
        <v>2187</v>
      </c>
      <c r="B98"/>
      <c r="F98"/>
    </row>
    <row r="99" spans="1:6">
      <c r="A99" s="144" t="s">
        <v>2281</v>
      </c>
      <c r="B99"/>
      <c r="F99"/>
    </row>
    <row r="100" spans="1:6">
      <c r="A100" s="144" t="s">
        <v>2188</v>
      </c>
      <c r="B100"/>
      <c r="F100"/>
    </row>
    <row r="101" spans="1:6">
      <c r="A101" s="146"/>
      <c r="B101"/>
      <c r="F101"/>
    </row>
    <row r="102" spans="1:6">
      <c r="A102" s="146"/>
      <c r="B102"/>
      <c r="F102"/>
    </row>
    <row r="103" spans="1:6">
      <c r="A103" s="144" t="s">
        <v>2282</v>
      </c>
      <c r="B103"/>
      <c r="F103"/>
    </row>
    <row r="104" spans="1:6">
      <c r="A104" s="144" t="s">
        <v>2283</v>
      </c>
      <c r="B104"/>
      <c r="F104"/>
    </row>
    <row r="105" spans="1:6">
      <c r="B105"/>
      <c r="F105"/>
    </row>
    <row r="106" spans="1:6">
      <c r="B106"/>
      <c r="F106"/>
    </row>
    <row r="107" spans="1:6">
      <c r="B107"/>
      <c r="F107"/>
    </row>
    <row r="108" spans="1:6">
      <c r="B108"/>
      <c r="F108"/>
    </row>
    <row r="109" spans="1:6">
      <c r="B109"/>
      <c r="F109"/>
    </row>
    <row r="110" spans="1:6">
      <c r="B110"/>
      <c r="F110"/>
    </row>
    <row r="111" spans="1:6">
      <c r="B111"/>
      <c r="F111"/>
    </row>
    <row r="112" spans="1:6">
      <c r="B112"/>
      <c r="F112"/>
    </row>
    <row r="113" spans="2:6">
      <c r="B113"/>
      <c r="F113"/>
    </row>
    <row r="114" spans="2:6">
      <c r="B114"/>
      <c r="F114"/>
    </row>
    <row r="115" spans="2:6">
      <c r="B115"/>
      <c r="F115"/>
    </row>
    <row r="116" spans="2:6">
      <c r="B116"/>
      <c r="F116"/>
    </row>
    <row r="117" spans="2:6">
      <c r="B117"/>
      <c r="F117"/>
    </row>
    <row r="118" spans="2:6">
      <c r="B118"/>
      <c r="F118"/>
    </row>
    <row r="119" spans="2:6">
      <c r="B119"/>
      <c r="F119"/>
    </row>
    <row r="120" spans="2:6">
      <c r="B120"/>
      <c r="F120"/>
    </row>
    <row r="121" spans="2:6">
      <c r="B121"/>
      <c r="F121"/>
    </row>
    <row r="122" spans="2:6">
      <c r="B122"/>
      <c r="F122"/>
    </row>
    <row r="123" spans="2:6">
      <c r="B123"/>
      <c r="F123"/>
    </row>
    <row r="124" spans="2:6">
      <c r="B124"/>
      <c r="F124"/>
    </row>
    <row r="125" spans="2:6">
      <c r="B125"/>
      <c r="F125"/>
    </row>
    <row r="126" spans="2:6">
      <c r="B126"/>
      <c r="F126"/>
    </row>
    <row r="127" spans="2:6">
      <c r="B127"/>
      <c r="F127"/>
    </row>
    <row r="128" spans="2:6">
      <c r="B128"/>
      <c r="F128"/>
    </row>
    <row r="129" spans="2:6">
      <c r="B129"/>
      <c r="F129"/>
    </row>
    <row r="130" spans="2:6">
      <c r="B130"/>
      <c r="F130"/>
    </row>
    <row r="131" spans="2:6">
      <c r="B131"/>
      <c r="F131"/>
    </row>
    <row r="132" spans="2:6">
      <c r="B132"/>
      <c r="F132"/>
    </row>
    <row r="133" spans="2:6">
      <c r="B133"/>
      <c r="F133"/>
    </row>
    <row r="134" spans="2:6">
      <c r="B134"/>
      <c r="F134"/>
    </row>
    <row r="135" spans="2:6">
      <c r="B135"/>
      <c r="F135"/>
    </row>
    <row r="136" spans="2:6">
      <c r="B136"/>
      <c r="F136"/>
    </row>
    <row r="137" spans="2:6">
      <c r="B137"/>
      <c r="F137"/>
    </row>
    <row r="138" spans="2:6">
      <c r="B138"/>
      <c r="F138"/>
    </row>
    <row r="139" spans="2:6">
      <c r="B139"/>
      <c r="F139"/>
    </row>
    <row r="140" spans="2:6">
      <c r="B140"/>
      <c r="F140"/>
    </row>
    <row r="141" spans="2:6">
      <c r="B141"/>
      <c r="F141"/>
    </row>
    <row r="142" spans="2:6">
      <c r="B142"/>
      <c r="F142"/>
    </row>
    <row r="143" spans="2:6">
      <c r="B143"/>
      <c r="F143"/>
    </row>
    <row r="144" spans="2:6">
      <c r="B144"/>
      <c r="F144"/>
    </row>
    <row r="145" spans="2:6">
      <c r="B145"/>
      <c r="F145"/>
    </row>
    <row r="146" spans="2:6">
      <c r="B146"/>
      <c r="F146"/>
    </row>
    <row r="147" spans="2:6">
      <c r="B147"/>
      <c r="F147"/>
    </row>
    <row r="148" spans="2:6">
      <c r="B148"/>
      <c r="F148"/>
    </row>
    <row r="149" spans="2:6">
      <c r="B149"/>
      <c r="F149"/>
    </row>
    <row r="150" spans="2:6">
      <c r="B150"/>
      <c r="F150"/>
    </row>
    <row r="151" spans="2:6">
      <c r="B151"/>
      <c r="F151"/>
    </row>
    <row r="152" spans="2:6">
      <c r="B152"/>
      <c r="F152"/>
    </row>
    <row r="153" spans="2:6">
      <c r="B153"/>
      <c r="F153"/>
    </row>
    <row r="154" spans="2:6">
      <c r="B154"/>
      <c r="F154"/>
    </row>
    <row r="155" spans="2:6">
      <c r="B155"/>
      <c r="F155"/>
    </row>
    <row r="156" spans="2:6">
      <c r="B156"/>
      <c r="F156"/>
    </row>
    <row r="157" spans="2:6">
      <c r="B157"/>
      <c r="F157"/>
    </row>
    <row r="158" spans="2:6">
      <c r="B158"/>
      <c r="F158"/>
    </row>
    <row r="159" spans="2:6">
      <c r="B159"/>
      <c r="F159"/>
    </row>
    <row r="160" spans="2:6">
      <c r="B160"/>
      <c r="F160"/>
    </row>
    <row r="161" spans="2:6">
      <c r="B161"/>
      <c r="F161"/>
    </row>
    <row r="162" spans="2:6">
      <c r="B162"/>
      <c r="F162"/>
    </row>
    <row r="163" spans="2:6">
      <c r="B163"/>
      <c r="F163"/>
    </row>
    <row r="164" spans="2:6">
      <c r="B164"/>
      <c r="F164"/>
    </row>
    <row r="165" spans="2:6">
      <c r="B165"/>
      <c r="F165"/>
    </row>
    <row r="166" spans="2:6">
      <c r="B166"/>
      <c r="F166"/>
    </row>
    <row r="167" spans="2:6">
      <c r="B167"/>
      <c r="F167"/>
    </row>
    <row r="168" spans="2:6">
      <c r="B168"/>
      <c r="F168"/>
    </row>
    <row r="169" spans="2:6">
      <c r="B169"/>
      <c r="F169"/>
    </row>
    <row r="170" spans="2:6">
      <c r="B170"/>
      <c r="F170"/>
    </row>
    <row r="171" spans="2:6">
      <c r="B171"/>
      <c r="F171"/>
    </row>
    <row r="172" spans="2:6">
      <c r="B172"/>
      <c r="F172"/>
    </row>
    <row r="173" spans="2:6">
      <c r="B173"/>
      <c r="F173"/>
    </row>
    <row r="174" spans="2:6">
      <c r="B174"/>
      <c r="F174"/>
    </row>
    <row r="175" spans="2:6">
      <c r="B175"/>
      <c r="F175"/>
    </row>
    <row r="176" spans="2:6">
      <c r="B176"/>
      <c r="F176"/>
    </row>
    <row r="177" spans="2:6">
      <c r="B177"/>
      <c r="F177"/>
    </row>
    <row r="178" spans="2:6">
      <c r="B178"/>
      <c r="F178"/>
    </row>
    <row r="179" spans="2:6">
      <c r="B179"/>
      <c r="F179"/>
    </row>
    <row r="180" spans="2:6">
      <c r="B180"/>
      <c r="F180"/>
    </row>
    <row r="181" spans="2:6">
      <c r="B181"/>
      <c r="F181"/>
    </row>
    <row r="182" spans="2:6">
      <c r="B182"/>
      <c r="F182"/>
    </row>
    <row r="183" spans="2:6">
      <c r="B183"/>
      <c r="F183"/>
    </row>
    <row r="184" spans="2:6">
      <c r="B184"/>
      <c r="F184"/>
    </row>
    <row r="185" spans="2:6">
      <c r="B185"/>
      <c r="F185"/>
    </row>
    <row r="186" spans="2:6">
      <c r="B186"/>
      <c r="F186"/>
    </row>
    <row r="187" spans="2:6">
      <c r="B187"/>
      <c r="F187"/>
    </row>
    <row r="188" spans="2:6">
      <c r="B188"/>
      <c r="F188"/>
    </row>
    <row r="189" spans="2:6">
      <c r="B189"/>
      <c r="F189"/>
    </row>
    <row r="190" spans="2:6">
      <c r="B190"/>
      <c r="F190"/>
    </row>
    <row r="191" spans="2:6">
      <c r="B191"/>
      <c r="F191"/>
    </row>
    <row r="192" spans="2:6">
      <c r="B192"/>
      <c r="F192"/>
    </row>
    <row r="193" spans="2:6">
      <c r="B193"/>
      <c r="F193"/>
    </row>
    <row r="194" spans="2:6">
      <c r="B194"/>
      <c r="F194"/>
    </row>
    <row r="195" spans="2:6">
      <c r="B195"/>
      <c r="F195"/>
    </row>
    <row r="196" spans="2:6">
      <c r="B196"/>
      <c r="F196"/>
    </row>
    <row r="197" spans="2:6">
      <c r="B197"/>
      <c r="F197"/>
    </row>
    <row r="198" spans="2:6">
      <c r="B198"/>
      <c r="F198"/>
    </row>
    <row r="199" spans="2:6">
      <c r="B199"/>
      <c r="F199"/>
    </row>
    <row r="200" spans="2:6">
      <c r="B200"/>
      <c r="F200"/>
    </row>
    <row r="201" spans="2:6">
      <c r="B201"/>
      <c r="F201"/>
    </row>
    <row r="202" spans="2:6">
      <c r="B202"/>
      <c r="F202"/>
    </row>
    <row r="203" spans="2:6">
      <c r="B203"/>
      <c r="F203"/>
    </row>
    <row r="204" spans="2:6">
      <c r="B204"/>
      <c r="F204"/>
    </row>
    <row r="205" spans="2:6">
      <c r="B205"/>
      <c r="F205"/>
    </row>
    <row r="206" spans="2:6">
      <c r="B206"/>
      <c r="F206"/>
    </row>
    <row r="207" spans="2:6">
      <c r="B207"/>
      <c r="F207"/>
    </row>
    <row r="208" spans="2:6">
      <c r="B208"/>
      <c r="F208"/>
    </row>
    <row r="209" spans="2:6">
      <c r="B209"/>
      <c r="F209"/>
    </row>
    <row r="210" spans="2:6">
      <c r="B210"/>
      <c r="F210"/>
    </row>
    <row r="211" spans="2:6">
      <c r="B211"/>
      <c r="F211"/>
    </row>
    <row r="212" spans="2:6">
      <c r="B212"/>
      <c r="F212"/>
    </row>
    <row r="213" spans="2:6">
      <c r="B213"/>
      <c r="F213"/>
    </row>
    <row r="214" spans="2:6">
      <c r="B214"/>
      <c r="F214"/>
    </row>
    <row r="215" spans="2:6">
      <c r="B215"/>
      <c r="F215"/>
    </row>
    <row r="216" spans="2:6">
      <c r="B216"/>
      <c r="F216"/>
    </row>
    <row r="217" spans="2:6">
      <c r="B217"/>
      <c r="F217"/>
    </row>
    <row r="218" spans="2:6">
      <c r="B218"/>
      <c r="F218"/>
    </row>
    <row r="219" spans="2:6">
      <c r="B219"/>
      <c r="F219"/>
    </row>
    <row r="220" spans="2:6">
      <c r="B220"/>
      <c r="F220"/>
    </row>
    <row r="221" spans="2:6">
      <c r="B221"/>
      <c r="F221"/>
    </row>
    <row r="222" spans="2:6">
      <c r="B222"/>
      <c r="F222"/>
    </row>
    <row r="223" spans="2:6">
      <c r="B223"/>
      <c r="F223"/>
    </row>
    <row r="224" spans="2:6">
      <c r="B224"/>
      <c r="F224"/>
    </row>
    <row r="225" spans="2:6">
      <c r="B225"/>
      <c r="F225"/>
    </row>
    <row r="226" spans="2:6">
      <c r="B226"/>
      <c r="F226"/>
    </row>
    <row r="227" spans="2:6">
      <c r="B227"/>
      <c r="F227"/>
    </row>
    <row r="228" spans="2:6">
      <c r="B228"/>
      <c r="F228"/>
    </row>
    <row r="229" spans="2:6">
      <c r="B229"/>
      <c r="F229"/>
    </row>
    <row r="230" spans="2:6">
      <c r="B230"/>
      <c r="F230"/>
    </row>
    <row r="231" spans="2:6">
      <c r="B231"/>
      <c r="F231"/>
    </row>
    <row r="232" spans="2:6">
      <c r="B232"/>
      <c r="F232"/>
    </row>
    <row r="233" spans="2:6">
      <c r="B233"/>
      <c r="F233"/>
    </row>
    <row r="234" spans="2:6">
      <c r="B234"/>
      <c r="F234"/>
    </row>
    <row r="235" spans="2:6">
      <c r="B235"/>
      <c r="F235"/>
    </row>
    <row r="236" spans="2:6">
      <c r="B236"/>
      <c r="F236"/>
    </row>
    <row r="237" spans="2:6">
      <c r="B237"/>
      <c r="F237"/>
    </row>
    <row r="238" spans="2:6">
      <c r="B238"/>
      <c r="F238"/>
    </row>
    <row r="239" spans="2:6">
      <c r="B239"/>
      <c r="F239"/>
    </row>
    <row r="240" spans="2:6">
      <c r="B240"/>
      <c r="F240"/>
    </row>
    <row r="241" spans="2:6">
      <c r="B241"/>
      <c r="F241"/>
    </row>
    <row r="242" spans="2:6">
      <c r="B242"/>
      <c r="F242"/>
    </row>
    <row r="243" spans="2:6">
      <c r="B243"/>
      <c r="F243"/>
    </row>
    <row r="244" spans="2:6">
      <c r="B244"/>
      <c r="F244"/>
    </row>
    <row r="245" spans="2:6">
      <c r="B245"/>
      <c r="F245"/>
    </row>
    <row r="246" spans="2:6">
      <c r="B246"/>
      <c r="F246"/>
    </row>
    <row r="247" spans="2:6">
      <c r="B247"/>
      <c r="F247"/>
    </row>
    <row r="248" spans="2:6">
      <c r="B248"/>
      <c r="F248"/>
    </row>
    <row r="249" spans="2:6">
      <c r="B249"/>
      <c r="F249"/>
    </row>
    <row r="250" spans="2:6">
      <c r="B250"/>
      <c r="F250"/>
    </row>
    <row r="251" spans="2:6">
      <c r="B251"/>
      <c r="F251"/>
    </row>
    <row r="252" spans="2:6">
      <c r="B252"/>
      <c r="F252"/>
    </row>
    <row r="253" spans="2:6">
      <c r="B253"/>
      <c r="F253"/>
    </row>
    <row r="254" spans="2:6">
      <c r="B254"/>
      <c r="F254"/>
    </row>
    <row r="255" spans="2:6">
      <c r="B255"/>
      <c r="F255"/>
    </row>
    <row r="256" spans="2:6">
      <c r="B256"/>
      <c r="F256"/>
    </row>
    <row r="257" spans="2:6">
      <c r="B257"/>
      <c r="F257"/>
    </row>
    <row r="258" spans="2:6">
      <c r="B258"/>
      <c r="F258"/>
    </row>
    <row r="259" spans="2:6">
      <c r="B259"/>
      <c r="F259"/>
    </row>
    <row r="260" spans="2:6">
      <c r="B260"/>
      <c r="F260"/>
    </row>
    <row r="261" spans="2:6">
      <c r="B261"/>
      <c r="F261"/>
    </row>
    <row r="262" spans="2:6">
      <c r="B262"/>
      <c r="F262"/>
    </row>
    <row r="263" spans="2:6">
      <c r="B263"/>
      <c r="F263"/>
    </row>
    <row r="264" spans="2:6">
      <c r="B264"/>
      <c r="F264"/>
    </row>
    <row r="265" spans="2:6">
      <c r="B265"/>
      <c r="F265"/>
    </row>
    <row r="266" spans="2:6">
      <c r="B266"/>
      <c r="F266"/>
    </row>
    <row r="267" spans="2:6">
      <c r="B267"/>
      <c r="F267"/>
    </row>
    <row r="268" spans="2:6">
      <c r="B268"/>
      <c r="F268"/>
    </row>
    <row r="269" spans="2:6">
      <c r="B269"/>
      <c r="F269"/>
    </row>
    <row r="270" spans="2:6">
      <c r="B270"/>
      <c r="F270"/>
    </row>
    <row r="271" spans="2:6">
      <c r="B271"/>
      <c r="F271"/>
    </row>
    <row r="272" spans="2:6">
      <c r="B272"/>
      <c r="F272"/>
    </row>
    <row r="273" spans="2:6">
      <c r="B273"/>
      <c r="F273"/>
    </row>
    <row r="274" spans="2:6">
      <c r="B274"/>
      <c r="F274"/>
    </row>
    <row r="275" spans="2:6">
      <c r="B275"/>
      <c r="F275"/>
    </row>
    <row r="276" spans="2:6">
      <c r="B276"/>
      <c r="F276"/>
    </row>
    <row r="277" spans="2:6">
      <c r="B277"/>
      <c r="F277"/>
    </row>
    <row r="278" spans="2:6">
      <c r="B278"/>
      <c r="F278"/>
    </row>
    <row r="279" spans="2:6">
      <c r="B279"/>
      <c r="F279"/>
    </row>
    <row r="280" spans="2:6">
      <c r="B280"/>
      <c r="F280"/>
    </row>
    <row r="281" spans="2:6">
      <c r="B281"/>
      <c r="F281"/>
    </row>
    <row r="282" spans="2:6">
      <c r="B282"/>
      <c r="F282"/>
    </row>
    <row r="283" spans="2:6">
      <c r="B283"/>
      <c r="F283"/>
    </row>
    <row r="284" spans="2:6">
      <c r="B284"/>
      <c r="F284"/>
    </row>
    <row r="285" spans="2:6">
      <c r="B285"/>
      <c r="F285"/>
    </row>
    <row r="286" spans="2:6">
      <c r="B286"/>
      <c r="F286"/>
    </row>
    <row r="287" spans="2:6">
      <c r="B287"/>
      <c r="F287"/>
    </row>
    <row r="288" spans="2:6">
      <c r="B288"/>
      <c r="F288"/>
    </row>
    <row r="289" spans="2:6">
      <c r="B289"/>
      <c r="F289"/>
    </row>
    <row r="290" spans="2:6">
      <c r="B290"/>
      <c r="F290"/>
    </row>
    <row r="291" spans="2:6">
      <c r="B291"/>
      <c r="F291"/>
    </row>
    <row r="292" spans="2:6">
      <c r="B292"/>
      <c r="F292"/>
    </row>
    <row r="293" spans="2:6">
      <c r="B293"/>
      <c r="F293"/>
    </row>
    <row r="294" spans="2:6">
      <c r="B294"/>
      <c r="F294"/>
    </row>
    <row r="295" spans="2:6">
      <c r="B295"/>
      <c r="F295"/>
    </row>
    <row r="296" spans="2:6">
      <c r="B296"/>
      <c r="F296"/>
    </row>
    <row r="297" spans="2:6">
      <c r="B297"/>
      <c r="F297"/>
    </row>
    <row r="298" spans="2:6">
      <c r="B298"/>
      <c r="F298"/>
    </row>
    <row r="299" spans="2:6">
      <c r="B299"/>
      <c r="F299"/>
    </row>
    <row r="300" spans="2:6">
      <c r="B300"/>
      <c r="F300"/>
    </row>
    <row r="301" spans="2:6">
      <c r="B301"/>
      <c r="F301"/>
    </row>
    <row r="302" spans="2:6">
      <c r="B302"/>
      <c r="F302"/>
    </row>
    <row r="303" spans="2:6">
      <c r="B303"/>
      <c r="F303"/>
    </row>
    <row r="304" spans="2:6">
      <c r="B304"/>
      <c r="F304"/>
    </row>
    <row r="305" spans="2:6">
      <c r="B305"/>
      <c r="F305"/>
    </row>
    <row r="306" spans="2:6">
      <c r="B306"/>
      <c r="F306"/>
    </row>
    <row r="307" spans="2:6">
      <c r="B307"/>
      <c r="F307"/>
    </row>
    <row r="308" spans="2:6">
      <c r="B308"/>
      <c r="F308"/>
    </row>
    <row r="309" spans="2:6">
      <c r="B309"/>
      <c r="F309"/>
    </row>
    <row r="310" spans="2:6">
      <c r="B310"/>
      <c r="F310"/>
    </row>
    <row r="311" spans="2:6">
      <c r="B311"/>
      <c r="F311"/>
    </row>
    <row r="312" spans="2:6">
      <c r="B312"/>
      <c r="F312"/>
    </row>
    <row r="313" spans="2:6">
      <c r="B313"/>
      <c r="F313"/>
    </row>
    <row r="314" spans="2:6">
      <c r="B314"/>
      <c r="F314"/>
    </row>
    <row r="315" spans="2:6">
      <c r="B315"/>
      <c r="F315"/>
    </row>
    <row r="316" spans="2:6">
      <c r="B316"/>
      <c r="F316"/>
    </row>
    <row r="317" spans="2:6">
      <c r="B317"/>
      <c r="F317"/>
    </row>
    <row r="318" spans="2:6">
      <c r="B318"/>
      <c r="F318"/>
    </row>
    <row r="319" spans="2:6">
      <c r="B319"/>
      <c r="F319"/>
    </row>
    <row r="320" spans="2:6">
      <c r="B320"/>
      <c r="F320"/>
    </row>
    <row r="321" spans="2:6">
      <c r="B321"/>
      <c r="F321"/>
    </row>
    <row r="322" spans="2:6">
      <c r="B322"/>
      <c r="F322"/>
    </row>
    <row r="323" spans="2:6">
      <c r="B323"/>
      <c r="F323"/>
    </row>
    <row r="324" spans="2:6">
      <c r="B324"/>
      <c r="F324"/>
    </row>
    <row r="325" spans="2:6">
      <c r="B325"/>
      <c r="F325"/>
    </row>
    <row r="326" spans="2:6">
      <c r="B326"/>
      <c r="F326"/>
    </row>
    <row r="327" spans="2:6">
      <c r="B327"/>
      <c r="F327"/>
    </row>
    <row r="328" spans="2:6">
      <c r="B328"/>
      <c r="F328"/>
    </row>
    <row r="329" spans="2:6">
      <c r="B329"/>
      <c r="F329"/>
    </row>
    <row r="330" spans="2:6">
      <c r="B330"/>
      <c r="F330"/>
    </row>
    <row r="331" spans="2:6">
      <c r="B331"/>
      <c r="F331"/>
    </row>
    <row r="332" spans="2:6">
      <c r="B332"/>
      <c r="F332"/>
    </row>
    <row r="333" spans="2:6">
      <c r="B333"/>
      <c r="F333"/>
    </row>
    <row r="334" spans="2:6">
      <c r="B334"/>
      <c r="F334"/>
    </row>
    <row r="335" spans="2:6">
      <c r="B335"/>
      <c r="F335"/>
    </row>
    <row r="336" spans="2:6">
      <c r="B336"/>
      <c r="F336"/>
    </row>
    <row r="337" spans="2:6">
      <c r="B337"/>
      <c r="F337"/>
    </row>
    <row r="338" spans="2:6">
      <c r="B338"/>
      <c r="F338"/>
    </row>
    <row r="339" spans="2:6">
      <c r="B339"/>
      <c r="F339"/>
    </row>
    <row r="340" spans="2:6">
      <c r="B340"/>
      <c r="F340"/>
    </row>
    <row r="341" spans="2:6">
      <c r="B341"/>
      <c r="F341"/>
    </row>
    <row r="342" spans="2:6">
      <c r="B342"/>
      <c r="F342"/>
    </row>
    <row r="343" spans="2:6">
      <c r="B343"/>
      <c r="F343"/>
    </row>
    <row r="344" spans="2:6">
      <c r="B344"/>
      <c r="F344"/>
    </row>
    <row r="345" spans="2:6">
      <c r="B345"/>
      <c r="F345"/>
    </row>
    <row r="346" spans="2:6">
      <c r="B346"/>
      <c r="F346"/>
    </row>
    <row r="347" spans="2:6">
      <c r="B347"/>
      <c r="F347"/>
    </row>
    <row r="348" spans="2:6">
      <c r="B348"/>
      <c r="F348"/>
    </row>
    <row r="349" spans="2:6">
      <c r="B349"/>
      <c r="F349"/>
    </row>
    <row r="350" spans="2:6">
      <c r="B350"/>
      <c r="F350"/>
    </row>
    <row r="351" spans="2:6">
      <c r="B351"/>
      <c r="F351"/>
    </row>
    <row r="352" spans="2:6">
      <c r="B352"/>
      <c r="F352"/>
    </row>
    <row r="353" spans="2:6">
      <c r="B353"/>
      <c r="F353"/>
    </row>
    <row r="354" spans="2:6">
      <c r="B354"/>
      <c r="F354"/>
    </row>
    <row r="355" spans="2:6">
      <c r="B355"/>
      <c r="F355"/>
    </row>
    <row r="356" spans="2:6">
      <c r="B356"/>
      <c r="F356"/>
    </row>
    <row r="357" spans="2:6">
      <c r="B357"/>
      <c r="F357"/>
    </row>
    <row r="358" spans="2:6">
      <c r="B358"/>
      <c r="F358"/>
    </row>
    <row r="359" spans="2:6">
      <c r="B359"/>
      <c r="F359"/>
    </row>
    <row r="360" spans="2:6">
      <c r="B360"/>
      <c r="F360"/>
    </row>
    <row r="361" spans="2:6">
      <c r="B361"/>
      <c r="F361"/>
    </row>
    <row r="362" spans="2:6">
      <c r="B362"/>
      <c r="F362"/>
    </row>
    <row r="363" spans="2:6">
      <c r="B363"/>
      <c r="F363"/>
    </row>
    <row r="364" spans="2:6">
      <c r="B364"/>
      <c r="F364"/>
    </row>
    <row r="365" spans="2:6">
      <c r="B365"/>
      <c r="F365"/>
    </row>
    <row r="366" spans="2:6">
      <c r="B366"/>
      <c r="F366"/>
    </row>
    <row r="367" spans="2:6">
      <c r="B367"/>
      <c r="F367"/>
    </row>
    <row r="368" spans="2:6">
      <c r="B368"/>
      <c r="F368"/>
    </row>
    <row r="369" spans="2:6">
      <c r="B369"/>
      <c r="F369"/>
    </row>
    <row r="370" spans="2:6">
      <c r="B370"/>
      <c r="F370"/>
    </row>
    <row r="371" spans="2:6">
      <c r="B371"/>
      <c r="F371"/>
    </row>
    <row r="372" spans="2:6">
      <c r="B372"/>
      <c r="F372"/>
    </row>
    <row r="373" spans="2:6">
      <c r="B373"/>
      <c r="F373"/>
    </row>
    <row r="374" spans="2:6">
      <c r="B374"/>
      <c r="F374"/>
    </row>
    <row r="375" spans="2:6">
      <c r="B375"/>
      <c r="F375"/>
    </row>
    <row r="376" spans="2:6">
      <c r="B376"/>
      <c r="F376"/>
    </row>
    <row r="377" spans="2:6">
      <c r="B377"/>
      <c r="F377"/>
    </row>
    <row r="378" spans="2:6">
      <c r="B378"/>
      <c r="F378"/>
    </row>
    <row r="379" spans="2:6">
      <c r="B379"/>
      <c r="F379"/>
    </row>
    <row r="380" spans="2:6">
      <c r="B380"/>
      <c r="F380"/>
    </row>
    <row r="381" spans="2:6">
      <c r="B381"/>
      <c r="F381"/>
    </row>
    <row r="382" spans="2:6">
      <c r="B382"/>
      <c r="F382"/>
    </row>
    <row r="383" spans="2:6">
      <c r="B383"/>
      <c r="F383"/>
    </row>
    <row r="384" spans="2:6">
      <c r="B384"/>
      <c r="F384"/>
    </row>
    <row r="385" spans="2:6">
      <c r="B385"/>
      <c r="F385"/>
    </row>
    <row r="386" spans="2:6">
      <c r="B386"/>
      <c r="F386"/>
    </row>
    <row r="387" spans="2:6">
      <c r="B387"/>
      <c r="F387"/>
    </row>
    <row r="388" spans="2:6">
      <c r="B388"/>
      <c r="F388"/>
    </row>
    <row r="389" spans="2:6">
      <c r="B389"/>
      <c r="F389"/>
    </row>
    <row r="390" spans="2:6">
      <c r="B390"/>
      <c r="F390"/>
    </row>
    <row r="391" spans="2:6">
      <c r="B391"/>
      <c r="F391"/>
    </row>
    <row r="392" spans="2:6">
      <c r="B392"/>
      <c r="F392"/>
    </row>
    <row r="393" spans="2:6">
      <c r="B393"/>
      <c r="F393"/>
    </row>
    <row r="394" spans="2:6">
      <c r="B394"/>
      <c r="F394"/>
    </row>
    <row r="395" spans="2:6">
      <c r="B395"/>
      <c r="F395"/>
    </row>
    <row r="396" spans="2:6">
      <c r="B396"/>
      <c r="F396"/>
    </row>
    <row r="397" spans="2:6">
      <c r="B397"/>
      <c r="F397"/>
    </row>
    <row r="398" spans="2:6">
      <c r="B398"/>
      <c r="F398"/>
    </row>
    <row r="399" spans="2:6">
      <c r="B399"/>
      <c r="F399"/>
    </row>
    <row r="400" spans="2:6">
      <c r="B400"/>
      <c r="F400"/>
    </row>
    <row r="401" spans="2:6">
      <c r="B401"/>
      <c r="F401"/>
    </row>
    <row r="402" spans="2:6">
      <c r="B402"/>
      <c r="F402"/>
    </row>
    <row r="403" spans="2:6">
      <c r="B403"/>
      <c r="F403"/>
    </row>
    <row r="404" spans="2:6">
      <c r="B404"/>
      <c r="F404"/>
    </row>
    <row r="405" spans="2:6">
      <c r="B405"/>
      <c r="F405"/>
    </row>
    <row r="406" spans="2:6">
      <c r="B406"/>
      <c r="F406"/>
    </row>
    <row r="407" spans="2:6">
      <c r="B407"/>
      <c r="F407"/>
    </row>
    <row r="408" spans="2:6">
      <c r="B408"/>
      <c r="F408"/>
    </row>
    <row r="409" spans="2:6">
      <c r="B409"/>
      <c r="F409"/>
    </row>
    <row r="410" spans="2:6">
      <c r="B410"/>
      <c r="F410"/>
    </row>
    <row r="411" spans="2:6">
      <c r="B411"/>
      <c r="F411"/>
    </row>
    <row r="412" spans="2:6">
      <c r="B412"/>
      <c r="F412"/>
    </row>
    <row r="413" spans="2:6">
      <c r="B413"/>
      <c r="F413"/>
    </row>
    <row r="414" spans="2:6">
      <c r="B414"/>
      <c r="F414"/>
    </row>
    <row r="415" spans="2:6">
      <c r="B415"/>
      <c r="F415"/>
    </row>
    <row r="416" spans="2:6">
      <c r="B416"/>
      <c r="F416"/>
    </row>
    <row r="417" spans="2:6">
      <c r="B417"/>
      <c r="F417"/>
    </row>
    <row r="418" spans="2:6">
      <c r="B418"/>
      <c r="F418"/>
    </row>
    <row r="419" spans="2:6">
      <c r="B419"/>
      <c r="F419"/>
    </row>
    <row r="420" spans="2:6">
      <c r="B420"/>
      <c r="F420"/>
    </row>
    <row r="421" spans="2:6">
      <c r="B421"/>
      <c r="F421"/>
    </row>
    <row r="422" spans="2:6">
      <c r="B422"/>
      <c r="F422"/>
    </row>
    <row r="423" spans="2:6">
      <c r="B423"/>
      <c r="F423"/>
    </row>
    <row r="424" spans="2:6">
      <c r="B424"/>
      <c r="F424"/>
    </row>
    <row r="425" spans="2:6">
      <c r="B425"/>
      <c r="F425"/>
    </row>
    <row r="426" spans="2:6">
      <c r="B426"/>
      <c r="F426"/>
    </row>
    <row r="427" spans="2:6">
      <c r="B427"/>
      <c r="F427"/>
    </row>
    <row r="428" spans="2:6">
      <c r="B428"/>
      <c r="F428"/>
    </row>
    <row r="429" spans="2:6">
      <c r="B429"/>
      <c r="F429"/>
    </row>
    <row r="430" spans="2:6">
      <c r="B430"/>
      <c r="F430"/>
    </row>
    <row r="431" spans="2:6">
      <c r="B431"/>
      <c r="F431"/>
    </row>
    <row r="432" spans="2:6">
      <c r="B432"/>
      <c r="F432"/>
    </row>
    <row r="433" spans="2:6">
      <c r="B433"/>
      <c r="F433"/>
    </row>
    <row r="434" spans="2:6">
      <c r="B434"/>
      <c r="F434"/>
    </row>
    <row r="435" spans="2:6">
      <c r="B435"/>
      <c r="F435"/>
    </row>
    <row r="436" spans="2:6">
      <c r="B436"/>
      <c r="F436"/>
    </row>
    <row r="437" spans="2:6">
      <c r="B437"/>
      <c r="F437"/>
    </row>
    <row r="438" spans="2:6">
      <c r="B438"/>
      <c r="F438"/>
    </row>
    <row r="439" spans="2:6">
      <c r="B439"/>
      <c r="F439"/>
    </row>
    <row r="440" spans="2:6">
      <c r="B440"/>
      <c r="F440"/>
    </row>
    <row r="441" spans="2:6">
      <c r="B441"/>
      <c r="F441"/>
    </row>
    <row r="442" spans="2:6">
      <c r="B442"/>
      <c r="F442"/>
    </row>
    <row r="443" spans="2:6">
      <c r="B443"/>
      <c r="F443"/>
    </row>
    <row r="444" spans="2:6">
      <c r="B444"/>
      <c r="F444"/>
    </row>
    <row r="445" spans="2:6">
      <c r="B445"/>
      <c r="F445"/>
    </row>
    <row r="446" spans="2:6">
      <c r="B446"/>
      <c r="F446"/>
    </row>
    <row r="447" spans="2:6">
      <c r="B447"/>
      <c r="F447"/>
    </row>
    <row r="448" spans="2:6">
      <c r="B448"/>
      <c r="F448"/>
    </row>
    <row r="449" spans="2:6">
      <c r="B449"/>
      <c r="F449"/>
    </row>
    <row r="450" spans="2:6">
      <c r="B450"/>
      <c r="F450"/>
    </row>
    <row r="451" spans="2:6">
      <c r="B451"/>
      <c r="F451"/>
    </row>
    <row r="452" spans="2:6">
      <c r="B452"/>
      <c r="F452"/>
    </row>
    <row r="453" spans="2:6">
      <c r="B453"/>
      <c r="F453"/>
    </row>
    <row r="454" spans="2:6">
      <c r="B454"/>
      <c r="F454"/>
    </row>
    <row r="455" spans="2:6">
      <c r="B455"/>
      <c r="F455"/>
    </row>
    <row r="456" spans="2:6">
      <c r="B456"/>
      <c r="F456"/>
    </row>
    <row r="457" spans="2:6">
      <c r="B457"/>
      <c r="F457"/>
    </row>
    <row r="458" spans="2:6">
      <c r="B458"/>
      <c r="F458"/>
    </row>
    <row r="459" spans="2:6">
      <c r="B459"/>
      <c r="F459"/>
    </row>
    <row r="460" spans="2:6">
      <c r="B460"/>
      <c r="F460"/>
    </row>
    <row r="461" spans="2:6">
      <c r="B461"/>
      <c r="F461"/>
    </row>
    <row r="462" spans="2:6">
      <c r="B462"/>
      <c r="F462"/>
    </row>
    <row r="463" spans="2:6">
      <c r="B463"/>
      <c r="F463"/>
    </row>
    <row r="464" spans="2:6">
      <c r="B464"/>
      <c r="F464"/>
    </row>
    <row r="465" spans="2:6">
      <c r="B465"/>
      <c r="F465"/>
    </row>
    <row r="466" spans="2:6">
      <c r="B466"/>
      <c r="F466"/>
    </row>
    <row r="467" spans="2:6">
      <c r="B467"/>
      <c r="F467"/>
    </row>
    <row r="468" spans="2:6">
      <c r="B468"/>
      <c r="F468"/>
    </row>
    <row r="469" spans="2:6">
      <c r="B469"/>
      <c r="F469"/>
    </row>
    <row r="470" spans="2:6">
      <c r="B470"/>
      <c r="F470"/>
    </row>
    <row r="471" spans="2:6">
      <c r="B471"/>
      <c r="F471"/>
    </row>
    <row r="472" spans="2:6">
      <c r="B472"/>
      <c r="F472"/>
    </row>
    <row r="473" spans="2:6">
      <c r="B473"/>
      <c r="F473"/>
    </row>
    <row r="474" spans="2:6">
      <c r="B474"/>
      <c r="F474"/>
    </row>
    <row r="475" spans="2:6">
      <c r="B475"/>
      <c r="F475"/>
    </row>
    <row r="476" spans="2:6">
      <c r="B476"/>
      <c r="F476"/>
    </row>
    <row r="477" spans="2:6">
      <c r="B477"/>
      <c r="F477"/>
    </row>
    <row r="478" spans="2:6">
      <c r="B478"/>
      <c r="F478"/>
    </row>
    <row r="479" spans="2:6">
      <c r="B479"/>
      <c r="F479"/>
    </row>
    <row r="480" spans="2:6">
      <c r="B480"/>
      <c r="F480"/>
    </row>
    <row r="481" spans="2:6">
      <c r="B481"/>
      <c r="F481"/>
    </row>
    <row r="482" spans="2:6">
      <c r="B482"/>
      <c r="F482"/>
    </row>
    <row r="483" spans="2:6">
      <c r="B483"/>
      <c r="F483"/>
    </row>
    <row r="484" spans="2:6">
      <c r="B484"/>
      <c r="F484"/>
    </row>
    <row r="485" spans="2:6">
      <c r="B485"/>
      <c r="F485"/>
    </row>
    <row r="486" spans="2:6">
      <c r="B486"/>
      <c r="F486"/>
    </row>
    <row r="487" spans="2:6">
      <c r="B487"/>
      <c r="F487"/>
    </row>
    <row r="488" spans="2:6">
      <c r="B488"/>
      <c r="F488"/>
    </row>
    <row r="489" spans="2:6">
      <c r="B489"/>
      <c r="F489"/>
    </row>
    <row r="490" spans="2:6">
      <c r="B490"/>
      <c r="F490"/>
    </row>
    <row r="491" spans="2:6">
      <c r="B491"/>
      <c r="F491"/>
    </row>
    <row r="492" spans="2:6">
      <c r="B492"/>
      <c r="F492"/>
    </row>
    <row r="493" spans="2:6">
      <c r="B493"/>
      <c r="F493"/>
    </row>
    <row r="494" spans="2:6">
      <c r="B494"/>
      <c r="F494"/>
    </row>
    <row r="495" spans="2:6">
      <c r="B495"/>
      <c r="F495"/>
    </row>
    <row r="496" spans="2:6">
      <c r="B496"/>
      <c r="F496"/>
    </row>
    <row r="497" spans="2:6">
      <c r="B497"/>
      <c r="F497"/>
    </row>
    <row r="498" spans="2:6">
      <c r="B498"/>
      <c r="F498"/>
    </row>
    <row r="499" spans="2:6">
      <c r="B499"/>
      <c r="F499"/>
    </row>
    <row r="500" spans="2:6">
      <c r="B500"/>
      <c r="F500"/>
    </row>
    <row r="501" spans="2:6">
      <c r="B501"/>
      <c r="F501"/>
    </row>
    <row r="502" spans="2:6">
      <c r="B502"/>
      <c r="F502"/>
    </row>
    <row r="503" spans="2:6">
      <c r="B503"/>
      <c r="F503"/>
    </row>
    <row r="504" spans="2:6">
      <c r="B504"/>
      <c r="F504"/>
    </row>
    <row r="505" spans="2:6">
      <c r="B505"/>
      <c r="F505"/>
    </row>
    <row r="506" spans="2:6">
      <c r="B506"/>
      <c r="F506"/>
    </row>
    <row r="507" spans="2:6">
      <c r="B507"/>
      <c r="F507"/>
    </row>
    <row r="508" spans="2:6">
      <c r="B508"/>
      <c r="F508"/>
    </row>
    <row r="509" spans="2:6">
      <c r="B509"/>
      <c r="F509"/>
    </row>
    <row r="510" spans="2:6">
      <c r="B510"/>
      <c r="F510"/>
    </row>
    <row r="511" spans="2:6">
      <c r="B511"/>
      <c r="F511"/>
    </row>
    <row r="512" spans="2:6">
      <c r="B512"/>
      <c r="F512"/>
    </row>
    <row r="513" spans="2:6">
      <c r="B513"/>
      <c r="F513"/>
    </row>
    <row r="514" spans="2:6">
      <c r="B514"/>
      <c r="F514"/>
    </row>
    <row r="515" spans="2:6">
      <c r="B515"/>
      <c r="F515"/>
    </row>
    <row r="516" spans="2:6">
      <c r="B516"/>
      <c r="F516"/>
    </row>
    <row r="517" spans="2:6">
      <c r="B517"/>
      <c r="F517"/>
    </row>
    <row r="518" spans="2:6">
      <c r="B518"/>
      <c r="F518"/>
    </row>
    <row r="519" spans="2:6">
      <c r="B519"/>
      <c r="F519"/>
    </row>
    <row r="520" spans="2:6">
      <c r="B520"/>
      <c r="F520"/>
    </row>
    <row r="521" spans="2:6">
      <c r="B521"/>
      <c r="F521"/>
    </row>
    <row r="522" spans="2:6">
      <c r="B522"/>
      <c r="F522"/>
    </row>
    <row r="523" spans="2:6">
      <c r="B523"/>
      <c r="F523"/>
    </row>
    <row r="524" spans="2:6">
      <c r="B524"/>
      <c r="F524"/>
    </row>
    <row r="525" spans="2:6">
      <c r="B525"/>
      <c r="F525"/>
    </row>
    <row r="526" spans="2:6">
      <c r="B526"/>
      <c r="F526"/>
    </row>
    <row r="527" spans="2:6">
      <c r="B527"/>
      <c r="F527"/>
    </row>
    <row r="528" spans="2:6">
      <c r="B528"/>
      <c r="F528"/>
    </row>
    <row r="529" spans="2:6">
      <c r="B529"/>
      <c r="F529"/>
    </row>
    <row r="530" spans="2:6">
      <c r="B530"/>
      <c r="F530"/>
    </row>
    <row r="531" spans="2:6">
      <c r="B531"/>
      <c r="F531"/>
    </row>
    <row r="532" spans="2:6">
      <c r="B532"/>
      <c r="F532"/>
    </row>
    <row r="533" spans="2:6">
      <c r="B533"/>
      <c r="F533"/>
    </row>
    <row r="534" spans="2:6">
      <c r="B534"/>
      <c r="F534"/>
    </row>
    <row r="535" spans="2:6">
      <c r="B535"/>
      <c r="F535"/>
    </row>
    <row r="536" spans="2:6">
      <c r="B536"/>
      <c r="F536"/>
    </row>
    <row r="537" spans="2:6">
      <c r="B537"/>
      <c r="F537"/>
    </row>
    <row r="538" spans="2:6">
      <c r="B538"/>
      <c r="F538"/>
    </row>
    <row r="539" spans="2:6">
      <c r="B539"/>
      <c r="F539"/>
    </row>
    <row r="540" spans="2:6">
      <c r="B540"/>
      <c r="F540"/>
    </row>
    <row r="541" spans="2:6">
      <c r="B541"/>
      <c r="F541"/>
    </row>
    <row r="542" spans="2:6">
      <c r="B542"/>
      <c r="F542"/>
    </row>
    <row r="543" spans="2:6">
      <c r="B543"/>
      <c r="F543"/>
    </row>
    <row r="544" spans="2:6">
      <c r="B544"/>
      <c r="F544"/>
    </row>
    <row r="545" spans="2:6">
      <c r="B545"/>
      <c r="F545"/>
    </row>
    <row r="546" spans="2:6">
      <c r="B546"/>
      <c r="F546"/>
    </row>
    <row r="547" spans="2:6">
      <c r="B547"/>
      <c r="F547"/>
    </row>
    <row r="548" spans="2:6">
      <c r="B548"/>
      <c r="F548"/>
    </row>
    <row r="549" spans="2:6">
      <c r="B549"/>
      <c r="F549"/>
    </row>
    <row r="550" spans="2:6">
      <c r="B550"/>
      <c r="F550"/>
    </row>
    <row r="551" spans="2:6">
      <c r="B551"/>
      <c r="F551"/>
    </row>
    <row r="552" spans="2:6">
      <c r="B552"/>
      <c r="F552"/>
    </row>
    <row r="553" spans="2:6">
      <c r="B553"/>
      <c r="F553"/>
    </row>
    <row r="554" spans="2:6">
      <c r="B554"/>
      <c r="F554"/>
    </row>
    <row r="555" spans="2:6">
      <c r="B555"/>
      <c r="F555"/>
    </row>
    <row r="556" spans="2:6">
      <c r="B556"/>
      <c r="F556"/>
    </row>
    <row r="557" spans="2:6">
      <c r="B557"/>
      <c r="F557"/>
    </row>
    <row r="558" spans="2:6">
      <c r="B558"/>
      <c r="F558"/>
    </row>
    <row r="559" spans="2:6">
      <c r="B559"/>
      <c r="F559"/>
    </row>
    <row r="560" spans="2:6">
      <c r="B560"/>
      <c r="F560"/>
    </row>
    <row r="561" spans="2:6">
      <c r="B561"/>
      <c r="F561"/>
    </row>
    <row r="562" spans="2:6">
      <c r="B562"/>
      <c r="F562"/>
    </row>
    <row r="563" spans="2:6">
      <c r="B563"/>
      <c r="F563"/>
    </row>
    <row r="564" spans="2:6">
      <c r="B564"/>
      <c r="F564"/>
    </row>
    <row r="565" spans="2:6">
      <c r="B565"/>
      <c r="F565"/>
    </row>
    <row r="566" spans="2:6">
      <c r="B566"/>
      <c r="F566"/>
    </row>
    <row r="567" spans="2:6">
      <c r="B567"/>
      <c r="F567"/>
    </row>
    <row r="568" spans="2:6">
      <c r="B568"/>
      <c r="F568"/>
    </row>
    <row r="569" spans="2:6">
      <c r="B569"/>
      <c r="F569"/>
    </row>
    <row r="570" spans="2:6">
      <c r="B570"/>
      <c r="F570"/>
    </row>
    <row r="571" spans="2:6">
      <c r="B571"/>
      <c r="F571"/>
    </row>
    <row r="572" spans="2:6">
      <c r="B572"/>
      <c r="F572"/>
    </row>
    <row r="573" spans="2:6">
      <c r="B573"/>
      <c r="F573"/>
    </row>
    <row r="574" spans="2:6">
      <c r="B574"/>
      <c r="F574"/>
    </row>
    <row r="575" spans="2:6">
      <c r="B575"/>
      <c r="F575"/>
    </row>
    <row r="576" spans="2:6">
      <c r="B576"/>
      <c r="F576"/>
    </row>
    <row r="577" spans="2:6">
      <c r="B577"/>
      <c r="F577"/>
    </row>
    <row r="578" spans="2:6">
      <c r="B578"/>
      <c r="F578"/>
    </row>
    <row r="579" spans="2:6">
      <c r="B579"/>
      <c r="F579"/>
    </row>
    <row r="580" spans="2:6">
      <c r="B580"/>
      <c r="F580"/>
    </row>
    <row r="581" spans="2:6">
      <c r="B581"/>
      <c r="F581"/>
    </row>
    <row r="582" spans="2:6">
      <c r="B582"/>
      <c r="F582"/>
    </row>
    <row r="583" spans="2:6">
      <c r="B583"/>
      <c r="F583"/>
    </row>
    <row r="584" spans="2:6">
      <c r="B584"/>
      <c r="F584"/>
    </row>
    <row r="585" spans="2:6">
      <c r="B585"/>
      <c r="F585"/>
    </row>
    <row r="586" spans="2:6">
      <c r="B586"/>
      <c r="F586"/>
    </row>
    <row r="587" spans="2:6">
      <c r="B587"/>
      <c r="F587"/>
    </row>
    <row r="588" spans="2:6">
      <c r="B588"/>
      <c r="F588"/>
    </row>
    <row r="589" spans="2:6">
      <c r="B589"/>
      <c r="F589"/>
    </row>
    <row r="590" spans="2:6">
      <c r="B590"/>
      <c r="F590"/>
    </row>
    <row r="591" spans="2:6">
      <c r="B591"/>
      <c r="F591"/>
    </row>
    <row r="592" spans="2:6">
      <c r="B592"/>
      <c r="F592"/>
    </row>
    <row r="593" spans="2:6">
      <c r="B593"/>
      <c r="F593"/>
    </row>
    <row r="594" spans="2:6">
      <c r="B594"/>
      <c r="F594"/>
    </row>
    <row r="595" spans="2:6">
      <c r="B595"/>
      <c r="F595"/>
    </row>
    <row r="596" spans="2:6">
      <c r="B596"/>
      <c r="F596"/>
    </row>
    <row r="597" spans="2:6">
      <c r="B597"/>
      <c r="F597"/>
    </row>
    <row r="598" spans="2:6">
      <c r="B598"/>
      <c r="F598"/>
    </row>
    <row r="599" spans="2:6">
      <c r="B599"/>
      <c r="F599"/>
    </row>
    <row r="600" spans="2:6">
      <c r="B600"/>
      <c r="F600"/>
    </row>
    <row r="601" spans="2:6">
      <c r="B601"/>
      <c r="F601"/>
    </row>
    <row r="602" spans="2:6">
      <c r="B602"/>
      <c r="F602"/>
    </row>
    <row r="603" spans="2:6">
      <c r="B603"/>
      <c r="F603"/>
    </row>
    <row r="604" spans="2:6">
      <c r="B604"/>
      <c r="F604"/>
    </row>
    <row r="605" spans="2:6">
      <c r="B605"/>
      <c r="F605"/>
    </row>
    <row r="606" spans="2:6">
      <c r="B606"/>
      <c r="F606"/>
    </row>
    <row r="607" spans="2:6">
      <c r="B607"/>
      <c r="F607"/>
    </row>
    <row r="608" spans="2:6">
      <c r="B608"/>
      <c r="F608"/>
    </row>
    <row r="609" spans="2:6">
      <c r="B609"/>
      <c r="F609"/>
    </row>
    <row r="610" spans="2:6">
      <c r="B610"/>
      <c r="F610"/>
    </row>
    <row r="611" spans="2:6">
      <c r="B611"/>
      <c r="F611"/>
    </row>
    <row r="612" spans="2:6">
      <c r="B612"/>
      <c r="F612"/>
    </row>
    <row r="613" spans="2:6">
      <c r="B613"/>
      <c r="F613"/>
    </row>
    <row r="614" spans="2:6">
      <c r="B614"/>
      <c r="F614"/>
    </row>
    <row r="615" spans="2:6">
      <c r="B615"/>
      <c r="F615"/>
    </row>
    <row r="616" spans="2:6">
      <c r="B616"/>
      <c r="F616"/>
    </row>
    <row r="617" spans="2:6">
      <c r="B617"/>
      <c r="F617"/>
    </row>
    <row r="618" spans="2:6">
      <c r="B618"/>
      <c r="F618"/>
    </row>
    <row r="619" spans="2:6">
      <c r="B619"/>
      <c r="F619"/>
    </row>
    <row r="620" spans="2:6">
      <c r="B620"/>
      <c r="F620"/>
    </row>
    <row r="621" spans="2:6">
      <c r="B621"/>
      <c r="F621"/>
    </row>
    <row r="622" spans="2:6">
      <c r="B622"/>
      <c r="F622"/>
    </row>
    <row r="623" spans="2:6">
      <c r="B623"/>
      <c r="F623"/>
    </row>
    <row r="624" spans="2:6">
      <c r="B624"/>
      <c r="F624"/>
    </row>
    <row r="625" spans="2:6">
      <c r="B625"/>
      <c r="F625"/>
    </row>
    <row r="626" spans="2:6">
      <c r="B626"/>
      <c r="F626"/>
    </row>
    <row r="627" spans="2:6">
      <c r="B627"/>
      <c r="F627"/>
    </row>
    <row r="628" spans="2:6">
      <c r="B628"/>
      <c r="F628"/>
    </row>
    <row r="629" spans="2:6">
      <c r="B629"/>
      <c r="F629"/>
    </row>
    <row r="630" spans="2:6">
      <c r="B630"/>
      <c r="F630"/>
    </row>
    <row r="631" spans="2:6">
      <c r="B631"/>
      <c r="F631"/>
    </row>
    <row r="632" spans="2:6">
      <c r="B632"/>
      <c r="F632"/>
    </row>
    <row r="633" spans="2:6">
      <c r="B633"/>
      <c r="F633"/>
    </row>
    <row r="634" spans="2:6">
      <c r="B634"/>
      <c r="F634"/>
    </row>
    <row r="635" spans="2:6">
      <c r="B635"/>
      <c r="F635"/>
    </row>
    <row r="636" spans="2:6">
      <c r="B636"/>
      <c r="F636"/>
    </row>
    <row r="637" spans="2:6">
      <c r="B637"/>
      <c r="F637"/>
    </row>
    <row r="638" spans="2:6">
      <c r="B638"/>
      <c r="F638"/>
    </row>
    <row r="639" spans="2:6">
      <c r="B639"/>
      <c r="F639"/>
    </row>
    <row r="640" spans="2:6">
      <c r="B640"/>
      <c r="F640"/>
    </row>
    <row r="641" spans="2:6">
      <c r="B641"/>
      <c r="F641"/>
    </row>
    <row r="642" spans="2:6">
      <c r="B642"/>
      <c r="F642"/>
    </row>
    <row r="643" spans="2:6">
      <c r="B643"/>
      <c r="F643"/>
    </row>
    <row r="644" spans="2:6">
      <c r="B644"/>
      <c r="F644"/>
    </row>
    <row r="645" spans="2:6">
      <c r="B645"/>
      <c r="F645"/>
    </row>
    <row r="646" spans="2:6">
      <c r="B646"/>
      <c r="F646"/>
    </row>
    <row r="647" spans="2:6">
      <c r="B647"/>
      <c r="F647"/>
    </row>
    <row r="648" spans="2:6">
      <c r="B648"/>
      <c r="F648"/>
    </row>
    <row r="649" spans="2:6">
      <c r="B649"/>
      <c r="F649"/>
    </row>
    <row r="650" spans="2:6">
      <c r="B650"/>
      <c r="F650"/>
    </row>
    <row r="651" spans="2:6">
      <c r="B651"/>
      <c r="F651"/>
    </row>
    <row r="652" spans="2:6">
      <c r="B652"/>
      <c r="F652"/>
    </row>
    <row r="653" spans="2:6">
      <c r="B653"/>
      <c r="F653"/>
    </row>
    <row r="654" spans="2:6">
      <c r="B654"/>
      <c r="F654"/>
    </row>
    <row r="655" spans="2:6">
      <c r="B655"/>
      <c r="F655"/>
    </row>
    <row r="656" spans="2:6">
      <c r="B656"/>
      <c r="F656"/>
    </row>
    <row r="657" spans="2:6">
      <c r="B657"/>
      <c r="F657"/>
    </row>
    <row r="658" spans="2:6">
      <c r="B658"/>
      <c r="F658"/>
    </row>
    <row r="659" spans="2:6">
      <c r="B659"/>
      <c r="F659"/>
    </row>
    <row r="660" spans="2:6">
      <c r="B660"/>
      <c r="F660"/>
    </row>
    <row r="661" spans="2:6">
      <c r="B661"/>
      <c r="F661"/>
    </row>
    <row r="662" spans="2:6">
      <c r="B662"/>
      <c r="F662"/>
    </row>
    <row r="663" spans="2:6">
      <c r="B663"/>
      <c r="F663"/>
    </row>
    <row r="664" spans="2:6">
      <c r="B664"/>
      <c r="F664"/>
    </row>
    <row r="665" spans="2:6">
      <c r="B665"/>
      <c r="F665"/>
    </row>
    <row r="666" spans="2:6">
      <c r="B666"/>
      <c r="F666"/>
    </row>
    <row r="667" spans="2:6">
      <c r="B667"/>
      <c r="F667"/>
    </row>
    <row r="668" spans="2:6">
      <c r="B668"/>
      <c r="F668"/>
    </row>
    <row r="669" spans="2:6">
      <c r="B669"/>
      <c r="F669"/>
    </row>
    <row r="670" spans="2:6">
      <c r="B670"/>
      <c r="F670"/>
    </row>
    <row r="671" spans="2:6">
      <c r="B671"/>
      <c r="F671"/>
    </row>
    <row r="672" spans="2:6">
      <c r="B672"/>
      <c r="F672"/>
    </row>
    <row r="673" spans="2:6">
      <c r="B673"/>
      <c r="F673"/>
    </row>
    <row r="674" spans="2:6">
      <c r="B674"/>
      <c r="F674"/>
    </row>
    <row r="675" spans="2:6">
      <c r="B675"/>
      <c r="F675"/>
    </row>
    <row r="676" spans="2:6">
      <c r="B676"/>
      <c r="F676"/>
    </row>
    <row r="677" spans="2:6">
      <c r="B677"/>
      <c r="F677"/>
    </row>
    <row r="678" spans="2:6">
      <c r="B678"/>
      <c r="F678"/>
    </row>
    <row r="679" spans="2:6">
      <c r="B679"/>
      <c r="F679"/>
    </row>
    <row r="680" spans="2:6">
      <c r="B680"/>
      <c r="F680"/>
    </row>
    <row r="681" spans="2:6">
      <c r="B681"/>
      <c r="F681"/>
    </row>
    <row r="682" spans="2:6">
      <c r="B682"/>
      <c r="F682"/>
    </row>
    <row r="683" spans="2:6">
      <c r="B683"/>
      <c r="F683"/>
    </row>
    <row r="684" spans="2:6">
      <c r="B684"/>
      <c r="F684"/>
    </row>
    <row r="685" spans="2:6">
      <c r="B685"/>
      <c r="F685"/>
    </row>
    <row r="686" spans="2:6">
      <c r="B686"/>
      <c r="F686"/>
    </row>
    <row r="687" spans="2:6">
      <c r="B687"/>
      <c r="F687"/>
    </row>
    <row r="688" spans="2:6">
      <c r="B688"/>
      <c r="F688"/>
    </row>
    <row r="689" spans="2:6">
      <c r="B689"/>
      <c r="F689"/>
    </row>
    <row r="690" spans="2:6">
      <c r="B690"/>
      <c r="F690"/>
    </row>
    <row r="691" spans="2:6">
      <c r="B691"/>
      <c r="F691"/>
    </row>
    <row r="692" spans="2:6">
      <c r="B692"/>
      <c r="F692"/>
    </row>
    <row r="693" spans="2:6">
      <c r="B693"/>
      <c r="F693"/>
    </row>
    <row r="694" spans="2:6">
      <c r="B694"/>
      <c r="F694"/>
    </row>
    <row r="695" spans="2:6">
      <c r="B695"/>
      <c r="F695"/>
    </row>
    <row r="696" spans="2:6">
      <c r="B696"/>
      <c r="F696"/>
    </row>
    <row r="697" spans="2:6">
      <c r="B697"/>
      <c r="F697"/>
    </row>
    <row r="698" spans="2:6">
      <c r="B698"/>
      <c r="F698"/>
    </row>
    <row r="699" spans="2:6">
      <c r="B699"/>
      <c r="F699"/>
    </row>
    <row r="700" spans="2:6">
      <c r="B700"/>
      <c r="F700"/>
    </row>
    <row r="701" spans="2:6">
      <c r="B701"/>
      <c r="F701"/>
    </row>
    <row r="702" spans="2:6">
      <c r="B702"/>
      <c r="F702"/>
    </row>
    <row r="703" spans="2:6">
      <c r="B703"/>
      <c r="F703"/>
    </row>
    <row r="704" spans="2:6">
      <c r="B704"/>
      <c r="F704"/>
    </row>
    <row r="705" spans="2:6">
      <c r="B705"/>
      <c r="F705"/>
    </row>
    <row r="706" spans="2:6">
      <c r="B706"/>
      <c r="F706"/>
    </row>
    <row r="707" spans="2:6">
      <c r="B707"/>
      <c r="F707"/>
    </row>
    <row r="708" spans="2:6">
      <c r="B708"/>
      <c r="F708"/>
    </row>
    <row r="709" spans="2:6">
      <c r="B709"/>
      <c r="F709"/>
    </row>
    <row r="710" spans="2:6">
      <c r="B710"/>
      <c r="F710"/>
    </row>
    <row r="711" spans="2:6">
      <c r="B711"/>
      <c r="F711"/>
    </row>
    <row r="712" spans="2:6">
      <c r="B712"/>
      <c r="F712"/>
    </row>
    <row r="713" spans="2:6">
      <c r="B713"/>
      <c r="F713"/>
    </row>
    <row r="714" spans="2:6">
      <c r="B714"/>
      <c r="F714"/>
    </row>
    <row r="715" spans="2:6">
      <c r="B715"/>
      <c r="F715"/>
    </row>
    <row r="716" spans="2:6">
      <c r="B716"/>
      <c r="F716"/>
    </row>
    <row r="717" spans="2:6">
      <c r="B717"/>
      <c r="F717"/>
    </row>
    <row r="718" spans="2:6">
      <c r="B718"/>
      <c r="F718"/>
    </row>
    <row r="719" spans="2:6">
      <c r="B719"/>
      <c r="F719"/>
    </row>
    <row r="720" spans="2:6">
      <c r="B720"/>
      <c r="F720"/>
    </row>
    <row r="721" spans="2:6">
      <c r="B721"/>
      <c r="F721"/>
    </row>
    <row r="722" spans="2:6">
      <c r="B722"/>
      <c r="F722"/>
    </row>
    <row r="723" spans="2:6">
      <c r="B723"/>
      <c r="F723"/>
    </row>
    <row r="724" spans="2:6">
      <c r="B724"/>
      <c r="F724"/>
    </row>
    <row r="725" spans="2:6">
      <c r="B725"/>
      <c r="F725"/>
    </row>
    <row r="726" spans="2:6">
      <c r="B726"/>
      <c r="F726"/>
    </row>
    <row r="727" spans="2:6">
      <c r="B727"/>
      <c r="F727"/>
    </row>
    <row r="728" spans="2:6">
      <c r="B728"/>
      <c r="F728"/>
    </row>
    <row r="729" spans="2:6">
      <c r="B729"/>
      <c r="F729"/>
    </row>
    <row r="730" spans="2:6">
      <c r="B730"/>
      <c r="F730"/>
    </row>
    <row r="731" spans="2:6">
      <c r="B731"/>
      <c r="F731"/>
    </row>
    <row r="732" spans="2:6">
      <c r="B732"/>
      <c r="F732"/>
    </row>
    <row r="733" spans="2:6">
      <c r="B733"/>
      <c r="F733"/>
    </row>
    <row r="734" spans="2:6">
      <c r="B734"/>
      <c r="F734"/>
    </row>
    <row r="735" spans="2:6">
      <c r="B735"/>
      <c r="F735"/>
    </row>
    <row r="736" spans="2:6">
      <c r="B736"/>
      <c r="F736"/>
    </row>
    <row r="737" spans="2:6">
      <c r="B737"/>
      <c r="F737"/>
    </row>
    <row r="738" spans="2:6">
      <c r="B738"/>
      <c r="F738"/>
    </row>
    <row r="739" spans="2:6">
      <c r="B739"/>
      <c r="F739"/>
    </row>
    <row r="740" spans="2:6">
      <c r="B740"/>
      <c r="F740"/>
    </row>
    <row r="741" spans="2:6">
      <c r="B741"/>
      <c r="F741"/>
    </row>
    <row r="742" spans="2:6">
      <c r="B742"/>
      <c r="F742"/>
    </row>
    <row r="743" spans="2:6">
      <c r="B743"/>
      <c r="F743"/>
    </row>
    <row r="744" spans="2:6">
      <c r="B744"/>
      <c r="F744"/>
    </row>
    <row r="745" spans="2:6">
      <c r="B745"/>
      <c r="F745"/>
    </row>
    <row r="746" spans="2:6">
      <c r="B746"/>
      <c r="F746"/>
    </row>
    <row r="747" spans="2:6">
      <c r="B747"/>
      <c r="F747"/>
    </row>
    <row r="748" spans="2:6">
      <c r="B748"/>
      <c r="F748"/>
    </row>
    <row r="749" spans="2:6">
      <c r="B749"/>
      <c r="F749"/>
    </row>
    <row r="750" spans="2:6">
      <c r="B750"/>
      <c r="F750"/>
    </row>
    <row r="751" spans="2:6">
      <c r="B751"/>
      <c r="F751"/>
    </row>
    <row r="752" spans="2:6">
      <c r="B752"/>
      <c r="F752"/>
    </row>
  </sheetData>
  <sortState xmlns:xlrd2="http://schemas.microsoft.com/office/spreadsheetml/2017/richdata2" ref="B13:F34">
    <sortCondition ref="B15"/>
  </sortState>
  <mergeCells count="15">
    <mergeCell ref="B18:E18"/>
    <mergeCell ref="C15:C16"/>
    <mergeCell ref="D16:D17"/>
    <mergeCell ref="A1:J1"/>
    <mergeCell ref="A3:B3"/>
    <mergeCell ref="A4:B4"/>
    <mergeCell ref="A6:B6"/>
    <mergeCell ref="A7:B7"/>
    <mergeCell ref="C7:E7"/>
    <mergeCell ref="G13:G14"/>
    <mergeCell ref="A8:B8"/>
    <mergeCell ref="C8:E8"/>
    <mergeCell ref="A9:B9"/>
    <mergeCell ref="A10:B10"/>
    <mergeCell ref="B15:B17"/>
  </mergeCells>
  <pageMargins left="0.1" right="0.1" top="0.5" bottom="0.1" header="0.25" footer="0.25"/>
  <pageSetup orientation="portrait" horizontalDpi="240" verticalDpi="144" r:id="rId2"/>
  <headerFooter>
    <oddHeader>&amp;L&amp;F</oddHeader>
  </headerFooter>
  <rowBreaks count="2" manualBreakCount="2">
    <brk id="45" max="9" man="1"/>
    <brk id="81" max="9" man="1"/>
  </rowBreaks>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7"/>
  <dimension ref="A1:IS461"/>
  <sheetViews>
    <sheetView view="pageBreakPreview" zoomScale="85" zoomScaleNormal="100" zoomScaleSheetLayoutView="85" workbookViewId="0">
      <pane ySplit="14" topLeftCell="A15" activePane="bottomLeft" state="frozen"/>
      <selection pane="bottomLeft" activeCell="E21" sqref="E21"/>
    </sheetView>
  </sheetViews>
  <sheetFormatPr baseColWidth="10" defaultColWidth="9" defaultRowHeight="16"/>
  <cols>
    <col min="1" max="1" width="4" customWidth="1"/>
    <col min="2" max="2" width="39.1640625" customWidth="1"/>
    <col min="3" max="3" width="16.6640625" customWidth="1"/>
    <col min="4" max="5" width="4.6640625" customWidth="1"/>
    <col min="6" max="6" width="4.6640625" style="1" customWidth="1"/>
    <col min="7" max="7" width="4.6640625" style="2" customWidth="1"/>
    <col min="8" max="8" width="16.6640625" customWidth="1"/>
  </cols>
  <sheetData>
    <row r="1" spans="1:253" ht="20">
      <c r="A1" s="866" t="s">
        <v>2194</v>
      </c>
      <c r="B1" s="866"/>
      <c r="C1" s="866"/>
      <c r="D1" s="866"/>
      <c r="E1" s="866"/>
      <c r="F1" s="866"/>
      <c r="G1" s="866"/>
      <c r="H1" s="866"/>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c r="II1" s="42"/>
      <c r="IJ1" s="42"/>
      <c r="IK1" s="42"/>
      <c r="IL1" s="42"/>
      <c r="IM1" s="42"/>
      <c r="IN1" s="42"/>
      <c r="IO1" s="42"/>
      <c r="IP1" s="42"/>
      <c r="IQ1" s="42"/>
      <c r="IR1" s="42"/>
    </row>
    <row r="2" spans="1:253">
      <c r="A2" s="887" t="s">
        <v>2195</v>
      </c>
      <c r="B2" s="887"/>
      <c r="C2" s="887"/>
      <c r="D2" s="887"/>
      <c r="E2" s="887"/>
      <c r="F2" s="887"/>
      <c r="G2" s="887"/>
      <c r="H2" s="887"/>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row>
    <row r="3" spans="1:253">
      <c r="A3" s="879" t="s">
        <v>2196</v>
      </c>
      <c r="B3" s="880"/>
      <c r="C3" s="8" t="str">
        <f>No_proyek</f>
        <v>RZ0458</v>
      </c>
      <c r="D3" s="9"/>
      <c r="E3" s="9"/>
      <c r="F3" s="54"/>
      <c r="G3" s="16"/>
      <c r="H3" s="613" t="s">
        <v>3488</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c r="II3" s="42"/>
      <c r="IJ3" s="42"/>
      <c r="IK3" s="42"/>
      <c r="IL3" s="42"/>
      <c r="IM3" s="42"/>
      <c r="IN3" s="42"/>
      <c r="IO3" s="42"/>
      <c r="IP3" s="42"/>
      <c r="IQ3" s="42"/>
      <c r="IR3" s="42"/>
    </row>
    <row r="4" spans="1:253">
      <c r="A4" s="879" t="s">
        <v>2174</v>
      </c>
      <c r="B4" s="880"/>
      <c r="C4" s="8" t="str">
        <f>no_kontrak</f>
        <v>127/RK-RL-PI/PAP-LL/XII/2025</v>
      </c>
      <c r="D4" s="9"/>
      <c r="E4" s="9"/>
      <c r="F4" s="16"/>
      <c r="G4" s="8"/>
      <c r="H4" s="16"/>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row>
    <row r="5" spans="1:253">
      <c r="A5" s="8" t="s">
        <v>1508</v>
      </c>
      <c r="B5" s="18"/>
      <c r="C5" s="8" t="str">
        <f>nip</f>
        <v>25LL017MPC</v>
      </c>
      <c r="D5" s="9"/>
      <c r="E5" s="9"/>
      <c r="F5" s="9"/>
      <c r="G5" s="8"/>
      <c r="H5" s="17"/>
      <c r="I5" s="17"/>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c r="II5" s="42"/>
      <c r="IJ5" s="42"/>
      <c r="IK5" s="42"/>
      <c r="IL5" s="42"/>
      <c r="IM5" s="42"/>
      <c r="IN5" s="42"/>
      <c r="IO5" s="42"/>
      <c r="IP5" s="42"/>
      <c r="IQ5" s="42"/>
      <c r="IR5" s="42"/>
    </row>
    <row r="6" spans="1:253">
      <c r="A6" s="879" t="s">
        <v>2176</v>
      </c>
      <c r="B6" s="880"/>
      <c r="C6" s="8" t="str">
        <f>nama_proyek</f>
        <v>PT Malindo Feedmill Tbk-Dry Pantry</v>
      </c>
      <c r="D6" s="9"/>
      <c r="E6" s="9"/>
      <c r="F6" s="17"/>
      <c r="G6" s="17"/>
      <c r="H6" s="17"/>
      <c r="I6" s="609" t="s">
        <v>3472</v>
      </c>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42"/>
    </row>
    <row r="7" spans="1:253">
      <c r="A7" s="879" t="s">
        <v>2178</v>
      </c>
      <c r="B7" s="880"/>
      <c r="C7" s="881">
        <f>tgl</f>
        <v>46163</v>
      </c>
      <c r="D7" s="882"/>
      <c r="E7" s="881"/>
      <c r="F7" s="30"/>
      <c r="G7" s="17"/>
      <c r="H7" s="17"/>
      <c r="I7" s="609"/>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2"/>
      <c r="EH7" s="42"/>
      <c r="EI7" s="42"/>
      <c r="EJ7" s="42"/>
      <c r="EK7" s="42"/>
      <c r="EL7" s="42"/>
      <c r="EM7" s="42"/>
      <c r="EN7" s="42"/>
      <c r="EO7" s="42"/>
      <c r="EP7" s="42"/>
      <c r="EQ7" s="42"/>
      <c r="ER7" s="42"/>
      <c r="ES7" s="42"/>
      <c r="ET7" s="42"/>
      <c r="EU7" s="42"/>
      <c r="EV7" s="42"/>
      <c r="EW7" s="42"/>
      <c r="EX7" s="42"/>
      <c r="EY7" s="42"/>
      <c r="EZ7" s="42"/>
      <c r="FA7" s="42"/>
      <c r="FB7" s="42"/>
      <c r="FC7" s="42"/>
      <c r="FD7" s="42"/>
      <c r="FE7" s="42"/>
      <c r="FF7" s="42"/>
      <c r="FG7" s="42"/>
      <c r="FH7" s="42"/>
      <c r="FI7" s="42"/>
      <c r="FJ7" s="42"/>
      <c r="FK7" s="42"/>
      <c r="FL7" s="42"/>
      <c r="FM7" s="42"/>
      <c r="FN7" s="42"/>
      <c r="FO7" s="42"/>
      <c r="FP7" s="42"/>
      <c r="FQ7" s="42"/>
      <c r="FR7" s="42"/>
      <c r="FS7" s="42"/>
      <c r="FT7" s="42"/>
      <c r="FU7" s="42"/>
      <c r="FV7" s="42"/>
      <c r="FW7" s="42"/>
      <c r="FX7" s="42"/>
      <c r="FY7" s="42"/>
      <c r="FZ7" s="42"/>
      <c r="GA7" s="42"/>
      <c r="GB7" s="42"/>
      <c r="GC7" s="42"/>
      <c r="GD7" s="42"/>
      <c r="GE7" s="42"/>
      <c r="GF7" s="42"/>
      <c r="GG7" s="42"/>
      <c r="GH7" s="42"/>
      <c r="GI7" s="42"/>
      <c r="GJ7" s="42"/>
      <c r="GK7" s="42"/>
      <c r="GL7" s="42"/>
      <c r="GM7" s="42"/>
      <c r="GN7" s="42"/>
      <c r="GO7" s="42"/>
      <c r="GP7" s="42"/>
      <c r="GQ7" s="42"/>
      <c r="GR7" s="42"/>
      <c r="GS7" s="42"/>
      <c r="GT7" s="42"/>
      <c r="GU7" s="42"/>
      <c r="GV7" s="42"/>
      <c r="GW7" s="42"/>
      <c r="GX7" s="42"/>
      <c r="GY7" s="42"/>
      <c r="GZ7" s="42"/>
      <c r="HA7" s="42"/>
      <c r="HB7" s="42"/>
      <c r="HC7" s="42"/>
      <c r="HD7" s="42"/>
      <c r="HE7" s="42"/>
      <c r="HF7" s="42"/>
      <c r="HG7" s="42"/>
      <c r="HH7" s="42"/>
      <c r="HI7" s="42"/>
      <c r="HJ7" s="42"/>
      <c r="HK7" s="42"/>
      <c r="HL7" s="42"/>
      <c r="HM7" s="42"/>
      <c r="HN7" s="42"/>
      <c r="HO7" s="42"/>
      <c r="HP7" s="42"/>
      <c r="HQ7" s="42"/>
      <c r="HR7" s="42"/>
      <c r="HS7" s="42"/>
      <c r="HT7" s="42"/>
      <c r="HU7" s="42"/>
      <c r="HV7" s="42"/>
      <c r="HW7" s="42"/>
      <c r="HX7" s="42"/>
      <c r="HY7" s="42"/>
      <c r="HZ7" s="42"/>
      <c r="IA7" s="42"/>
      <c r="IB7" s="42"/>
      <c r="IC7" s="42"/>
      <c r="ID7" s="42"/>
      <c r="IE7" s="42"/>
      <c r="IF7" s="42"/>
      <c r="IG7" s="42"/>
      <c r="IH7" s="42"/>
      <c r="II7" s="42"/>
      <c r="IJ7" s="42"/>
      <c r="IK7" s="42"/>
      <c r="IL7" s="42"/>
      <c r="IM7" s="42"/>
      <c r="IN7" s="42"/>
      <c r="IO7" s="42"/>
      <c r="IP7" s="42"/>
      <c r="IQ7" s="42"/>
      <c r="IR7" s="42"/>
    </row>
    <row r="8" spans="1:253">
      <c r="A8" s="879" t="s">
        <v>2179</v>
      </c>
      <c r="B8" s="880"/>
      <c r="C8" s="883"/>
      <c r="D8" s="884"/>
      <c r="E8" s="883"/>
      <c r="F8" s="9"/>
      <c r="G8" s="17"/>
      <c r="H8" s="17"/>
      <c r="I8" s="606"/>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c r="HP8" s="42"/>
      <c r="HQ8" s="42"/>
      <c r="HR8" s="42"/>
      <c r="HS8" s="42"/>
      <c r="HT8" s="42"/>
      <c r="HU8" s="42"/>
      <c r="HV8" s="42"/>
      <c r="HW8" s="42"/>
      <c r="HX8" s="42"/>
      <c r="HY8" s="42"/>
      <c r="HZ8" s="42"/>
      <c r="IA8" s="42"/>
      <c r="IB8" s="42"/>
      <c r="IC8" s="42"/>
      <c r="ID8" s="42"/>
      <c r="IE8" s="42"/>
      <c r="IF8" s="42"/>
      <c r="IG8" s="42"/>
      <c r="IH8" s="42"/>
      <c r="II8" s="42"/>
      <c r="IJ8" s="42"/>
      <c r="IK8" s="42"/>
      <c r="IL8" s="42"/>
      <c r="IM8" s="42"/>
      <c r="IN8" s="42"/>
      <c r="IO8" s="42"/>
      <c r="IP8" s="42"/>
      <c r="IQ8" s="42"/>
      <c r="IR8" s="42"/>
    </row>
    <row r="9" spans="1:253">
      <c r="A9" s="885" t="s">
        <v>2180</v>
      </c>
      <c r="B9" s="886"/>
      <c r="C9" s="8" t="str">
        <f>Estimator</f>
        <v>Fahrudin</v>
      </c>
      <c r="D9" s="9"/>
      <c r="E9" s="9"/>
      <c r="F9" s="17"/>
      <c r="G9" s="17"/>
      <c r="H9" s="17"/>
      <c r="I9" s="609" t="str">
        <f>koordinator</f>
        <v>Reza Pahlevi</v>
      </c>
      <c r="J9" s="42"/>
      <c r="K9" s="44"/>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2"/>
      <c r="DZ9" s="42"/>
      <c r="EA9" s="42"/>
      <c r="EB9" s="42"/>
      <c r="EC9" s="42"/>
      <c r="ED9" s="42"/>
      <c r="EE9" s="42"/>
      <c r="EF9" s="42"/>
      <c r="EG9" s="42"/>
      <c r="EH9" s="42"/>
      <c r="EI9" s="42"/>
      <c r="EJ9" s="42"/>
      <c r="EK9" s="42"/>
      <c r="EL9" s="42"/>
      <c r="EM9" s="42"/>
      <c r="EN9" s="42"/>
      <c r="EO9" s="42"/>
      <c r="EP9" s="42"/>
      <c r="EQ9" s="42"/>
      <c r="ER9" s="42"/>
      <c r="ES9" s="42"/>
      <c r="ET9" s="42"/>
      <c r="EU9" s="42"/>
      <c r="EV9" s="42"/>
      <c r="EW9" s="42"/>
      <c r="EX9" s="42"/>
      <c r="EY9" s="42"/>
      <c r="EZ9" s="42"/>
      <c r="FA9" s="42"/>
      <c r="FB9" s="42"/>
      <c r="FC9" s="42"/>
      <c r="FD9" s="42"/>
      <c r="FE9" s="42"/>
      <c r="FF9" s="42"/>
      <c r="FG9" s="42"/>
      <c r="FH9" s="42"/>
      <c r="FI9" s="42"/>
      <c r="FJ9" s="42"/>
      <c r="FK9" s="42"/>
      <c r="FL9" s="42"/>
      <c r="FM9" s="42"/>
      <c r="FN9" s="42"/>
      <c r="FO9" s="42"/>
      <c r="FP9" s="42"/>
      <c r="FQ9" s="42"/>
      <c r="FR9" s="42"/>
      <c r="FS9" s="42"/>
      <c r="FT9" s="42"/>
      <c r="FU9" s="42"/>
      <c r="FV9" s="42"/>
      <c r="FW9" s="42"/>
      <c r="FX9" s="42"/>
      <c r="FY9" s="42"/>
      <c r="FZ9" s="42"/>
      <c r="GA9" s="42"/>
      <c r="GB9" s="42"/>
      <c r="GC9" s="42"/>
      <c r="GD9" s="42"/>
      <c r="GE9" s="42"/>
      <c r="GF9" s="42"/>
      <c r="GG9" s="42"/>
      <c r="GH9" s="42"/>
      <c r="GI9" s="42"/>
      <c r="GJ9" s="42"/>
      <c r="GK9" s="42"/>
      <c r="GL9" s="42"/>
      <c r="GM9" s="42"/>
      <c r="GN9" s="42"/>
      <c r="GO9" s="42"/>
      <c r="GP9" s="42"/>
      <c r="GQ9" s="42"/>
      <c r="GR9" s="42"/>
      <c r="GS9" s="42"/>
      <c r="GT9" s="42"/>
      <c r="GU9" s="42"/>
      <c r="GV9" s="42"/>
      <c r="GW9" s="42"/>
      <c r="GX9" s="42"/>
      <c r="GY9" s="42"/>
      <c r="GZ9" s="42"/>
      <c r="HA9" s="42"/>
      <c r="HB9" s="42"/>
      <c r="HC9" s="42"/>
      <c r="HD9" s="42"/>
      <c r="HE9" s="42"/>
      <c r="HF9" s="42"/>
      <c r="HG9" s="42"/>
      <c r="HH9" s="42"/>
      <c r="HI9" s="42"/>
      <c r="HJ9" s="42"/>
      <c r="HK9" s="42"/>
      <c r="HL9" s="42"/>
      <c r="HM9" s="42"/>
      <c r="HN9" s="42"/>
      <c r="HO9" s="42"/>
      <c r="HP9" s="42"/>
      <c r="HQ9" s="42"/>
      <c r="HR9" s="42"/>
      <c r="HS9" s="42"/>
      <c r="HT9" s="42"/>
      <c r="HU9" s="42"/>
      <c r="HV9" s="42"/>
      <c r="HW9" s="42"/>
      <c r="HX9" s="42"/>
      <c r="HY9" s="42"/>
      <c r="HZ9" s="42"/>
      <c r="IA9" s="42"/>
      <c r="IB9" s="42"/>
      <c r="IC9" s="42"/>
      <c r="ID9" s="42"/>
      <c r="IE9" s="42"/>
      <c r="IF9" s="42"/>
      <c r="IG9" s="42"/>
      <c r="IH9" s="42"/>
      <c r="II9" s="42"/>
      <c r="IJ9" s="42"/>
      <c r="IK9" s="42"/>
      <c r="IL9" s="42"/>
      <c r="IM9" s="42"/>
      <c r="IN9" s="42"/>
      <c r="IO9" s="42"/>
      <c r="IP9" s="42"/>
      <c r="IQ9" s="42"/>
      <c r="IR9" s="42"/>
    </row>
    <row r="10" spans="1:253">
      <c r="A10" s="30"/>
      <c r="B10" s="32"/>
      <c r="C10" s="30"/>
      <c r="D10" s="9"/>
      <c r="E10" s="9"/>
      <c r="F10" s="17"/>
      <c r="G10" s="17"/>
      <c r="H10" s="17"/>
      <c r="I10" s="609" t="s">
        <v>3471</v>
      </c>
      <c r="J10" s="607"/>
      <c r="K10" s="607"/>
      <c r="L10" s="607"/>
      <c r="M10" s="607"/>
      <c r="N10" s="607"/>
      <c r="O10" s="607"/>
      <c r="P10" s="607"/>
      <c r="Q10" s="607"/>
      <c r="R10" s="607"/>
      <c r="S10" s="607"/>
      <c r="T10" s="607"/>
      <c r="U10" s="607"/>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42"/>
    </row>
    <row r="11" spans="1:253">
      <c r="A11" s="31"/>
      <c r="B11" s="66"/>
      <c r="C11" s="30"/>
      <c r="D11" s="9"/>
      <c r="E11" s="10"/>
      <c r="F11" s="16"/>
      <c r="G11" s="17"/>
      <c r="H11" s="32"/>
      <c r="I11" s="612" t="s">
        <v>3470</v>
      </c>
      <c r="J11" s="606"/>
      <c r="K11" s="606"/>
      <c r="L11" s="606"/>
      <c r="M11" s="606"/>
      <c r="N11" s="606"/>
      <c r="O11" s="606"/>
      <c r="P11" s="606"/>
      <c r="Q11" s="606"/>
      <c r="R11" s="606"/>
      <c r="S11" s="606"/>
      <c r="T11" s="606"/>
      <c r="U11" s="606"/>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c r="FJ11" s="42"/>
      <c r="FK11" s="42"/>
      <c r="FL11" s="42"/>
      <c r="FM11" s="42"/>
      <c r="FN11" s="42"/>
      <c r="FO11" s="42"/>
      <c r="FP11" s="42"/>
      <c r="FQ11" s="42"/>
      <c r="FR11" s="42"/>
      <c r="FS11" s="42"/>
      <c r="FT11" s="42"/>
      <c r="FU11" s="42"/>
      <c r="FV11" s="42"/>
      <c r="FW11" s="42"/>
      <c r="FX11" s="42"/>
      <c r="FY11" s="42"/>
      <c r="FZ11" s="42"/>
      <c r="GA11" s="42"/>
      <c r="GB11" s="42"/>
      <c r="GC11" s="42"/>
      <c r="GD11" s="42"/>
      <c r="GE11" s="42"/>
      <c r="GF11" s="42"/>
      <c r="GG11" s="42"/>
      <c r="GH11" s="42"/>
      <c r="GI11" s="42"/>
      <c r="GJ11" s="42"/>
      <c r="GK11" s="42"/>
      <c r="GL11" s="42"/>
      <c r="GM11" s="42"/>
      <c r="GN11" s="42"/>
      <c r="GO11" s="42"/>
      <c r="GP11" s="42"/>
      <c r="GQ11" s="42"/>
      <c r="GR11" s="42"/>
      <c r="GS11" s="42"/>
      <c r="GT11" s="42"/>
      <c r="GU11" s="42"/>
      <c r="GV11" s="42"/>
      <c r="GW11" s="42"/>
      <c r="GX11" s="42"/>
      <c r="GY11" s="42"/>
      <c r="GZ11" s="42"/>
      <c r="HA11" s="42"/>
      <c r="HB11" s="42"/>
      <c r="HC11" s="42"/>
      <c r="HD11" s="42"/>
      <c r="HE11" s="42"/>
      <c r="HF11" s="42"/>
      <c r="HG11" s="42"/>
      <c r="HH11" s="42"/>
      <c r="HI11" s="42"/>
      <c r="HJ11" s="42"/>
      <c r="HK11" s="42"/>
      <c r="HL11" s="42"/>
      <c r="HM11" s="42"/>
      <c r="HN11" s="42"/>
      <c r="HO11" s="42"/>
      <c r="HP11" s="42"/>
      <c r="HQ11" s="42"/>
      <c r="HR11" s="42"/>
      <c r="HS11" s="42"/>
      <c r="HT11" s="42"/>
      <c r="HU11" s="42"/>
      <c r="HV11" s="42"/>
      <c r="HW11" s="42"/>
      <c r="HX11" s="42"/>
      <c r="HY11" s="42"/>
      <c r="HZ11" s="42"/>
      <c r="IA11" s="42"/>
      <c r="IB11" s="42"/>
      <c r="IC11" s="42"/>
      <c r="ID11" s="42"/>
      <c r="IE11" s="42"/>
      <c r="IF11" s="42"/>
      <c r="IG11" s="42"/>
      <c r="IH11" s="42"/>
      <c r="II11" s="42"/>
      <c r="IJ11" s="42"/>
      <c r="IK11" s="42"/>
      <c r="IL11" s="42"/>
      <c r="IM11" s="42"/>
      <c r="IN11" s="42"/>
      <c r="IO11" s="42"/>
      <c r="IP11" s="42"/>
      <c r="IQ11" s="42"/>
      <c r="IR11" s="42"/>
      <c r="IS11" s="42"/>
    </row>
    <row r="12" spans="1:253">
      <c r="A12" s="33"/>
      <c r="B12" s="354"/>
      <c r="C12" s="34"/>
      <c r="D12" s="1"/>
      <c r="E12" s="1"/>
      <c r="G12"/>
      <c r="H12" s="35"/>
      <c r="I12" s="612"/>
      <c r="J12" s="612"/>
      <c r="K12" s="606"/>
      <c r="L12" s="606"/>
      <c r="M12" s="606"/>
      <c r="N12" s="606"/>
      <c r="O12" s="606"/>
      <c r="P12" s="606"/>
      <c r="Q12" s="606"/>
      <c r="R12" s="606"/>
      <c r="S12" s="606"/>
      <c r="T12" s="606"/>
      <c r="U12" s="606"/>
    </row>
    <row r="13" spans="1:253">
      <c r="A13" s="36"/>
      <c r="B13" s="926" t="s">
        <v>2923</v>
      </c>
      <c r="C13" s="927"/>
      <c r="D13" s="927"/>
      <c r="E13" s="927"/>
      <c r="F13" s="838"/>
      <c r="G13" s="355" t="s">
        <v>1506</v>
      </c>
      <c r="H13" s="37"/>
      <c r="I13" s="609"/>
      <c r="J13" s="609"/>
      <c r="K13" s="609"/>
      <c r="L13" s="609"/>
      <c r="M13" s="609"/>
      <c r="N13" s="609"/>
      <c r="O13" s="609"/>
      <c r="P13" s="609"/>
      <c r="Q13" s="609"/>
      <c r="R13" s="609"/>
      <c r="S13" s="609"/>
      <c r="T13" s="609"/>
      <c r="U13" s="609"/>
    </row>
    <row r="14" spans="1:253" ht="17">
      <c r="A14" s="432" t="s">
        <v>2135</v>
      </c>
      <c r="B14" s="837" t="s">
        <v>2157</v>
      </c>
      <c r="C14" s="837" t="s">
        <v>2138</v>
      </c>
      <c r="D14" s="837" t="s">
        <v>2134</v>
      </c>
      <c r="E14" s="837" t="s">
        <v>2133</v>
      </c>
      <c r="F14" s="838" t="s">
        <v>2220</v>
      </c>
      <c r="G14" s="484" t="s">
        <v>2184</v>
      </c>
      <c r="H14" s="494" t="s">
        <v>333</v>
      </c>
      <c r="I14" s="608"/>
      <c r="J14" s="608"/>
      <c r="K14" s="608"/>
      <c r="L14" s="608"/>
      <c r="M14" s="608"/>
      <c r="N14" s="608"/>
      <c r="O14" s="608"/>
      <c r="P14" s="608"/>
      <c r="Q14" s="608"/>
      <c r="R14" s="608"/>
      <c r="S14" s="608"/>
      <c r="T14" s="608"/>
      <c r="U14" s="608"/>
    </row>
    <row r="15" spans="1:253">
      <c r="A15" s="36"/>
      <c r="B15" s="841" t="s">
        <v>2185</v>
      </c>
      <c r="C15" s="841" t="s">
        <v>2185</v>
      </c>
      <c r="D15" s="841" t="s">
        <v>2185</v>
      </c>
      <c r="E15" s="841" t="s">
        <v>2185</v>
      </c>
      <c r="F15" s="930"/>
      <c r="G15" s="40"/>
      <c r="H15" s="36"/>
    </row>
    <row r="16" spans="1:253">
      <c r="A16" s="36"/>
      <c r="B16" s="864"/>
      <c r="C16" s="868"/>
      <c r="D16" s="868"/>
      <c r="E16" s="868"/>
      <c r="F16" s="931"/>
      <c r="G16" s="40"/>
      <c r="H16" s="36"/>
    </row>
    <row r="17" spans="1:13">
      <c r="A17" s="36"/>
      <c r="B17" s="841" t="s">
        <v>4879</v>
      </c>
      <c r="C17" s="841" t="s">
        <v>2185</v>
      </c>
      <c r="D17" s="841" t="s">
        <v>2185</v>
      </c>
      <c r="E17" s="841" t="s">
        <v>2185</v>
      </c>
      <c r="F17" s="931"/>
      <c r="G17" s="40"/>
      <c r="H17" s="36"/>
    </row>
    <row r="18" spans="1:13">
      <c r="A18" s="36"/>
      <c r="B18" s="864"/>
      <c r="C18" s="868"/>
      <c r="D18" s="868"/>
      <c r="E18" s="868"/>
      <c r="F18" s="931"/>
      <c r="G18" s="40"/>
      <c r="H18" s="36"/>
    </row>
    <row r="19" spans="1:13">
      <c r="A19" s="615"/>
      <c r="B19" s="841" t="s">
        <v>3551</v>
      </c>
      <c r="C19" s="841" t="s">
        <v>2185</v>
      </c>
      <c r="D19" s="841" t="s">
        <v>2185</v>
      </c>
      <c r="E19" s="841" t="s">
        <v>2185</v>
      </c>
      <c r="F19" s="931"/>
      <c r="G19" s="615"/>
      <c r="H19" s="615"/>
    </row>
    <row r="20" spans="1:13">
      <c r="A20" s="616"/>
      <c r="B20" s="864"/>
      <c r="C20" s="868"/>
      <c r="D20" s="868"/>
      <c r="E20" s="868"/>
      <c r="F20" s="931"/>
      <c r="G20" s="616"/>
      <c r="H20" s="616"/>
    </row>
    <row r="21" spans="1:13">
      <c r="A21" s="615"/>
      <c r="B21" s="864" t="s">
        <v>4927</v>
      </c>
      <c r="C21" s="841" t="s">
        <v>4922</v>
      </c>
      <c r="D21" s="864" t="s">
        <v>2167</v>
      </c>
      <c r="E21" s="841" t="s">
        <v>3495</v>
      </c>
      <c r="F21" s="931">
        <v>1</v>
      </c>
      <c r="G21" s="616"/>
      <c r="H21" s="616"/>
    </row>
    <row r="22" spans="1:13">
      <c r="A22" s="615"/>
      <c r="B22" s="871"/>
      <c r="C22" s="841" t="s">
        <v>4923</v>
      </c>
      <c r="D22" s="865" t="s">
        <v>2167</v>
      </c>
      <c r="E22" s="841" t="s">
        <v>3495</v>
      </c>
      <c r="F22" s="931">
        <v>2</v>
      </c>
      <c r="G22" s="615"/>
      <c r="H22" s="615"/>
    </row>
    <row r="23" spans="1:13">
      <c r="A23" s="617"/>
      <c r="B23" s="871"/>
      <c r="C23" s="841" t="s">
        <v>4924</v>
      </c>
      <c r="D23" s="865" t="s">
        <v>2167</v>
      </c>
      <c r="E23" s="841" t="s">
        <v>3495</v>
      </c>
      <c r="F23" s="931">
        <v>1</v>
      </c>
      <c r="G23" s="618"/>
      <c r="H23" s="618"/>
    </row>
    <row r="24" spans="1:13">
      <c r="A24" s="615"/>
      <c r="B24" s="871"/>
      <c r="C24" s="841" t="s">
        <v>4925</v>
      </c>
      <c r="D24" s="865" t="s">
        <v>2167</v>
      </c>
      <c r="E24" s="841" t="s">
        <v>3495</v>
      </c>
      <c r="F24" s="931">
        <v>1</v>
      </c>
      <c r="G24" s="40"/>
      <c r="H24" s="36"/>
    </row>
    <row r="25" spans="1:13">
      <c r="A25" s="616"/>
      <c r="B25" s="871"/>
      <c r="C25" s="841" t="s">
        <v>4926</v>
      </c>
      <c r="D25" s="865" t="s">
        <v>2167</v>
      </c>
      <c r="E25" s="841" t="s">
        <v>3495</v>
      </c>
      <c r="F25" s="931">
        <v>1</v>
      </c>
      <c r="G25" s="615"/>
      <c r="H25" s="615"/>
      <c r="I25" s="607"/>
      <c r="J25" s="607"/>
      <c r="K25" s="607"/>
      <c r="L25" s="607"/>
      <c r="M25" s="607"/>
    </row>
    <row r="26" spans="1:13">
      <c r="A26" s="615"/>
      <c r="B26" s="864"/>
      <c r="C26" s="868"/>
      <c r="D26" s="868"/>
      <c r="E26" s="868"/>
      <c r="F26" s="931"/>
      <c r="G26" s="616"/>
      <c r="H26" s="616"/>
      <c r="I26" s="606"/>
      <c r="J26" s="606"/>
      <c r="K26" s="606"/>
      <c r="L26" s="606"/>
      <c r="M26" s="606"/>
    </row>
    <row r="27" spans="1:13">
      <c r="A27" s="615"/>
      <c r="B27" s="863" t="s">
        <v>2183</v>
      </c>
      <c r="C27" s="928"/>
      <c r="D27" s="928"/>
      <c r="E27" s="929"/>
      <c r="F27" s="932">
        <v>6</v>
      </c>
      <c r="G27" s="616"/>
      <c r="H27" s="616"/>
      <c r="I27" s="606"/>
      <c r="J27" s="606"/>
      <c r="K27" s="606"/>
      <c r="L27" s="606"/>
      <c r="M27" s="606"/>
    </row>
    <row r="28" spans="1:13">
      <c r="A28" s="617"/>
      <c r="F28"/>
      <c r="G28" s="615"/>
      <c r="H28" s="615"/>
      <c r="I28" s="609"/>
      <c r="J28" s="609"/>
      <c r="K28" s="609"/>
      <c r="L28" s="609"/>
      <c r="M28" s="609"/>
    </row>
    <row r="29" spans="1:13">
      <c r="A29" s="617"/>
      <c r="F29"/>
      <c r="G29" s="618"/>
      <c r="H29" s="618"/>
      <c r="I29" s="608"/>
      <c r="J29" s="608"/>
      <c r="K29" s="608"/>
      <c r="L29" s="608"/>
      <c r="M29" s="608"/>
    </row>
    <row r="30" spans="1:13">
      <c r="A30" s="36"/>
      <c r="F30"/>
      <c r="G30" s="40"/>
      <c r="H30" s="36"/>
    </row>
    <row r="31" spans="1:13">
      <c r="A31" s="36"/>
      <c r="F31"/>
      <c r="G31" s="40"/>
      <c r="H31" s="36"/>
    </row>
    <row r="32" spans="1:13">
      <c r="A32" s="36"/>
      <c r="F32"/>
      <c r="G32" s="40"/>
      <c r="H32" s="36"/>
    </row>
    <row r="33" spans="1:8">
      <c r="A33" s="36"/>
      <c r="F33"/>
      <c r="G33" s="40"/>
      <c r="H33" s="36"/>
    </row>
    <row r="34" spans="1:8">
      <c r="A34" s="36"/>
      <c r="F34"/>
      <c r="G34" s="40"/>
      <c r="H34" s="36"/>
    </row>
    <row r="35" spans="1:8">
      <c r="A35" s="36"/>
      <c r="F35"/>
      <c r="G35" s="40"/>
      <c r="H35" s="36"/>
    </row>
    <row r="36" spans="1:8">
      <c r="A36" s="36"/>
      <c r="F36"/>
      <c r="G36" s="40"/>
      <c r="H36" s="36"/>
    </row>
    <row r="37" spans="1:8">
      <c r="A37" s="36"/>
      <c r="F37"/>
      <c r="G37" s="40"/>
      <c r="H37" s="36"/>
    </row>
    <row r="38" spans="1:8">
      <c r="A38" s="36"/>
      <c r="F38"/>
      <c r="G38" s="40"/>
      <c r="H38" s="36"/>
    </row>
    <row r="39" spans="1:8">
      <c r="A39" s="36"/>
      <c r="F39"/>
      <c r="G39" s="40"/>
      <c r="H39" s="36"/>
    </row>
    <row r="40" spans="1:8">
      <c r="A40" s="36"/>
      <c r="F40"/>
      <c r="G40" s="40"/>
      <c r="H40" s="36"/>
    </row>
    <row r="41" spans="1:8">
      <c r="A41" s="36"/>
      <c r="F41"/>
      <c r="G41" s="40"/>
      <c r="H41" s="36"/>
    </row>
    <row r="42" spans="1:8">
      <c r="A42" s="36"/>
      <c r="F42"/>
      <c r="G42" s="40"/>
      <c r="H42" s="36"/>
    </row>
    <row r="43" spans="1:8">
      <c r="A43" s="36"/>
      <c r="F43"/>
      <c r="G43" s="40"/>
      <c r="H43" s="36"/>
    </row>
    <row r="44" spans="1:8">
      <c r="A44" s="36"/>
      <c r="F44"/>
      <c r="G44" s="40"/>
      <c r="H44" s="36"/>
    </row>
    <row r="45" spans="1:8">
      <c r="A45" s="36"/>
      <c r="F45"/>
      <c r="G45" s="40"/>
      <c r="H45" s="36"/>
    </row>
    <row r="46" spans="1:8">
      <c r="A46" s="36"/>
      <c r="F46"/>
      <c r="G46" s="40"/>
      <c r="H46" s="36"/>
    </row>
    <row r="47" spans="1:8">
      <c r="A47" s="36"/>
      <c r="F47"/>
      <c r="G47" s="40"/>
      <c r="H47" s="36"/>
    </row>
    <row r="48" spans="1:8">
      <c r="A48" s="36"/>
      <c r="F48"/>
      <c r="G48" s="40"/>
      <c r="H48" s="36"/>
    </row>
    <row r="49" spans="1:8">
      <c r="A49" s="36"/>
      <c r="F49"/>
      <c r="G49" s="40"/>
      <c r="H49" s="36"/>
    </row>
    <row r="50" spans="1:8">
      <c r="F50"/>
    </row>
    <row r="51" spans="1:8">
      <c r="F51"/>
    </row>
    <row r="52" spans="1:8">
      <c r="A52" s="609" t="s">
        <v>3472</v>
      </c>
      <c r="F52"/>
    </row>
    <row r="53" spans="1:8">
      <c r="A53" s="606"/>
      <c r="F53"/>
    </row>
    <row r="54" spans="1:8">
      <c r="A54" s="606"/>
      <c r="F54"/>
    </row>
    <row r="55" spans="1:8">
      <c r="A55" s="609" t="str">
        <f>koordinator</f>
        <v>Reza Pahlevi</v>
      </c>
      <c r="F55"/>
    </row>
    <row r="56" spans="1:8">
      <c r="A56" s="609" t="s">
        <v>3471</v>
      </c>
      <c r="F56"/>
    </row>
    <row r="57" spans="1:8">
      <c r="A57" s="612" t="s">
        <v>3470</v>
      </c>
      <c r="F57"/>
    </row>
    <row r="58" spans="1:8">
      <c r="F58"/>
    </row>
    <row r="59" spans="1:8">
      <c r="F59"/>
    </row>
    <row r="60" spans="1:8">
      <c r="F60"/>
    </row>
    <row r="61" spans="1:8">
      <c r="F61"/>
    </row>
    <row r="62" spans="1:8">
      <c r="F62"/>
    </row>
    <row r="63" spans="1:8">
      <c r="F63"/>
    </row>
    <row r="64" spans="1:8">
      <c r="F64"/>
    </row>
    <row r="65" spans="6:6">
      <c r="F65"/>
    </row>
    <row r="66" spans="6:6">
      <c r="F66"/>
    </row>
    <row r="67" spans="6:6">
      <c r="F67"/>
    </row>
    <row r="68" spans="6:6">
      <c r="F68"/>
    </row>
    <row r="69" spans="6:6">
      <c r="F69"/>
    </row>
    <row r="70" spans="6:6">
      <c r="F70"/>
    </row>
    <row r="71" spans="6:6">
      <c r="F71"/>
    </row>
    <row r="72" spans="6:6">
      <c r="F72"/>
    </row>
    <row r="73" spans="6:6">
      <c r="F73"/>
    </row>
    <row r="74" spans="6:6">
      <c r="F74"/>
    </row>
    <row r="75" spans="6:6">
      <c r="F75"/>
    </row>
    <row r="76" spans="6:6">
      <c r="F76"/>
    </row>
    <row r="77" spans="6:6">
      <c r="F77"/>
    </row>
    <row r="78" spans="6:6">
      <c r="F78"/>
    </row>
    <row r="79" spans="6:6">
      <c r="F79"/>
    </row>
    <row r="80" spans="6:6">
      <c r="F80"/>
    </row>
    <row r="81" spans="6:6">
      <c r="F81"/>
    </row>
    <row r="82" spans="6:6">
      <c r="F82"/>
    </row>
    <row r="83" spans="6:6">
      <c r="F83"/>
    </row>
    <row r="84" spans="6:6">
      <c r="F84"/>
    </row>
    <row r="85" spans="6:6">
      <c r="F85"/>
    </row>
    <row r="86" spans="6:6">
      <c r="F86"/>
    </row>
    <row r="87" spans="6:6">
      <c r="F87"/>
    </row>
    <row r="88" spans="6:6">
      <c r="F88"/>
    </row>
    <row r="89" spans="6:6">
      <c r="F89"/>
    </row>
    <row r="90" spans="6:6">
      <c r="F90"/>
    </row>
    <row r="91" spans="6:6">
      <c r="F91"/>
    </row>
    <row r="92" spans="6:6">
      <c r="F92"/>
    </row>
    <row r="93" spans="6:6">
      <c r="F93"/>
    </row>
    <row r="94" spans="6:6">
      <c r="F94"/>
    </row>
    <row r="95" spans="6:6">
      <c r="F95"/>
    </row>
    <row r="96" spans="6:6">
      <c r="F96"/>
    </row>
    <row r="97" spans="6:6">
      <c r="F97"/>
    </row>
    <row r="98" spans="6:6">
      <c r="F98"/>
    </row>
    <row r="99" spans="6:6">
      <c r="F99"/>
    </row>
    <row r="100" spans="6:6">
      <c r="F100"/>
    </row>
    <row r="101" spans="6:6">
      <c r="F101"/>
    </row>
    <row r="102" spans="6:6">
      <c r="F102"/>
    </row>
    <row r="103" spans="6:6">
      <c r="F103"/>
    </row>
    <row r="104" spans="6:6">
      <c r="F104"/>
    </row>
    <row r="105" spans="6:6">
      <c r="F105"/>
    </row>
    <row r="106" spans="6:6">
      <c r="F106"/>
    </row>
    <row r="107" spans="6:6">
      <c r="F107"/>
    </row>
    <row r="108" spans="6:6">
      <c r="F108"/>
    </row>
    <row r="109" spans="6:6">
      <c r="F109"/>
    </row>
    <row r="110" spans="6:6">
      <c r="F110"/>
    </row>
    <row r="111" spans="6:6">
      <c r="F111"/>
    </row>
    <row r="112" spans="6:6">
      <c r="F112"/>
    </row>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sheetData>
  <mergeCells count="17">
    <mergeCell ref="B16:E16"/>
    <mergeCell ref="B18:E18"/>
    <mergeCell ref="B20:E20"/>
    <mergeCell ref="B21:B25"/>
    <mergeCell ref="B26:E26"/>
    <mergeCell ref="B27:E27"/>
    <mergeCell ref="D21:D25"/>
    <mergeCell ref="A1:H1"/>
    <mergeCell ref="A2:H2"/>
    <mergeCell ref="A3:B3"/>
    <mergeCell ref="A4:B4"/>
    <mergeCell ref="A6:B6"/>
    <mergeCell ref="A7:B7"/>
    <mergeCell ref="C7:E7"/>
    <mergeCell ref="A8:B8"/>
    <mergeCell ref="C8:E8"/>
    <mergeCell ref="A9:B9"/>
  </mergeCells>
  <pageMargins left="0.1" right="0.1" top="0.5" bottom="0.1" header="0.25" footer="0.25"/>
  <pageSetup orientation="portrait" horizontalDpi="240" verticalDpi="144" r:id="rId2"/>
  <headerFooter>
    <oddHeader>&amp;L&amp;F</oddHeader>
  </headerFooter>
  <colBreaks count="1" manualBreakCount="1">
    <brk id="8" max="1048575" man="1"/>
  </colBreak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S461"/>
  <sheetViews>
    <sheetView view="pageBreakPreview" zoomScale="60" zoomScaleNormal="85" workbookViewId="0">
      <pane ySplit="14" topLeftCell="A15" activePane="bottomLeft" state="frozen"/>
      <selection pane="bottomLeft" activeCell="C61" sqref="C61"/>
    </sheetView>
  </sheetViews>
  <sheetFormatPr baseColWidth="10" defaultColWidth="9" defaultRowHeight="16"/>
  <cols>
    <col min="1" max="1" width="4" customWidth="1"/>
    <col min="2" max="2" width="39.1640625" customWidth="1"/>
    <col min="3" max="3" width="16.6640625" customWidth="1"/>
    <col min="4" max="5" width="4.6640625" customWidth="1"/>
    <col min="6" max="6" width="4.6640625" style="1" customWidth="1"/>
    <col min="7" max="7" width="4.6640625" style="2" customWidth="1"/>
    <col min="8" max="8" width="16.6640625" customWidth="1"/>
  </cols>
  <sheetData>
    <row r="1" spans="1:253" ht="20">
      <c r="A1" s="866" t="s">
        <v>2194</v>
      </c>
      <c r="B1" s="866"/>
      <c r="C1" s="866"/>
      <c r="D1" s="866"/>
      <c r="E1" s="866"/>
      <c r="F1" s="866"/>
      <c r="G1" s="866"/>
      <c r="H1" s="866"/>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c r="II1" s="42"/>
      <c r="IJ1" s="42"/>
      <c r="IK1" s="42"/>
      <c r="IL1" s="42"/>
      <c r="IM1" s="42"/>
      <c r="IN1" s="42"/>
      <c r="IO1" s="42"/>
      <c r="IP1" s="42"/>
      <c r="IQ1" s="42"/>
      <c r="IR1" s="42"/>
    </row>
    <row r="2" spans="1:253">
      <c r="A2" s="887" t="s">
        <v>2195</v>
      </c>
      <c r="B2" s="887"/>
      <c r="C2" s="887"/>
      <c r="D2" s="887"/>
      <c r="E2" s="887"/>
      <c r="F2" s="887"/>
      <c r="G2" s="887"/>
      <c r="H2" s="887"/>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row>
    <row r="3" spans="1:253">
      <c r="A3" s="879" t="s">
        <v>2196</v>
      </c>
      <c r="B3" s="880"/>
      <c r="C3" s="8" t="str">
        <f>No_proyek&amp;-"1"</f>
        <v>RZ0458-1</v>
      </c>
      <c r="D3" s="9"/>
      <c r="E3" s="9"/>
      <c r="F3" s="54"/>
      <c r="G3" s="16"/>
      <c r="H3" s="613" t="s">
        <v>3488</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c r="II3" s="42"/>
      <c r="IJ3" s="42"/>
      <c r="IK3" s="42"/>
      <c r="IL3" s="42"/>
      <c r="IM3" s="42"/>
      <c r="IN3" s="42"/>
      <c r="IO3" s="42"/>
      <c r="IP3" s="42"/>
      <c r="IQ3" s="42"/>
      <c r="IR3" s="42"/>
    </row>
    <row r="4" spans="1:253">
      <c r="A4" s="879" t="s">
        <v>2174</v>
      </c>
      <c r="B4" s="880"/>
      <c r="C4" s="8" t="str">
        <f>no_kontrak</f>
        <v>127/RK-RL-PI/PAP-LL/XII/2025</v>
      </c>
      <c r="D4" s="9"/>
      <c r="E4" s="9"/>
      <c r="F4" s="16"/>
      <c r="G4" s="8"/>
      <c r="H4" s="16"/>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row>
    <row r="5" spans="1:253">
      <c r="A5" s="8" t="s">
        <v>1508</v>
      </c>
      <c r="B5" s="18"/>
      <c r="C5" s="8" t="str">
        <f>nip</f>
        <v>25LL017MPC</v>
      </c>
      <c r="D5" s="9"/>
      <c r="E5" s="9"/>
      <c r="F5" s="9"/>
      <c r="G5" s="8"/>
      <c r="H5" s="17"/>
      <c r="I5" s="17"/>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c r="II5" s="42"/>
      <c r="IJ5" s="42"/>
      <c r="IK5" s="42"/>
      <c r="IL5" s="42"/>
      <c r="IM5" s="42"/>
      <c r="IN5" s="42"/>
      <c r="IO5" s="42"/>
      <c r="IP5" s="42"/>
      <c r="IQ5" s="42"/>
      <c r="IR5" s="42"/>
    </row>
    <row r="6" spans="1:253">
      <c r="A6" s="879" t="s">
        <v>2176</v>
      </c>
      <c r="B6" s="880"/>
      <c r="C6" s="8" t="str">
        <f>nama_proyek</f>
        <v>PT Malindo Feedmill Tbk-Dry Pantry</v>
      </c>
      <c r="D6" s="9"/>
      <c r="E6" s="9"/>
      <c r="F6" s="17"/>
      <c r="G6" s="17"/>
      <c r="H6" s="17"/>
      <c r="I6" s="609" t="s">
        <v>3472</v>
      </c>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42"/>
    </row>
    <row r="7" spans="1:253">
      <c r="A7" s="879" t="s">
        <v>2178</v>
      </c>
      <c r="B7" s="880"/>
      <c r="C7" s="881">
        <f>tgl</f>
        <v>46163</v>
      </c>
      <c r="D7" s="882"/>
      <c r="E7" s="881"/>
      <c r="F7" s="30"/>
      <c r="G7" s="17"/>
      <c r="H7" s="17"/>
      <c r="I7" s="609"/>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2"/>
      <c r="EH7" s="42"/>
      <c r="EI7" s="42"/>
      <c r="EJ7" s="42"/>
      <c r="EK7" s="42"/>
      <c r="EL7" s="42"/>
      <c r="EM7" s="42"/>
      <c r="EN7" s="42"/>
      <c r="EO7" s="42"/>
      <c r="EP7" s="42"/>
      <c r="EQ7" s="42"/>
      <c r="ER7" s="42"/>
      <c r="ES7" s="42"/>
      <c r="ET7" s="42"/>
      <c r="EU7" s="42"/>
      <c r="EV7" s="42"/>
      <c r="EW7" s="42"/>
      <c r="EX7" s="42"/>
      <c r="EY7" s="42"/>
      <c r="EZ7" s="42"/>
      <c r="FA7" s="42"/>
      <c r="FB7" s="42"/>
      <c r="FC7" s="42"/>
      <c r="FD7" s="42"/>
      <c r="FE7" s="42"/>
      <c r="FF7" s="42"/>
      <c r="FG7" s="42"/>
      <c r="FH7" s="42"/>
      <c r="FI7" s="42"/>
      <c r="FJ7" s="42"/>
      <c r="FK7" s="42"/>
      <c r="FL7" s="42"/>
      <c r="FM7" s="42"/>
      <c r="FN7" s="42"/>
      <c r="FO7" s="42"/>
      <c r="FP7" s="42"/>
      <c r="FQ7" s="42"/>
      <c r="FR7" s="42"/>
      <c r="FS7" s="42"/>
      <c r="FT7" s="42"/>
      <c r="FU7" s="42"/>
      <c r="FV7" s="42"/>
      <c r="FW7" s="42"/>
      <c r="FX7" s="42"/>
      <c r="FY7" s="42"/>
      <c r="FZ7" s="42"/>
      <c r="GA7" s="42"/>
      <c r="GB7" s="42"/>
      <c r="GC7" s="42"/>
      <c r="GD7" s="42"/>
      <c r="GE7" s="42"/>
      <c r="GF7" s="42"/>
      <c r="GG7" s="42"/>
      <c r="GH7" s="42"/>
      <c r="GI7" s="42"/>
      <c r="GJ7" s="42"/>
      <c r="GK7" s="42"/>
      <c r="GL7" s="42"/>
      <c r="GM7" s="42"/>
      <c r="GN7" s="42"/>
      <c r="GO7" s="42"/>
      <c r="GP7" s="42"/>
      <c r="GQ7" s="42"/>
      <c r="GR7" s="42"/>
      <c r="GS7" s="42"/>
      <c r="GT7" s="42"/>
      <c r="GU7" s="42"/>
      <c r="GV7" s="42"/>
      <c r="GW7" s="42"/>
      <c r="GX7" s="42"/>
      <c r="GY7" s="42"/>
      <c r="GZ7" s="42"/>
      <c r="HA7" s="42"/>
      <c r="HB7" s="42"/>
      <c r="HC7" s="42"/>
      <c r="HD7" s="42"/>
      <c r="HE7" s="42"/>
      <c r="HF7" s="42"/>
      <c r="HG7" s="42"/>
      <c r="HH7" s="42"/>
      <c r="HI7" s="42"/>
      <c r="HJ7" s="42"/>
      <c r="HK7" s="42"/>
      <c r="HL7" s="42"/>
      <c r="HM7" s="42"/>
      <c r="HN7" s="42"/>
      <c r="HO7" s="42"/>
      <c r="HP7" s="42"/>
      <c r="HQ7" s="42"/>
      <c r="HR7" s="42"/>
      <c r="HS7" s="42"/>
      <c r="HT7" s="42"/>
      <c r="HU7" s="42"/>
      <c r="HV7" s="42"/>
      <c r="HW7" s="42"/>
      <c r="HX7" s="42"/>
      <c r="HY7" s="42"/>
      <c r="HZ7" s="42"/>
      <c r="IA7" s="42"/>
      <c r="IB7" s="42"/>
      <c r="IC7" s="42"/>
      <c r="ID7" s="42"/>
      <c r="IE7" s="42"/>
      <c r="IF7" s="42"/>
      <c r="IG7" s="42"/>
      <c r="IH7" s="42"/>
      <c r="II7" s="42"/>
      <c r="IJ7" s="42"/>
      <c r="IK7" s="42"/>
      <c r="IL7" s="42"/>
      <c r="IM7" s="42"/>
      <c r="IN7" s="42"/>
      <c r="IO7" s="42"/>
      <c r="IP7" s="42"/>
      <c r="IQ7" s="42"/>
      <c r="IR7" s="42"/>
    </row>
    <row r="8" spans="1:253">
      <c r="A8" s="879" t="s">
        <v>2179</v>
      </c>
      <c r="B8" s="880"/>
      <c r="C8" s="883"/>
      <c r="D8" s="884"/>
      <c r="E8" s="883"/>
      <c r="F8" s="9"/>
      <c r="G8" s="17"/>
      <c r="H8" s="17"/>
      <c r="I8" s="606"/>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c r="HP8" s="42"/>
      <c r="HQ8" s="42"/>
      <c r="HR8" s="42"/>
      <c r="HS8" s="42"/>
      <c r="HT8" s="42"/>
      <c r="HU8" s="42"/>
      <c r="HV8" s="42"/>
      <c r="HW8" s="42"/>
      <c r="HX8" s="42"/>
      <c r="HY8" s="42"/>
      <c r="HZ8" s="42"/>
      <c r="IA8" s="42"/>
      <c r="IB8" s="42"/>
      <c r="IC8" s="42"/>
      <c r="ID8" s="42"/>
      <c r="IE8" s="42"/>
      <c r="IF8" s="42"/>
      <c r="IG8" s="42"/>
      <c r="IH8" s="42"/>
      <c r="II8" s="42"/>
      <c r="IJ8" s="42"/>
      <c r="IK8" s="42"/>
      <c r="IL8" s="42"/>
      <c r="IM8" s="42"/>
      <c r="IN8" s="42"/>
      <c r="IO8" s="42"/>
      <c r="IP8" s="42"/>
      <c r="IQ8" s="42"/>
      <c r="IR8" s="42"/>
    </row>
    <row r="9" spans="1:253">
      <c r="A9" s="885" t="s">
        <v>2180</v>
      </c>
      <c r="B9" s="886"/>
      <c r="C9" s="8" t="str">
        <f>Estimator</f>
        <v>Fahrudin</v>
      </c>
      <c r="D9" s="9"/>
      <c r="E9" s="9"/>
      <c r="F9" s="17"/>
      <c r="G9" s="17"/>
      <c r="H9" s="17"/>
      <c r="I9" s="609" t="str">
        <f>koordinator</f>
        <v>Reza Pahlevi</v>
      </c>
      <c r="J9" s="42"/>
      <c r="K9" s="44"/>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2"/>
      <c r="DZ9" s="42"/>
      <c r="EA9" s="42"/>
      <c r="EB9" s="42"/>
      <c r="EC9" s="42"/>
      <c r="ED9" s="42"/>
      <c r="EE9" s="42"/>
      <c r="EF9" s="42"/>
      <c r="EG9" s="42"/>
      <c r="EH9" s="42"/>
      <c r="EI9" s="42"/>
      <c r="EJ9" s="42"/>
      <c r="EK9" s="42"/>
      <c r="EL9" s="42"/>
      <c r="EM9" s="42"/>
      <c r="EN9" s="42"/>
      <c r="EO9" s="42"/>
      <c r="EP9" s="42"/>
      <c r="EQ9" s="42"/>
      <c r="ER9" s="42"/>
      <c r="ES9" s="42"/>
      <c r="ET9" s="42"/>
      <c r="EU9" s="42"/>
      <c r="EV9" s="42"/>
      <c r="EW9" s="42"/>
      <c r="EX9" s="42"/>
      <c r="EY9" s="42"/>
      <c r="EZ9" s="42"/>
      <c r="FA9" s="42"/>
      <c r="FB9" s="42"/>
      <c r="FC9" s="42"/>
      <c r="FD9" s="42"/>
      <c r="FE9" s="42"/>
      <c r="FF9" s="42"/>
      <c r="FG9" s="42"/>
      <c r="FH9" s="42"/>
      <c r="FI9" s="42"/>
      <c r="FJ9" s="42"/>
      <c r="FK9" s="42"/>
      <c r="FL9" s="42"/>
      <c r="FM9" s="42"/>
      <c r="FN9" s="42"/>
      <c r="FO9" s="42"/>
      <c r="FP9" s="42"/>
      <c r="FQ9" s="42"/>
      <c r="FR9" s="42"/>
      <c r="FS9" s="42"/>
      <c r="FT9" s="42"/>
      <c r="FU9" s="42"/>
      <c r="FV9" s="42"/>
      <c r="FW9" s="42"/>
      <c r="FX9" s="42"/>
      <c r="FY9" s="42"/>
      <c r="FZ9" s="42"/>
      <c r="GA9" s="42"/>
      <c r="GB9" s="42"/>
      <c r="GC9" s="42"/>
      <c r="GD9" s="42"/>
      <c r="GE9" s="42"/>
      <c r="GF9" s="42"/>
      <c r="GG9" s="42"/>
      <c r="GH9" s="42"/>
      <c r="GI9" s="42"/>
      <c r="GJ9" s="42"/>
      <c r="GK9" s="42"/>
      <c r="GL9" s="42"/>
      <c r="GM9" s="42"/>
      <c r="GN9" s="42"/>
      <c r="GO9" s="42"/>
      <c r="GP9" s="42"/>
      <c r="GQ9" s="42"/>
      <c r="GR9" s="42"/>
      <c r="GS9" s="42"/>
      <c r="GT9" s="42"/>
      <c r="GU9" s="42"/>
      <c r="GV9" s="42"/>
      <c r="GW9" s="42"/>
      <c r="GX9" s="42"/>
      <c r="GY9" s="42"/>
      <c r="GZ9" s="42"/>
      <c r="HA9" s="42"/>
      <c r="HB9" s="42"/>
      <c r="HC9" s="42"/>
      <c r="HD9" s="42"/>
      <c r="HE9" s="42"/>
      <c r="HF9" s="42"/>
      <c r="HG9" s="42"/>
      <c r="HH9" s="42"/>
      <c r="HI9" s="42"/>
      <c r="HJ9" s="42"/>
      <c r="HK9" s="42"/>
      <c r="HL9" s="42"/>
      <c r="HM9" s="42"/>
      <c r="HN9" s="42"/>
      <c r="HO9" s="42"/>
      <c r="HP9" s="42"/>
      <c r="HQ9" s="42"/>
      <c r="HR9" s="42"/>
      <c r="HS9" s="42"/>
      <c r="HT9" s="42"/>
      <c r="HU9" s="42"/>
      <c r="HV9" s="42"/>
      <c r="HW9" s="42"/>
      <c r="HX9" s="42"/>
      <c r="HY9" s="42"/>
      <c r="HZ9" s="42"/>
      <c r="IA9" s="42"/>
      <c r="IB9" s="42"/>
      <c r="IC9" s="42"/>
      <c r="ID9" s="42"/>
      <c r="IE9" s="42"/>
      <c r="IF9" s="42"/>
      <c r="IG9" s="42"/>
      <c r="IH9" s="42"/>
      <c r="II9" s="42"/>
      <c r="IJ9" s="42"/>
      <c r="IK9" s="42"/>
      <c r="IL9" s="42"/>
      <c r="IM9" s="42"/>
      <c r="IN9" s="42"/>
      <c r="IO9" s="42"/>
      <c r="IP9" s="42"/>
      <c r="IQ9" s="42"/>
      <c r="IR9" s="42"/>
    </row>
    <row r="10" spans="1:253">
      <c r="A10" s="30"/>
      <c r="B10" s="32"/>
      <c r="C10" s="30"/>
      <c r="D10" s="9"/>
      <c r="E10" s="9"/>
      <c r="F10" s="17"/>
      <c r="G10" s="17"/>
      <c r="H10" s="17"/>
      <c r="I10" s="609" t="s">
        <v>3471</v>
      </c>
      <c r="J10" s="607"/>
      <c r="K10" s="607"/>
      <c r="L10" s="607"/>
      <c r="M10" s="607"/>
      <c r="N10" s="607"/>
      <c r="O10" s="607"/>
      <c r="P10" s="607"/>
      <c r="Q10" s="607"/>
      <c r="R10" s="607"/>
      <c r="S10" s="607"/>
      <c r="T10" s="607"/>
      <c r="U10" s="607"/>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42"/>
    </row>
    <row r="11" spans="1:253">
      <c r="A11" s="31"/>
      <c r="B11" s="66"/>
      <c r="C11" s="30"/>
      <c r="D11" s="9"/>
      <c r="E11" s="10"/>
      <c r="F11" s="16"/>
      <c r="G11" s="17"/>
      <c r="H11" s="32"/>
      <c r="I11" s="612" t="s">
        <v>3470</v>
      </c>
      <c r="J11" s="606"/>
      <c r="K11" s="606"/>
      <c r="L11" s="606"/>
      <c r="M11" s="606"/>
      <c r="N11" s="606"/>
      <c r="O11" s="606"/>
      <c r="P11" s="606"/>
      <c r="Q11" s="606"/>
      <c r="R11" s="606"/>
      <c r="S11" s="606"/>
      <c r="T11" s="606"/>
      <c r="U11" s="606"/>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c r="FJ11" s="42"/>
      <c r="FK11" s="42"/>
      <c r="FL11" s="42"/>
      <c r="FM11" s="42"/>
      <c r="FN11" s="42"/>
      <c r="FO11" s="42"/>
      <c r="FP11" s="42"/>
      <c r="FQ11" s="42"/>
      <c r="FR11" s="42"/>
      <c r="FS11" s="42"/>
      <c r="FT11" s="42"/>
      <c r="FU11" s="42"/>
      <c r="FV11" s="42"/>
      <c r="FW11" s="42"/>
      <c r="FX11" s="42"/>
      <c r="FY11" s="42"/>
      <c r="FZ11" s="42"/>
      <c r="GA11" s="42"/>
      <c r="GB11" s="42"/>
      <c r="GC11" s="42"/>
      <c r="GD11" s="42"/>
      <c r="GE11" s="42"/>
      <c r="GF11" s="42"/>
      <c r="GG11" s="42"/>
      <c r="GH11" s="42"/>
      <c r="GI11" s="42"/>
      <c r="GJ11" s="42"/>
      <c r="GK11" s="42"/>
      <c r="GL11" s="42"/>
      <c r="GM11" s="42"/>
      <c r="GN11" s="42"/>
      <c r="GO11" s="42"/>
      <c r="GP11" s="42"/>
      <c r="GQ11" s="42"/>
      <c r="GR11" s="42"/>
      <c r="GS11" s="42"/>
      <c r="GT11" s="42"/>
      <c r="GU11" s="42"/>
      <c r="GV11" s="42"/>
      <c r="GW11" s="42"/>
      <c r="GX11" s="42"/>
      <c r="GY11" s="42"/>
      <c r="GZ11" s="42"/>
      <c r="HA11" s="42"/>
      <c r="HB11" s="42"/>
      <c r="HC11" s="42"/>
      <c r="HD11" s="42"/>
      <c r="HE11" s="42"/>
      <c r="HF11" s="42"/>
      <c r="HG11" s="42"/>
      <c r="HH11" s="42"/>
      <c r="HI11" s="42"/>
      <c r="HJ11" s="42"/>
      <c r="HK11" s="42"/>
      <c r="HL11" s="42"/>
      <c r="HM11" s="42"/>
      <c r="HN11" s="42"/>
      <c r="HO11" s="42"/>
      <c r="HP11" s="42"/>
      <c r="HQ11" s="42"/>
      <c r="HR11" s="42"/>
      <c r="HS11" s="42"/>
      <c r="HT11" s="42"/>
      <c r="HU11" s="42"/>
      <c r="HV11" s="42"/>
      <c r="HW11" s="42"/>
      <c r="HX11" s="42"/>
      <c r="HY11" s="42"/>
      <c r="HZ11" s="42"/>
      <c r="IA11" s="42"/>
      <c r="IB11" s="42"/>
      <c r="IC11" s="42"/>
      <c r="ID11" s="42"/>
      <c r="IE11" s="42"/>
      <c r="IF11" s="42"/>
      <c r="IG11" s="42"/>
      <c r="IH11" s="42"/>
      <c r="II11" s="42"/>
      <c r="IJ11" s="42"/>
      <c r="IK11" s="42"/>
      <c r="IL11" s="42"/>
      <c r="IM11" s="42"/>
      <c r="IN11" s="42"/>
      <c r="IO11" s="42"/>
      <c r="IP11" s="42"/>
      <c r="IQ11" s="42"/>
      <c r="IR11" s="42"/>
      <c r="IS11" s="42"/>
    </row>
    <row r="12" spans="1:253">
      <c r="A12" s="33"/>
      <c r="B12" s="354"/>
      <c r="C12" s="34"/>
      <c r="D12" s="1"/>
      <c r="E12" s="1"/>
      <c r="G12"/>
      <c r="H12" s="35"/>
      <c r="I12" s="612"/>
      <c r="J12" s="612"/>
      <c r="K12" s="606"/>
      <c r="L12" s="606"/>
      <c r="M12" s="606"/>
      <c r="N12" s="606"/>
      <c r="O12" s="606"/>
      <c r="P12" s="606"/>
      <c r="Q12" s="606"/>
      <c r="R12" s="606"/>
      <c r="S12" s="606"/>
      <c r="T12" s="606"/>
      <c r="U12" s="606"/>
    </row>
    <row r="13" spans="1:253">
      <c r="A13" s="36"/>
      <c r="B13" s="926" t="s">
        <v>2923</v>
      </c>
      <c r="C13" s="927"/>
      <c r="D13" s="927"/>
      <c r="E13" s="927"/>
      <c r="F13" s="838"/>
      <c r="G13" s="355" t="s">
        <v>1506</v>
      </c>
      <c r="H13" s="37"/>
      <c r="I13" s="609"/>
      <c r="J13" s="609"/>
      <c r="K13" s="609"/>
      <c r="L13" s="609"/>
      <c r="M13" s="609"/>
      <c r="N13" s="609"/>
      <c r="O13" s="609"/>
      <c r="P13" s="609"/>
      <c r="Q13" s="609"/>
      <c r="R13" s="609"/>
      <c r="S13" s="609"/>
      <c r="T13" s="609"/>
      <c r="U13" s="609"/>
    </row>
    <row r="14" spans="1:253" ht="17">
      <c r="A14" s="432" t="s">
        <v>2135</v>
      </c>
      <c r="B14" s="837" t="s">
        <v>2157</v>
      </c>
      <c r="C14" s="837" t="s">
        <v>2138</v>
      </c>
      <c r="D14" s="837" t="s">
        <v>2134</v>
      </c>
      <c r="E14" s="837" t="s">
        <v>2133</v>
      </c>
      <c r="F14" s="838" t="s">
        <v>2220</v>
      </c>
      <c r="G14" s="484" t="s">
        <v>2184</v>
      </c>
      <c r="H14" s="494" t="s">
        <v>333</v>
      </c>
      <c r="I14" s="608"/>
      <c r="J14" s="608"/>
      <c r="K14" s="608"/>
      <c r="L14" s="608"/>
      <c r="M14" s="608"/>
      <c r="N14" s="608"/>
      <c r="O14" s="608"/>
      <c r="P14" s="608"/>
      <c r="Q14" s="608"/>
      <c r="R14" s="608"/>
      <c r="S14" s="608"/>
      <c r="T14" s="608"/>
      <c r="U14" s="608"/>
    </row>
    <row r="15" spans="1:253" ht="34">
      <c r="A15" s="36"/>
      <c r="B15" s="841" t="s">
        <v>2185</v>
      </c>
      <c r="C15" s="841" t="s">
        <v>2185</v>
      </c>
      <c r="D15" s="841" t="s">
        <v>2185</v>
      </c>
      <c r="E15" s="841" t="s">
        <v>2185</v>
      </c>
      <c r="F15" s="930"/>
      <c r="G15" s="40"/>
      <c r="H15" s="36"/>
    </row>
    <row r="16" spans="1:253">
      <c r="A16" s="36"/>
      <c r="B16" s="864"/>
      <c r="C16" s="868"/>
      <c r="D16" s="868"/>
      <c r="E16" s="868"/>
      <c r="F16" s="931"/>
      <c r="G16" s="40"/>
      <c r="H16" s="36"/>
    </row>
    <row r="17" spans="1:13" ht="34">
      <c r="A17" s="36"/>
      <c r="B17" s="841" t="s">
        <v>4879</v>
      </c>
      <c r="C17" s="841" t="s">
        <v>2185</v>
      </c>
      <c r="D17" s="841" t="s">
        <v>2185</v>
      </c>
      <c r="E17" s="841" t="s">
        <v>2185</v>
      </c>
      <c r="F17" s="931"/>
      <c r="G17" s="40"/>
      <c r="H17" s="36"/>
    </row>
    <row r="18" spans="1:13">
      <c r="A18" s="36"/>
      <c r="B18" s="864"/>
      <c r="C18" s="868"/>
      <c r="D18" s="868"/>
      <c r="E18" s="868"/>
      <c r="F18" s="931"/>
      <c r="G18" s="40"/>
      <c r="H18" s="36"/>
    </row>
    <row r="19" spans="1:13" ht="34">
      <c r="A19" s="615"/>
      <c r="B19" s="841" t="s">
        <v>3551</v>
      </c>
      <c r="C19" s="841" t="s">
        <v>2185</v>
      </c>
      <c r="D19" s="841" t="s">
        <v>2185</v>
      </c>
      <c r="E19" s="841" t="s">
        <v>2185</v>
      </c>
      <c r="F19" s="931"/>
      <c r="G19" s="615"/>
      <c r="H19" s="615"/>
    </row>
    <row r="20" spans="1:13">
      <c r="A20" s="616"/>
      <c r="B20" s="864"/>
      <c r="C20" s="868"/>
      <c r="D20" s="868"/>
      <c r="E20" s="868"/>
      <c r="F20" s="931"/>
      <c r="G20" s="616"/>
      <c r="H20" s="616"/>
    </row>
    <row r="21" spans="1:13">
      <c r="A21" s="615"/>
      <c r="B21" s="863" t="s">
        <v>2183</v>
      </c>
      <c r="C21" s="928"/>
      <c r="D21" s="928"/>
      <c r="E21" s="929"/>
      <c r="F21" s="932"/>
      <c r="G21" s="616"/>
      <c r="H21" s="616"/>
    </row>
    <row r="22" spans="1:13">
      <c r="A22" s="615"/>
      <c r="F22"/>
      <c r="G22" s="615"/>
      <c r="H22" s="615"/>
    </row>
    <row r="23" spans="1:13">
      <c r="A23" s="617"/>
      <c r="F23"/>
      <c r="G23" s="618"/>
      <c r="H23" s="618"/>
    </row>
    <row r="24" spans="1:13">
      <c r="A24" s="615"/>
      <c r="F24"/>
      <c r="G24" s="40"/>
      <c r="H24" s="36"/>
    </row>
    <row r="25" spans="1:13">
      <c r="A25" s="616"/>
      <c r="F25"/>
      <c r="G25" s="615"/>
      <c r="H25" s="615"/>
      <c r="I25" s="607"/>
      <c r="J25" s="607"/>
      <c r="K25" s="607"/>
      <c r="L25" s="607"/>
      <c r="M25" s="607"/>
    </row>
    <row r="26" spans="1:13">
      <c r="A26" s="615"/>
      <c r="F26"/>
      <c r="G26" s="616"/>
      <c r="H26" s="616"/>
      <c r="I26" s="606"/>
      <c r="J26" s="606"/>
      <c r="K26" s="606"/>
      <c r="L26" s="606"/>
      <c r="M26" s="606"/>
    </row>
    <row r="27" spans="1:13">
      <c r="A27" s="615"/>
      <c r="F27"/>
      <c r="G27" s="616"/>
      <c r="H27" s="616"/>
      <c r="I27" s="606"/>
      <c r="J27" s="606"/>
      <c r="K27" s="606"/>
      <c r="L27" s="606"/>
      <c r="M27" s="606"/>
    </row>
    <row r="28" spans="1:13">
      <c r="A28" s="617"/>
      <c r="F28"/>
      <c r="G28" s="615"/>
      <c r="H28" s="615"/>
      <c r="I28" s="609"/>
      <c r="J28" s="609"/>
      <c r="K28" s="609"/>
      <c r="L28" s="609"/>
      <c r="M28" s="609"/>
    </row>
    <row r="29" spans="1:13">
      <c r="A29" s="617"/>
      <c r="F29"/>
      <c r="G29" s="618"/>
      <c r="H29" s="618"/>
      <c r="I29" s="608"/>
      <c r="J29" s="608"/>
      <c r="K29" s="608"/>
      <c r="L29" s="608"/>
      <c r="M29" s="608"/>
    </row>
    <row r="30" spans="1:13">
      <c r="A30" s="36"/>
      <c r="F30"/>
      <c r="G30" s="40"/>
      <c r="H30" s="36"/>
    </row>
    <row r="31" spans="1:13">
      <c r="A31" s="36"/>
      <c r="F31"/>
      <c r="G31" s="40"/>
      <c r="H31" s="36"/>
    </row>
    <row r="32" spans="1:13">
      <c r="A32" s="36"/>
      <c r="F32"/>
      <c r="G32" s="40"/>
      <c r="H32" s="36"/>
    </row>
    <row r="33" spans="1:8">
      <c r="A33" s="36"/>
      <c r="F33"/>
      <c r="G33" s="40"/>
      <c r="H33" s="36"/>
    </row>
    <row r="34" spans="1:8">
      <c r="A34" s="36"/>
      <c r="F34"/>
      <c r="G34" s="40"/>
      <c r="H34" s="36"/>
    </row>
    <row r="35" spans="1:8">
      <c r="A35" s="36"/>
      <c r="F35"/>
      <c r="G35" s="40"/>
      <c r="H35" s="36"/>
    </row>
    <row r="36" spans="1:8">
      <c r="A36" s="36"/>
      <c r="F36"/>
      <c r="G36" s="40"/>
      <c r="H36" s="36"/>
    </row>
    <row r="37" spans="1:8">
      <c r="A37" s="36"/>
      <c r="F37"/>
      <c r="G37" s="40"/>
      <c r="H37" s="36"/>
    </row>
    <row r="38" spans="1:8">
      <c r="A38" s="36"/>
      <c r="F38"/>
      <c r="G38" s="40"/>
      <c r="H38" s="36"/>
    </row>
    <row r="39" spans="1:8">
      <c r="A39" s="36"/>
      <c r="F39"/>
      <c r="G39" s="40"/>
      <c r="H39" s="36"/>
    </row>
    <row r="40" spans="1:8">
      <c r="A40" s="36"/>
      <c r="F40"/>
      <c r="G40" s="40"/>
      <c r="H40" s="36"/>
    </row>
    <row r="41" spans="1:8">
      <c r="A41" s="36"/>
      <c r="F41"/>
      <c r="G41" s="40"/>
      <c r="H41" s="36"/>
    </row>
    <row r="42" spans="1:8">
      <c r="A42" s="36"/>
      <c r="F42"/>
      <c r="G42" s="40"/>
      <c r="H42" s="36"/>
    </row>
    <row r="43" spans="1:8">
      <c r="A43" s="36"/>
      <c r="F43"/>
      <c r="G43" s="40"/>
      <c r="H43" s="36"/>
    </row>
    <row r="44" spans="1:8">
      <c r="A44" s="36"/>
      <c r="F44"/>
      <c r="G44" s="40"/>
      <c r="H44" s="36"/>
    </row>
    <row r="45" spans="1:8">
      <c r="A45" s="36"/>
      <c r="F45"/>
      <c r="G45" s="40"/>
      <c r="H45" s="36"/>
    </row>
    <row r="46" spans="1:8">
      <c r="A46" s="36"/>
      <c r="F46"/>
      <c r="G46" s="40"/>
      <c r="H46" s="36"/>
    </row>
    <row r="47" spans="1:8">
      <c r="A47" s="36"/>
      <c r="F47"/>
      <c r="G47" s="40"/>
      <c r="H47" s="36"/>
    </row>
    <row r="48" spans="1:8">
      <c r="A48" s="36"/>
      <c r="F48"/>
      <c r="G48" s="40"/>
      <c r="H48" s="36"/>
    </row>
    <row r="49" spans="1:8">
      <c r="A49" s="36"/>
      <c r="F49"/>
      <c r="G49" s="40"/>
      <c r="H49" s="36"/>
    </row>
    <row r="50" spans="1:8">
      <c r="F50"/>
    </row>
    <row r="51" spans="1:8">
      <c r="F51"/>
    </row>
    <row r="52" spans="1:8">
      <c r="A52" s="609" t="s">
        <v>3472</v>
      </c>
      <c r="F52"/>
    </row>
    <row r="53" spans="1:8">
      <c r="A53" s="606"/>
      <c r="F53"/>
    </row>
    <row r="54" spans="1:8">
      <c r="A54" s="606"/>
      <c r="F54"/>
    </row>
    <row r="55" spans="1:8">
      <c r="A55" s="609" t="str">
        <f>koordinator</f>
        <v>Reza Pahlevi</v>
      </c>
      <c r="F55"/>
    </row>
    <row r="56" spans="1:8">
      <c r="A56" s="609" t="s">
        <v>3471</v>
      </c>
      <c r="F56"/>
    </row>
    <row r="57" spans="1:8">
      <c r="A57" s="612" t="s">
        <v>3470</v>
      </c>
      <c r="F57"/>
    </row>
    <row r="58" spans="1:8">
      <c r="F58"/>
    </row>
    <row r="59" spans="1:8">
      <c r="F59"/>
    </row>
    <row r="60" spans="1:8">
      <c r="F60"/>
    </row>
    <row r="61" spans="1:8">
      <c r="F61"/>
    </row>
    <row r="62" spans="1:8">
      <c r="F62"/>
    </row>
    <row r="63" spans="1:8">
      <c r="F63"/>
    </row>
    <row r="64" spans="1:8">
      <c r="F64"/>
    </row>
    <row r="65" spans="6:6">
      <c r="F65"/>
    </row>
    <row r="66" spans="6:6">
      <c r="F66"/>
    </row>
    <row r="67" spans="6:6">
      <c r="F67"/>
    </row>
    <row r="68" spans="6:6">
      <c r="F68"/>
    </row>
    <row r="69" spans="6:6">
      <c r="F69"/>
    </row>
    <row r="70" spans="6:6">
      <c r="F70"/>
    </row>
    <row r="71" spans="6:6">
      <c r="F71"/>
    </row>
    <row r="72" spans="6:6">
      <c r="F72"/>
    </row>
    <row r="73" spans="6:6">
      <c r="F73"/>
    </row>
    <row r="74" spans="6:6">
      <c r="F74"/>
    </row>
    <row r="75" spans="6:6">
      <c r="F75"/>
    </row>
    <row r="76" spans="6:6">
      <c r="F76"/>
    </row>
    <row r="77" spans="6:6">
      <c r="F77"/>
    </row>
    <row r="78" spans="6:6">
      <c r="F78"/>
    </row>
    <row r="79" spans="6:6">
      <c r="F79"/>
    </row>
    <row r="80" spans="6:6">
      <c r="F80"/>
    </row>
    <row r="81" spans="6:6">
      <c r="F81"/>
    </row>
    <row r="82" spans="6:6">
      <c r="F82"/>
    </row>
    <row r="83" spans="6:6">
      <c r="F83"/>
    </row>
    <row r="84" spans="6:6">
      <c r="F84"/>
    </row>
    <row r="85" spans="6:6">
      <c r="F85"/>
    </row>
    <row r="86" spans="6:6">
      <c r="F86"/>
    </row>
    <row r="87" spans="6:6">
      <c r="F87"/>
    </row>
    <row r="88" spans="6:6">
      <c r="F88"/>
    </row>
    <row r="89" spans="6:6">
      <c r="F89"/>
    </row>
    <row r="90" spans="6:6">
      <c r="F90"/>
    </row>
    <row r="91" spans="6:6">
      <c r="F91"/>
    </row>
    <row r="92" spans="6:6">
      <c r="F92"/>
    </row>
    <row r="93" spans="6:6">
      <c r="F93"/>
    </row>
    <row r="94" spans="6:6">
      <c r="F94"/>
    </row>
    <row r="95" spans="6:6">
      <c r="F95"/>
    </row>
    <row r="96" spans="6:6">
      <c r="F96"/>
    </row>
    <row r="97" spans="6:6">
      <c r="F97"/>
    </row>
    <row r="98" spans="6:6">
      <c r="F98"/>
    </row>
    <row r="99" spans="6:6">
      <c r="F99"/>
    </row>
    <row r="100" spans="6:6">
      <c r="F100"/>
    </row>
    <row r="101" spans="6:6">
      <c r="F101"/>
    </row>
    <row r="102" spans="6:6">
      <c r="F102"/>
    </row>
    <row r="103" spans="6:6">
      <c r="F103"/>
    </row>
    <row r="104" spans="6:6">
      <c r="F104"/>
    </row>
    <row r="105" spans="6:6">
      <c r="F105"/>
    </row>
    <row r="106" spans="6:6">
      <c r="F106"/>
    </row>
    <row r="107" spans="6:6">
      <c r="F107"/>
    </row>
    <row r="108" spans="6:6">
      <c r="F108"/>
    </row>
    <row r="109" spans="6:6">
      <c r="F109"/>
    </row>
    <row r="110" spans="6:6">
      <c r="F110"/>
    </row>
    <row r="111" spans="6:6">
      <c r="F111"/>
    </row>
    <row r="112" spans="6:6">
      <c r="F112"/>
    </row>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sheetData>
  <mergeCells count="14">
    <mergeCell ref="B20:E20"/>
    <mergeCell ref="B21:E21"/>
    <mergeCell ref="A1:H1"/>
    <mergeCell ref="A2:H2"/>
    <mergeCell ref="A3:B3"/>
    <mergeCell ref="A4:B4"/>
    <mergeCell ref="A6:B6"/>
    <mergeCell ref="A7:B7"/>
    <mergeCell ref="C7:E7"/>
    <mergeCell ref="A8:B8"/>
    <mergeCell ref="C8:E8"/>
    <mergeCell ref="A9:B9"/>
    <mergeCell ref="B16:E16"/>
    <mergeCell ref="B18:E18"/>
  </mergeCells>
  <pageMargins left="0.1" right="0.1" top="0.5" bottom="0.1" header="0.25" footer="0.25"/>
  <pageSetup orientation="portrait" horizontalDpi="180" verticalDpi="18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5"/>
  <sheetViews>
    <sheetView view="pageBreakPreview" zoomScale="60" zoomScaleNormal="85" workbookViewId="0">
      <pane ySplit="14" topLeftCell="A15" activePane="bottomLeft" state="frozen"/>
      <selection pane="bottomLeft" activeCell="B18" sqref="B18"/>
    </sheetView>
  </sheetViews>
  <sheetFormatPr baseColWidth="10" defaultColWidth="9" defaultRowHeight="16"/>
  <cols>
    <col min="1" max="1" width="4" customWidth="1"/>
    <col min="2" max="2" width="39.1640625" customWidth="1"/>
    <col min="3" max="3" width="16.6640625" customWidth="1"/>
    <col min="4" max="7" width="4.6640625" customWidth="1"/>
    <col min="8" max="8" width="16.6640625" customWidth="1"/>
  </cols>
  <sheetData>
    <row r="1" spans="1:9" ht="20">
      <c r="A1" s="866" t="s">
        <v>3602</v>
      </c>
      <c r="B1" s="866"/>
      <c r="C1" s="866"/>
      <c r="D1" s="866"/>
      <c r="E1" s="866"/>
      <c r="F1" s="866"/>
      <c r="G1" s="866"/>
      <c r="H1" s="866"/>
    </row>
    <row r="2" spans="1:9">
      <c r="A2" s="887" t="s">
        <v>2195</v>
      </c>
      <c r="B2" s="887"/>
      <c r="C2" s="887"/>
      <c r="D2" s="887"/>
      <c r="E2" s="887"/>
      <c r="F2" s="887"/>
      <c r="G2" s="887"/>
      <c r="H2" s="887"/>
    </row>
    <row r="3" spans="1:9">
      <c r="A3" s="879" t="s">
        <v>2196</v>
      </c>
      <c r="B3" s="880"/>
      <c r="C3" s="8" t="str">
        <f>No_proyek&amp;"-11"</f>
        <v>RZ0458-11</v>
      </c>
      <c r="D3" s="9"/>
      <c r="E3" s="9"/>
      <c r="F3" s="54"/>
      <c r="G3" s="16"/>
      <c r="H3" s="613" t="s">
        <v>3488</v>
      </c>
    </row>
    <row r="4" spans="1:9">
      <c r="A4" s="879" t="s">
        <v>2174</v>
      </c>
      <c r="B4" s="880"/>
      <c r="C4" s="8" t="str">
        <f>no_kontrak</f>
        <v>127/RK-RL-PI/PAP-LL/XII/2025</v>
      </c>
      <c r="D4" s="9"/>
      <c r="E4" s="9"/>
      <c r="F4" s="16"/>
      <c r="G4" s="8"/>
      <c r="H4" s="16"/>
    </row>
    <row r="5" spans="1:9">
      <c r="A5" s="8" t="s">
        <v>1508</v>
      </c>
      <c r="B5" s="18"/>
      <c r="C5" s="8" t="str">
        <f>nip</f>
        <v>25LL017MPC</v>
      </c>
      <c r="D5" s="9"/>
      <c r="E5" s="9"/>
      <c r="F5" s="9"/>
      <c r="G5" s="8"/>
      <c r="H5" s="17"/>
    </row>
    <row r="6" spans="1:9">
      <c r="A6" s="879" t="s">
        <v>2176</v>
      </c>
      <c r="B6" s="880"/>
      <c r="C6" s="8" t="str">
        <f>nama_proyek</f>
        <v>PT Malindo Feedmill Tbk-Dry Pantry</v>
      </c>
      <c r="D6" s="9"/>
      <c r="E6" s="9"/>
      <c r="F6" s="17"/>
      <c r="G6" s="17"/>
      <c r="H6" s="17"/>
      <c r="I6" s="609" t="s">
        <v>3472</v>
      </c>
    </row>
    <row r="7" spans="1:9">
      <c r="A7" s="879" t="s">
        <v>2178</v>
      </c>
      <c r="B7" s="880"/>
      <c r="C7" s="881">
        <f>tgl</f>
        <v>46163</v>
      </c>
      <c r="D7" s="882"/>
      <c r="E7" s="881"/>
      <c r="F7" s="30"/>
      <c r="G7" s="17"/>
      <c r="H7" s="17"/>
      <c r="I7" s="609"/>
    </row>
    <row r="8" spans="1:9">
      <c r="A8" s="879" t="s">
        <v>2179</v>
      </c>
      <c r="B8" s="880"/>
      <c r="C8" s="883"/>
      <c r="D8" s="884"/>
      <c r="E8" s="883"/>
      <c r="F8" s="9"/>
      <c r="G8" s="17"/>
      <c r="H8" s="17"/>
      <c r="I8" s="606"/>
    </row>
    <row r="9" spans="1:9">
      <c r="A9" s="885" t="s">
        <v>2180</v>
      </c>
      <c r="B9" s="886"/>
      <c r="C9" s="8" t="str">
        <f>Estimator</f>
        <v>Fahrudin</v>
      </c>
      <c r="D9" s="9"/>
      <c r="E9" s="9"/>
      <c r="F9" s="17"/>
      <c r="G9" s="17"/>
      <c r="H9" s="17"/>
      <c r="I9" s="609" t="str">
        <f>koordinator</f>
        <v>Reza Pahlevi</v>
      </c>
    </row>
    <row r="10" spans="1:9" ht="12" customHeight="1">
      <c r="A10" s="30"/>
      <c r="B10" s="32"/>
      <c r="C10" s="30"/>
      <c r="D10" s="9"/>
      <c r="E10" s="9"/>
      <c r="F10" s="17"/>
      <c r="G10" s="17"/>
      <c r="H10" s="17"/>
      <c r="I10" s="609" t="s">
        <v>3471</v>
      </c>
    </row>
    <row r="11" spans="1:9" ht="12" customHeight="1">
      <c r="A11" s="31"/>
      <c r="B11" s="66"/>
      <c r="C11" s="30"/>
      <c r="D11" s="9"/>
      <c r="E11" s="10"/>
      <c r="F11" s="16"/>
      <c r="G11" s="17"/>
      <c r="H11" s="32"/>
      <c r="I11" s="612" t="s">
        <v>3470</v>
      </c>
    </row>
    <row r="12" spans="1:9" ht="12" customHeight="1">
      <c r="A12" s="33"/>
      <c r="B12" s="354"/>
      <c r="C12" s="34"/>
      <c r="D12" s="1"/>
      <c r="E12" s="1"/>
      <c r="F12" s="1"/>
      <c r="H12" s="35"/>
    </row>
    <row r="13" spans="1:9">
      <c r="A13" s="36"/>
      <c r="B13" s="633" t="s">
        <v>2923</v>
      </c>
      <c r="C13" s="605"/>
      <c r="D13" s="605"/>
      <c r="E13" s="605"/>
      <c r="F13" s="56"/>
      <c r="G13" s="355" t="s">
        <v>1506</v>
      </c>
      <c r="H13" s="37"/>
    </row>
    <row r="14" spans="1:9" ht="17">
      <c r="A14" s="432" t="s">
        <v>2135</v>
      </c>
      <c r="B14" s="632" t="s">
        <v>2157</v>
      </c>
      <c r="C14" s="632" t="s">
        <v>2138</v>
      </c>
      <c r="D14" s="632" t="s">
        <v>2134</v>
      </c>
      <c r="E14" s="632" t="s">
        <v>2133</v>
      </c>
      <c r="F14" s="56" t="s">
        <v>2220</v>
      </c>
      <c r="G14" s="484" t="s">
        <v>2184</v>
      </c>
      <c r="H14" s="494" t="s">
        <v>333</v>
      </c>
    </row>
    <row r="15" spans="1:9">
      <c r="A15" s="36"/>
      <c r="B15" s="36"/>
      <c r="C15" s="36"/>
      <c r="D15" s="36"/>
      <c r="E15" s="36"/>
      <c r="F15" s="36"/>
      <c r="G15" s="36"/>
      <c r="H15" s="36"/>
    </row>
    <row r="16" spans="1:9">
      <c r="A16" s="36"/>
      <c r="B16" s="36"/>
      <c r="C16" s="36"/>
      <c r="D16" s="36"/>
      <c r="E16" s="36"/>
      <c r="F16" s="36"/>
      <c r="G16" s="36"/>
      <c r="H16" s="36"/>
    </row>
    <row r="17" spans="1:8">
      <c r="A17" s="36"/>
      <c r="B17" s="36"/>
      <c r="C17" s="36"/>
      <c r="D17" s="36"/>
      <c r="E17" s="36"/>
      <c r="F17" s="36"/>
      <c r="G17" s="36"/>
      <c r="H17" s="36"/>
    </row>
    <row r="18" spans="1:8">
      <c r="A18" s="36"/>
      <c r="B18" s="36"/>
      <c r="C18" s="36"/>
      <c r="D18" s="36"/>
      <c r="E18" s="36"/>
      <c r="F18" s="36"/>
      <c r="G18" s="36"/>
      <c r="H18" s="36"/>
    </row>
    <row r="19" spans="1:8">
      <c r="A19" s="36"/>
      <c r="B19" s="36"/>
      <c r="C19" s="36"/>
      <c r="D19" s="36"/>
      <c r="E19" s="36"/>
      <c r="F19" s="36"/>
      <c r="G19" s="36"/>
      <c r="H19" s="36"/>
    </row>
    <row r="20" spans="1:8">
      <c r="A20" s="36"/>
      <c r="B20" s="36"/>
      <c r="C20" s="36"/>
      <c r="D20" s="36"/>
      <c r="E20" s="36"/>
      <c r="F20" s="36"/>
      <c r="G20" s="36"/>
      <c r="H20" s="36"/>
    </row>
    <row r="21" spans="1:8">
      <c r="A21" s="36"/>
      <c r="B21" s="36"/>
      <c r="C21" s="36"/>
      <c r="D21" s="36"/>
      <c r="E21" s="36"/>
      <c r="F21" s="36"/>
      <c r="G21" s="36"/>
      <c r="H21" s="36"/>
    </row>
    <row r="22" spans="1:8">
      <c r="A22" s="36"/>
      <c r="B22" s="36"/>
      <c r="C22" s="36"/>
      <c r="D22" s="36"/>
      <c r="E22" s="36"/>
      <c r="F22" s="36"/>
      <c r="G22" s="36"/>
      <c r="H22" s="36"/>
    </row>
    <row r="23" spans="1:8">
      <c r="A23" s="36"/>
      <c r="B23" s="36"/>
      <c r="C23" s="36"/>
      <c r="D23" s="36"/>
      <c r="E23" s="36"/>
      <c r="F23" s="36"/>
      <c r="G23" s="36"/>
      <c r="H23" s="36"/>
    </row>
    <row r="24" spans="1:8">
      <c r="A24" s="36"/>
      <c r="B24" s="36"/>
      <c r="C24" s="36"/>
      <c r="D24" s="36"/>
      <c r="E24" s="36"/>
      <c r="F24" s="36"/>
      <c r="G24" s="36"/>
      <c r="H24" s="36"/>
    </row>
    <row r="25" spans="1:8">
      <c r="A25" s="36"/>
      <c r="B25" s="36"/>
      <c r="C25" s="36"/>
      <c r="D25" s="36"/>
      <c r="E25" s="36"/>
      <c r="F25" s="36"/>
      <c r="G25" s="36"/>
      <c r="H25" s="36"/>
    </row>
    <row r="26" spans="1:8">
      <c r="A26" s="36"/>
      <c r="B26" s="36"/>
      <c r="C26" s="36"/>
      <c r="D26" s="36"/>
      <c r="E26" s="36"/>
      <c r="F26" s="36"/>
      <c r="G26" s="36"/>
      <c r="H26" s="36"/>
    </row>
    <row r="27" spans="1:8">
      <c r="A27" s="36"/>
      <c r="B27" s="36"/>
      <c r="C27" s="36"/>
      <c r="D27" s="36"/>
      <c r="E27" s="36"/>
      <c r="F27" s="36"/>
      <c r="G27" s="36"/>
      <c r="H27" s="36"/>
    </row>
    <row r="28" spans="1:8">
      <c r="A28" s="36"/>
      <c r="B28" s="36"/>
      <c r="C28" s="36"/>
      <c r="D28" s="36"/>
      <c r="E28" s="36"/>
      <c r="F28" s="36"/>
      <c r="G28" s="36"/>
      <c r="H28" s="36"/>
    </row>
    <row r="29" spans="1:8">
      <c r="A29" s="36"/>
      <c r="B29" s="36"/>
      <c r="C29" s="36"/>
      <c r="D29" s="36"/>
      <c r="E29" s="36"/>
      <c r="F29" s="36"/>
      <c r="G29" s="36"/>
      <c r="H29" s="36"/>
    </row>
    <row r="30" spans="1:8">
      <c r="A30" s="36"/>
      <c r="B30" s="36"/>
      <c r="C30" s="36"/>
      <c r="D30" s="36"/>
      <c r="E30" s="36"/>
      <c r="F30" s="36"/>
      <c r="G30" s="36"/>
      <c r="H30" s="36"/>
    </row>
    <row r="31" spans="1:8">
      <c r="A31" s="36"/>
      <c r="B31" s="36"/>
      <c r="C31" s="36"/>
      <c r="D31" s="36"/>
      <c r="E31" s="36"/>
      <c r="F31" s="36"/>
      <c r="G31" s="36"/>
      <c r="H31" s="36"/>
    </row>
    <row r="32" spans="1:8">
      <c r="A32" s="36"/>
      <c r="B32" s="36"/>
      <c r="C32" s="36"/>
      <c r="D32" s="36"/>
      <c r="E32" s="36"/>
      <c r="F32" s="36"/>
      <c r="G32" s="36"/>
      <c r="H32" s="36"/>
    </row>
    <row r="33" spans="1:8">
      <c r="A33" s="36"/>
      <c r="B33" s="36"/>
      <c r="C33" s="36"/>
      <c r="D33" s="36"/>
      <c r="E33" s="36"/>
      <c r="F33" s="36"/>
      <c r="G33" s="36"/>
      <c r="H33" s="36"/>
    </row>
    <row r="34" spans="1:8">
      <c r="A34" s="36"/>
      <c r="B34" s="36"/>
      <c r="C34" s="36"/>
      <c r="D34" s="36"/>
      <c r="E34" s="36"/>
      <c r="F34" s="36"/>
      <c r="G34" s="36"/>
      <c r="H34" s="36"/>
    </row>
    <row r="35" spans="1:8">
      <c r="A35" s="36"/>
      <c r="B35" s="36"/>
      <c r="C35" s="36"/>
      <c r="D35" s="36"/>
      <c r="E35" s="36"/>
      <c r="F35" s="36"/>
      <c r="G35" s="36"/>
      <c r="H35" s="36"/>
    </row>
  </sheetData>
  <mergeCells count="10">
    <mergeCell ref="A8:B8"/>
    <mergeCell ref="C8:E8"/>
    <mergeCell ref="A9:B9"/>
    <mergeCell ref="A1:H1"/>
    <mergeCell ref="A2:H2"/>
    <mergeCell ref="A3:B3"/>
    <mergeCell ref="A4:B4"/>
    <mergeCell ref="A6:B6"/>
    <mergeCell ref="A7:B7"/>
    <mergeCell ref="C7:E7"/>
  </mergeCells>
  <pageMargins left="0.1" right="0.1" top="0.1" bottom="0.1" header="0.3" footer="0.3"/>
  <pageSetup scale="89" orientation="portrait" horizontalDpi="180" verticalDpi="18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35"/>
  <sheetViews>
    <sheetView view="pageBreakPreview" zoomScale="60" zoomScaleNormal="100" workbookViewId="0">
      <pane ySplit="14" topLeftCell="A15" activePane="bottomLeft" state="frozen"/>
      <selection pane="bottomLeft" activeCell="C20" sqref="C20"/>
    </sheetView>
  </sheetViews>
  <sheetFormatPr baseColWidth="10" defaultColWidth="8.83203125" defaultRowHeight="16"/>
  <cols>
    <col min="1" max="1" width="4" customWidth="1"/>
    <col min="2" max="2" width="39.1640625" customWidth="1"/>
    <col min="3" max="3" width="16.6640625" customWidth="1"/>
    <col min="4" max="7" width="4.6640625" customWidth="1"/>
    <col min="8" max="8" width="16.6640625" customWidth="1"/>
  </cols>
  <sheetData>
    <row r="1" spans="1:9" ht="20">
      <c r="A1" s="866" t="s">
        <v>3552</v>
      </c>
      <c r="B1" s="866"/>
      <c r="C1" s="866"/>
      <c r="D1" s="866"/>
      <c r="E1" s="866"/>
      <c r="F1" s="866"/>
      <c r="G1" s="866"/>
      <c r="H1" s="866"/>
    </row>
    <row r="2" spans="1:9">
      <c r="A2" s="887" t="s">
        <v>2195</v>
      </c>
      <c r="B2" s="887"/>
      <c r="C2" s="887"/>
      <c r="D2" s="887"/>
      <c r="E2" s="887"/>
      <c r="F2" s="887"/>
      <c r="G2" s="887"/>
      <c r="H2" s="887"/>
    </row>
    <row r="3" spans="1:9">
      <c r="A3" s="879" t="s">
        <v>2196</v>
      </c>
      <c r="B3" s="880"/>
      <c r="C3" s="8" t="str">
        <f>No_proyek&amp;"-01"</f>
        <v>RZ0458-01</v>
      </c>
      <c r="D3" s="9"/>
      <c r="E3" s="9"/>
      <c r="F3" s="54"/>
      <c r="G3" s="16"/>
      <c r="H3" s="613" t="s">
        <v>3488</v>
      </c>
    </row>
    <row r="4" spans="1:9">
      <c r="A4" s="879" t="s">
        <v>2174</v>
      </c>
      <c r="B4" s="880"/>
      <c r="C4" s="8" t="str">
        <f>no_kontrak</f>
        <v>127/RK-RL-PI/PAP-LL/XII/2025</v>
      </c>
      <c r="D4" s="9"/>
      <c r="E4" s="9"/>
      <c r="F4" s="16"/>
      <c r="G4" s="8"/>
      <c r="H4" s="16"/>
    </row>
    <row r="5" spans="1:9">
      <c r="A5" s="8" t="s">
        <v>1508</v>
      </c>
      <c r="B5" s="18"/>
      <c r="C5" s="8" t="str">
        <f>nip</f>
        <v>25LL017MPC</v>
      </c>
      <c r="D5" s="9"/>
      <c r="E5" s="9"/>
      <c r="F5" s="9"/>
      <c r="G5" s="8"/>
      <c r="H5" s="17"/>
    </row>
    <row r="6" spans="1:9">
      <c r="A6" s="879" t="s">
        <v>2176</v>
      </c>
      <c r="B6" s="880"/>
      <c r="C6" s="8" t="str">
        <f>nama_proyek</f>
        <v>PT Malindo Feedmill Tbk-Dry Pantry</v>
      </c>
      <c r="D6" s="9"/>
      <c r="E6" s="9"/>
      <c r="F6" s="17"/>
      <c r="G6" s="17"/>
      <c r="H6" s="17"/>
      <c r="I6" s="609" t="s">
        <v>3472</v>
      </c>
    </row>
    <row r="7" spans="1:9">
      <c r="A7" s="879" t="s">
        <v>2178</v>
      </c>
      <c r="B7" s="880"/>
      <c r="C7" s="881">
        <f>tgl</f>
        <v>46163</v>
      </c>
      <c r="D7" s="882"/>
      <c r="E7" s="881"/>
      <c r="F7" s="30"/>
      <c r="G7" s="17"/>
      <c r="H7" s="17"/>
      <c r="I7" s="609"/>
    </row>
    <row r="8" spans="1:9">
      <c r="A8" s="879" t="s">
        <v>2179</v>
      </c>
      <c r="B8" s="880"/>
      <c r="C8" s="883"/>
      <c r="D8" s="884"/>
      <c r="E8" s="883"/>
      <c r="F8" s="9"/>
      <c r="G8" s="17"/>
      <c r="H8" s="17"/>
      <c r="I8" s="606"/>
    </row>
    <row r="9" spans="1:9">
      <c r="A9" s="885" t="s">
        <v>2180</v>
      </c>
      <c r="B9" s="886"/>
      <c r="C9" s="8" t="str">
        <f>Estimator</f>
        <v>Fahrudin</v>
      </c>
      <c r="D9" s="9"/>
      <c r="E9" s="9"/>
      <c r="F9" s="17"/>
      <c r="G9" s="17"/>
      <c r="H9" s="17"/>
      <c r="I9" s="609" t="str">
        <f>koordinator</f>
        <v>Reza Pahlevi</v>
      </c>
    </row>
    <row r="10" spans="1:9" ht="12" customHeight="1">
      <c r="A10" s="30"/>
      <c r="B10" s="32"/>
      <c r="C10" s="30"/>
      <c r="D10" s="9"/>
      <c r="E10" s="9"/>
      <c r="F10" s="17"/>
      <c r="G10" s="17"/>
      <c r="H10" s="17"/>
      <c r="I10" s="609" t="s">
        <v>3471</v>
      </c>
    </row>
    <row r="11" spans="1:9" ht="12" customHeight="1">
      <c r="A11" s="31"/>
      <c r="B11" s="66"/>
      <c r="C11" s="30"/>
      <c r="D11" s="9"/>
      <c r="E11" s="10"/>
      <c r="F11" s="16"/>
      <c r="G11" s="17"/>
      <c r="H11" s="32"/>
      <c r="I11" s="612" t="s">
        <v>3470</v>
      </c>
    </row>
    <row r="12" spans="1:9" ht="12" customHeight="1">
      <c r="A12" s="33"/>
      <c r="B12" s="354"/>
      <c r="C12" s="34"/>
      <c r="D12" s="1"/>
      <c r="E12" s="1"/>
      <c r="F12" s="1"/>
      <c r="H12" s="35"/>
    </row>
    <row r="13" spans="1:9">
      <c r="A13" s="36"/>
      <c r="B13" s="633" t="s">
        <v>2923</v>
      </c>
      <c r="C13" s="605"/>
      <c r="D13" s="605"/>
      <c r="E13" s="605"/>
      <c r="F13" s="56"/>
      <c r="G13" s="355" t="s">
        <v>1506</v>
      </c>
      <c r="H13" s="37"/>
    </row>
    <row r="14" spans="1:9" ht="17">
      <c r="A14" s="432" t="s">
        <v>2135</v>
      </c>
      <c r="B14" s="632" t="s">
        <v>2157</v>
      </c>
      <c r="C14" s="632" t="s">
        <v>2138</v>
      </c>
      <c r="D14" s="632" t="s">
        <v>2134</v>
      </c>
      <c r="E14" s="632" t="s">
        <v>2133</v>
      </c>
      <c r="F14" s="56" t="s">
        <v>2220</v>
      </c>
      <c r="G14" s="484" t="s">
        <v>2184</v>
      </c>
      <c r="H14" s="494" t="s">
        <v>333</v>
      </c>
    </row>
    <row r="15" spans="1:9">
      <c r="A15" s="36"/>
      <c r="B15" s="36"/>
      <c r="C15" s="36"/>
      <c r="D15" s="36"/>
      <c r="E15" s="36"/>
      <c r="F15" s="36"/>
      <c r="G15" s="36"/>
      <c r="H15" s="36"/>
    </row>
    <row r="16" spans="1:9">
      <c r="A16" s="36"/>
      <c r="B16" s="36"/>
      <c r="C16" s="36"/>
      <c r="D16" s="36"/>
      <c r="E16" s="36"/>
      <c r="F16" s="36"/>
      <c r="G16" s="36"/>
      <c r="H16" s="36"/>
    </row>
    <row r="17" spans="1:8">
      <c r="A17" s="36"/>
      <c r="B17" s="36"/>
      <c r="C17" s="36"/>
      <c r="D17" s="36"/>
      <c r="E17" s="36"/>
      <c r="F17" s="36"/>
      <c r="G17" s="36"/>
      <c r="H17" s="36"/>
    </row>
    <row r="18" spans="1:8">
      <c r="A18" s="36"/>
      <c r="B18" s="36"/>
      <c r="C18" s="36"/>
      <c r="D18" s="36"/>
      <c r="E18" s="36"/>
      <c r="F18" s="36"/>
      <c r="G18" s="36"/>
      <c r="H18" s="36"/>
    </row>
    <row r="19" spans="1:8">
      <c r="A19" s="36"/>
      <c r="B19" s="36"/>
      <c r="C19" s="36"/>
      <c r="D19" s="36"/>
      <c r="E19" s="36"/>
      <c r="F19" s="36"/>
      <c r="G19" s="36"/>
      <c r="H19" s="36"/>
    </row>
    <row r="20" spans="1:8">
      <c r="A20" s="36"/>
      <c r="B20" s="36"/>
      <c r="C20" s="36"/>
      <c r="D20" s="36"/>
      <c r="E20" s="36"/>
      <c r="F20" s="36"/>
      <c r="G20" s="36"/>
      <c r="H20" s="36"/>
    </row>
    <row r="21" spans="1:8">
      <c r="A21" s="36"/>
      <c r="B21" s="36"/>
      <c r="C21" s="36"/>
      <c r="D21" s="36"/>
      <c r="E21" s="36"/>
      <c r="F21" s="36"/>
      <c r="G21" s="36"/>
      <c r="H21" s="36"/>
    </row>
    <row r="22" spans="1:8">
      <c r="A22" s="36"/>
      <c r="B22" s="36"/>
      <c r="C22" s="36"/>
      <c r="D22" s="36"/>
      <c r="E22" s="36"/>
      <c r="F22" s="36"/>
      <c r="G22" s="36"/>
      <c r="H22" s="36"/>
    </row>
    <row r="23" spans="1:8">
      <c r="A23" s="36"/>
      <c r="B23" s="36"/>
      <c r="C23" s="36"/>
      <c r="D23" s="36"/>
      <c r="E23" s="36"/>
      <c r="F23" s="36"/>
      <c r="G23" s="36"/>
      <c r="H23" s="36"/>
    </row>
    <row r="24" spans="1:8">
      <c r="A24" s="36"/>
      <c r="B24" s="36"/>
      <c r="C24" s="36"/>
      <c r="D24" s="36"/>
      <c r="E24" s="36"/>
      <c r="F24" s="36"/>
      <c r="G24" s="36"/>
      <c r="H24" s="36"/>
    </row>
    <row r="25" spans="1:8">
      <c r="A25" s="36"/>
      <c r="B25" s="36"/>
      <c r="C25" s="36"/>
      <c r="D25" s="36"/>
      <c r="E25" s="36"/>
      <c r="F25" s="36"/>
      <c r="G25" s="36"/>
      <c r="H25" s="36"/>
    </row>
    <row r="26" spans="1:8">
      <c r="A26" s="36"/>
      <c r="B26" s="36"/>
      <c r="C26" s="36"/>
      <c r="D26" s="36"/>
      <c r="E26" s="36"/>
      <c r="F26" s="36"/>
      <c r="G26" s="36"/>
      <c r="H26" s="36"/>
    </row>
    <row r="27" spans="1:8">
      <c r="A27" s="36"/>
      <c r="B27" s="36"/>
      <c r="C27" s="36"/>
      <c r="D27" s="36"/>
      <c r="E27" s="36"/>
      <c r="F27" s="36"/>
      <c r="G27" s="36"/>
      <c r="H27" s="36"/>
    </row>
    <row r="28" spans="1:8">
      <c r="A28" s="36"/>
      <c r="B28" s="36"/>
      <c r="C28" s="36"/>
      <c r="D28" s="36"/>
      <c r="E28" s="36"/>
      <c r="F28" s="36"/>
      <c r="G28" s="36"/>
      <c r="H28" s="36"/>
    </row>
    <row r="29" spans="1:8">
      <c r="A29" s="36"/>
      <c r="B29" s="36"/>
      <c r="C29" s="36"/>
      <c r="D29" s="36"/>
      <c r="E29" s="36"/>
      <c r="F29" s="36"/>
      <c r="G29" s="36"/>
      <c r="H29" s="36"/>
    </row>
    <row r="30" spans="1:8">
      <c r="A30" s="36"/>
      <c r="B30" s="36"/>
      <c r="C30" s="36"/>
      <c r="D30" s="36"/>
      <c r="E30" s="36"/>
      <c r="F30" s="36"/>
      <c r="G30" s="36"/>
      <c r="H30" s="36"/>
    </row>
    <row r="31" spans="1:8">
      <c r="A31" s="36"/>
      <c r="B31" s="36"/>
      <c r="C31" s="36"/>
      <c r="D31" s="36"/>
      <c r="E31" s="36"/>
      <c r="F31" s="36"/>
      <c r="G31" s="36"/>
      <c r="H31" s="36"/>
    </row>
    <row r="32" spans="1:8">
      <c r="A32" s="36"/>
      <c r="B32" s="36"/>
      <c r="C32" s="36"/>
      <c r="D32" s="36"/>
      <c r="E32" s="36"/>
      <c r="F32" s="36"/>
      <c r="G32" s="36"/>
      <c r="H32" s="36"/>
    </row>
    <row r="33" spans="1:8">
      <c r="A33" s="36"/>
      <c r="B33" s="36"/>
      <c r="C33" s="36"/>
      <c r="D33" s="36"/>
      <c r="E33" s="36"/>
      <c r="F33" s="36"/>
      <c r="G33" s="36"/>
      <c r="H33" s="36"/>
    </row>
    <row r="34" spans="1:8">
      <c r="A34" s="36"/>
      <c r="B34" s="36"/>
      <c r="C34" s="36"/>
      <c r="D34" s="36"/>
      <c r="E34" s="36"/>
      <c r="F34" s="36"/>
      <c r="G34" s="36"/>
      <c r="H34" s="36"/>
    </row>
    <row r="35" spans="1:8">
      <c r="A35" s="36"/>
      <c r="B35" s="36"/>
      <c r="C35" s="36"/>
      <c r="D35" s="36"/>
      <c r="E35" s="36"/>
      <c r="F35" s="36"/>
      <c r="G35" s="36"/>
      <c r="H35" s="36"/>
    </row>
  </sheetData>
  <mergeCells count="10">
    <mergeCell ref="A8:B8"/>
    <mergeCell ref="C8:E8"/>
    <mergeCell ref="A9:B9"/>
    <mergeCell ref="A1:H1"/>
    <mergeCell ref="A2:H2"/>
    <mergeCell ref="A3:B3"/>
    <mergeCell ref="A4:B4"/>
    <mergeCell ref="A6:B6"/>
    <mergeCell ref="A7:B7"/>
    <mergeCell ref="C7:E7"/>
  </mergeCells>
  <pageMargins left="0.7" right="0.7" top="0.1" bottom="0.75" header="0.3" footer="0.3"/>
  <pageSetup scale="89" orientation="portrait" horizontalDpi="180" verticalDpi="180" r:id="rId1"/>
  <colBreaks count="1" manualBreakCount="1">
    <brk id="8"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8"/>
  <dimension ref="A1:IS460"/>
  <sheetViews>
    <sheetView view="pageBreakPreview" zoomScale="85" zoomScaleNormal="100" zoomScaleSheetLayoutView="85" workbookViewId="0">
      <pane ySplit="14" topLeftCell="A27" activePane="bottomLeft" state="frozen"/>
      <selection pane="bottomLeft" activeCell="H3" sqref="H3"/>
    </sheetView>
  </sheetViews>
  <sheetFormatPr baseColWidth="10" defaultColWidth="9" defaultRowHeight="16"/>
  <cols>
    <col min="1" max="1" width="4" customWidth="1"/>
    <col min="2" max="2" width="39.1640625" customWidth="1"/>
    <col min="3" max="3" width="16.6640625" customWidth="1"/>
    <col min="4" max="5" width="4.6640625" customWidth="1"/>
    <col min="6" max="6" width="4.6640625" style="1" customWidth="1"/>
    <col min="7" max="7" width="4.6640625" style="2" customWidth="1"/>
    <col min="8" max="8" width="16.6640625" customWidth="1"/>
  </cols>
  <sheetData>
    <row r="1" spans="1:253" ht="20">
      <c r="A1" s="866" t="s">
        <v>2194</v>
      </c>
      <c r="B1" s="866"/>
      <c r="C1" s="866"/>
      <c r="D1" s="866"/>
      <c r="E1" s="866"/>
      <c r="F1" s="866"/>
      <c r="G1" s="866"/>
      <c r="H1" s="866"/>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c r="II1" s="42"/>
      <c r="IJ1" s="42"/>
      <c r="IK1" s="42"/>
      <c r="IL1" s="42"/>
      <c r="IM1" s="42"/>
      <c r="IN1" s="42"/>
      <c r="IO1" s="42"/>
      <c r="IP1" s="42"/>
      <c r="IQ1" s="42"/>
      <c r="IR1" s="42"/>
    </row>
    <row r="2" spans="1:253">
      <c r="A2" s="887" t="s">
        <v>2195</v>
      </c>
      <c r="B2" s="887"/>
      <c r="C2" s="887"/>
      <c r="D2" s="887"/>
      <c r="E2" s="887"/>
      <c r="F2" s="887"/>
      <c r="G2" s="887"/>
      <c r="H2" s="887"/>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row>
    <row r="3" spans="1:253">
      <c r="A3" s="879" t="s">
        <v>2196</v>
      </c>
      <c r="B3" s="880"/>
      <c r="C3" s="8" t="str">
        <f>No_proyek</f>
        <v>RZ0458</v>
      </c>
      <c r="D3" s="9"/>
      <c r="E3" s="9"/>
      <c r="F3" s="54"/>
      <c r="G3" s="16"/>
      <c r="H3" s="613" t="s">
        <v>3489</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c r="II3" s="42"/>
      <c r="IJ3" s="42"/>
      <c r="IK3" s="42"/>
      <c r="IL3" s="42"/>
      <c r="IM3" s="42"/>
      <c r="IN3" s="42"/>
      <c r="IO3" s="42"/>
      <c r="IP3" s="42"/>
      <c r="IQ3" s="42"/>
      <c r="IR3" s="42"/>
    </row>
    <row r="4" spans="1:253">
      <c r="A4" s="879" t="s">
        <v>2174</v>
      </c>
      <c r="B4" s="880"/>
      <c r="C4" s="8" t="str">
        <f>no_kontrak</f>
        <v>127/RK-RL-PI/PAP-LL/XII/2025</v>
      </c>
      <c r="D4" s="9"/>
      <c r="E4" s="9"/>
      <c r="F4" s="16"/>
      <c r="G4" s="8"/>
      <c r="H4" s="16"/>
      <c r="I4" s="609" t="s">
        <v>3472</v>
      </c>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row>
    <row r="5" spans="1:253">
      <c r="A5" s="8" t="s">
        <v>1508</v>
      </c>
      <c r="B5" s="18"/>
      <c r="C5" s="8" t="str">
        <f>nip</f>
        <v>25LL017MPC</v>
      </c>
      <c r="D5" s="9"/>
      <c r="E5" s="9"/>
      <c r="F5" s="9"/>
      <c r="G5" s="8"/>
      <c r="H5" s="17"/>
      <c r="I5" s="609"/>
      <c r="J5" s="609"/>
      <c r="K5" s="609"/>
      <c r="L5" s="609"/>
      <c r="M5" s="609"/>
      <c r="N5" s="609"/>
      <c r="O5" s="609"/>
      <c r="P5" s="609"/>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c r="II5" s="42"/>
      <c r="IJ5" s="42"/>
      <c r="IK5" s="42"/>
      <c r="IL5" s="42"/>
      <c r="IM5" s="42"/>
      <c r="IN5" s="42"/>
      <c r="IO5" s="42"/>
      <c r="IP5" s="42"/>
      <c r="IQ5" s="42"/>
      <c r="IR5" s="42"/>
    </row>
    <row r="6" spans="1:253">
      <c r="A6" s="879" t="s">
        <v>2176</v>
      </c>
      <c r="B6" s="880"/>
      <c r="C6" s="8" t="str">
        <f>nama_proyek</f>
        <v>PT Malindo Feedmill Tbk-Dry Pantry</v>
      </c>
      <c r="D6" s="9"/>
      <c r="E6" s="9"/>
      <c r="F6" s="17"/>
      <c r="G6" s="17"/>
      <c r="H6" s="17"/>
      <c r="I6" s="606"/>
      <c r="J6" s="606"/>
      <c r="K6" s="606"/>
      <c r="L6" s="606"/>
      <c r="M6" s="606"/>
      <c r="N6" s="606"/>
      <c r="O6" s="606"/>
      <c r="P6" s="606"/>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42"/>
    </row>
    <row r="7" spans="1:253">
      <c r="A7" s="879" t="s">
        <v>2178</v>
      </c>
      <c r="B7" s="880"/>
      <c r="C7" s="881">
        <f>tgl</f>
        <v>46163</v>
      </c>
      <c r="D7" s="882"/>
      <c r="E7" s="881"/>
      <c r="F7" s="30"/>
      <c r="G7" s="17"/>
      <c r="H7" s="17"/>
      <c r="I7" s="609" t="str">
        <f>koordinator</f>
        <v>Reza Pahlevi</v>
      </c>
      <c r="J7" s="609"/>
      <c r="K7" s="606"/>
      <c r="L7" s="606"/>
      <c r="M7" s="606"/>
      <c r="N7" s="606"/>
      <c r="O7" s="606"/>
      <c r="P7" s="606"/>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2"/>
      <c r="EH7" s="42"/>
      <c r="EI7" s="42"/>
      <c r="EJ7" s="42"/>
      <c r="EK7" s="42"/>
      <c r="EL7" s="42"/>
      <c r="EM7" s="42"/>
      <c r="EN7" s="42"/>
      <c r="EO7" s="42"/>
      <c r="EP7" s="42"/>
      <c r="EQ7" s="42"/>
      <c r="ER7" s="42"/>
      <c r="ES7" s="42"/>
      <c r="ET7" s="42"/>
      <c r="EU7" s="42"/>
      <c r="EV7" s="42"/>
      <c r="EW7" s="42"/>
      <c r="EX7" s="42"/>
      <c r="EY7" s="42"/>
      <c r="EZ7" s="42"/>
      <c r="FA7" s="42"/>
      <c r="FB7" s="42"/>
      <c r="FC7" s="42"/>
      <c r="FD7" s="42"/>
      <c r="FE7" s="42"/>
      <c r="FF7" s="42"/>
      <c r="FG7" s="42"/>
      <c r="FH7" s="42"/>
      <c r="FI7" s="42"/>
      <c r="FJ7" s="42"/>
      <c r="FK7" s="42"/>
      <c r="FL7" s="42"/>
      <c r="FM7" s="42"/>
      <c r="FN7" s="42"/>
      <c r="FO7" s="42"/>
      <c r="FP7" s="42"/>
      <c r="FQ7" s="42"/>
      <c r="FR7" s="42"/>
      <c r="FS7" s="42"/>
      <c r="FT7" s="42"/>
      <c r="FU7" s="42"/>
      <c r="FV7" s="42"/>
      <c r="FW7" s="42"/>
      <c r="FX7" s="42"/>
      <c r="FY7" s="42"/>
      <c r="FZ7" s="42"/>
      <c r="GA7" s="42"/>
      <c r="GB7" s="42"/>
      <c r="GC7" s="42"/>
      <c r="GD7" s="42"/>
      <c r="GE7" s="42"/>
      <c r="GF7" s="42"/>
      <c r="GG7" s="42"/>
      <c r="GH7" s="42"/>
      <c r="GI7" s="42"/>
      <c r="GJ7" s="42"/>
      <c r="GK7" s="42"/>
      <c r="GL7" s="42"/>
      <c r="GM7" s="42"/>
      <c r="GN7" s="42"/>
      <c r="GO7" s="42"/>
      <c r="GP7" s="42"/>
      <c r="GQ7" s="42"/>
      <c r="GR7" s="42"/>
      <c r="GS7" s="42"/>
      <c r="GT7" s="42"/>
      <c r="GU7" s="42"/>
      <c r="GV7" s="42"/>
      <c r="GW7" s="42"/>
      <c r="GX7" s="42"/>
      <c r="GY7" s="42"/>
      <c r="GZ7" s="42"/>
      <c r="HA7" s="42"/>
      <c r="HB7" s="42"/>
      <c r="HC7" s="42"/>
      <c r="HD7" s="42"/>
      <c r="HE7" s="42"/>
      <c r="HF7" s="42"/>
      <c r="HG7" s="42"/>
      <c r="HH7" s="42"/>
      <c r="HI7" s="42"/>
      <c r="HJ7" s="42"/>
      <c r="HK7" s="42"/>
      <c r="HL7" s="42"/>
      <c r="HM7" s="42"/>
      <c r="HN7" s="42"/>
      <c r="HO7" s="42"/>
      <c r="HP7" s="42"/>
      <c r="HQ7" s="42"/>
      <c r="HR7" s="42"/>
      <c r="HS7" s="42"/>
      <c r="HT7" s="42"/>
      <c r="HU7" s="42"/>
      <c r="HV7" s="42"/>
      <c r="HW7" s="42"/>
      <c r="HX7" s="42"/>
      <c r="HY7" s="42"/>
      <c r="HZ7" s="42"/>
      <c r="IA7" s="42"/>
      <c r="IB7" s="42"/>
      <c r="IC7" s="42"/>
      <c r="ID7" s="42"/>
      <c r="IE7" s="42"/>
      <c r="IF7" s="42"/>
      <c r="IG7" s="42"/>
      <c r="IH7" s="42"/>
      <c r="II7" s="42"/>
      <c r="IJ7" s="42"/>
      <c r="IK7" s="42"/>
      <c r="IL7" s="42"/>
      <c r="IM7" s="42"/>
      <c r="IN7" s="42"/>
      <c r="IO7" s="42"/>
      <c r="IP7" s="42"/>
      <c r="IQ7" s="42"/>
      <c r="IR7" s="42"/>
    </row>
    <row r="8" spans="1:253">
      <c r="A8" s="879" t="s">
        <v>2179</v>
      </c>
      <c r="B8" s="880"/>
      <c r="C8" s="883"/>
      <c r="D8" s="884"/>
      <c r="E8" s="883"/>
      <c r="F8" s="9"/>
      <c r="G8" s="17"/>
      <c r="H8" s="17"/>
      <c r="I8" s="609" t="s">
        <v>3471</v>
      </c>
      <c r="J8" s="609"/>
      <c r="K8" s="609"/>
      <c r="L8" s="609"/>
      <c r="M8" s="609"/>
      <c r="N8" s="609"/>
      <c r="O8" s="609"/>
      <c r="P8" s="609"/>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c r="HP8" s="42"/>
      <c r="HQ8" s="42"/>
      <c r="HR8" s="42"/>
      <c r="HS8" s="42"/>
      <c r="HT8" s="42"/>
      <c r="HU8" s="42"/>
      <c r="HV8" s="42"/>
      <c r="HW8" s="42"/>
      <c r="HX8" s="42"/>
      <c r="HY8" s="42"/>
      <c r="HZ8" s="42"/>
      <c r="IA8" s="42"/>
      <c r="IB8" s="42"/>
      <c r="IC8" s="42"/>
      <c r="ID8" s="42"/>
      <c r="IE8" s="42"/>
      <c r="IF8" s="42"/>
      <c r="IG8" s="42"/>
      <c r="IH8" s="42"/>
      <c r="II8" s="42"/>
      <c r="IJ8" s="42"/>
      <c r="IK8" s="42"/>
      <c r="IL8" s="42"/>
      <c r="IM8" s="42"/>
      <c r="IN8" s="42"/>
      <c r="IO8" s="42"/>
      <c r="IP8" s="42"/>
      <c r="IQ8" s="42"/>
      <c r="IR8" s="42"/>
    </row>
    <row r="9" spans="1:253">
      <c r="A9" s="885" t="s">
        <v>2180</v>
      </c>
      <c r="B9" s="886"/>
      <c r="C9" s="8" t="str">
        <f>Estimator</f>
        <v>Fahrudin</v>
      </c>
      <c r="D9" s="9"/>
      <c r="E9" s="9"/>
      <c r="F9" s="17"/>
      <c r="G9" s="17"/>
      <c r="H9" s="17"/>
      <c r="I9" s="612" t="s">
        <v>3470</v>
      </c>
      <c r="J9" s="608"/>
      <c r="K9" s="608"/>
      <c r="L9" s="608"/>
      <c r="M9" s="608"/>
      <c r="N9" s="608"/>
      <c r="O9" s="608"/>
      <c r="P9" s="608"/>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2"/>
      <c r="DZ9" s="42"/>
      <c r="EA9" s="42"/>
      <c r="EB9" s="42"/>
      <c r="EC9" s="42"/>
      <c r="ED9" s="42"/>
      <c r="EE9" s="42"/>
      <c r="EF9" s="42"/>
      <c r="EG9" s="42"/>
      <c r="EH9" s="42"/>
      <c r="EI9" s="42"/>
      <c r="EJ9" s="42"/>
      <c r="EK9" s="42"/>
      <c r="EL9" s="42"/>
      <c r="EM9" s="42"/>
      <c r="EN9" s="42"/>
      <c r="EO9" s="42"/>
      <c r="EP9" s="42"/>
      <c r="EQ9" s="42"/>
      <c r="ER9" s="42"/>
      <c r="ES9" s="42"/>
      <c r="ET9" s="42"/>
      <c r="EU9" s="42"/>
      <c r="EV9" s="42"/>
      <c r="EW9" s="42"/>
      <c r="EX9" s="42"/>
      <c r="EY9" s="42"/>
      <c r="EZ9" s="42"/>
      <c r="FA9" s="42"/>
      <c r="FB9" s="42"/>
      <c r="FC9" s="42"/>
      <c r="FD9" s="42"/>
      <c r="FE9" s="42"/>
      <c r="FF9" s="42"/>
      <c r="FG9" s="42"/>
      <c r="FH9" s="42"/>
      <c r="FI9" s="42"/>
      <c r="FJ9" s="42"/>
      <c r="FK9" s="42"/>
      <c r="FL9" s="42"/>
      <c r="FM9" s="42"/>
      <c r="FN9" s="42"/>
      <c r="FO9" s="42"/>
      <c r="FP9" s="42"/>
      <c r="FQ9" s="42"/>
      <c r="FR9" s="42"/>
      <c r="FS9" s="42"/>
      <c r="FT9" s="42"/>
      <c r="FU9" s="42"/>
      <c r="FV9" s="42"/>
      <c r="FW9" s="42"/>
      <c r="FX9" s="42"/>
      <c r="FY9" s="42"/>
      <c r="FZ9" s="42"/>
      <c r="GA9" s="42"/>
      <c r="GB9" s="42"/>
      <c r="GC9" s="42"/>
      <c r="GD9" s="42"/>
      <c r="GE9" s="42"/>
      <c r="GF9" s="42"/>
      <c r="GG9" s="42"/>
      <c r="GH9" s="42"/>
      <c r="GI9" s="42"/>
      <c r="GJ9" s="42"/>
      <c r="GK9" s="42"/>
      <c r="GL9" s="42"/>
      <c r="GM9" s="42"/>
      <c r="GN9" s="42"/>
      <c r="GO9" s="42"/>
      <c r="GP9" s="42"/>
      <c r="GQ9" s="42"/>
      <c r="GR9" s="42"/>
      <c r="GS9" s="42"/>
      <c r="GT9" s="42"/>
      <c r="GU9" s="42"/>
      <c r="GV9" s="42"/>
      <c r="GW9" s="42"/>
      <c r="GX9" s="42"/>
      <c r="GY9" s="42"/>
      <c r="GZ9" s="42"/>
      <c r="HA9" s="42"/>
      <c r="HB9" s="42"/>
      <c r="HC9" s="42"/>
      <c r="HD9" s="42"/>
      <c r="HE9" s="42"/>
      <c r="HF9" s="42"/>
      <c r="HG9" s="42"/>
      <c r="HH9" s="42"/>
      <c r="HI9" s="42"/>
      <c r="HJ9" s="42"/>
      <c r="HK9" s="42"/>
      <c r="HL9" s="42"/>
      <c r="HM9" s="42"/>
      <c r="HN9" s="42"/>
      <c r="HO9" s="42"/>
      <c r="HP9" s="42"/>
      <c r="HQ9" s="42"/>
      <c r="HR9" s="42"/>
      <c r="HS9" s="42"/>
      <c r="HT9" s="42"/>
      <c r="HU9" s="42"/>
      <c r="HV9" s="42"/>
      <c r="HW9" s="42"/>
      <c r="HX9" s="42"/>
      <c r="HY9" s="42"/>
      <c r="HZ9" s="42"/>
      <c r="IA9" s="42"/>
      <c r="IB9" s="42"/>
      <c r="IC9" s="42"/>
      <c r="ID9" s="42"/>
      <c r="IE9" s="42"/>
      <c r="IF9" s="42"/>
      <c r="IG9" s="42"/>
      <c r="IH9" s="42"/>
      <c r="II9" s="42"/>
      <c r="IJ9" s="42"/>
      <c r="IK9" s="42"/>
      <c r="IL9" s="42"/>
      <c r="IM9" s="42"/>
      <c r="IN9" s="42"/>
      <c r="IO9" s="42"/>
      <c r="IP9" s="42"/>
      <c r="IQ9" s="42"/>
      <c r="IR9" s="42"/>
    </row>
    <row r="10" spans="1:253">
      <c r="A10" s="30"/>
      <c r="B10" s="32"/>
      <c r="C10" s="30"/>
      <c r="D10" s="9"/>
      <c r="E10" s="9"/>
      <c r="F10" s="17"/>
      <c r="G10" s="17"/>
      <c r="H10" s="17"/>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42"/>
    </row>
    <row r="11" spans="1:253">
      <c r="A11" s="31"/>
      <c r="B11" s="66"/>
      <c r="C11" s="30"/>
      <c r="D11" s="9"/>
      <c r="E11" s="10"/>
      <c r="F11" s="16"/>
      <c r="G11" s="17"/>
      <c r="H11" s="32"/>
      <c r="I11" s="44"/>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c r="FJ11" s="42"/>
      <c r="FK11" s="42"/>
      <c r="FL11" s="42"/>
      <c r="FM11" s="42"/>
      <c r="FN11" s="42"/>
      <c r="FO11" s="42"/>
      <c r="FP11" s="42"/>
      <c r="FQ11" s="42"/>
      <c r="FR11" s="42"/>
      <c r="FS11" s="42"/>
      <c r="FT11" s="42"/>
      <c r="FU11" s="42"/>
      <c r="FV11" s="42"/>
      <c r="FW11" s="42"/>
      <c r="FX11" s="42"/>
      <c r="FY11" s="42"/>
      <c r="FZ11" s="42"/>
      <c r="GA11" s="42"/>
      <c r="GB11" s="42"/>
      <c r="GC11" s="42"/>
      <c r="GD11" s="42"/>
      <c r="GE11" s="42"/>
      <c r="GF11" s="42"/>
      <c r="GG11" s="42"/>
      <c r="GH11" s="42"/>
      <c r="GI11" s="42"/>
      <c r="GJ11" s="42"/>
      <c r="GK11" s="42"/>
      <c r="GL11" s="42"/>
      <c r="GM11" s="42"/>
      <c r="GN11" s="42"/>
      <c r="GO11" s="42"/>
      <c r="GP11" s="42"/>
      <c r="GQ11" s="42"/>
      <c r="GR11" s="42"/>
      <c r="GS11" s="42"/>
      <c r="GT11" s="42"/>
      <c r="GU11" s="42"/>
      <c r="GV11" s="42"/>
      <c r="GW11" s="42"/>
      <c r="GX11" s="42"/>
      <c r="GY11" s="42"/>
      <c r="GZ11" s="42"/>
      <c r="HA11" s="42"/>
      <c r="HB11" s="42"/>
      <c r="HC11" s="42"/>
      <c r="HD11" s="42"/>
      <c r="HE11" s="42"/>
      <c r="HF11" s="42"/>
      <c r="HG11" s="42"/>
      <c r="HH11" s="42"/>
      <c r="HI11" s="42"/>
      <c r="HJ11" s="42"/>
      <c r="HK11" s="42"/>
      <c r="HL11" s="42"/>
      <c r="HM11" s="42"/>
      <c r="HN11" s="42"/>
      <c r="HO11" s="42"/>
      <c r="HP11" s="42"/>
      <c r="HQ11" s="42"/>
      <c r="HR11" s="42"/>
      <c r="HS11" s="42"/>
      <c r="HT11" s="42"/>
      <c r="HU11" s="42"/>
      <c r="HV11" s="42"/>
      <c r="HW11" s="42"/>
      <c r="HX11" s="42"/>
      <c r="HY11" s="42"/>
      <c r="HZ11" s="42"/>
      <c r="IA11" s="42"/>
      <c r="IB11" s="42"/>
      <c r="IC11" s="42"/>
      <c r="ID11" s="42"/>
      <c r="IE11" s="42"/>
      <c r="IF11" s="42"/>
      <c r="IG11" s="42"/>
      <c r="IH11" s="42"/>
      <c r="II11" s="42"/>
      <c r="IJ11" s="42"/>
      <c r="IK11" s="42"/>
      <c r="IL11" s="42"/>
      <c r="IM11" s="42"/>
      <c r="IN11" s="42"/>
      <c r="IO11" s="42"/>
      <c r="IP11" s="42"/>
      <c r="IQ11" s="42"/>
      <c r="IR11" s="42"/>
      <c r="IS11" s="42"/>
    </row>
    <row r="12" spans="1:253">
      <c r="A12" s="33"/>
      <c r="B12" s="354"/>
      <c r="C12" s="34"/>
      <c r="D12" s="1"/>
      <c r="E12" s="1"/>
      <c r="G12"/>
      <c r="H12" s="35"/>
    </row>
    <row r="13" spans="1:253">
      <c r="A13" s="36"/>
      <c r="B13" s="926" t="s">
        <v>2923</v>
      </c>
      <c r="C13" s="927"/>
      <c r="D13" s="927"/>
      <c r="E13" s="927"/>
      <c r="F13" s="838"/>
      <c r="G13" s="355" t="s">
        <v>1506</v>
      </c>
      <c r="H13" s="37"/>
    </row>
    <row r="14" spans="1:253" ht="17">
      <c r="A14" s="36" t="s">
        <v>2135</v>
      </c>
      <c r="B14" s="926" t="s">
        <v>2157</v>
      </c>
      <c r="C14" s="837" t="s">
        <v>2138</v>
      </c>
      <c r="D14" s="837" t="s">
        <v>2134</v>
      </c>
      <c r="E14" s="837" t="s">
        <v>2133</v>
      </c>
      <c r="F14" s="838" t="s">
        <v>2220</v>
      </c>
      <c r="G14" s="38" t="s">
        <v>2184</v>
      </c>
      <c r="H14" s="39" t="s">
        <v>333</v>
      </c>
    </row>
    <row r="15" spans="1:253" ht="34">
      <c r="A15" s="36"/>
      <c r="B15" s="841" t="s">
        <v>2185</v>
      </c>
      <c r="C15" s="841" t="s">
        <v>2185</v>
      </c>
      <c r="D15" s="841" t="s">
        <v>2185</v>
      </c>
      <c r="E15" s="841" t="s">
        <v>2185</v>
      </c>
      <c r="F15" s="921"/>
      <c r="G15" s="40"/>
      <c r="H15" s="36"/>
    </row>
    <row r="16" spans="1:253">
      <c r="A16" s="36"/>
      <c r="B16" s="864"/>
      <c r="C16" s="868"/>
      <c r="D16" s="868"/>
      <c r="E16" s="868"/>
      <c r="F16" s="921"/>
      <c r="G16" s="40"/>
      <c r="H16" s="36"/>
    </row>
    <row r="17" spans="1:8" ht="34">
      <c r="A17" s="36"/>
      <c r="B17" s="841" t="s">
        <v>4879</v>
      </c>
      <c r="C17" s="841" t="s">
        <v>2185</v>
      </c>
      <c r="D17" s="841" t="s">
        <v>2185</v>
      </c>
      <c r="E17" s="841" t="s">
        <v>2185</v>
      </c>
      <c r="F17" s="921"/>
      <c r="G17" s="40"/>
      <c r="H17" s="36"/>
    </row>
    <row r="18" spans="1:8">
      <c r="A18" s="36"/>
      <c r="B18" s="864"/>
      <c r="C18" s="868"/>
      <c r="D18" s="868"/>
      <c r="E18" s="868"/>
      <c r="F18" s="921"/>
      <c r="G18" s="40"/>
      <c r="H18" s="36"/>
    </row>
    <row r="19" spans="1:8" ht="34">
      <c r="A19" s="36"/>
      <c r="B19" s="841" t="s">
        <v>3551</v>
      </c>
      <c r="C19" s="841" t="s">
        <v>2185</v>
      </c>
      <c r="D19" s="841" t="s">
        <v>2185</v>
      </c>
      <c r="E19" s="841" t="s">
        <v>2185</v>
      </c>
      <c r="F19" s="921"/>
      <c r="G19" s="40"/>
      <c r="H19" s="36"/>
    </row>
    <row r="20" spans="1:8">
      <c r="A20" s="36"/>
      <c r="B20" s="864"/>
      <c r="C20" s="868"/>
      <c r="D20" s="868"/>
      <c r="E20" s="868"/>
      <c r="F20" s="921"/>
      <c r="G20" s="40"/>
      <c r="H20" s="36"/>
    </row>
    <row r="21" spans="1:8">
      <c r="A21" s="36"/>
      <c r="B21" s="877" t="s">
        <v>2183</v>
      </c>
      <c r="C21" s="940"/>
      <c r="D21" s="940"/>
      <c r="E21" s="940"/>
      <c r="F21" s="924"/>
      <c r="G21" s="40"/>
      <c r="H21" s="36"/>
    </row>
    <row r="22" spans="1:8">
      <c r="A22" s="36"/>
      <c r="F22"/>
      <c r="G22" s="40"/>
      <c r="H22" s="36"/>
    </row>
    <row r="23" spans="1:8">
      <c r="A23" s="36"/>
      <c r="F23"/>
      <c r="G23" s="40"/>
      <c r="H23" s="36"/>
    </row>
    <row r="24" spans="1:8">
      <c r="A24" s="36"/>
      <c r="F24"/>
      <c r="G24" s="40"/>
      <c r="H24" s="36"/>
    </row>
    <row r="25" spans="1:8">
      <c r="A25" s="36"/>
      <c r="F25"/>
      <c r="G25" s="40"/>
      <c r="H25" s="36"/>
    </row>
    <row r="26" spans="1:8">
      <c r="A26" s="36"/>
      <c r="F26"/>
      <c r="G26" s="40"/>
      <c r="H26" s="36"/>
    </row>
    <row r="27" spans="1:8">
      <c r="A27" s="36"/>
      <c r="F27"/>
      <c r="G27" s="40"/>
      <c r="H27" s="36"/>
    </row>
    <row r="28" spans="1:8">
      <c r="A28" s="36"/>
      <c r="F28"/>
      <c r="G28" s="40"/>
      <c r="H28" s="36"/>
    </row>
    <row r="29" spans="1:8">
      <c r="A29" s="36"/>
      <c r="F29"/>
      <c r="G29" s="40"/>
      <c r="H29" s="36"/>
    </row>
    <row r="30" spans="1:8">
      <c r="A30" s="36"/>
      <c r="F30"/>
      <c r="G30" s="40"/>
      <c r="H30" s="36"/>
    </row>
    <row r="31" spans="1:8">
      <c r="A31" s="36"/>
      <c r="F31"/>
      <c r="G31" s="40"/>
      <c r="H31" s="36"/>
    </row>
    <row r="32" spans="1:8">
      <c r="A32" s="36"/>
      <c r="F32"/>
      <c r="G32" s="40"/>
      <c r="H32" s="36"/>
    </row>
    <row r="33" spans="1:8">
      <c r="A33" s="36"/>
      <c r="F33"/>
      <c r="G33" s="40"/>
      <c r="H33" s="36"/>
    </row>
    <row r="34" spans="1:8">
      <c r="A34" s="36"/>
      <c r="F34"/>
      <c r="G34" s="40"/>
      <c r="H34" s="36"/>
    </row>
    <row r="35" spans="1:8">
      <c r="A35" s="36"/>
      <c r="F35"/>
      <c r="G35" s="40"/>
      <c r="H35" s="36"/>
    </row>
    <row r="36" spans="1:8">
      <c r="A36" s="36"/>
      <c r="F36"/>
      <c r="G36" s="40"/>
      <c r="H36" s="36"/>
    </row>
    <row r="37" spans="1:8">
      <c r="A37" s="36"/>
      <c r="F37"/>
      <c r="G37" s="40"/>
      <c r="H37" s="36"/>
    </row>
    <row r="38" spans="1:8">
      <c r="A38" s="36"/>
      <c r="F38"/>
      <c r="G38" s="40"/>
      <c r="H38" s="36"/>
    </row>
    <row r="39" spans="1:8">
      <c r="A39" s="36"/>
      <c r="F39"/>
      <c r="G39" s="40"/>
      <c r="H39" s="36"/>
    </row>
    <row r="40" spans="1:8">
      <c r="A40" s="36"/>
      <c r="F40"/>
      <c r="G40" s="40"/>
      <c r="H40" s="36"/>
    </row>
    <row r="41" spans="1:8">
      <c r="A41" s="36"/>
      <c r="F41"/>
      <c r="G41" s="40"/>
      <c r="H41" s="36"/>
    </row>
    <row r="42" spans="1:8">
      <c r="A42" s="36"/>
      <c r="F42"/>
      <c r="G42" s="40"/>
      <c r="H42" s="36"/>
    </row>
    <row r="43" spans="1:8">
      <c r="A43" s="36"/>
      <c r="F43"/>
      <c r="G43" s="40"/>
      <c r="H43" s="36"/>
    </row>
    <row r="44" spans="1:8">
      <c r="A44" s="36"/>
      <c r="F44"/>
      <c r="G44" s="40"/>
      <c r="H44" s="36"/>
    </row>
    <row r="45" spans="1:8">
      <c r="A45" s="36"/>
      <c r="F45"/>
      <c r="G45" s="40"/>
      <c r="H45" s="36"/>
    </row>
    <row r="46" spans="1:8">
      <c r="A46" s="36"/>
      <c r="F46"/>
      <c r="G46" s="40"/>
      <c r="H46" s="36"/>
    </row>
    <row r="47" spans="1:8">
      <c r="A47" s="36"/>
      <c r="F47"/>
      <c r="G47" s="40"/>
      <c r="H47" s="36"/>
    </row>
    <row r="48" spans="1:8">
      <c r="A48" s="36"/>
      <c r="F48"/>
      <c r="G48" s="40"/>
      <c r="H48" s="36"/>
    </row>
    <row r="49" spans="1:8">
      <c r="A49" s="36"/>
      <c r="F49"/>
      <c r="G49" s="40"/>
      <c r="H49" s="36"/>
    </row>
    <row r="50" spans="1:8">
      <c r="A50" s="36"/>
      <c r="F50"/>
      <c r="G50" s="40"/>
      <c r="H50" s="36"/>
    </row>
    <row r="51" spans="1:8">
      <c r="A51" s="36"/>
      <c r="F51"/>
      <c r="G51" s="40"/>
      <c r="H51" s="36"/>
    </row>
    <row r="52" spans="1:8">
      <c r="A52" s="36"/>
      <c r="F52"/>
      <c r="G52" s="40"/>
      <c r="H52" s="36"/>
    </row>
    <row r="53" spans="1:8">
      <c r="A53" s="36"/>
      <c r="F53"/>
      <c r="G53" s="40"/>
      <c r="H53" s="36"/>
    </row>
    <row r="54" spans="1:8">
      <c r="A54" s="36"/>
      <c r="F54"/>
      <c r="G54" s="40"/>
      <c r="H54" s="36"/>
    </row>
    <row r="55" spans="1:8">
      <c r="A55" s="36"/>
      <c r="F55"/>
      <c r="G55" s="40"/>
      <c r="H55" s="36"/>
    </row>
    <row r="56" spans="1:8">
      <c r="A56" s="36"/>
      <c r="F56"/>
      <c r="G56" s="40"/>
      <c r="H56" s="36"/>
    </row>
    <row r="57" spans="1:8">
      <c r="A57" s="36"/>
      <c r="F57"/>
      <c r="G57" s="40"/>
      <c r="H57" s="36"/>
    </row>
    <row r="58" spans="1:8">
      <c r="A58" s="36"/>
      <c r="F58"/>
      <c r="G58" s="40"/>
      <c r="H58" s="36"/>
    </row>
    <row r="59" spans="1:8">
      <c r="A59" s="36"/>
      <c r="F59"/>
      <c r="G59" s="40"/>
      <c r="H59" s="36"/>
    </row>
    <row r="60" spans="1:8">
      <c r="A60" s="36"/>
      <c r="F60"/>
      <c r="G60" s="40"/>
      <c r="H60" s="36"/>
    </row>
    <row r="61" spans="1:8">
      <c r="A61" s="36"/>
      <c r="F61"/>
      <c r="G61" s="40"/>
      <c r="H61" s="36"/>
    </row>
    <row r="62" spans="1:8">
      <c r="A62" s="36"/>
      <c r="F62"/>
      <c r="G62" s="40"/>
      <c r="H62" s="36"/>
    </row>
    <row r="63" spans="1:8">
      <c r="A63" s="36"/>
      <c r="F63"/>
      <c r="G63" s="40"/>
      <c r="H63" s="36"/>
    </row>
    <row r="64" spans="1:8">
      <c r="A64" s="36"/>
      <c r="F64"/>
      <c r="G64" s="40"/>
      <c r="H64" s="36"/>
    </row>
    <row r="65" spans="1:8">
      <c r="A65" s="36"/>
      <c r="F65"/>
      <c r="G65" s="40"/>
      <c r="H65" s="36"/>
    </row>
    <row r="66" spans="1:8">
      <c r="A66" s="36"/>
      <c r="F66"/>
      <c r="G66" s="40"/>
      <c r="H66" s="36"/>
    </row>
    <row r="67" spans="1:8">
      <c r="A67" s="36"/>
      <c r="F67"/>
      <c r="G67" s="40"/>
      <c r="H67" s="36"/>
    </row>
    <row r="68" spans="1:8">
      <c r="A68" s="36"/>
      <c r="F68"/>
      <c r="G68" s="40"/>
      <c r="H68" s="36"/>
    </row>
    <row r="69" spans="1:8">
      <c r="A69" s="36"/>
      <c r="F69"/>
      <c r="G69" s="40"/>
      <c r="H69" s="36"/>
    </row>
    <row r="70" spans="1:8">
      <c r="A70" s="36"/>
      <c r="F70"/>
      <c r="G70" s="40"/>
      <c r="H70" s="36"/>
    </row>
    <row r="71" spans="1:8">
      <c r="A71" s="36"/>
      <c r="F71"/>
      <c r="G71" s="40"/>
      <c r="H71" s="36"/>
    </row>
    <row r="72" spans="1:8">
      <c r="A72" s="36"/>
      <c r="F72"/>
      <c r="G72" s="40"/>
      <c r="H72" s="36"/>
    </row>
    <row r="73" spans="1:8">
      <c r="A73" s="36"/>
      <c r="F73"/>
      <c r="G73" s="40"/>
      <c r="H73" s="36"/>
    </row>
    <row r="74" spans="1:8">
      <c r="F74"/>
    </row>
    <row r="75" spans="1:8">
      <c r="F75"/>
    </row>
    <row r="76" spans="1:8">
      <c r="F76"/>
    </row>
    <row r="77" spans="1:8">
      <c r="F77"/>
    </row>
    <row r="78" spans="1:8">
      <c r="F78"/>
    </row>
    <row r="79" spans="1:8">
      <c r="F79"/>
    </row>
    <row r="80" spans="1:8">
      <c r="F80"/>
    </row>
    <row r="81" spans="6:6">
      <c r="F81"/>
    </row>
    <row r="82" spans="6:6">
      <c r="F82"/>
    </row>
    <row r="83" spans="6:6">
      <c r="F83"/>
    </row>
    <row r="84" spans="6:6">
      <c r="F84"/>
    </row>
    <row r="85" spans="6:6">
      <c r="F85"/>
    </row>
    <row r="86" spans="6:6">
      <c r="F86"/>
    </row>
    <row r="87" spans="6:6">
      <c r="F87"/>
    </row>
    <row r="88" spans="6:6">
      <c r="F88"/>
    </row>
    <row r="89" spans="6:6">
      <c r="F89"/>
    </row>
    <row r="90" spans="6:6">
      <c r="F90"/>
    </row>
    <row r="91" spans="6:6">
      <c r="F91"/>
    </row>
    <row r="92" spans="6:6">
      <c r="F92"/>
    </row>
    <row r="93" spans="6:6">
      <c r="F93"/>
    </row>
    <row r="94" spans="6:6">
      <c r="F94"/>
    </row>
    <row r="95" spans="6:6">
      <c r="F95"/>
    </row>
    <row r="96" spans="6:6">
      <c r="F96"/>
    </row>
    <row r="97" spans="6:6">
      <c r="F97"/>
    </row>
    <row r="98" spans="6:6">
      <c r="F98"/>
    </row>
    <row r="99" spans="6:6">
      <c r="F99"/>
    </row>
    <row r="100" spans="6:6">
      <c r="F100"/>
    </row>
    <row r="101" spans="6:6">
      <c r="F101"/>
    </row>
    <row r="102" spans="6:6">
      <c r="F102"/>
    </row>
    <row r="103" spans="6:6">
      <c r="F103"/>
    </row>
    <row r="104" spans="6:6">
      <c r="F104"/>
    </row>
    <row r="105" spans="6:6">
      <c r="F105"/>
    </row>
    <row r="106" spans="6:6">
      <c r="F106"/>
    </row>
    <row r="107" spans="6:6">
      <c r="F107"/>
    </row>
    <row r="108" spans="6:6">
      <c r="F108"/>
    </row>
    <row r="109" spans="6:6">
      <c r="F109"/>
    </row>
    <row r="110" spans="6:6">
      <c r="F110"/>
    </row>
    <row r="111" spans="6:6">
      <c r="F111"/>
    </row>
    <row r="112" spans="6:6">
      <c r="F112"/>
    </row>
    <row r="113" spans="6:6">
      <c r="F113"/>
    </row>
    <row r="114" spans="6:6">
      <c r="F114"/>
    </row>
    <row r="115" spans="6:6">
      <c r="F115"/>
    </row>
    <row r="116" spans="6:6">
      <c r="F116"/>
    </row>
    <row r="117" spans="6:6">
      <c r="F117"/>
    </row>
    <row r="118" spans="6:6">
      <c r="F118"/>
    </row>
    <row r="119" spans="6:6">
      <c r="F119"/>
    </row>
    <row r="120" spans="6:6">
      <c r="F120"/>
    </row>
    <row r="121" spans="6:6">
      <c r="F121"/>
    </row>
    <row r="122" spans="6:6">
      <c r="F122"/>
    </row>
    <row r="123" spans="6:6">
      <c r="F123"/>
    </row>
    <row r="124" spans="6:6">
      <c r="F124"/>
    </row>
    <row r="125" spans="6:6">
      <c r="F125"/>
    </row>
    <row r="126" spans="6:6">
      <c r="F126"/>
    </row>
    <row r="127" spans="6:6">
      <c r="F127"/>
    </row>
    <row r="128" spans="6:6">
      <c r="F128"/>
    </row>
    <row r="129" spans="6:6">
      <c r="F129"/>
    </row>
    <row r="130" spans="6:6">
      <c r="F130"/>
    </row>
    <row r="131" spans="6:6">
      <c r="F131"/>
    </row>
    <row r="132" spans="6:6">
      <c r="F132"/>
    </row>
    <row r="133" spans="6:6">
      <c r="F133"/>
    </row>
    <row r="134" spans="6:6">
      <c r="F134"/>
    </row>
    <row r="135" spans="6:6">
      <c r="F135"/>
    </row>
    <row r="136" spans="6:6">
      <c r="F136"/>
    </row>
    <row r="137" spans="6:6">
      <c r="F137"/>
    </row>
    <row r="138" spans="6:6">
      <c r="F138"/>
    </row>
    <row r="139" spans="6:6">
      <c r="F139"/>
    </row>
    <row r="140" spans="6:6">
      <c r="F140"/>
    </row>
    <row r="141" spans="6:6">
      <c r="F141"/>
    </row>
    <row r="142" spans="6:6">
      <c r="F142"/>
    </row>
    <row r="143" spans="6:6">
      <c r="F143"/>
    </row>
    <row r="144" spans="6:6">
      <c r="F144"/>
    </row>
    <row r="145" spans="6:6">
      <c r="F145"/>
    </row>
    <row r="146" spans="6:6">
      <c r="F146"/>
    </row>
    <row r="147" spans="6:6">
      <c r="F147"/>
    </row>
    <row r="148" spans="6:6">
      <c r="F148"/>
    </row>
    <row r="149" spans="6:6">
      <c r="F149"/>
    </row>
    <row r="150" spans="6:6">
      <c r="F150"/>
    </row>
    <row r="151" spans="6:6">
      <c r="F151"/>
    </row>
    <row r="152" spans="6:6">
      <c r="F152"/>
    </row>
    <row r="153" spans="6:6">
      <c r="F153"/>
    </row>
    <row r="154" spans="6:6">
      <c r="F154"/>
    </row>
    <row r="155" spans="6:6">
      <c r="F155"/>
    </row>
    <row r="156" spans="6:6">
      <c r="F156"/>
    </row>
    <row r="157" spans="6:6">
      <c r="F157"/>
    </row>
    <row r="158" spans="6:6">
      <c r="F158"/>
    </row>
    <row r="159" spans="6:6">
      <c r="F159"/>
    </row>
    <row r="160" spans="6:6">
      <c r="F160"/>
    </row>
    <row r="161" spans="6:6">
      <c r="F161"/>
    </row>
    <row r="162" spans="6:6">
      <c r="F162"/>
    </row>
    <row r="163" spans="6:6">
      <c r="F163"/>
    </row>
    <row r="164" spans="6:6">
      <c r="F164"/>
    </row>
    <row r="165" spans="6:6">
      <c r="F165"/>
    </row>
    <row r="166" spans="6:6">
      <c r="F166"/>
    </row>
    <row r="167" spans="6:6">
      <c r="F167"/>
    </row>
    <row r="168" spans="6:6">
      <c r="F168"/>
    </row>
    <row r="169" spans="6:6">
      <c r="F169"/>
    </row>
    <row r="170" spans="6:6">
      <c r="F170"/>
    </row>
    <row r="171" spans="6:6">
      <c r="F171"/>
    </row>
    <row r="172" spans="6:6">
      <c r="F172"/>
    </row>
    <row r="173" spans="6:6">
      <c r="F173"/>
    </row>
    <row r="174" spans="6:6">
      <c r="F174"/>
    </row>
    <row r="175" spans="6:6">
      <c r="F175"/>
    </row>
    <row r="176" spans="6:6">
      <c r="F176"/>
    </row>
    <row r="177" spans="6:6">
      <c r="F177"/>
    </row>
    <row r="178" spans="6:6">
      <c r="F178"/>
    </row>
    <row r="179" spans="6:6">
      <c r="F179"/>
    </row>
    <row r="180" spans="6:6">
      <c r="F180"/>
    </row>
    <row r="181" spans="6:6">
      <c r="F181"/>
    </row>
    <row r="182" spans="6:6">
      <c r="F182"/>
    </row>
    <row r="183" spans="6:6">
      <c r="F183"/>
    </row>
    <row r="184" spans="6:6">
      <c r="F184"/>
    </row>
    <row r="185" spans="6:6">
      <c r="F185"/>
    </row>
    <row r="186" spans="6:6">
      <c r="F186"/>
    </row>
    <row r="187" spans="6:6">
      <c r="F187"/>
    </row>
    <row r="188" spans="6:6">
      <c r="F188"/>
    </row>
    <row r="189" spans="6:6">
      <c r="F189"/>
    </row>
    <row r="190" spans="6:6">
      <c r="F190"/>
    </row>
    <row r="191" spans="6:6">
      <c r="F191"/>
    </row>
    <row r="192" spans="6:6">
      <c r="F192"/>
    </row>
    <row r="193" spans="6:6">
      <c r="F193"/>
    </row>
    <row r="194" spans="6:6">
      <c r="F194"/>
    </row>
    <row r="195" spans="6:6">
      <c r="F195"/>
    </row>
    <row r="196" spans="6:6">
      <c r="F196"/>
    </row>
    <row r="197" spans="6:6">
      <c r="F197"/>
    </row>
    <row r="198" spans="6:6">
      <c r="F198"/>
    </row>
    <row r="199" spans="6:6">
      <c r="F199"/>
    </row>
    <row r="200" spans="6:6">
      <c r="F200"/>
    </row>
    <row r="201" spans="6:6">
      <c r="F201"/>
    </row>
    <row r="202" spans="6:6">
      <c r="F202"/>
    </row>
    <row r="203" spans="6:6">
      <c r="F203"/>
    </row>
    <row r="204" spans="6:6">
      <c r="F204"/>
    </row>
    <row r="205" spans="6:6">
      <c r="F205"/>
    </row>
    <row r="206" spans="6:6">
      <c r="F206"/>
    </row>
    <row r="207" spans="6:6">
      <c r="F207"/>
    </row>
    <row r="208" spans="6:6">
      <c r="F208"/>
    </row>
    <row r="209" spans="6:6">
      <c r="F209"/>
    </row>
    <row r="210" spans="6:6">
      <c r="F210"/>
    </row>
    <row r="211" spans="6:6">
      <c r="F211"/>
    </row>
    <row r="212" spans="6:6">
      <c r="F212"/>
    </row>
    <row r="213" spans="6:6">
      <c r="F213"/>
    </row>
    <row r="214" spans="6:6">
      <c r="F214"/>
    </row>
    <row r="215" spans="6:6">
      <c r="F215"/>
    </row>
    <row r="216" spans="6:6">
      <c r="F216"/>
    </row>
    <row r="217" spans="6:6">
      <c r="F217"/>
    </row>
    <row r="218" spans="6:6">
      <c r="F218"/>
    </row>
    <row r="219" spans="6:6">
      <c r="F219"/>
    </row>
    <row r="220" spans="6:6">
      <c r="F220"/>
    </row>
    <row r="221" spans="6:6">
      <c r="F221"/>
    </row>
    <row r="222" spans="6:6">
      <c r="F222"/>
    </row>
    <row r="223" spans="6:6">
      <c r="F223"/>
    </row>
    <row r="224" spans="6:6">
      <c r="F224"/>
    </row>
    <row r="225" spans="6:6">
      <c r="F225"/>
    </row>
    <row r="226" spans="6:6">
      <c r="F226"/>
    </row>
    <row r="227" spans="6:6">
      <c r="F227"/>
    </row>
    <row r="228" spans="6:6">
      <c r="F228"/>
    </row>
    <row r="229" spans="6:6">
      <c r="F229"/>
    </row>
    <row r="230" spans="6:6">
      <c r="F230"/>
    </row>
    <row r="231" spans="6:6">
      <c r="F231"/>
    </row>
    <row r="232" spans="6:6">
      <c r="F232"/>
    </row>
    <row r="233" spans="6:6">
      <c r="F233"/>
    </row>
    <row r="234" spans="6:6">
      <c r="F234"/>
    </row>
    <row r="235" spans="6:6">
      <c r="F235"/>
    </row>
    <row r="236" spans="6:6">
      <c r="F236"/>
    </row>
    <row r="237" spans="6:6">
      <c r="F237"/>
    </row>
    <row r="238" spans="6:6">
      <c r="F238"/>
    </row>
    <row r="239" spans="6:6">
      <c r="F239"/>
    </row>
    <row r="240" spans="6:6">
      <c r="F240"/>
    </row>
    <row r="241" spans="6:6">
      <c r="F241"/>
    </row>
    <row r="242" spans="6:6">
      <c r="F242"/>
    </row>
    <row r="243" spans="6:6">
      <c r="F243"/>
    </row>
    <row r="244" spans="6:6">
      <c r="F244"/>
    </row>
    <row r="245" spans="6:6">
      <c r="F245"/>
    </row>
    <row r="246" spans="6:6">
      <c r="F246"/>
    </row>
    <row r="247" spans="6:6">
      <c r="F247"/>
    </row>
    <row r="248" spans="6:6">
      <c r="F248"/>
    </row>
    <row r="249" spans="6:6">
      <c r="F249"/>
    </row>
    <row r="250" spans="6:6">
      <c r="F250"/>
    </row>
    <row r="251" spans="6:6">
      <c r="F251"/>
    </row>
    <row r="252" spans="6:6">
      <c r="F252"/>
    </row>
    <row r="253" spans="6:6">
      <c r="F253"/>
    </row>
    <row r="254" spans="6:6">
      <c r="F254"/>
    </row>
    <row r="255" spans="6:6">
      <c r="F255"/>
    </row>
    <row r="256" spans="6:6">
      <c r="F256"/>
    </row>
    <row r="257" spans="6:6">
      <c r="F257"/>
    </row>
    <row r="258" spans="6:6">
      <c r="F258"/>
    </row>
    <row r="259" spans="6:6">
      <c r="F259"/>
    </row>
    <row r="260" spans="6:6">
      <c r="F260"/>
    </row>
    <row r="261" spans="6:6">
      <c r="F261"/>
    </row>
    <row r="262" spans="6:6">
      <c r="F262"/>
    </row>
    <row r="263" spans="6:6">
      <c r="F263"/>
    </row>
    <row r="264" spans="6:6">
      <c r="F264"/>
    </row>
    <row r="265" spans="6:6">
      <c r="F265"/>
    </row>
    <row r="266" spans="6:6">
      <c r="F266"/>
    </row>
    <row r="267" spans="6:6">
      <c r="F267"/>
    </row>
    <row r="268" spans="6:6">
      <c r="F268"/>
    </row>
    <row r="269" spans="6:6">
      <c r="F269"/>
    </row>
    <row r="270" spans="6:6">
      <c r="F270"/>
    </row>
    <row r="271" spans="6:6">
      <c r="F271"/>
    </row>
    <row r="272" spans="6:6">
      <c r="F272"/>
    </row>
    <row r="273" spans="6:6">
      <c r="F273"/>
    </row>
    <row r="274" spans="6:6">
      <c r="F274"/>
    </row>
    <row r="275" spans="6:6">
      <c r="F275"/>
    </row>
    <row r="276" spans="6:6">
      <c r="F276"/>
    </row>
    <row r="277" spans="6:6">
      <c r="F277"/>
    </row>
    <row r="278" spans="6:6">
      <c r="F278"/>
    </row>
    <row r="279" spans="6:6">
      <c r="F279"/>
    </row>
    <row r="280" spans="6:6">
      <c r="F280"/>
    </row>
    <row r="281" spans="6:6">
      <c r="F281"/>
    </row>
    <row r="282" spans="6:6">
      <c r="F282"/>
    </row>
    <row r="283" spans="6:6">
      <c r="F283"/>
    </row>
    <row r="284" spans="6:6">
      <c r="F284"/>
    </row>
    <row r="285" spans="6:6">
      <c r="F285"/>
    </row>
    <row r="286" spans="6:6">
      <c r="F286"/>
    </row>
    <row r="287" spans="6:6">
      <c r="F287"/>
    </row>
    <row r="288" spans="6:6">
      <c r="F288"/>
    </row>
    <row r="289" spans="6:6">
      <c r="F289"/>
    </row>
    <row r="290" spans="6:6">
      <c r="F290"/>
    </row>
    <row r="291" spans="6:6">
      <c r="F291"/>
    </row>
    <row r="292" spans="6:6">
      <c r="F292"/>
    </row>
    <row r="293" spans="6:6">
      <c r="F293"/>
    </row>
    <row r="294" spans="6:6">
      <c r="F294"/>
    </row>
    <row r="295" spans="6:6">
      <c r="F295"/>
    </row>
    <row r="296" spans="6:6">
      <c r="F296"/>
    </row>
    <row r="297" spans="6:6">
      <c r="F297"/>
    </row>
    <row r="298" spans="6:6">
      <c r="F298"/>
    </row>
    <row r="299" spans="6:6">
      <c r="F299"/>
    </row>
    <row r="300" spans="6:6">
      <c r="F300"/>
    </row>
    <row r="301" spans="6:6">
      <c r="F301"/>
    </row>
    <row r="302" spans="6:6">
      <c r="F302"/>
    </row>
    <row r="303" spans="6:6">
      <c r="F303"/>
    </row>
    <row r="304" spans="6:6">
      <c r="F304"/>
    </row>
    <row r="305" spans="6:6">
      <c r="F305"/>
    </row>
    <row r="306" spans="6:6">
      <c r="F306"/>
    </row>
    <row r="307" spans="6:6">
      <c r="F307"/>
    </row>
    <row r="308" spans="6:6">
      <c r="F308"/>
    </row>
    <row r="309" spans="6:6">
      <c r="F309"/>
    </row>
    <row r="310" spans="6:6">
      <c r="F310"/>
    </row>
    <row r="311" spans="6:6">
      <c r="F311"/>
    </row>
    <row r="312" spans="6:6">
      <c r="F312"/>
    </row>
    <row r="313" spans="6:6">
      <c r="F313"/>
    </row>
    <row r="314" spans="6:6">
      <c r="F314"/>
    </row>
    <row r="315" spans="6:6">
      <c r="F315"/>
    </row>
    <row r="316" spans="6:6">
      <c r="F316"/>
    </row>
    <row r="317" spans="6:6">
      <c r="F317"/>
    </row>
    <row r="318" spans="6:6">
      <c r="F318"/>
    </row>
    <row r="319" spans="6:6">
      <c r="F319"/>
    </row>
    <row r="320" spans="6:6">
      <c r="F320"/>
    </row>
    <row r="321" spans="6:6">
      <c r="F321"/>
    </row>
    <row r="322" spans="6:6">
      <c r="F322"/>
    </row>
    <row r="323" spans="6:6">
      <c r="F323"/>
    </row>
    <row r="324" spans="6:6">
      <c r="F324"/>
    </row>
    <row r="325" spans="6:6">
      <c r="F325"/>
    </row>
    <row r="326" spans="6:6">
      <c r="F326"/>
    </row>
    <row r="327" spans="6:6">
      <c r="F327"/>
    </row>
    <row r="328" spans="6:6">
      <c r="F328"/>
    </row>
    <row r="329" spans="6:6">
      <c r="F329"/>
    </row>
    <row r="330" spans="6:6">
      <c r="F330"/>
    </row>
    <row r="331" spans="6:6">
      <c r="F331"/>
    </row>
    <row r="332" spans="6:6">
      <c r="F332"/>
    </row>
    <row r="333" spans="6:6">
      <c r="F333"/>
    </row>
    <row r="334" spans="6:6">
      <c r="F334"/>
    </row>
    <row r="335" spans="6:6">
      <c r="F335"/>
    </row>
    <row r="336" spans="6:6">
      <c r="F336"/>
    </row>
    <row r="337" spans="6:6">
      <c r="F337"/>
    </row>
    <row r="338" spans="6:6">
      <c r="F338"/>
    </row>
    <row r="339" spans="6:6">
      <c r="F339"/>
    </row>
    <row r="340" spans="6:6">
      <c r="F340"/>
    </row>
    <row r="341" spans="6:6">
      <c r="F341"/>
    </row>
    <row r="342" spans="6:6">
      <c r="F342"/>
    </row>
    <row r="343" spans="6:6">
      <c r="F343"/>
    </row>
    <row r="344" spans="6:6">
      <c r="F344"/>
    </row>
    <row r="345" spans="6:6">
      <c r="F345"/>
    </row>
    <row r="346" spans="6:6">
      <c r="F346"/>
    </row>
    <row r="347" spans="6:6">
      <c r="F347"/>
    </row>
    <row r="348" spans="6:6">
      <c r="F348"/>
    </row>
    <row r="349" spans="6:6">
      <c r="F349"/>
    </row>
    <row r="350" spans="6:6">
      <c r="F350"/>
    </row>
    <row r="351" spans="6:6">
      <c r="F351"/>
    </row>
    <row r="352" spans="6:6">
      <c r="F352"/>
    </row>
    <row r="353" spans="6:6">
      <c r="F353"/>
    </row>
    <row r="354" spans="6:6">
      <c r="F354"/>
    </row>
    <row r="355" spans="6:6">
      <c r="F355"/>
    </row>
    <row r="356" spans="6:6">
      <c r="F356"/>
    </row>
    <row r="357" spans="6:6">
      <c r="F357"/>
    </row>
    <row r="358" spans="6:6">
      <c r="F358"/>
    </row>
    <row r="359" spans="6:6">
      <c r="F359"/>
    </row>
    <row r="360" spans="6:6">
      <c r="F360"/>
    </row>
    <row r="361" spans="6:6">
      <c r="F361"/>
    </row>
    <row r="362" spans="6:6">
      <c r="F362"/>
    </row>
    <row r="363" spans="6:6">
      <c r="F363"/>
    </row>
    <row r="364" spans="6:6">
      <c r="F364"/>
    </row>
    <row r="365" spans="6:6">
      <c r="F365"/>
    </row>
    <row r="366" spans="6:6">
      <c r="F366"/>
    </row>
    <row r="367" spans="6:6">
      <c r="F367"/>
    </row>
    <row r="368" spans="6:6">
      <c r="F368"/>
    </row>
    <row r="369" spans="6:6">
      <c r="F369"/>
    </row>
    <row r="370" spans="6:6">
      <c r="F370"/>
    </row>
    <row r="371" spans="6:6">
      <c r="F371"/>
    </row>
    <row r="372" spans="6:6">
      <c r="F372"/>
    </row>
    <row r="373" spans="6:6">
      <c r="F373"/>
    </row>
    <row r="374" spans="6:6">
      <c r="F374"/>
    </row>
    <row r="375" spans="6:6">
      <c r="F375"/>
    </row>
    <row r="376" spans="6:6">
      <c r="F376"/>
    </row>
    <row r="377" spans="6:6">
      <c r="F377"/>
    </row>
    <row r="378" spans="6:6">
      <c r="F378"/>
    </row>
    <row r="379" spans="6:6">
      <c r="F379"/>
    </row>
    <row r="380" spans="6:6">
      <c r="F380"/>
    </row>
    <row r="381" spans="6:6">
      <c r="F381"/>
    </row>
    <row r="382" spans="6:6">
      <c r="F382"/>
    </row>
    <row r="383" spans="6:6">
      <c r="F383"/>
    </row>
    <row r="384" spans="6:6">
      <c r="F384"/>
    </row>
    <row r="385" spans="6:6">
      <c r="F385"/>
    </row>
    <row r="386" spans="6:6">
      <c r="F386"/>
    </row>
    <row r="387" spans="6:6">
      <c r="F387"/>
    </row>
    <row r="388" spans="6:6">
      <c r="F388"/>
    </row>
    <row r="389" spans="6:6">
      <c r="F389"/>
    </row>
    <row r="390" spans="6:6">
      <c r="F390"/>
    </row>
    <row r="391" spans="6:6">
      <c r="F391"/>
    </row>
    <row r="392" spans="6:6">
      <c r="F392"/>
    </row>
    <row r="393" spans="6:6">
      <c r="F393"/>
    </row>
    <row r="394" spans="6:6">
      <c r="F394"/>
    </row>
    <row r="395" spans="6:6">
      <c r="F395"/>
    </row>
    <row r="396" spans="6:6">
      <c r="F396"/>
    </row>
    <row r="397" spans="6:6">
      <c r="F397"/>
    </row>
    <row r="398" spans="6:6">
      <c r="F398"/>
    </row>
    <row r="399" spans="6:6">
      <c r="F399"/>
    </row>
    <row r="400" spans="6:6">
      <c r="F400"/>
    </row>
    <row r="401" spans="6:6">
      <c r="F401"/>
    </row>
    <row r="402" spans="6:6">
      <c r="F402"/>
    </row>
    <row r="403" spans="6:6">
      <c r="F403"/>
    </row>
    <row r="404" spans="6:6">
      <c r="F404"/>
    </row>
    <row r="405" spans="6:6">
      <c r="F405"/>
    </row>
    <row r="406" spans="6:6">
      <c r="F406"/>
    </row>
    <row r="407" spans="6:6">
      <c r="F407"/>
    </row>
    <row r="408" spans="6:6">
      <c r="F408"/>
    </row>
    <row r="409" spans="6:6">
      <c r="F409"/>
    </row>
    <row r="410" spans="6:6">
      <c r="F410"/>
    </row>
    <row r="411" spans="6:6">
      <c r="F411"/>
    </row>
    <row r="412" spans="6:6">
      <c r="F412"/>
    </row>
    <row r="413" spans="6:6">
      <c r="F413"/>
    </row>
    <row r="414" spans="6:6">
      <c r="F414"/>
    </row>
    <row r="415" spans="6:6">
      <c r="F415"/>
    </row>
    <row r="416" spans="6:6">
      <c r="F416"/>
    </row>
    <row r="417" spans="6:6">
      <c r="F417"/>
    </row>
    <row r="418" spans="6:6">
      <c r="F418"/>
    </row>
    <row r="419" spans="6:6">
      <c r="F419"/>
    </row>
    <row r="420" spans="6:6">
      <c r="F420"/>
    </row>
    <row r="421" spans="6:6">
      <c r="F421"/>
    </row>
    <row r="422" spans="6:6">
      <c r="F422"/>
    </row>
    <row r="423" spans="6:6">
      <c r="F423"/>
    </row>
    <row r="424" spans="6:6">
      <c r="F424"/>
    </row>
    <row r="425" spans="6:6">
      <c r="F425"/>
    </row>
    <row r="426" spans="6:6">
      <c r="F426"/>
    </row>
    <row r="427" spans="6:6">
      <c r="F427"/>
    </row>
    <row r="428" spans="6:6">
      <c r="F428"/>
    </row>
    <row r="429" spans="6:6">
      <c r="F429"/>
    </row>
    <row r="430" spans="6:6">
      <c r="F430"/>
    </row>
    <row r="431" spans="6:6">
      <c r="F431"/>
    </row>
    <row r="432" spans="6:6">
      <c r="F432"/>
    </row>
    <row r="433" spans="6:6">
      <c r="F433"/>
    </row>
    <row r="434" spans="6:6">
      <c r="F434"/>
    </row>
    <row r="435" spans="6:6">
      <c r="F435"/>
    </row>
    <row r="436" spans="6:6">
      <c r="F436"/>
    </row>
    <row r="437" spans="6:6">
      <c r="F437"/>
    </row>
    <row r="438" spans="6:6">
      <c r="F438"/>
    </row>
    <row r="439" spans="6:6">
      <c r="F439"/>
    </row>
    <row r="440" spans="6:6">
      <c r="F440"/>
    </row>
    <row r="441" spans="6:6">
      <c r="F441"/>
    </row>
    <row r="442" spans="6:6">
      <c r="F442"/>
    </row>
    <row r="443" spans="6:6">
      <c r="F443"/>
    </row>
    <row r="444" spans="6:6">
      <c r="F444"/>
    </row>
    <row r="445" spans="6:6">
      <c r="F445"/>
    </row>
    <row r="446" spans="6:6">
      <c r="F446"/>
    </row>
    <row r="447" spans="6:6">
      <c r="F447"/>
    </row>
    <row r="448" spans="6:6">
      <c r="F448"/>
    </row>
    <row r="449" spans="6:6">
      <c r="F449"/>
    </row>
    <row r="450" spans="6:6">
      <c r="F450"/>
    </row>
    <row r="451" spans="6:6">
      <c r="F451"/>
    </row>
    <row r="452" spans="6:6">
      <c r="F452"/>
    </row>
    <row r="453" spans="6:6">
      <c r="F453"/>
    </row>
    <row r="454" spans="6:6">
      <c r="F454"/>
    </row>
    <row r="455" spans="6:6">
      <c r="F455"/>
    </row>
    <row r="456" spans="6:6">
      <c r="F456"/>
    </row>
    <row r="457" spans="6:6">
      <c r="F457"/>
    </row>
    <row r="458" spans="6:6">
      <c r="F458"/>
    </row>
    <row r="459" spans="6:6">
      <c r="F459"/>
    </row>
    <row r="460" spans="6:6">
      <c r="F460"/>
    </row>
  </sheetData>
  <mergeCells count="14">
    <mergeCell ref="B20:E20"/>
    <mergeCell ref="B21:E21"/>
    <mergeCell ref="A1:H1"/>
    <mergeCell ref="A2:H2"/>
    <mergeCell ref="A3:B3"/>
    <mergeCell ref="A4:B4"/>
    <mergeCell ref="A6:B6"/>
    <mergeCell ref="A7:B7"/>
    <mergeCell ref="C7:E7"/>
    <mergeCell ref="A8:B8"/>
    <mergeCell ref="C8:E8"/>
    <mergeCell ref="A9:B9"/>
    <mergeCell ref="B16:E16"/>
    <mergeCell ref="B18:E18"/>
  </mergeCells>
  <pageMargins left="0.1" right="0.1" top="0.5" bottom="0.1" header="0.25" footer="0.25"/>
  <pageSetup orientation="portrait" horizontalDpi="240" verticalDpi="144" r:id="rId2"/>
  <headerFooter>
    <oddHeader>&amp;L&amp;F</oddHeader>
  </headerFooter>
  <colBreaks count="1" manualBreakCount="1">
    <brk id="8"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33"/>
  <sheetViews>
    <sheetView view="pageBreakPreview" zoomScale="60" zoomScaleNormal="100" workbookViewId="0">
      <selection activeCell="V8" sqref="V8"/>
    </sheetView>
  </sheetViews>
  <sheetFormatPr baseColWidth="10" defaultColWidth="8.83203125" defaultRowHeight="14.25" customHeight="1"/>
  <cols>
    <col min="1" max="1" width="3.33203125" style="640" customWidth="1"/>
    <col min="2" max="2" width="23.6640625" style="637" customWidth="1"/>
    <col min="3" max="3" width="10.6640625" style="637" customWidth="1"/>
    <col min="4" max="4" width="1.6640625" style="637" customWidth="1"/>
    <col min="5" max="5" width="5.6640625" style="637" customWidth="1"/>
    <col min="6" max="6" width="1.6640625" style="637" customWidth="1"/>
    <col min="7" max="7" width="5.6640625" style="637" customWidth="1"/>
    <col min="8" max="8" width="3.6640625" style="637" customWidth="1"/>
    <col min="9" max="9" width="12.1640625" style="640" customWidth="1"/>
    <col min="10" max="11" width="4.6640625" style="637" customWidth="1"/>
    <col min="12" max="12" width="4.33203125" style="637" customWidth="1"/>
    <col min="13" max="13" width="5.1640625" style="637" customWidth="1"/>
    <col min="14" max="256" width="9" style="637"/>
    <col min="257" max="257" width="3.33203125" style="637" customWidth="1"/>
    <col min="258" max="258" width="20.33203125" style="637" customWidth="1"/>
    <col min="259" max="259" width="5.33203125" style="637" customWidth="1"/>
    <col min="260" max="260" width="3" style="637" customWidth="1"/>
    <col min="261" max="261" width="5.33203125" style="637" customWidth="1"/>
    <col min="262" max="262" width="2.6640625" style="637" customWidth="1"/>
    <col min="263" max="263" width="5.1640625" style="637" customWidth="1"/>
    <col min="264" max="264" width="3.6640625" style="637" customWidth="1"/>
    <col min="265" max="265" width="12.1640625" style="637" customWidth="1"/>
    <col min="266" max="267" width="4.6640625" style="637" customWidth="1"/>
    <col min="268" max="268" width="4.33203125" style="637" customWidth="1"/>
    <col min="269" max="269" width="5.1640625" style="637" customWidth="1"/>
    <col min="270" max="512" width="9" style="637"/>
    <col min="513" max="513" width="3.33203125" style="637" customWidth="1"/>
    <col min="514" max="514" width="20.33203125" style="637" customWidth="1"/>
    <col min="515" max="515" width="5.33203125" style="637" customWidth="1"/>
    <col min="516" max="516" width="3" style="637" customWidth="1"/>
    <col min="517" max="517" width="5.33203125" style="637" customWidth="1"/>
    <col min="518" max="518" width="2.6640625" style="637" customWidth="1"/>
    <col min="519" max="519" width="5.1640625" style="637" customWidth="1"/>
    <col min="520" max="520" width="3.6640625" style="637" customWidth="1"/>
    <col min="521" max="521" width="12.1640625" style="637" customWidth="1"/>
    <col min="522" max="523" width="4.6640625" style="637" customWidth="1"/>
    <col min="524" max="524" width="4.33203125" style="637" customWidth="1"/>
    <col min="525" max="525" width="5.1640625" style="637" customWidth="1"/>
    <col min="526" max="768" width="9" style="637"/>
    <col min="769" max="769" width="3.33203125" style="637" customWidth="1"/>
    <col min="770" max="770" width="20.33203125" style="637" customWidth="1"/>
    <col min="771" max="771" width="5.33203125" style="637" customWidth="1"/>
    <col min="772" max="772" width="3" style="637" customWidth="1"/>
    <col min="773" max="773" width="5.33203125" style="637" customWidth="1"/>
    <col min="774" max="774" width="2.6640625" style="637" customWidth="1"/>
    <col min="775" max="775" width="5.1640625" style="637" customWidth="1"/>
    <col min="776" max="776" width="3.6640625" style="637" customWidth="1"/>
    <col min="777" max="777" width="12.1640625" style="637" customWidth="1"/>
    <col min="778" max="779" width="4.6640625" style="637" customWidth="1"/>
    <col min="780" max="780" width="4.33203125" style="637" customWidth="1"/>
    <col min="781" max="781" width="5.1640625" style="637" customWidth="1"/>
    <col min="782" max="1024" width="9" style="637"/>
    <col min="1025" max="1025" width="3.33203125" style="637" customWidth="1"/>
    <col min="1026" max="1026" width="20.33203125" style="637" customWidth="1"/>
    <col min="1027" max="1027" width="5.33203125" style="637" customWidth="1"/>
    <col min="1028" max="1028" width="3" style="637" customWidth="1"/>
    <col min="1029" max="1029" width="5.33203125" style="637" customWidth="1"/>
    <col min="1030" max="1030" width="2.6640625" style="637" customWidth="1"/>
    <col min="1031" max="1031" width="5.1640625" style="637" customWidth="1"/>
    <col min="1032" max="1032" width="3.6640625" style="637" customWidth="1"/>
    <col min="1033" max="1033" width="12.1640625" style="637" customWidth="1"/>
    <col min="1034" max="1035" width="4.6640625" style="637" customWidth="1"/>
    <col min="1036" max="1036" width="4.33203125" style="637" customWidth="1"/>
    <col min="1037" max="1037" width="5.1640625" style="637" customWidth="1"/>
    <col min="1038" max="1280" width="9" style="637"/>
    <col min="1281" max="1281" width="3.33203125" style="637" customWidth="1"/>
    <col min="1282" max="1282" width="20.33203125" style="637" customWidth="1"/>
    <col min="1283" max="1283" width="5.33203125" style="637" customWidth="1"/>
    <col min="1284" max="1284" width="3" style="637" customWidth="1"/>
    <col min="1285" max="1285" width="5.33203125" style="637" customWidth="1"/>
    <col min="1286" max="1286" width="2.6640625" style="637" customWidth="1"/>
    <col min="1287" max="1287" width="5.1640625" style="637" customWidth="1"/>
    <col min="1288" max="1288" width="3.6640625" style="637" customWidth="1"/>
    <col min="1289" max="1289" width="12.1640625" style="637" customWidth="1"/>
    <col min="1290" max="1291" width="4.6640625" style="637" customWidth="1"/>
    <col min="1292" max="1292" width="4.33203125" style="637" customWidth="1"/>
    <col min="1293" max="1293" width="5.1640625" style="637" customWidth="1"/>
    <col min="1294" max="1536" width="9" style="637"/>
    <col min="1537" max="1537" width="3.33203125" style="637" customWidth="1"/>
    <col min="1538" max="1538" width="20.33203125" style="637" customWidth="1"/>
    <col min="1539" max="1539" width="5.33203125" style="637" customWidth="1"/>
    <col min="1540" max="1540" width="3" style="637" customWidth="1"/>
    <col min="1541" max="1541" width="5.33203125" style="637" customWidth="1"/>
    <col min="1542" max="1542" width="2.6640625" style="637" customWidth="1"/>
    <col min="1543" max="1543" width="5.1640625" style="637" customWidth="1"/>
    <col min="1544" max="1544" width="3.6640625" style="637" customWidth="1"/>
    <col min="1545" max="1545" width="12.1640625" style="637" customWidth="1"/>
    <col min="1546" max="1547" width="4.6640625" style="637" customWidth="1"/>
    <col min="1548" max="1548" width="4.33203125" style="637" customWidth="1"/>
    <col min="1549" max="1549" width="5.1640625" style="637" customWidth="1"/>
    <col min="1550" max="1792" width="9" style="637"/>
    <col min="1793" max="1793" width="3.33203125" style="637" customWidth="1"/>
    <col min="1794" max="1794" width="20.33203125" style="637" customWidth="1"/>
    <col min="1795" max="1795" width="5.33203125" style="637" customWidth="1"/>
    <col min="1796" max="1796" width="3" style="637" customWidth="1"/>
    <col min="1797" max="1797" width="5.33203125" style="637" customWidth="1"/>
    <col min="1798" max="1798" width="2.6640625" style="637" customWidth="1"/>
    <col min="1799" max="1799" width="5.1640625" style="637" customWidth="1"/>
    <col min="1800" max="1800" width="3.6640625" style="637" customWidth="1"/>
    <col min="1801" max="1801" width="12.1640625" style="637" customWidth="1"/>
    <col min="1802" max="1803" width="4.6640625" style="637" customWidth="1"/>
    <col min="1804" max="1804" width="4.33203125" style="637" customWidth="1"/>
    <col min="1805" max="1805" width="5.1640625" style="637" customWidth="1"/>
    <col min="1806" max="2048" width="9" style="637"/>
    <col min="2049" max="2049" width="3.33203125" style="637" customWidth="1"/>
    <col min="2050" max="2050" width="20.33203125" style="637" customWidth="1"/>
    <col min="2051" max="2051" width="5.33203125" style="637" customWidth="1"/>
    <col min="2052" max="2052" width="3" style="637" customWidth="1"/>
    <col min="2053" max="2053" width="5.33203125" style="637" customWidth="1"/>
    <col min="2054" max="2054" width="2.6640625" style="637" customWidth="1"/>
    <col min="2055" max="2055" width="5.1640625" style="637" customWidth="1"/>
    <col min="2056" max="2056" width="3.6640625" style="637" customWidth="1"/>
    <col min="2057" max="2057" width="12.1640625" style="637" customWidth="1"/>
    <col min="2058" max="2059" width="4.6640625" style="637" customWidth="1"/>
    <col min="2060" max="2060" width="4.33203125" style="637" customWidth="1"/>
    <col min="2061" max="2061" width="5.1640625" style="637" customWidth="1"/>
    <col min="2062" max="2304" width="9" style="637"/>
    <col min="2305" max="2305" width="3.33203125" style="637" customWidth="1"/>
    <col min="2306" max="2306" width="20.33203125" style="637" customWidth="1"/>
    <col min="2307" max="2307" width="5.33203125" style="637" customWidth="1"/>
    <col min="2308" max="2308" width="3" style="637" customWidth="1"/>
    <col min="2309" max="2309" width="5.33203125" style="637" customWidth="1"/>
    <col min="2310" max="2310" width="2.6640625" style="637" customWidth="1"/>
    <col min="2311" max="2311" width="5.1640625" style="637" customWidth="1"/>
    <col min="2312" max="2312" width="3.6640625" style="637" customWidth="1"/>
    <col min="2313" max="2313" width="12.1640625" style="637" customWidth="1"/>
    <col min="2314" max="2315" width="4.6640625" style="637" customWidth="1"/>
    <col min="2316" max="2316" width="4.33203125" style="637" customWidth="1"/>
    <col min="2317" max="2317" width="5.1640625" style="637" customWidth="1"/>
    <col min="2318" max="2560" width="9" style="637"/>
    <col min="2561" max="2561" width="3.33203125" style="637" customWidth="1"/>
    <col min="2562" max="2562" width="20.33203125" style="637" customWidth="1"/>
    <col min="2563" max="2563" width="5.33203125" style="637" customWidth="1"/>
    <col min="2564" max="2564" width="3" style="637" customWidth="1"/>
    <col min="2565" max="2565" width="5.33203125" style="637" customWidth="1"/>
    <col min="2566" max="2566" width="2.6640625" style="637" customWidth="1"/>
    <col min="2567" max="2567" width="5.1640625" style="637" customWidth="1"/>
    <col min="2568" max="2568" width="3.6640625" style="637" customWidth="1"/>
    <col min="2569" max="2569" width="12.1640625" style="637" customWidth="1"/>
    <col min="2570" max="2571" width="4.6640625" style="637" customWidth="1"/>
    <col min="2572" max="2572" width="4.33203125" style="637" customWidth="1"/>
    <col min="2573" max="2573" width="5.1640625" style="637" customWidth="1"/>
    <col min="2574" max="2816" width="9" style="637"/>
    <col min="2817" max="2817" width="3.33203125" style="637" customWidth="1"/>
    <col min="2818" max="2818" width="20.33203125" style="637" customWidth="1"/>
    <col min="2819" max="2819" width="5.33203125" style="637" customWidth="1"/>
    <col min="2820" max="2820" width="3" style="637" customWidth="1"/>
    <col min="2821" max="2821" width="5.33203125" style="637" customWidth="1"/>
    <col min="2822" max="2822" width="2.6640625" style="637" customWidth="1"/>
    <col min="2823" max="2823" width="5.1640625" style="637" customWidth="1"/>
    <col min="2824" max="2824" width="3.6640625" style="637" customWidth="1"/>
    <col min="2825" max="2825" width="12.1640625" style="637" customWidth="1"/>
    <col min="2826" max="2827" width="4.6640625" style="637" customWidth="1"/>
    <col min="2828" max="2828" width="4.33203125" style="637" customWidth="1"/>
    <col min="2829" max="2829" width="5.1640625" style="637" customWidth="1"/>
    <col min="2830" max="3072" width="9" style="637"/>
    <col min="3073" max="3073" width="3.33203125" style="637" customWidth="1"/>
    <col min="3074" max="3074" width="20.33203125" style="637" customWidth="1"/>
    <col min="3075" max="3075" width="5.33203125" style="637" customWidth="1"/>
    <col min="3076" max="3076" width="3" style="637" customWidth="1"/>
    <col min="3077" max="3077" width="5.33203125" style="637" customWidth="1"/>
    <col min="3078" max="3078" width="2.6640625" style="637" customWidth="1"/>
    <col min="3079" max="3079" width="5.1640625" style="637" customWidth="1"/>
    <col min="3080" max="3080" width="3.6640625" style="637" customWidth="1"/>
    <col min="3081" max="3081" width="12.1640625" style="637" customWidth="1"/>
    <col min="3082" max="3083" width="4.6640625" style="637" customWidth="1"/>
    <col min="3084" max="3084" width="4.33203125" style="637" customWidth="1"/>
    <col min="3085" max="3085" width="5.1640625" style="637" customWidth="1"/>
    <col min="3086" max="3328" width="9" style="637"/>
    <col min="3329" max="3329" width="3.33203125" style="637" customWidth="1"/>
    <col min="3330" max="3330" width="20.33203125" style="637" customWidth="1"/>
    <col min="3331" max="3331" width="5.33203125" style="637" customWidth="1"/>
    <col min="3332" max="3332" width="3" style="637" customWidth="1"/>
    <col min="3333" max="3333" width="5.33203125" style="637" customWidth="1"/>
    <col min="3334" max="3334" width="2.6640625" style="637" customWidth="1"/>
    <col min="3335" max="3335" width="5.1640625" style="637" customWidth="1"/>
    <col min="3336" max="3336" width="3.6640625" style="637" customWidth="1"/>
    <col min="3337" max="3337" width="12.1640625" style="637" customWidth="1"/>
    <col min="3338" max="3339" width="4.6640625" style="637" customWidth="1"/>
    <col min="3340" max="3340" width="4.33203125" style="637" customWidth="1"/>
    <col min="3341" max="3341" width="5.1640625" style="637" customWidth="1"/>
    <col min="3342" max="3584" width="9" style="637"/>
    <col min="3585" max="3585" width="3.33203125" style="637" customWidth="1"/>
    <col min="3586" max="3586" width="20.33203125" style="637" customWidth="1"/>
    <col min="3587" max="3587" width="5.33203125" style="637" customWidth="1"/>
    <col min="3588" max="3588" width="3" style="637" customWidth="1"/>
    <col min="3589" max="3589" width="5.33203125" style="637" customWidth="1"/>
    <col min="3590" max="3590" width="2.6640625" style="637" customWidth="1"/>
    <col min="3591" max="3591" width="5.1640625" style="637" customWidth="1"/>
    <col min="3592" max="3592" width="3.6640625" style="637" customWidth="1"/>
    <col min="3593" max="3593" width="12.1640625" style="637" customWidth="1"/>
    <col min="3594" max="3595" width="4.6640625" style="637" customWidth="1"/>
    <col min="3596" max="3596" width="4.33203125" style="637" customWidth="1"/>
    <col min="3597" max="3597" width="5.1640625" style="637" customWidth="1"/>
    <col min="3598" max="3840" width="9" style="637"/>
    <col min="3841" max="3841" width="3.33203125" style="637" customWidth="1"/>
    <col min="3842" max="3842" width="20.33203125" style="637" customWidth="1"/>
    <col min="3843" max="3843" width="5.33203125" style="637" customWidth="1"/>
    <col min="3844" max="3844" width="3" style="637" customWidth="1"/>
    <col min="3845" max="3845" width="5.33203125" style="637" customWidth="1"/>
    <col min="3846" max="3846" width="2.6640625" style="637" customWidth="1"/>
    <col min="3847" max="3847" width="5.1640625" style="637" customWidth="1"/>
    <col min="3848" max="3848" width="3.6640625" style="637" customWidth="1"/>
    <col min="3849" max="3849" width="12.1640625" style="637" customWidth="1"/>
    <col min="3850" max="3851" width="4.6640625" style="637" customWidth="1"/>
    <col min="3852" max="3852" width="4.33203125" style="637" customWidth="1"/>
    <col min="3853" max="3853" width="5.1640625" style="637" customWidth="1"/>
    <col min="3854" max="4096" width="9" style="637"/>
    <col min="4097" max="4097" width="3.33203125" style="637" customWidth="1"/>
    <col min="4098" max="4098" width="20.33203125" style="637" customWidth="1"/>
    <col min="4099" max="4099" width="5.33203125" style="637" customWidth="1"/>
    <col min="4100" max="4100" width="3" style="637" customWidth="1"/>
    <col min="4101" max="4101" width="5.33203125" style="637" customWidth="1"/>
    <col min="4102" max="4102" width="2.6640625" style="637" customWidth="1"/>
    <col min="4103" max="4103" width="5.1640625" style="637" customWidth="1"/>
    <col min="4104" max="4104" width="3.6640625" style="637" customWidth="1"/>
    <col min="4105" max="4105" width="12.1640625" style="637" customWidth="1"/>
    <col min="4106" max="4107" width="4.6640625" style="637" customWidth="1"/>
    <col min="4108" max="4108" width="4.33203125" style="637" customWidth="1"/>
    <col min="4109" max="4109" width="5.1640625" style="637" customWidth="1"/>
    <col min="4110" max="4352" width="9" style="637"/>
    <col min="4353" max="4353" width="3.33203125" style="637" customWidth="1"/>
    <col min="4354" max="4354" width="20.33203125" style="637" customWidth="1"/>
    <col min="4355" max="4355" width="5.33203125" style="637" customWidth="1"/>
    <col min="4356" max="4356" width="3" style="637" customWidth="1"/>
    <col min="4357" max="4357" width="5.33203125" style="637" customWidth="1"/>
    <col min="4358" max="4358" width="2.6640625" style="637" customWidth="1"/>
    <col min="4359" max="4359" width="5.1640625" style="637" customWidth="1"/>
    <col min="4360" max="4360" width="3.6640625" style="637" customWidth="1"/>
    <col min="4361" max="4361" width="12.1640625" style="637" customWidth="1"/>
    <col min="4362" max="4363" width="4.6640625" style="637" customWidth="1"/>
    <col min="4364" max="4364" width="4.33203125" style="637" customWidth="1"/>
    <col min="4365" max="4365" width="5.1640625" style="637" customWidth="1"/>
    <col min="4366" max="4608" width="9" style="637"/>
    <col min="4609" max="4609" width="3.33203125" style="637" customWidth="1"/>
    <col min="4610" max="4610" width="20.33203125" style="637" customWidth="1"/>
    <col min="4611" max="4611" width="5.33203125" style="637" customWidth="1"/>
    <col min="4612" max="4612" width="3" style="637" customWidth="1"/>
    <col min="4613" max="4613" width="5.33203125" style="637" customWidth="1"/>
    <col min="4614" max="4614" width="2.6640625" style="637" customWidth="1"/>
    <col min="4615" max="4615" width="5.1640625" style="637" customWidth="1"/>
    <col min="4616" max="4616" width="3.6640625" style="637" customWidth="1"/>
    <col min="4617" max="4617" width="12.1640625" style="637" customWidth="1"/>
    <col min="4618" max="4619" width="4.6640625" style="637" customWidth="1"/>
    <col min="4620" max="4620" width="4.33203125" style="637" customWidth="1"/>
    <col min="4621" max="4621" width="5.1640625" style="637" customWidth="1"/>
    <col min="4622" max="4864" width="9" style="637"/>
    <col min="4865" max="4865" width="3.33203125" style="637" customWidth="1"/>
    <col min="4866" max="4866" width="20.33203125" style="637" customWidth="1"/>
    <col min="4867" max="4867" width="5.33203125" style="637" customWidth="1"/>
    <col min="4868" max="4868" width="3" style="637" customWidth="1"/>
    <col min="4869" max="4869" width="5.33203125" style="637" customWidth="1"/>
    <col min="4870" max="4870" width="2.6640625" style="637" customWidth="1"/>
    <col min="4871" max="4871" width="5.1640625" style="637" customWidth="1"/>
    <col min="4872" max="4872" width="3.6640625" style="637" customWidth="1"/>
    <col min="4873" max="4873" width="12.1640625" style="637" customWidth="1"/>
    <col min="4874" max="4875" width="4.6640625" style="637" customWidth="1"/>
    <col min="4876" max="4876" width="4.33203125" style="637" customWidth="1"/>
    <col min="4877" max="4877" width="5.1640625" style="637" customWidth="1"/>
    <col min="4878" max="5120" width="9" style="637"/>
    <col min="5121" max="5121" width="3.33203125" style="637" customWidth="1"/>
    <col min="5122" max="5122" width="20.33203125" style="637" customWidth="1"/>
    <col min="5123" max="5123" width="5.33203125" style="637" customWidth="1"/>
    <col min="5124" max="5124" width="3" style="637" customWidth="1"/>
    <col min="5125" max="5125" width="5.33203125" style="637" customWidth="1"/>
    <col min="5126" max="5126" width="2.6640625" style="637" customWidth="1"/>
    <col min="5127" max="5127" width="5.1640625" style="637" customWidth="1"/>
    <col min="5128" max="5128" width="3.6640625" style="637" customWidth="1"/>
    <col min="5129" max="5129" width="12.1640625" style="637" customWidth="1"/>
    <col min="5130" max="5131" width="4.6640625" style="637" customWidth="1"/>
    <col min="5132" max="5132" width="4.33203125" style="637" customWidth="1"/>
    <col min="5133" max="5133" width="5.1640625" style="637" customWidth="1"/>
    <col min="5134" max="5376" width="9" style="637"/>
    <col min="5377" max="5377" width="3.33203125" style="637" customWidth="1"/>
    <col min="5378" max="5378" width="20.33203125" style="637" customWidth="1"/>
    <col min="5379" max="5379" width="5.33203125" style="637" customWidth="1"/>
    <col min="5380" max="5380" width="3" style="637" customWidth="1"/>
    <col min="5381" max="5381" width="5.33203125" style="637" customWidth="1"/>
    <col min="5382" max="5382" width="2.6640625" style="637" customWidth="1"/>
    <col min="5383" max="5383" width="5.1640625" style="637" customWidth="1"/>
    <col min="5384" max="5384" width="3.6640625" style="637" customWidth="1"/>
    <col min="5385" max="5385" width="12.1640625" style="637" customWidth="1"/>
    <col min="5386" max="5387" width="4.6640625" style="637" customWidth="1"/>
    <col min="5388" max="5388" width="4.33203125" style="637" customWidth="1"/>
    <col min="5389" max="5389" width="5.1640625" style="637" customWidth="1"/>
    <col min="5390" max="5632" width="9" style="637"/>
    <col min="5633" max="5633" width="3.33203125" style="637" customWidth="1"/>
    <col min="5634" max="5634" width="20.33203125" style="637" customWidth="1"/>
    <col min="5635" max="5635" width="5.33203125" style="637" customWidth="1"/>
    <col min="5636" max="5636" width="3" style="637" customWidth="1"/>
    <col min="5637" max="5637" width="5.33203125" style="637" customWidth="1"/>
    <col min="5638" max="5638" width="2.6640625" style="637" customWidth="1"/>
    <col min="5639" max="5639" width="5.1640625" style="637" customWidth="1"/>
    <col min="5640" max="5640" width="3.6640625" style="637" customWidth="1"/>
    <col min="5641" max="5641" width="12.1640625" style="637" customWidth="1"/>
    <col min="5642" max="5643" width="4.6640625" style="637" customWidth="1"/>
    <col min="5644" max="5644" width="4.33203125" style="637" customWidth="1"/>
    <col min="5645" max="5645" width="5.1640625" style="637" customWidth="1"/>
    <col min="5646" max="5888" width="9" style="637"/>
    <col min="5889" max="5889" width="3.33203125" style="637" customWidth="1"/>
    <col min="5890" max="5890" width="20.33203125" style="637" customWidth="1"/>
    <col min="5891" max="5891" width="5.33203125" style="637" customWidth="1"/>
    <col min="5892" max="5892" width="3" style="637" customWidth="1"/>
    <col min="5893" max="5893" width="5.33203125" style="637" customWidth="1"/>
    <col min="5894" max="5894" width="2.6640625" style="637" customWidth="1"/>
    <col min="5895" max="5895" width="5.1640625" style="637" customWidth="1"/>
    <col min="5896" max="5896" width="3.6640625" style="637" customWidth="1"/>
    <col min="5897" max="5897" width="12.1640625" style="637" customWidth="1"/>
    <col min="5898" max="5899" width="4.6640625" style="637" customWidth="1"/>
    <col min="5900" max="5900" width="4.33203125" style="637" customWidth="1"/>
    <col min="5901" max="5901" width="5.1640625" style="637" customWidth="1"/>
    <col min="5902" max="6144" width="9" style="637"/>
    <col min="6145" max="6145" width="3.33203125" style="637" customWidth="1"/>
    <col min="6146" max="6146" width="20.33203125" style="637" customWidth="1"/>
    <col min="6147" max="6147" width="5.33203125" style="637" customWidth="1"/>
    <col min="6148" max="6148" width="3" style="637" customWidth="1"/>
    <col min="6149" max="6149" width="5.33203125" style="637" customWidth="1"/>
    <col min="6150" max="6150" width="2.6640625" style="637" customWidth="1"/>
    <col min="6151" max="6151" width="5.1640625" style="637" customWidth="1"/>
    <col min="6152" max="6152" width="3.6640625" style="637" customWidth="1"/>
    <col min="6153" max="6153" width="12.1640625" style="637" customWidth="1"/>
    <col min="6154" max="6155" width="4.6640625" style="637" customWidth="1"/>
    <col min="6156" max="6156" width="4.33203125" style="637" customWidth="1"/>
    <col min="6157" max="6157" width="5.1640625" style="637" customWidth="1"/>
    <col min="6158" max="6400" width="9" style="637"/>
    <col min="6401" max="6401" width="3.33203125" style="637" customWidth="1"/>
    <col min="6402" max="6402" width="20.33203125" style="637" customWidth="1"/>
    <col min="6403" max="6403" width="5.33203125" style="637" customWidth="1"/>
    <col min="6404" max="6404" width="3" style="637" customWidth="1"/>
    <col min="6405" max="6405" width="5.33203125" style="637" customWidth="1"/>
    <col min="6406" max="6406" width="2.6640625" style="637" customWidth="1"/>
    <col min="6407" max="6407" width="5.1640625" style="637" customWidth="1"/>
    <col min="6408" max="6408" width="3.6640625" style="637" customWidth="1"/>
    <col min="6409" max="6409" width="12.1640625" style="637" customWidth="1"/>
    <col min="6410" max="6411" width="4.6640625" style="637" customWidth="1"/>
    <col min="6412" max="6412" width="4.33203125" style="637" customWidth="1"/>
    <col min="6413" max="6413" width="5.1640625" style="637" customWidth="1"/>
    <col min="6414" max="6656" width="9" style="637"/>
    <col min="6657" max="6657" width="3.33203125" style="637" customWidth="1"/>
    <col min="6658" max="6658" width="20.33203125" style="637" customWidth="1"/>
    <col min="6659" max="6659" width="5.33203125" style="637" customWidth="1"/>
    <col min="6660" max="6660" width="3" style="637" customWidth="1"/>
    <col min="6661" max="6661" width="5.33203125" style="637" customWidth="1"/>
    <col min="6662" max="6662" width="2.6640625" style="637" customWidth="1"/>
    <col min="6663" max="6663" width="5.1640625" style="637" customWidth="1"/>
    <col min="6664" max="6664" width="3.6640625" style="637" customWidth="1"/>
    <col min="6665" max="6665" width="12.1640625" style="637" customWidth="1"/>
    <col min="6666" max="6667" width="4.6640625" style="637" customWidth="1"/>
    <col min="6668" max="6668" width="4.33203125" style="637" customWidth="1"/>
    <col min="6669" max="6669" width="5.1640625" style="637" customWidth="1"/>
    <col min="6670" max="6912" width="9" style="637"/>
    <col min="6913" max="6913" width="3.33203125" style="637" customWidth="1"/>
    <col min="6914" max="6914" width="20.33203125" style="637" customWidth="1"/>
    <col min="6915" max="6915" width="5.33203125" style="637" customWidth="1"/>
    <col min="6916" max="6916" width="3" style="637" customWidth="1"/>
    <col min="6917" max="6917" width="5.33203125" style="637" customWidth="1"/>
    <col min="6918" max="6918" width="2.6640625" style="637" customWidth="1"/>
    <col min="6919" max="6919" width="5.1640625" style="637" customWidth="1"/>
    <col min="6920" max="6920" width="3.6640625" style="637" customWidth="1"/>
    <col min="6921" max="6921" width="12.1640625" style="637" customWidth="1"/>
    <col min="6922" max="6923" width="4.6640625" style="637" customWidth="1"/>
    <col min="6924" max="6924" width="4.33203125" style="637" customWidth="1"/>
    <col min="6925" max="6925" width="5.1640625" style="637" customWidth="1"/>
    <col min="6926" max="7168" width="9" style="637"/>
    <col min="7169" max="7169" width="3.33203125" style="637" customWidth="1"/>
    <col min="7170" max="7170" width="20.33203125" style="637" customWidth="1"/>
    <col min="7171" max="7171" width="5.33203125" style="637" customWidth="1"/>
    <col min="7172" max="7172" width="3" style="637" customWidth="1"/>
    <col min="7173" max="7173" width="5.33203125" style="637" customWidth="1"/>
    <col min="7174" max="7174" width="2.6640625" style="637" customWidth="1"/>
    <col min="7175" max="7175" width="5.1640625" style="637" customWidth="1"/>
    <col min="7176" max="7176" width="3.6640625" style="637" customWidth="1"/>
    <col min="7177" max="7177" width="12.1640625" style="637" customWidth="1"/>
    <col min="7178" max="7179" width="4.6640625" style="637" customWidth="1"/>
    <col min="7180" max="7180" width="4.33203125" style="637" customWidth="1"/>
    <col min="7181" max="7181" width="5.1640625" style="637" customWidth="1"/>
    <col min="7182" max="7424" width="9" style="637"/>
    <col min="7425" max="7425" width="3.33203125" style="637" customWidth="1"/>
    <col min="7426" max="7426" width="20.33203125" style="637" customWidth="1"/>
    <col min="7427" max="7427" width="5.33203125" style="637" customWidth="1"/>
    <col min="7428" max="7428" width="3" style="637" customWidth="1"/>
    <col min="7429" max="7429" width="5.33203125" style="637" customWidth="1"/>
    <col min="7430" max="7430" width="2.6640625" style="637" customWidth="1"/>
    <col min="7431" max="7431" width="5.1640625" style="637" customWidth="1"/>
    <col min="7432" max="7432" width="3.6640625" style="637" customWidth="1"/>
    <col min="7433" max="7433" width="12.1640625" style="637" customWidth="1"/>
    <col min="7434" max="7435" width="4.6640625" style="637" customWidth="1"/>
    <col min="7436" max="7436" width="4.33203125" style="637" customWidth="1"/>
    <col min="7437" max="7437" width="5.1640625" style="637" customWidth="1"/>
    <col min="7438" max="7680" width="9" style="637"/>
    <col min="7681" max="7681" width="3.33203125" style="637" customWidth="1"/>
    <col min="7682" max="7682" width="20.33203125" style="637" customWidth="1"/>
    <col min="7683" max="7683" width="5.33203125" style="637" customWidth="1"/>
    <col min="7684" max="7684" width="3" style="637" customWidth="1"/>
    <col min="7685" max="7685" width="5.33203125" style="637" customWidth="1"/>
    <col min="7686" max="7686" width="2.6640625" style="637" customWidth="1"/>
    <col min="7687" max="7687" width="5.1640625" style="637" customWidth="1"/>
    <col min="7688" max="7688" width="3.6640625" style="637" customWidth="1"/>
    <col min="7689" max="7689" width="12.1640625" style="637" customWidth="1"/>
    <col min="7690" max="7691" width="4.6640625" style="637" customWidth="1"/>
    <col min="7692" max="7692" width="4.33203125" style="637" customWidth="1"/>
    <col min="7693" max="7693" width="5.1640625" style="637" customWidth="1"/>
    <col min="7694" max="7936" width="9" style="637"/>
    <col min="7937" max="7937" width="3.33203125" style="637" customWidth="1"/>
    <col min="7938" max="7938" width="20.33203125" style="637" customWidth="1"/>
    <col min="7939" max="7939" width="5.33203125" style="637" customWidth="1"/>
    <col min="7940" max="7940" width="3" style="637" customWidth="1"/>
    <col min="7941" max="7941" width="5.33203125" style="637" customWidth="1"/>
    <col min="7942" max="7942" width="2.6640625" style="637" customWidth="1"/>
    <col min="7943" max="7943" width="5.1640625" style="637" customWidth="1"/>
    <col min="7944" max="7944" width="3.6640625" style="637" customWidth="1"/>
    <col min="7945" max="7945" width="12.1640625" style="637" customWidth="1"/>
    <col min="7946" max="7947" width="4.6640625" style="637" customWidth="1"/>
    <col min="7948" max="7948" width="4.33203125" style="637" customWidth="1"/>
    <col min="7949" max="7949" width="5.1640625" style="637" customWidth="1"/>
    <col min="7950" max="8192" width="9" style="637"/>
    <col min="8193" max="8193" width="3.33203125" style="637" customWidth="1"/>
    <col min="8194" max="8194" width="20.33203125" style="637" customWidth="1"/>
    <col min="8195" max="8195" width="5.33203125" style="637" customWidth="1"/>
    <col min="8196" max="8196" width="3" style="637" customWidth="1"/>
    <col min="8197" max="8197" width="5.33203125" style="637" customWidth="1"/>
    <col min="8198" max="8198" width="2.6640625" style="637" customWidth="1"/>
    <col min="8199" max="8199" width="5.1640625" style="637" customWidth="1"/>
    <col min="8200" max="8200" width="3.6640625" style="637" customWidth="1"/>
    <col min="8201" max="8201" width="12.1640625" style="637" customWidth="1"/>
    <col min="8202" max="8203" width="4.6640625" style="637" customWidth="1"/>
    <col min="8204" max="8204" width="4.33203125" style="637" customWidth="1"/>
    <col min="8205" max="8205" width="5.1640625" style="637" customWidth="1"/>
    <col min="8206" max="8448" width="9" style="637"/>
    <col min="8449" max="8449" width="3.33203125" style="637" customWidth="1"/>
    <col min="8450" max="8450" width="20.33203125" style="637" customWidth="1"/>
    <col min="8451" max="8451" width="5.33203125" style="637" customWidth="1"/>
    <col min="8452" max="8452" width="3" style="637" customWidth="1"/>
    <col min="8453" max="8453" width="5.33203125" style="637" customWidth="1"/>
    <col min="8454" max="8454" width="2.6640625" style="637" customWidth="1"/>
    <col min="8455" max="8455" width="5.1640625" style="637" customWidth="1"/>
    <col min="8456" max="8456" width="3.6640625" style="637" customWidth="1"/>
    <col min="8457" max="8457" width="12.1640625" style="637" customWidth="1"/>
    <col min="8458" max="8459" width="4.6640625" style="637" customWidth="1"/>
    <col min="8460" max="8460" width="4.33203125" style="637" customWidth="1"/>
    <col min="8461" max="8461" width="5.1640625" style="637" customWidth="1"/>
    <col min="8462" max="8704" width="9" style="637"/>
    <col min="8705" max="8705" width="3.33203125" style="637" customWidth="1"/>
    <col min="8706" max="8706" width="20.33203125" style="637" customWidth="1"/>
    <col min="8707" max="8707" width="5.33203125" style="637" customWidth="1"/>
    <col min="8708" max="8708" width="3" style="637" customWidth="1"/>
    <col min="8709" max="8709" width="5.33203125" style="637" customWidth="1"/>
    <col min="8710" max="8710" width="2.6640625" style="637" customWidth="1"/>
    <col min="8711" max="8711" width="5.1640625" style="637" customWidth="1"/>
    <col min="8712" max="8712" width="3.6640625" style="637" customWidth="1"/>
    <col min="8713" max="8713" width="12.1640625" style="637" customWidth="1"/>
    <col min="8714" max="8715" width="4.6640625" style="637" customWidth="1"/>
    <col min="8716" max="8716" width="4.33203125" style="637" customWidth="1"/>
    <col min="8717" max="8717" width="5.1640625" style="637" customWidth="1"/>
    <col min="8718" max="8960" width="9" style="637"/>
    <col min="8961" max="8961" width="3.33203125" style="637" customWidth="1"/>
    <col min="8962" max="8962" width="20.33203125" style="637" customWidth="1"/>
    <col min="8963" max="8963" width="5.33203125" style="637" customWidth="1"/>
    <col min="8964" max="8964" width="3" style="637" customWidth="1"/>
    <col min="8965" max="8965" width="5.33203125" style="637" customWidth="1"/>
    <col min="8966" max="8966" width="2.6640625" style="637" customWidth="1"/>
    <col min="8967" max="8967" width="5.1640625" style="637" customWidth="1"/>
    <col min="8968" max="8968" width="3.6640625" style="637" customWidth="1"/>
    <col min="8969" max="8969" width="12.1640625" style="637" customWidth="1"/>
    <col min="8970" max="8971" width="4.6640625" style="637" customWidth="1"/>
    <col min="8972" max="8972" width="4.33203125" style="637" customWidth="1"/>
    <col min="8973" max="8973" width="5.1640625" style="637" customWidth="1"/>
    <col min="8974" max="9216" width="9" style="637"/>
    <col min="9217" max="9217" width="3.33203125" style="637" customWidth="1"/>
    <col min="9218" max="9218" width="20.33203125" style="637" customWidth="1"/>
    <col min="9219" max="9219" width="5.33203125" style="637" customWidth="1"/>
    <col min="9220" max="9220" width="3" style="637" customWidth="1"/>
    <col min="9221" max="9221" width="5.33203125" style="637" customWidth="1"/>
    <col min="9222" max="9222" width="2.6640625" style="637" customWidth="1"/>
    <col min="9223" max="9223" width="5.1640625" style="637" customWidth="1"/>
    <col min="9224" max="9224" width="3.6640625" style="637" customWidth="1"/>
    <col min="9225" max="9225" width="12.1640625" style="637" customWidth="1"/>
    <col min="9226" max="9227" width="4.6640625" style="637" customWidth="1"/>
    <col min="9228" max="9228" width="4.33203125" style="637" customWidth="1"/>
    <col min="9229" max="9229" width="5.1640625" style="637" customWidth="1"/>
    <col min="9230" max="9472" width="9" style="637"/>
    <col min="9473" max="9473" width="3.33203125" style="637" customWidth="1"/>
    <col min="9474" max="9474" width="20.33203125" style="637" customWidth="1"/>
    <col min="9475" max="9475" width="5.33203125" style="637" customWidth="1"/>
    <col min="9476" max="9476" width="3" style="637" customWidth="1"/>
    <col min="9477" max="9477" width="5.33203125" style="637" customWidth="1"/>
    <col min="9478" max="9478" width="2.6640625" style="637" customWidth="1"/>
    <col min="9479" max="9479" width="5.1640625" style="637" customWidth="1"/>
    <col min="9480" max="9480" width="3.6640625" style="637" customWidth="1"/>
    <col min="9481" max="9481" width="12.1640625" style="637" customWidth="1"/>
    <col min="9482" max="9483" width="4.6640625" style="637" customWidth="1"/>
    <col min="9484" max="9484" width="4.33203125" style="637" customWidth="1"/>
    <col min="9485" max="9485" width="5.1640625" style="637" customWidth="1"/>
    <col min="9486" max="9728" width="9" style="637"/>
    <col min="9729" max="9729" width="3.33203125" style="637" customWidth="1"/>
    <col min="9730" max="9730" width="20.33203125" style="637" customWidth="1"/>
    <col min="9731" max="9731" width="5.33203125" style="637" customWidth="1"/>
    <col min="9732" max="9732" width="3" style="637" customWidth="1"/>
    <col min="9733" max="9733" width="5.33203125" style="637" customWidth="1"/>
    <col min="9734" max="9734" width="2.6640625" style="637" customWidth="1"/>
    <col min="9735" max="9735" width="5.1640625" style="637" customWidth="1"/>
    <col min="9736" max="9736" width="3.6640625" style="637" customWidth="1"/>
    <col min="9737" max="9737" width="12.1640625" style="637" customWidth="1"/>
    <col min="9738" max="9739" width="4.6640625" style="637" customWidth="1"/>
    <col min="9740" max="9740" width="4.33203125" style="637" customWidth="1"/>
    <col min="9741" max="9741" width="5.1640625" style="637" customWidth="1"/>
    <col min="9742" max="9984" width="9" style="637"/>
    <col min="9985" max="9985" width="3.33203125" style="637" customWidth="1"/>
    <col min="9986" max="9986" width="20.33203125" style="637" customWidth="1"/>
    <col min="9987" max="9987" width="5.33203125" style="637" customWidth="1"/>
    <col min="9988" max="9988" width="3" style="637" customWidth="1"/>
    <col min="9989" max="9989" width="5.33203125" style="637" customWidth="1"/>
    <col min="9990" max="9990" width="2.6640625" style="637" customWidth="1"/>
    <col min="9991" max="9991" width="5.1640625" style="637" customWidth="1"/>
    <col min="9992" max="9992" width="3.6640625" style="637" customWidth="1"/>
    <col min="9993" max="9993" width="12.1640625" style="637" customWidth="1"/>
    <col min="9994" max="9995" width="4.6640625" style="637" customWidth="1"/>
    <col min="9996" max="9996" width="4.33203125" style="637" customWidth="1"/>
    <col min="9997" max="9997" width="5.1640625" style="637" customWidth="1"/>
    <col min="9998" max="10240" width="9" style="637"/>
    <col min="10241" max="10241" width="3.33203125" style="637" customWidth="1"/>
    <col min="10242" max="10242" width="20.33203125" style="637" customWidth="1"/>
    <col min="10243" max="10243" width="5.33203125" style="637" customWidth="1"/>
    <col min="10244" max="10244" width="3" style="637" customWidth="1"/>
    <col min="10245" max="10245" width="5.33203125" style="637" customWidth="1"/>
    <col min="10246" max="10246" width="2.6640625" style="637" customWidth="1"/>
    <col min="10247" max="10247" width="5.1640625" style="637" customWidth="1"/>
    <col min="10248" max="10248" width="3.6640625" style="637" customWidth="1"/>
    <col min="10249" max="10249" width="12.1640625" style="637" customWidth="1"/>
    <col min="10250" max="10251" width="4.6640625" style="637" customWidth="1"/>
    <col min="10252" max="10252" width="4.33203125" style="637" customWidth="1"/>
    <col min="10253" max="10253" width="5.1640625" style="637" customWidth="1"/>
    <col min="10254" max="10496" width="9" style="637"/>
    <col min="10497" max="10497" width="3.33203125" style="637" customWidth="1"/>
    <col min="10498" max="10498" width="20.33203125" style="637" customWidth="1"/>
    <col min="10499" max="10499" width="5.33203125" style="637" customWidth="1"/>
    <col min="10500" max="10500" width="3" style="637" customWidth="1"/>
    <col min="10501" max="10501" width="5.33203125" style="637" customWidth="1"/>
    <col min="10502" max="10502" width="2.6640625" style="637" customWidth="1"/>
    <col min="10503" max="10503" width="5.1640625" style="637" customWidth="1"/>
    <col min="10504" max="10504" width="3.6640625" style="637" customWidth="1"/>
    <col min="10505" max="10505" width="12.1640625" style="637" customWidth="1"/>
    <col min="10506" max="10507" width="4.6640625" style="637" customWidth="1"/>
    <col min="10508" max="10508" width="4.33203125" style="637" customWidth="1"/>
    <col min="10509" max="10509" width="5.1640625" style="637" customWidth="1"/>
    <col min="10510" max="10752" width="9" style="637"/>
    <col min="10753" max="10753" width="3.33203125" style="637" customWidth="1"/>
    <col min="10754" max="10754" width="20.33203125" style="637" customWidth="1"/>
    <col min="10755" max="10755" width="5.33203125" style="637" customWidth="1"/>
    <col min="10756" max="10756" width="3" style="637" customWidth="1"/>
    <col min="10757" max="10757" width="5.33203125" style="637" customWidth="1"/>
    <col min="10758" max="10758" width="2.6640625" style="637" customWidth="1"/>
    <col min="10759" max="10759" width="5.1640625" style="637" customWidth="1"/>
    <col min="10760" max="10760" width="3.6640625" style="637" customWidth="1"/>
    <col min="10761" max="10761" width="12.1640625" style="637" customWidth="1"/>
    <col min="10762" max="10763" width="4.6640625" style="637" customWidth="1"/>
    <col min="10764" max="10764" width="4.33203125" style="637" customWidth="1"/>
    <col min="10765" max="10765" width="5.1640625" style="637" customWidth="1"/>
    <col min="10766" max="11008" width="9" style="637"/>
    <col min="11009" max="11009" width="3.33203125" style="637" customWidth="1"/>
    <col min="11010" max="11010" width="20.33203125" style="637" customWidth="1"/>
    <col min="11011" max="11011" width="5.33203125" style="637" customWidth="1"/>
    <col min="11012" max="11012" width="3" style="637" customWidth="1"/>
    <col min="11013" max="11013" width="5.33203125" style="637" customWidth="1"/>
    <col min="11014" max="11014" width="2.6640625" style="637" customWidth="1"/>
    <col min="11015" max="11015" width="5.1640625" style="637" customWidth="1"/>
    <col min="11016" max="11016" width="3.6640625" style="637" customWidth="1"/>
    <col min="11017" max="11017" width="12.1640625" style="637" customWidth="1"/>
    <col min="11018" max="11019" width="4.6640625" style="637" customWidth="1"/>
    <col min="11020" max="11020" width="4.33203125" style="637" customWidth="1"/>
    <col min="11021" max="11021" width="5.1640625" style="637" customWidth="1"/>
    <col min="11022" max="11264" width="9" style="637"/>
    <col min="11265" max="11265" width="3.33203125" style="637" customWidth="1"/>
    <col min="11266" max="11266" width="20.33203125" style="637" customWidth="1"/>
    <col min="11267" max="11267" width="5.33203125" style="637" customWidth="1"/>
    <col min="11268" max="11268" width="3" style="637" customWidth="1"/>
    <col min="11269" max="11269" width="5.33203125" style="637" customWidth="1"/>
    <col min="11270" max="11270" width="2.6640625" style="637" customWidth="1"/>
    <col min="11271" max="11271" width="5.1640625" style="637" customWidth="1"/>
    <col min="11272" max="11272" width="3.6640625" style="637" customWidth="1"/>
    <col min="11273" max="11273" width="12.1640625" style="637" customWidth="1"/>
    <col min="11274" max="11275" width="4.6640625" style="637" customWidth="1"/>
    <col min="11276" max="11276" width="4.33203125" style="637" customWidth="1"/>
    <col min="11277" max="11277" width="5.1640625" style="637" customWidth="1"/>
    <col min="11278" max="11520" width="9" style="637"/>
    <col min="11521" max="11521" width="3.33203125" style="637" customWidth="1"/>
    <col min="11522" max="11522" width="20.33203125" style="637" customWidth="1"/>
    <col min="11523" max="11523" width="5.33203125" style="637" customWidth="1"/>
    <col min="11524" max="11524" width="3" style="637" customWidth="1"/>
    <col min="11525" max="11525" width="5.33203125" style="637" customWidth="1"/>
    <col min="11526" max="11526" width="2.6640625" style="637" customWidth="1"/>
    <col min="11527" max="11527" width="5.1640625" style="637" customWidth="1"/>
    <col min="11528" max="11528" width="3.6640625" style="637" customWidth="1"/>
    <col min="11529" max="11529" width="12.1640625" style="637" customWidth="1"/>
    <col min="11530" max="11531" width="4.6640625" style="637" customWidth="1"/>
    <col min="11532" max="11532" width="4.33203125" style="637" customWidth="1"/>
    <col min="11533" max="11533" width="5.1640625" style="637" customWidth="1"/>
    <col min="11534" max="11776" width="9" style="637"/>
    <col min="11777" max="11777" width="3.33203125" style="637" customWidth="1"/>
    <col min="11778" max="11778" width="20.33203125" style="637" customWidth="1"/>
    <col min="11779" max="11779" width="5.33203125" style="637" customWidth="1"/>
    <col min="11780" max="11780" width="3" style="637" customWidth="1"/>
    <col min="11781" max="11781" width="5.33203125" style="637" customWidth="1"/>
    <col min="11782" max="11782" width="2.6640625" style="637" customWidth="1"/>
    <col min="11783" max="11783" width="5.1640625" style="637" customWidth="1"/>
    <col min="11784" max="11784" width="3.6640625" style="637" customWidth="1"/>
    <col min="11785" max="11785" width="12.1640625" style="637" customWidth="1"/>
    <col min="11786" max="11787" width="4.6640625" style="637" customWidth="1"/>
    <col min="11788" max="11788" width="4.33203125" style="637" customWidth="1"/>
    <col min="11789" max="11789" width="5.1640625" style="637" customWidth="1"/>
    <col min="11790" max="12032" width="9" style="637"/>
    <col min="12033" max="12033" width="3.33203125" style="637" customWidth="1"/>
    <col min="12034" max="12034" width="20.33203125" style="637" customWidth="1"/>
    <col min="12035" max="12035" width="5.33203125" style="637" customWidth="1"/>
    <col min="12036" max="12036" width="3" style="637" customWidth="1"/>
    <col min="12037" max="12037" width="5.33203125" style="637" customWidth="1"/>
    <col min="12038" max="12038" width="2.6640625" style="637" customWidth="1"/>
    <col min="12039" max="12039" width="5.1640625" style="637" customWidth="1"/>
    <col min="12040" max="12040" width="3.6640625" style="637" customWidth="1"/>
    <col min="12041" max="12041" width="12.1640625" style="637" customWidth="1"/>
    <col min="12042" max="12043" width="4.6640625" style="637" customWidth="1"/>
    <col min="12044" max="12044" width="4.33203125" style="637" customWidth="1"/>
    <col min="12045" max="12045" width="5.1640625" style="637" customWidth="1"/>
    <col min="12046" max="12288" width="9" style="637"/>
    <col min="12289" max="12289" width="3.33203125" style="637" customWidth="1"/>
    <col min="12290" max="12290" width="20.33203125" style="637" customWidth="1"/>
    <col min="12291" max="12291" width="5.33203125" style="637" customWidth="1"/>
    <col min="12292" max="12292" width="3" style="637" customWidth="1"/>
    <col min="12293" max="12293" width="5.33203125" style="637" customWidth="1"/>
    <col min="12294" max="12294" width="2.6640625" style="637" customWidth="1"/>
    <col min="12295" max="12295" width="5.1640625" style="637" customWidth="1"/>
    <col min="12296" max="12296" width="3.6640625" style="637" customWidth="1"/>
    <col min="12297" max="12297" width="12.1640625" style="637" customWidth="1"/>
    <col min="12298" max="12299" width="4.6640625" style="637" customWidth="1"/>
    <col min="12300" max="12300" width="4.33203125" style="637" customWidth="1"/>
    <col min="12301" max="12301" width="5.1640625" style="637" customWidth="1"/>
    <col min="12302" max="12544" width="9" style="637"/>
    <col min="12545" max="12545" width="3.33203125" style="637" customWidth="1"/>
    <col min="12546" max="12546" width="20.33203125" style="637" customWidth="1"/>
    <col min="12547" max="12547" width="5.33203125" style="637" customWidth="1"/>
    <col min="12548" max="12548" width="3" style="637" customWidth="1"/>
    <col min="12549" max="12549" width="5.33203125" style="637" customWidth="1"/>
    <col min="12550" max="12550" width="2.6640625" style="637" customWidth="1"/>
    <col min="12551" max="12551" width="5.1640625" style="637" customWidth="1"/>
    <col min="12552" max="12552" width="3.6640625" style="637" customWidth="1"/>
    <col min="12553" max="12553" width="12.1640625" style="637" customWidth="1"/>
    <col min="12554" max="12555" width="4.6640625" style="637" customWidth="1"/>
    <col min="12556" max="12556" width="4.33203125" style="637" customWidth="1"/>
    <col min="12557" max="12557" width="5.1640625" style="637" customWidth="1"/>
    <col min="12558" max="12800" width="9" style="637"/>
    <col min="12801" max="12801" width="3.33203125" style="637" customWidth="1"/>
    <col min="12802" max="12802" width="20.33203125" style="637" customWidth="1"/>
    <col min="12803" max="12803" width="5.33203125" style="637" customWidth="1"/>
    <col min="12804" max="12804" width="3" style="637" customWidth="1"/>
    <col min="12805" max="12805" width="5.33203125" style="637" customWidth="1"/>
    <col min="12806" max="12806" width="2.6640625" style="637" customWidth="1"/>
    <col min="12807" max="12807" width="5.1640625" style="637" customWidth="1"/>
    <col min="12808" max="12808" width="3.6640625" style="637" customWidth="1"/>
    <col min="12809" max="12809" width="12.1640625" style="637" customWidth="1"/>
    <col min="12810" max="12811" width="4.6640625" style="637" customWidth="1"/>
    <col min="12812" max="12812" width="4.33203125" style="637" customWidth="1"/>
    <col min="12813" max="12813" width="5.1640625" style="637" customWidth="1"/>
    <col min="12814" max="13056" width="9" style="637"/>
    <col min="13057" max="13057" width="3.33203125" style="637" customWidth="1"/>
    <col min="13058" max="13058" width="20.33203125" style="637" customWidth="1"/>
    <col min="13059" max="13059" width="5.33203125" style="637" customWidth="1"/>
    <col min="13060" max="13060" width="3" style="637" customWidth="1"/>
    <col min="13061" max="13061" width="5.33203125" style="637" customWidth="1"/>
    <col min="13062" max="13062" width="2.6640625" style="637" customWidth="1"/>
    <col min="13063" max="13063" width="5.1640625" style="637" customWidth="1"/>
    <col min="13064" max="13064" width="3.6640625" style="637" customWidth="1"/>
    <col min="13065" max="13065" width="12.1640625" style="637" customWidth="1"/>
    <col min="13066" max="13067" width="4.6640625" style="637" customWidth="1"/>
    <col min="13068" max="13068" width="4.33203125" style="637" customWidth="1"/>
    <col min="13069" max="13069" width="5.1640625" style="637" customWidth="1"/>
    <col min="13070" max="13312" width="9" style="637"/>
    <col min="13313" max="13313" width="3.33203125" style="637" customWidth="1"/>
    <col min="13314" max="13314" width="20.33203125" style="637" customWidth="1"/>
    <col min="13315" max="13315" width="5.33203125" style="637" customWidth="1"/>
    <col min="13316" max="13316" width="3" style="637" customWidth="1"/>
    <col min="13317" max="13317" width="5.33203125" style="637" customWidth="1"/>
    <col min="13318" max="13318" width="2.6640625" style="637" customWidth="1"/>
    <col min="13319" max="13319" width="5.1640625" style="637" customWidth="1"/>
    <col min="13320" max="13320" width="3.6640625" style="637" customWidth="1"/>
    <col min="13321" max="13321" width="12.1640625" style="637" customWidth="1"/>
    <col min="13322" max="13323" width="4.6640625" style="637" customWidth="1"/>
    <col min="13324" max="13324" width="4.33203125" style="637" customWidth="1"/>
    <col min="13325" max="13325" width="5.1640625" style="637" customWidth="1"/>
    <col min="13326" max="13568" width="9" style="637"/>
    <col min="13569" max="13569" width="3.33203125" style="637" customWidth="1"/>
    <col min="13570" max="13570" width="20.33203125" style="637" customWidth="1"/>
    <col min="13571" max="13571" width="5.33203125" style="637" customWidth="1"/>
    <col min="13572" max="13572" width="3" style="637" customWidth="1"/>
    <col min="13573" max="13573" width="5.33203125" style="637" customWidth="1"/>
    <col min="13574" max="13574" width="2.6640625" style="637" customWidth="1"/>
    <col min="13575" max="13575" width="5.1640625" style="637" customWidth="1"/>
    <col min="13576" max="13576" width="3.6640625" style="637" customWidth="1"/>
    <col min="13577" max="13577" width="12.1640625" style="637" customWidth="1"/>
    <col min="13578" max="13579" width="4.6640625" style="637" customWidth="1"/>
    <col min="13580" max="13580" width="4.33203125" style="637" customWidth="1"/>
    <col min="13581" max="13581" width="5.1640625" style="637" customWidth="1"/>
    <col min="13582" max="13824" width="9" style="637"/>
    <col min="13825" max="13825" width="3.33203125" style="637" customWidth="1"/>
    <col min="13826" max="13826" width="20.33203125" style="637" customWidth="1"/>
    <col min="13827" max="13827" width="5.33203125" style="637" customWidth="1"/>
    <col min="13828" max="13828" width="3" style="637" customWidth="1"/>
    <col min="13829" max="13829" width="5.33203125" style="637" customWidth="1"/>
    <col min="13830" max="13830" width="2.6640625" style="637" customWidth="1"/>
    <col min="13831" max="13831" width="5.1640625" style="637" customWidth="1"/>
    <col min="13832" max="13832" width="3.6640625" style="637" customWidth="1"/>
    <col min="13833" max="13833" width="12.1640625" style="637" customWidth="1"/>
    <col min="13834" max="13835" width="4.6640625" style="637" customWidth="1"/>
    <col min="13836" max="13836" width="4.33203125" style="637" customWidth="1"/>
    <col min="13837" max="13837" width="5.1640625" style="637" customWidth="1"/>
    <col min="13838" max="14080" width="9" style="637"/>
    <col min="14081" max="14081" width="3.33203125" style="637" customWidth="1"/>
    <col min="14082" max="14082" width="20.33203125" style="637" customWidth="1"/>
    <col min="14083" max="14083" width="5.33203125" style="637" customWidth="1"/>
    <col min="14084" max="14084" width="3" style="637" customWidth="1"/>
    <col min="14085" max="14085" width="5.33203125" style="637" customWidth="1"/>
    <col min="14086" max="14086" width="2.6640625" style="637" customWidth="1"/>
    <col min="14087" max="14087" width="5.1640625" style="637" customWidth="1"/>
    <col min="14088" max="14088" width="3.6640625" style="637" customWidth="1"/>
    <col min="14089" max="14089" width="12.1640625" style="637" customWidth="1"/>
    <col min="14090" max="14091" width="4.6640625" style="637" customWidth="1"/>
    <col min="14092" max="14092" width="4.33203125" style="637" customWidth="1"/>
    <col min="14093" max="14093" width="5.1640625" style="637" customWidth="1"/>
    <col min="14094" max="14336" width="9" style="637"/>
    <col min="14337" max="14337" width="3.33203125" style="637" customWidth="1"/>
    <col min="14338" max="14338" width="20.33203125" style="637" customWidth="1"/>
    <col min="14339" max="14339" width="5.33203125" style="637" customWidth="1"/>
    <col min="14340" max="14340" width="3" style="637" customWidth="1"/>
    <col min="14341" max="14341" width="5.33203125" style="637" customWidth="1"/>
    <col min="14342" max="14342" width="2.6640625" style="637" customWidth="1"/>
    <col min="14343" max="14343" width="5.1640625" style="637" customWidth="1"/>
    <col min="14344" max="14344" width="3.6640625" style="637" customWidth="1"/>
    <col min="14345" max="14345" width="12.1640625" style="637" customWidth="1"/>
    <col min="14346" max="14347" width="4.6640625" style="637" customWidth="1"/>
    <col min="14348" max="14348" width="4.33203125" style="637" customWidth="1"/>
    <col min="14349" max="14349" width="5.1640625" style="637" customWidth="1"/>
    <col min="14350" max="14592" width="9" style="637"/>
    <col min="14593" max="14593" width="3.33203125" style="637" customWidth="1"/>
    <col min="14594" max="14594" width="20.33203125" style="637" customWidth="1"/>
    <col min="14595" max="14595" width="5.33203125" style="637" customWidth="1"/>
    <col min="14596" max="14596" width="3" style="637" customWidth="1"/>
    <col min="14597" max="14597" width="5.33203125" style="637" customWidth="1"/>
    <col min="14598" max="14598" width="2.6640625" style="637" customWidth="1"/>
    <col min="14599" max="14599" width="5.1640625" style="637" customWidth="1"/>
    <col min="14600" max="14600" width="3.6640625" style="637" customWidth="1"/>
    <col min="14601" max="14601" width="12.1640625" style="637" customWidth="1"/>
    <col min="14602" max="14603" width="4.6640625" style="637" customWidth="1"/>
    <col min="14604" max="14604" width="4.33203125" style="637" customWidth="1"/>
    <col min="14605" max="14605" width="5.1640625" style="637" customWidth="1"/>
    <col min="14606" max="14848" width="9" style="637"/>
    <col min="14849" max="14849" width="3.33203125" style="637" customWidth="1"/>
    <col min="14850" max="14850" width="20.33203125" style="637" customWidth="1"/>
    <col min="14851" max="14851" width="5.33203125" style="637" customWidth="1"/>
    <col min="14852" max="14852" width="3" style="637" customWidth="1"/>
    <col min="14853" max="14853" width="5.33203125" style="637" customWidth="1"/>
    <col min="14854" max="14854" width="2.6640625" style="637" customWidth="1"/>
    <col min="14855" max="14855" width="5.1640625" style="637" customWidth="1"/>
    <col min="14856" max="14856" width="3.6640625" style="637" customWidth="1"/>
    <col min="14857" max="14857" width="12.1640625" style="637" customWidth="1"/>
    <col min="14858" max="14859" width="4.6640625" style="637" customWidth="1"/>
    <col min="14860" max="14860" width="4.33203125" style="637" customWidth="1"/>
    <col min="14861" max="14861" width="5.1640625" style="637" customWidth="1"/>
    <col min="14862" max="15104" width="9" style="637"/>
    <col min="15105" max="15105" width="3.33203125" style="637" customWidth="1"/>
    <col min="15106" max="15106" width="20.33203125" style="637" customWidth="1"/>
    <col min="15107" max="15107" width="5.33203125" style="637" customWidth="1"/>
    <col min="15108" max="15108" width="3" style="637" customWidth="1"/>
    <col min="15109" max="15109" width="5.33203125" style="637" customWidth="1"/>
    <col min="15110" max="15110" width="2.6640625" style="637" customWidth="1"/>
    <col min="15111" max="15111" width="5.1640625" style="637" customWidth="1"/>
    <col min="15112" max="15112" width="3.6640625" style="637" customWidth="1"/>
    <col min="15113" max="15113" width="12.1640625" style="637" customWidth="1"/>
    <col min="15114" max="15115" width="4.6640625" style="637" customWidth="1"/>
    <col min="15116" max="15116" width="4.33203125" style="637" customWidth="1"/>
    <col min="15117" max="15117" width="5.1640625" style="637" customWidth="1"/>
    <col min="15118" max="15360" width="9" style="637"/>
    <col min="15361" max="15361" width="3.33203125" style="637" customWidth="1"/>
    <col min="15362" max="15362" width="20.33203125" style="637" customWidth="1"/>
    <col min="15363" max="15363" width="5.33203125" style="637" customWidth="1"/>
    <col min="15364" max="15364" width="3" style="637" customWidth="1"/>
    <col min="15365" max="15365" width="5.33203125" style="637" customWidth="1"/>
    <col min="15366" max="15366" width="2.6640625" style="637" customWidth="1"/>
    <col min="15367" max="15367" width="5.1640625" style="637" customWidth="1"/>
    <col min="15368" max="15368" width="3.6640625" style="637" customWidth="1"/>
    <col min="15369" max="15369" width="12.1640625" style="637" customWidth="1"/>
    <col min="15370" max="15371" width="4.6640625" style="637" customWidth="1"/>
    <col min="15372" max="15372" width="4.33203125" style="637" customWidth="1"/>
    <col min="15373" max="15373" width="5.1640625" style="637" customWidth="1"/>
    <col min="15374" max="15616" width="9" style="637"/>
    <col min="15617" max="15617" width="3.33203125" style="637" customWidth="1"/>
    <col min="15618" max="15618" width="20.33203125" style="637" customWidth="1"/>
    <col min="15619" max="15619" width="5.33203125" style="637" customWidth="1"/>
    <col min="15620" max="15620" width="3" style="637" customWidth="1"/>
    <col min="15621" max="15621" width="5.33203125" style="637" customWidth="1"/>
    <col min="15622" max="15622" width="2.6640625" style="637" customWidth="1"/>
    <col min="15623" max="15623" width="5.1640625" style="637" customWidth="1"/>
    <col min="15624" max="15624" width="3.6640625" style="637" customWidth="1"/>
    <col min="15625" max="15625" width="12.1640625" style="637" customWidth="1"/>
    <col min="15626" max="15627" width="4.6640625" style="637" customWidth="1"/>
    <col min="15628" max="15628" width="4.33203125" style="637" customWidth="1"/>
    <col min="15629" max="15629" width="5.1640625" style="637" customWidth="1"/>
    <col min="15630" max="15872" width="9" style="637"/>
    <col min="15873" max="15873" width="3.33203125" style="637" customWidth="1"/>
    <col min="15874" max="15874" width="20.33203125" style="637" customWidth="1"/>
    <col min="15875" max="15875" width="5.33203125" style="637" customWidth="1"/>
    <col min="15876" max="15876" width="3" style="637" customWidth="1"/>
    <col min="15877" max="15877" width="5.33203125" style="637" customWidth="1"/>
    <col min="15878" max="15878" width="2.6640625" style="637" customWidth="1"/>
    <col min="15879" max="15879" width="5.1640625" style="637" customWidth="1"/>
    <col min="15880" max="15880" width="3.6640625" style="637" customWidth="1"/>
    <col min="15881" max="15881" width="12.1640625" style="637" customWidth="1"/>
    <col min="15882" max="15883" width="4.6640625" style="637" customWidth="1"/>
    <col min="15884" max="15884" width="4.33203125" style="637" customWidth="1"/>
    <col min="15885" max="15885" width="5.1640625" style="637" customWidth="1"/>
    <col min="15886" max="16128" width="9" style="637"/>
    <col min="16129" max="16129" width="3.33203125" style="637" customWidth="1"/>
    <col min="16130" max="16130" width="20.33203125" style="637" customWidth="1"/>
    <col min="16131" max="16131" width="5.33203125" style="637" customWidth="1"/>
    <col min="16132" max="16132" width="3" style="637" customWidth="1"/>
    <col min="16133" max="16133" width="5.33203125" style="637" customWidth="1"/>
    <col min="16134" max="16134" width="2.6640625" style="637" customWidth="1"/>
    <col min="16135" max="16135" width="5.1640625" style="637" customWidth="1"/>
    <col min="16136" max="16136" width="3.6640625" style="637" customWidth="1"/>
    <col min="16137" max="16137" width="12.1640625" style="637" customWidth="1"/>
    <col min="16138" max="16139" width="4.6640625" style="637" customWidth="1"/>
    <col min="16140" max="16140" width="4.33203125" style="637" customWidth="1"/>
    <col min="16141" max="16141" width="5.1640625" style="637" customWidth="1"/>
    <col min="16142" max="16384" width="9" style="637"/>
  </cols>
  <sheetData>
    <row r="1" spans="1:13" ht="19">
      <c r="A1" s="635"/>
      <c r="B1" s="635"/>
      <c r="C1" s="635"/>
      <c r="D1" s="635"/>
      <c r="E1" s="635"/>
      <c r="F1" s="635"/>
      <c r="G1" s="636"/>
      <c r="H1" s="635"/>
      <c r="I1" s="635"/>
      <c r="J1" s="635"/>
    </row>
    <row r="2" spans="1:13" ht="19">
      <c r="A2" s="891" t="s">
        <v>3555</v>
      </c>
      <c r="B2" s="891"/>
      <c r="C2" s="635"/>
      <c r="D2" s="635"/>
      <c r="E2" s="635"/>
      <c r="F2" s="635"/>
      <c r="G2" s="636"/>
      <c r="H2" s="635"/>
      <c r="I2" s="635"/>
      <c r="J2" s="635"/>
    </row>
    <row r="3" spans="1:13" ht="19">
      <c r="A3" s="892" t="s">
        <v>3556</v>
      </c>
      <c r="B3" s="892"/>
      <c r="C3" s="635"/>
      <c r="D3" s="635"/>
      <c r="E3" s="635"/>
      <c r="F3" s="635"/>
      <c r="G3" s="636"/>
      <c r="H3" s="635"/>
      <c r="I3" s="635"/>
      <c r="J3" s="635"/>
    </row>
    <row r="4" spans="1:13" ht="19">
      <c r="A4" s="893" t="s">
        <v>3557</v>
      </c>
      <c r="B4" s="893"/>
      <c r="C4" s="638"/>
      <c r="D4" s="894"/>
      <c r="E4" s="894"/>
      <c r="F4" s="894"/>
      <c r="G4" s="894"/>
      <c r="H4" s="894"/>
      <c r="I4" s="894"/>
      <c r="J4" s="635"/>
    </row>
    <row r="5" spans="1:13" ht="19">
      <c r="A5" s="895" t="s">
        <v>3558</v>
      </c>
      <c r="B5" s="895"/>
      <c r="C5" s="896"/>
      <c r="D5" s="896"/>
      <c r="E5" s="896"/>
      <c r="F5" s="896"/>
      <c r="G5" s="896"/>
      <c r="H5" s="896"/>
      <c r="I5" s="896"/>
      <c r="J5" s="896"/>
    </row>
    <row r="6" spans="1:13" ht="16">
      <c r="A6" s="895" t="s">
        <v>3559</v>
      </c>
      <c r="B6" s="895"/>
      <c r="C6" s="639"/>
      <c r="D6" s="639"/>
      <c r="E6" s="640"/>
      <c r="F6" s="640"/>
      <c r="G6" s="640"/>
      <c r="H6" s="640"/>
      <c r="J6" s="640"/>
    </row>
    <row r="7" spans="1:13" ht="16">
      <c r="A7" s="897"/>
      <c r="B7" s="897"/>
      <c r="C7" s="641"/>
      <c r="D7" s="641"/>
      <c r="E7" s="888" t="s">
        <v>3560</v>
      </c>
      <c r="F7" s="888"/>
      <c r="G7" s="888"/>
      <c r="H7" s="642" t="s">
        <v>1503</v>
      </c>
      <c r="I7" s="643" t="str">
        <f>nama_proyek</f>
        <v>PT Malindo Feedmill Tbk-Dry Pantry</v>
      </c>
      <c r="J7" s="644"/>
      <c r="K7" s="645"/>
      <c r="L7" s="645"/>
      <c r="M7" s="645"/>
    </row>
    <row r="8" spans="1:13" ht="30">
      <c r="A8" s="646" t="s">
        <v>3561</v>
      </c>
      <c r="B8" s="641"/>
      <c r="C8" s="647" t="str">
        <f>"RKT"&amp;" "&amp;"SJ"&amp;" "&amp;No_proyek</f>
        <v>RKT SJ RZ0458</v>
      </c>
      <c r="D8" s="641"/>
      <c r="E8" s="898" t="s">
        <v>2174</v>
      </c>
      <c r="F8" s="898"/>
      <c r="G8" s="898"/>
      <c r="H8" s="648" t="s">
        <v>1503</v>
      </c>
      <c r="I8" s="643" t="str">
        <f>no_kontrak</f>
        <v>127/RK-RL-PI/PAP-LL/XII/2025</v>
      </c>
      <c r="J8" s="644"/>
      <c r="K8" s="645"/>
      <c r="L8" s="645"/>
      <c r="M8" s="645"/>
    </row>
    <row r="9" spans="1:13" ht="16">
      <c r="A9" s="641" t="s">
        <v>3562</v>
      </c>
      <c r="B9" s="641"/>
      <c r="C9" s="649">
        <v>45610</v>
      </c>
      <c r="D9" s="650"/>
      <c r="E9" s="888" t="s">
        <v>3563</v>
      </c>
      <c r="F9" s="888"/>
      <c r="G9" s="888"/>
      <c r="H9" s="642" t="s">
        <v>1503</v>
      </c>
      <c r="I9" s="641" t="s">
        <v>3564</v>
      </c>
      <c r="J9" s="651"/>
    </row>
    <row r="10" spans="1:13" ht="16">
      <c r="A10" s="641" t="s">
        <v>3565</v>
      </c>
      <c r="B10" s="641"/>
      <c r="C10" s="651"/>
      <c r="D10" s="641"/>
      <c r="E10" s="888" t="s">
        <v>1508</v>
      </c>
      <c r="F10" s="888"/>
      <c r="G10" s="888"/>
      <c r="H10" s="642" t="s">
        <v>1503</v>
      </c>
      <c r="I10" s="652" t="str">
        <f>nip</f>
        <v>25LL017MPC</v>
      </c>
      <c r="J10" s="651"/>
    </row>
    <row r="11" spans="1:13" ht="16">
      <c r="H11" s="653"/>
    </row>
    <row r="12" spans="1:13" ht="16">
      <c r="A12" s="889" t="s">
        <v>327</v>
      </c>
      <c r="B12" s="889" t="s">
        <v>330</v>
      </c>
      <c r="C12" s="889" t="s">
        <v>3566</v>
      </c>
      <c r="D12" s="889"/>
      <c r="E12" s="889"/>
      <c r="F12" s="889"/>
      <c r="G12" s="889"/>
      <c r="H12" s="889" t="s">
        <v>331</v>
      </c>
      <c r="I12" s="899" t="s">
        <v>333</v>
      </c>
      <c r="J12" s="654" t="s">
        <v>3567</v>
      </c>
      <c r="K12" s="655"/>
      <c r="L12" s="654" t="s">
        <v>3568</v>
      </c>
      <c r="M12" s="655"/>
    </row>
    <row r="13" spans="1:13" ht="16">
      <c r="A13" s="889"/>
      <c r="B13" s="889"/>
      <c r="C13" s="890"/>
      <c r="D13" s="890"/>
      <c r="E13" s="890"/>
      <c r="F13" s="890"/>
      <c r="G13" s="890"/>
      <c r="H13" s="890"/>
      <c r="I13" s="900"/>
      <c r="J13" s="656" t="s">
        <v>3569</v>
      </c>
      <c r="K13" s="657" t="s">
        <v>3570</v>
      </c>
      <c r="L13" s="658" t="s">
        <v>3569</v>
      </c>
      <c r="M13" s="657" t="s">
        <v>3570</v>
      </c>
    </row>
    <row r="14" spans="1:13" ht="16">
      <c r="A14" s="659"/>
      <c r="B14" s="660"/>
      <c r="C14" s="901"/>
      <c r="D14" s="901"/>
      <c r="E14" s="901"/>
      <c r="F14" s="901"/>
      <c r="G14" s="901"/>
      <c r="H14" s="661"/>
      <c r="I14" s="662"/>
      <c r="J14" s="663"/>
      <c r="K14" s="664"/>
      <c r="L14" s="664"/>
      <c r="M14" s="664"/>
    </row>
    <row r="15" spans="1:13" ht="16">
      <c r="A15" s="659"/>
      <c r="B15" s="660"/>
      <c r="C15" s="901" t="s">
        <v>3571</v>
      </c>
      <c r="D15" s="901"/>
      <c r="E15" s="901"/>
      <c r="F15" s="901"/>
      <c r="G15" s="901"/>
      <c r="H15" s="665"/>
      <c r="I15" s="902" t="s">
        <v>3572</v>
      </c>
      <c r="J15" s="666"/>
      <c r="K15" s="664"/>
      <c r="L15" s="664"/>
      <c r="M15" s="664"/>
    </row>
    <row r="16" spans="1:13" ht="16">
      <c r="A16" s="659">
        <v>1</v>
      </c>
      <c r="B16" s="667" t="str">
        <f>"Cermin"&amp;" "&amp;kaca2</f>
        <v>Cermin Euro Grey</v>
      </c>
      <c r="C16" s="901" t="s">
        <v>3573</v>
      </c>
      <c r="D16" s="901"/>
      <c r="E16" s="901"/>
      <c r="F16" s="901"/>
      <c r="G16" s="901"/>
      <c r="H16" s="665">
        <v>1</v>
      </c>
      <c r="I16" s="903"/>
      <c r="J16" s="666"/>
      <c r="K16" s="664"/>
      <c r="L16" s="664"/>
      <c r="M16" s="664"/>
    </row>
    <row r="17" spans="1:13" ht="16">
      <c r="A17" s="659"/>
      <c r="B17" s="660"/>
      <c r="C17" s="901" t="s">
        <v>3574</v>
      </c>
      <c r="D17" s="901"/>
      <c r="E17" s="901"/>
      <c r="F17" s="901"/>
      <c r="G17" s="901"/>
      <c r="H17" s="662"/>
      <c r="I17" s="903"/>
      <c r="J17" s="666"/>
      <c r="K17" s="664"/>
      <c r="L17" s="664"/>
      <c r="M17" s="664"/>
    </row>
    <row r="18" spans="1:13" ht="16">
      <c r="A18" s="659"/>
      <c r="B18" s="660"/>
      <c r="C18" s="901" t="s">
        <v>3575</v>
      </c>
      <c r="D18" s="901"/>
      <c r="E18" s="901"/>
      <c r="F18" s="901"/>
      <c r="G18" s="901"/>
      <c r="H18" s="665">
        <v>1</v>
      </c>
      <c r="I18" s="903"/>
      <c r="J18" s="666"/>
      <c r="K18" s="664"/>
      <c r="L18" s="664"/>
      <c r="M18" s="664"/>
    </row>
    <row r="19" spans="1:13" ht="16">
      <c r="A19" s="659"/>
      <c r="B19" s="660"/>
      <c r="C19" s="901" t="s">
        <v>3576</v>
      </c>
      <c r="D19" s="901"/>
      <c r="E19" s="901"/>
      <c r="F19" s="901"/>
      <c r="G19" s="901"/>
      <c r="H19" s="665">
        <v>1</v>
      </c>
      <c r="I19" s="903"/>
      <c r="J19" s="666"/>
      <c r="K19" s="664"/>
      <c r="L19" s="664"/>
      <c r="M19" s="664"/>
    </row>
    <row r="20" spans="1:13" ht="16">
      <c r="A20" s="659"/>
      <c r="B20" s="660"/>
      <c r="C20" s="901" t="s">
        <v>3577</v>
      </c>
      <c r="D20" s="901"/>
      <c r="E20" s="901"/>
      <c r="F20" s="901"/>
      <c r="G20" s="901"/>
      <c r="H20" s="665">
        <v>1</v>
      </c>
      <c r="I20" s="903"/>
      <c r="J20" s="666"/>
      <c r="K20" s="664"/>
      <c r="L20" s="664"/>
      <c r="M20" s="664"/>
    </row>
    <row r="21" spans="1:13" ht="16">
      <c r="A21" s="659"/>
      <c r="B21" s="660"/>
      <c r="C21" s="901"/>
      <c r="D21" s="901"/>
      <c r="E21" s="901"/>
      <c r="F21" s="901"/>
      <c r="G21" s="901"/>
      <c r="H21" s="668"/>
      <c r="I21" s="669"/>
      <c r="J21" s="666"/>
      <c r="K21" s="664"/>
      <c r="L21" s="664"/>
      <c r="M21" s="664"/>
    </row>
    <row r="22" spans="1:13" ht="16">
      <c r="A22" s="659"/>
      <c r="B22" s="660"/>
      <c r="C22" s="901"/>
      <c r="D22" s="901"/>
      <c r="E22" s="901"/>
      <c r="F22" s="901"/>
      <c r="G22" s="901"/>
      <c r="H22" s="668"/>
      <c r="I22" s="669"/>
      <c r="J22" s="666"/>
      <c r="K22" s="664"/>
      <c r="L22" s="664"/>
      <c r="M22" s="664"/>
    </row>
    <row r="23" spans="1:13" ht="16">
      <c r="A23" s="659"/>
      <c r="B23" s="660"/>
      <c r="C23" s="901"/>
      <c r="D23" s="901"/>
      <c r="E23" s="901"/>
      <c r="F23" s="901"/>
      <c r="G23" s="901"/>
      <c r="H23" s="668"/>
      <c r="I23" s="670"/>
      <c r="J23" s="671"/>
      <c r="K23" s="664"/>
      <c r="L23" s="664"/>
      <c r="M23" s="664"/>
    </row>
    <row r="24" spans="1:13" ht="16">
      <c r="A24" s="672"/>
      <c r="B24" s="673"/>
      <c r="C24" s="901"/>
      <c r="D24" s="901"/>
      <c r="E24" s="901"/>
      <c r="F24" s="901"/>
      <c r="G24" s="901"/>
      <c r="H24" s="674"/>
      <c r="I24" s="675"/>
      <c r="J24" s="676"/>
      <c r="K24" s="677"/>
      <c r="L24" s="678"/>
      <c r="M24" s="678"/>
    </row>
    <row r="25" spans="1:13" ht="16">
      <c r="A25" s="679"/>
      <c r="B25" s="904"/>
      <c r="C25" s="904"/>
      <c r="D25" s="904"/>
      <c r="E25" s="904"/>
      <c r="F25" s="904"/>
      <c r="G25" s="904"/>
      <c r="H25" s="904"/>
      <c r="I25" s="680"/>
      <c r="J25" s="679"/>
    </row>
    <row r="26" spans="1:13" ht="16">
      <c r="A26" s="679"/>
      <c r="B26" s="680"/>
      <c r="C26" s="680"/>
      <c r="D26" s="680"/>
      <c r="E26" s="680"/>
      <c r="F26" s="680"/>
      <c r="G26" s="680"/>
      <c r="H26" s="680"/>
      <c r="I26" s="680"/>
      <c r="J26" s="679"/>
    </row>
    <row r="27" spans="1:13" ht="16">
      <c r="A27" s="609" t="s">
        <v>3578</v>
      </c>
      <c r="B27" s="679"/>
      <c r="C27" s="679"/>
      <c r="D27" s="639"/>
      <c r="E27" s="639"/>
      <c r="F27" s="639"/>
      <c r="G27" s="681"/>
      <c r="H27" s="681"/>
      <c r="I27" s="681"/>
      <c r="J27" s="639"/>
      <c r="K27" s="682"/>
      <c r="L27" s="682"/>
    </row>
    <row r="28" spans="1:13" ht="16">
      <c r="A28" s="606"/>
      <c r="H28" s="679"/>
      <c r="I28" s="679"/>
    </row>
    <row r="29" spans="1:13" ht="16">
      <c r="A29" s="606"/>
      <c r="H29" s="679"/>
      <c r="I29" s="679"/>
    </row>
    <row r="30" spans="1:13" ht="16">
      <c r="A30" s="609" t="str">
        <f>koordinator</f>
        <v>Reza Pahlevi</v>
      </c>
      <c r="H30" s="679"/>
      <c r="I30" s="679"/>
    </row>
    <row r="31" spans="1:13" ht="16">
      <c r="A31" s="609" t="s">
        <v>3579</v>
      </c>
      <c r="B31" s="681"/>
      <c r="C31" s="681"/>
      <c r="H31" s="679"/>
      <c r="I31" s="679"/>
    </row>
    <row r="32" spans="1:13" ht="16">
      <c r="A32" s="681"/>
      <c r="B32" s="681"/>
      <c r="C32" s="681"/>
      <c r="D32" s="640"/>
      <c r="E32" s="640"/>
      <c r="F32" s="640"/>
      <c r="G32" s="679"/>
      <c r="H32" s="681"/>
      <c r="I32" s="679"/>
      <c r="J32" s="640"/>
      <c r="K32" s="640"/>
      <c r="L32" s="640"/>
    </row>
    <row r="33" spans="1:10" ht="16">
      <c r="A33" s="683"/>
      <c r="B33" s="679"/>
      <c r="C33" s="684"/>
      <c r="D33" s="683"/>
      <c r="E33" s="679"/>
      <c r="F33" s="679"/>
      <c r="G33" s="684"/>
      <c r="H33" s="684"/>
      <c r="I33" s="679"/>
      <c r="J33" s="679"/>
    </row>
  </sheetData>
  <mergeCells count="30">
    <mergeCell ref="C21:G21"/>
    <mergeCell ref="C22:G22"/>
    <mergeCell ref="C23:G23"/>
    <mergeCell ref="C24:G24"/>
    <mergeCell ref="B25:H25"/>
    <mergeCell ref="I12:I13"/>
    <mergeCell ref="C15:G15"/>
    <mergeCell ref="I15:I20"/>
    <mergeCell ref="C16:G16"/>
    <mergeCell ref="C17:G17"/>
    <mergeCell ref="C18:G18"/>
    <mergeCell ref="C19:G19"/>
    <mergeCell ref="C20:G20"/>
    <mergeCell ref="C14:G14"/>
    <mergeCell ref="E10:G10"/>
    <mergeCell ref="A12:A13"/>
    <mergeCell ref="B12:B13"/>
    <mergeCell ref="C12:G13"/>
    <mergeCell ref="A2:B2"/>
    <mergeCell ref="A3:B3"/>
    <mergeCell ref="A4:B4"/>
    <mergeCell ref="D4:I4"/>
    <mergeCell ref="A5:B5"/>
    <mergeCell ref="C5:J5"/>
    <mergeCell ref="A6:B6"/>
    <mergeCell ref="A7:B7"/>
    <mergeCell ref="E7:G7"/>
    <mergeCell ref="E8:G8"/>
    <mergeCell ref="E9:G9"/>
    <mergeCell ref="H12:H13"/>
  </mergeCells>
  <pageMargins left="0.1" right="0.1" top="0.5" bottom="0.1" header="0.3" footer="0.3"/>
  <pageSetup orientation="portrait" horizontalDpi="180" verticalDpi="18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3"/>
  <dimension ref="A1:IS460"/>
  <sheetViews>
    <sheetView view="pageBreakPreview" topLeftCell="B1" zoomScale="85" zoomScaleNormal="100" zoomScaleSheetLayoutView="85" workbookViewId="0">
      <pane ySplit="14" topLeftCell="A15" activePane="bottomLeft" state="frozen"/>
      <selection pane="bottomLeft" activeCell="B11" sqref="B11"/>
    </sheetView>
  </sheetViews>
  <sheetFormatPr baseColWidth="10" defaultColWidth="9" defaultRowHeight="16"/>
  <cols>
    <col min="1" max="1" width="4" customWidth="1"/>
    <col min="2" max="2" width="39.1640625" customWidth="1"/>
    <col min="3" max="3" width="16.6640625" customWidth="1"/>
    <col min="4" max="5" width="4.6640625" customWidth="1"/>
    <col min="6" max="6" width="4.6640625" style="1" customWidth="1"/>
    <col min="7" max="7" width="4.6640625" style="2" customWidth="1"/>
    <col min="8" max="8" width="16.6640625" customWidth="1"/>
  </cols>
  <sheetData>
    <row r="1" spans="1:253" ht="20">
      <c r="A1" s="866" t="s">
        <v>2194</v>
      </c>
      <c r="B1" s="866"/>
      <c r="C1" s="866"/>
      <c r="D1" s="866"/>
      <c r="E1" s="866"/>
      <c r="F1" s="866"/>
      <c r="G1" s="866"/>
      <c r="H1" s="866"/>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c r="II1" s="42"/>
      <c r="IJ1" s="42"/>
      <c r="IK1" s="42"/>
      <c r="IL1" s="42"/>
      <c r="IM1" s="42"/>
      <c r="IN1" s="42"/>
      <c r="IO1" s="42"/>
      <c r="IP1" s="42"/>
      <c r="IQ1" s="42"/>
      <c r="IR1" s="42"/>
    </row>
    <row r="2" spans="1:253">
      <c r="A2" s="887" t="s">
        <v>2195</v>
      </c>
      <c r="B2" s="887"/>
      <c r="C2" s="887"/>
      <c r="D2" s="887"/>
      <c r="E2" s="887"/>
      <c r="F2" s="887"/>
      <c r="G2" s="887"/>
      <c r="H2" s="887"/>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row>
    <row r="3" spans="1:253">
      <c r="A3" s="879" t="s">
        <v>2196</v>
      </c>
      <c r="B3" s="880"/>
      <c r="C3" s="8" t="str">
        <f>No_proyek</f>
        <v>RZ0458</v>
      </c>
      <c r="D3" s="9"/>
      <c r="E3" s="9"/>
      <c r="F3" s="54"/>
      <c r="G3" s="16"/>
      <c r="H3" s="613" t="s">
        <v>3489</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c r="II3" s="42"/>
      <c r="IJ3" s="42"/>
      <c r="IK3" s="42"/>
      <c r="IL3" s="42"/>
      <c r="IM3" s="42"/>
      <c r="IN3" s="42"/>
      <c r="IO3" s="42"/>
      <c r="IP3" s="42"/>
      <c r="IQ3" s="42"/>
      <c r="IR3" s="42"/>
    </row>
    <row r="4" spans="1:253">
      <c r="A4" s="879" t="s">
        <v>2174</v>
      </c>
      <c r="B4" s="880"/>
      <c r="C4" s="8" t="str">
        <f>no_kontrak</f>
        <v>127/RK-RL-PI/PAP-LL/XII/2025</v>
      </c>
      <c r="D4" s="9"/>
      <c r="E4" s="9"/>
      <c r="F4" s="16"/>
      <c r="G4" s="8"/>
      <c r="H4" s="16"/>
      <c r="I4" s="609" t="s">
        <v>3472</v>
      </c>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row>
    <row r="5" spans="1:253">
      <c r="A5" s="8" t="s">
        <v>1508</v>
      </c>
      <c r="B5" s="18"/>
      <c r="C5" s="8" t="str">
        <f>nip</f>
        <v>25LL017MPC</v>
      </c>
      <c r="D5" s="9"/>
      <c r="E5" s="9"/>
      <c r="F5" s="9"/>
      <c r="G5" s="8"/>
      <c r="H5" s="17"/>
      <c r="I5" s="609"/>
      <c r="J5" s="609"/>
      <c r="K5" s="609"/>
      <c r="L5" s="609"/>
      <c r="M5" s="609"/>
      <c r="N5" s="609"/>
      <c r="O5" s="609"/>
      <c r="P5" s="609"/>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c r="II5" s="42"/>
      <c r="IJ5" s="42"/>
      <c r="IK5" s="42"/>
      <c r="IL5" s="42"/>
      <c r="IM5" s="42"/>
      <c r="IN5" s="42"/>
      <c r="IO5" s="42"/>
      <c r="IP5" s="42"/>
      <c r="IQ5" s="42"/>
      <c r="IR5" s="42"/>
    </row>
    <row r="6" spans="1:253">
      <c r="A6" s="879" t="s">
        <v>2176</v>
      </c>
      <c r="B6" s="880"/>
      <c r="C6" s="8" t="str">
        <f>nama_proyek</f>
        <v>PT Malindo Feedmill Tbk-Dry Pantry</v>
      </c>
      <c r="D6" s="9"/>
      <c r="E6" s="9"/>
      <c r="F6" s="17"/>
      <c r="G6" s="17"/>
      <c r="H6" s="17"/>
      <c r="I6" s="606"/>
      <c r="J6" s="606"/>
      <c r="K6" s="606"/>
      <c r="L6" s="606"/>
      <c r="M6" s="606"/>
      <c r="N6" s="606"/>
      <c r="O6" s="606"/>
      <c r="P6" s="606"/>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42"/>
    </row>
    <row r="7" spans="1:253">
      <c r="A7" s="879" t="s">
        <v>2178</v>
      </c>
      <c r="B7" s="880"/>
      <c r="C7" s="881">
        <f>tgl</f>
        <v>46163</v>
      </c>
      <c r="D7" s="882"/>
      <c r="E7" s="881"/>
      <c r="F7" s="30"/>
      <c r="G7" s="17"/>
      <c r="H7" s="17"/>
      <c r="I7" s="609" t="str">
        <f>koordinator</f>
        <v>Reza Pahlevi</v>
      </c>
      <c r="J7" s="609"/>
      <c r="K7" s="606"/>
      <c r="L7" s="606"/>
      <c r="M7" s="606"/>
      <c r="N7" s="606"/>
      <c r="O7" s="606"/>
      <c r="P7" s="606"/>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2"/>
      <c r="EH7" s="42"/>
      <c r="EI7" s="42"/>
      <c r="EJ7" s="42"/>
      <c r="EK7" s="42"/>
      <c r="EL7" s="42"/>
      <c r="EM7" s="42"/>
      <c r="EN7" s="42"/>
      <c r="EO7" s="42"/>
      <c r="EP7" s="42"/>
      <c r="EQ7" s="42"/>
      <c r="ER7" s="42"/>
      <c r="ES7" s="42"/>
      <c r="ET7" s="42"/>
      <c r="EU7" s="42"/>
      <c r="EV7" s="42"/>
      <c r="EW7" s="42"/>
      <c r="EX7" s="42"/>
      <c r="EY7" s="42"/>
      <c r="EZ7" s="42"/>
      <c r="FA7" s="42"/>
      <c r="FB7" s="42"/>
      <c r="FC7" s="42"/>
      <c r="FD7" s="42"/>
      <c r="FE7" s="42"/>
      <c r="FF7" s="42"/>
      <c r="FG7" s="42"/>
      <c r="FH7" s="42"/>
      <c r="FI7" s="42"/>
      <c r="FJ7" s="42"/>
      <c r="FK7" s="42"/>
      <c r="FL7" s="42"/>
      <c r="FM7" s="42"/>
      <c r="FN7" s="42"/>
      <c r="FO7" s="42"/>
      <c r="FP7" s="42"/>
      <c r="FQ7" s="42"/>
      <c r="FR7" s="42"/>
      <c r="FS7" s="42"/>
      <c r="FT7" s="42"/>
      <c r="FU7" s="42"/>
      <c r="FV7" s="42"/>
      <c r="FW7" s="42"/>
      <c r="FX7" s="42"/>
      <c r="FY7" s="42"/>
      <c r="FZ7" s="42"/>
      <c r="GA7" s="42"/>
      <c r="GB7" s="42"/>
      <c r="GC7" s="42"/>
      <c r="GD7" s="42"/>
      <c r="GE7" s="42"/>
      <c r="GF7" s="42"/>
      <c r="GG7" s="42"/>
      <c r="GH7" s="42"/>
      <c r="GI7" s="42"/>
      <c r="GJ7" s="42"/>
      <c r="GK7" s="42"/>
      <c r="GL7" s="42"/>
      <c r="GM7" s="42"/>
      <c r="GN7" s="42"/>
      <c r="GO7" s="42"/>
      <c r="GP7" s="42"/>
      <c r="GQ7" s="42"/>
      <c r="GR7" s="42"/>
      <c r="GS7" s="42"/>
      <c r="GT7" s="42"/>
      <c r="GU7" s="42"/>
      <c r="GV7" s="42"/>
      <c r="GW7" s="42"/>
      <c r="GX7" s="42"/>
      <c r="GY7" s="42"/>
      <c r="GZ7" s="42"/>
      <c r="HA7" s="42"/>
      <c r="HB7" s="42"/>
      <c r="HC7" s="42"/>
      <c r="HD7" s="42"/>
      <c r="HE7" s="42"/>
      <c r="HF7" s="42"/>
      <c r="HG7" s="42"/>
      <c r="HH7" s="42"/>
      <c r="HI7" s="42"/>
      <c r="HJ7" s="42"/>
      <c r="HK7" s="42"/>
      <c r="HL7" s="42"/>
      <c r="HM7" s="42"/>
      <c r="HN7" s="42"/>
      <c r="HO7" s="42"/>
      <c r="HP7" s="42"/>
      <c r="HQ7" s="42"/>
      <c r="HR7" s="42"/>
      <c r="HS7" s="42"/>
      <c r="HT7" s="42"/>
      <c r="HU7" s="42"/>
      <c r="HV7" s="42"/>
      <c r="HW7" s="42"/>
      <c r="HX7" s="42"/>
      <c r="HY7" s="42"/>
      <c r="HZ7" s="42"/>
      <c r="IA7" s="42"/>
      <c r="IB7" s="42"/>
      <c r="IC7" s="42"/>
      <c r="ID7" s="42"/>
      <c r="IE7" s="42"/>
      <c r="IF7" s="42"/>
      <c r="IG7" s="42"/>
      <c r="IH7" s="42"/>
      <c r="II7" s="42"/>
      <c r="IJ7" s="42"/>
      <c r="IK7" s="42"/>
      <c r="IL7" s="42"/>
      <c r="IM7" s="42"/>
      <c r="IN7" s="42"/>
      <c r="IO7" s="42"/>
      <c r="IP7" s="42"/>
      <c r="IQ7" s="42"/>
      <c r="IR7" s="42"/>
    </row>
    <row r="8" spans="1:253">
      <c r="A8" s="879" t="s">
        <v>2179</v>
      </c>
      <c r="B8" s="880"/>
      <c r="C8" s="883"/>
      <c r="D8" s="884"/>
      <c r="E8" s="883"/>
      <c r="F8" s="9"/>
      <c r="G8" s="17"/>
      <c r="H8" s="17"/>
      <c r="I8" s="609" t="s">
        <v>3471</v>
      </c>
      <c r="J8" s="609"/>
      <c r="K8" s="609"/>
      <c r="L8" s="609"/>
      <c r="M8" s="609"/>
      <c r="N8" s="609"/>
      <c r="O8" s="609"/>
      <c r="P8" s="609"/>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c r="HP8" s="42"/>
      <c r="HQ8" s="42"/>
      <c r="HR8" s="42"/>
      <c r="HS8" s="42"/>
      <c r="HT8" s="42"/>
      <c r="HU8" s="42"/>
      <c r="HV8" s="42"/>
      <c r="HW8" s="42"/>
      <c r="HX8" s="42"/>
      <c r="HY8" s="42"/>
      <c r="HZ8" s="42"/>
      <c r="IA8" s="42"/>
      <c r="IB8" s="42"/>
      <c r="IC8" s="42"/>
      <c r="ID8" s="42"/>
      <c r="IE8" s="42"/>
      <c r="IF8" s="42"/>
      <c r="IG8" s="42"/>
      <c r="IH8" s="42"/>
      <c r="II8" s="42"/>
      <c r="IJ8" s="42"/>
      <c r="IK8" s="42"/>
      <c r="IL8" s="42"/>
      <c r="IM8" s="42"/>
      <c r="IN8" s="42"/>
      <c r="IO8" s="42"/>
      <c r="IP8" s="42"/>
      <c r="IQ8" s="42"/>
      <c r="IR8" s="42"/>
    </row>
    <row r="9" spans="1:253">
      <c r="A9" s="885" t="s">
        <v>2180</v>
      </c>
      <c r="B9" s="886"/>
      <c r="C9" s="8" t="str">
        <f>Estimator</f>
        <v>Fahrudin</v>
      </c>
      <c r="D9" s="9"/>
      <c r="E9" s="9"/>
      <c r="F9" s="17"/>
      <c r="G9" s="17"/>
      <c r="H9" s="17"/>
      <c r="I9" s="612" t="s">
        <v>3470</v>
      </c>
      <c r="J9" s="608"/>
      <c r="K9" s="608"/>
      <c r="L9" s="608"/>
      <c r="M9" s="608"/>
      <c r="N9" s="608"/>
      <c r="O9" s="608"/>
      <c r="P9" s="608"/>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2"/>
      <c r="DZ9" s="42"/>
      <c r="EA9" s="42"/>
      <c r="EB9" s="42"/>
      <c r="EC9" s="42"/>
      <c r="ED9" s="42"/>
      <c r="EE9" s="42"/>
      <c r="EF9" s="42"/>
      <c r="EG9" s="42"/>
      <c r="EH9" s="42"/>
      <c r="EI9" s="42"/>
      <c r="EJ9" s="42"/>
      <c r="EK9" s="42"/>
      <c r="EL9" s="42"/>
      <c r="EM9" s="42"/>
      <c r="EN9" s="42"/>
      <c r="EO9" s="42"/>
      <c r="EP9" s="42"/>
      <c r="EQ9" s="42"/>
      <c r="ER9" s="42"/>
      <c r="ES9" s="42"/>
      <c r="ET9" s="42"/>
      <c r="EU9" s="42"/>
      <c r="EV9" s="42"/>
      <c r="EW9" s="42"/>
      <c r="EX9" s="42"/>
      <c r="EY9" s="42"/>
      <c r="EZ9" s="42"/>
      <c r="FA9" s="42"/>
      <c r="FB9" s="42"/>
      <c r="FC9" s="42"/>
      <c r="FD9" s="42"/>
      <c r="FE9" s="42"/>
      <c r="FF9" s="42"/>
      <c r="FG9" s="42"/>
      <c r="FH9" s="42"/>
      <c r="FI9" s="42"/>
      <c r="FJ9" s="42"/>
      <c r="FK9" s="42"/>
      <c r="FL9" s="42"/>
      <c r="FM9" s="42"/>
      <c r="FN9" s="42"/>
      <c r="FO9" s="42"/>
      <c r="FP9" s="42"/>
      <c r="FQ9" s="42"/>
      <c r="FR9" s="42"/>
      <c r="FS9" s="42"/>
      <c r="FT9" s="42"/>
      <c r="FU9" s="42"/>
      <c r="FV9" s="42"/>
      <c r="FW9" s="42"/>
      <c r="FX9" s="42"/>
      <c r="FY9" s="42"/>
      <c r="FZ9" s="42"/>
      <c r="GA9" s="42"/>
      <c r="GB9" s="42"/>
      <c r="GC9" s="42"/>
      <c r="GD9" s="42"/>
      <c r="GE9" s="42"/>
      <c r="GF9" s="42"/>
      <c r="GG9" s="42"/>
      <c r="GH9" s="42"/>
      <c r="GI9" s="42"/>
      <c r="GJ9" s="42"/>
      <c r="GK9" s="42"/>
      <c r="GL9" s="42"/>
      <c r="GM9" s="42"/>
      <c r="GN9" s="42"/>
      <c r="GO9" s="42"/>
      <c r="GP9" s="42"/>
      <c r="GQ9" s="42"/>
      <c r="GR9" s="42"/>
      <c r="GS9" s="42"/>
      <c r="GT9" s="42"/>
      <c r="GU9" s="42"/>
      <c r="GV9" s="42"/>
      <c r="GW9" s="42"/>
      <c r="GX9" s="42"/>
      <c r="GY9" s="42"/>
      <c r="GZ9" s="42"/>
      <c r="HA9" s="42"/>
      <c r="HB9" s="42"/>
      <c r="HC9" s="42"/>
      <c r="HD9" s="42"/>
      <c r="HE9" s="42"/>
      <c r="HF9" s="42"/>
      <c r="HG9" s="42"/>
      <c r="HH9" s="42"/>
      <c r="HI9" s="42"/>
      <c r="HJ9" s="42"/>
      <c r="HK9" s="42"/>
      <c r="HL9" s="42"/>
      <c r="HM9" s="42"/>
      <c r="HN9" s="42"/>
      <c r="HO9" s="42"/>
      <c r="HP9" s="42"/>
      <c r="HQ9" s="42"/>
      <c r="HR9" s="42"/>
      <c r="HS9" s="42"/>
      <c r="HT9" s="42"/>
      <c r="HU9" s="42"/>
      <c r="HV9" s="42"/>
      <c r="HW9" s="42"/>
      <c r="HX9" s="42"/>
      <c r="HY9" s="42"/>
      <c r="HZ9" s="42"/>
      <c r="IA9" s="42"/>
      <c r="IB9" s="42"/>
      <c r="IC9" s="42"/>
      <c r="ID9" s="42"/>
      <c r="IE9" s="42"/>
      <c r="IF9" s="42"/>
      <c r="IG9" s="42"/>
      <c r="IH9" s="42"/>
      <c r="II9" s="42"/>
      <c r="IJ9" s="42"/>
      <c r="IK9" s="42"/>
      <c r="IL9" s="42"/>
      <c r="IM9" s="42"/>
      <c r="IN9" s="42"/>
      <c r="IO9" s="42"/>
      <c r="IP9" s="42"/>
      <c r="IQ9" s="42"/>
      <c r="IR9" s="42"/>
    </row>
    <row r="10" spans="1:253">
      <c r="A10" s="30"/>
      <c r="B10" s="32"/>
      <c r="C10" s="30"/>
      <c r="D10" s="9"/>
      <c r="E10" s="9"/>
      <c r="F10" s="17"/>
      <c r="G10" s="17"/>
      <c r="H10" s="17"/>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42"/>
    </row>
    <row r="11" spans="1:253">
      <c r="A11" s="31"/>
      <c r="B11" s="66"/>
      <c r="C11" s="30"/>
      <c r="D11" s="9"/>
      <c r="E11" s="10"/>
      <c r="F11" s="16"/>
      <c r="G11" s="17"/>
      <c r="H11" s="32"/>
      <c r="I11" s="44"/>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c r="FJ11" s="42"/>
      <c r="FK11" s="42"/>
      <c r="FL11" s="42"/>
      <c r="FM11" s="42"/>
      <c r="FN11" s="42"/>
      <c r="FO11" s="42"/>
      <c r="FP11" s="42"/>
      <c r="FQ11" s="42"/>
      <c r="FR11" s="42"/>
      <c r="FS11" s="42"/>
      <c r="FT11" s="42"/>
      <c r="FU11" s="42"/>
      <c r="FV11" s="42"/>
      <c r="FW11" s="42"/>
      <c r="FX11" s="42"/>
      <c r="FY11" s="42"/>
      <c r="FZ11" s="42"/>
      <c r="GA11" s="42"/>
      <c r="GB11" s="42"/>
      <c r="GC11" s="42"/>
      <c r="GD11" s="42"/>
      <c r="GE11" s="42"/>
      <c r="GF11" s="42"/>
      <c r="GG11" s="42"/>
      <c r="GH11" s="42"/>
      <c r="GI11" s="42"/>
      <c r="GJ11" s="42"/>
      <c r="GK11" s="42"/>
      <c r="GL11" s="42"/>
      <c r="GM11" s="42"/>
      <c r="GN11" s="42"/>
      <c r="GO11" s="42"/>
      <c r="GP11" s="42"/>
      <c r="GQ11" s="42"/>
      <c r="GR11" s="42"/>
      <c r="GS11" s="42"/>
      <c r="GT11" s="42"/>
      <c r="GU11" s="42"/>
      <c r="GV11" s="42"/>
      <c r="GW11" s="42"/>
      <c r="GX11" s="42"/>
      <c r="GY11" s="42"/>
      <c r="GZ11" s="42"/>
      <c r="HA11" s="42"/>
      <c r="HB11" s="42"/>
      <c r="HC11" s="42"/>
      <c r="HD11" s="42"/>
      <c r="HE11" s="42"/>
      <c r="HF11" s="42"/>
      <c r="HG11" s="42"/>
      <c r="HH11" s="42"/>
      <c r="HI11" s="42"/>
      <c r="HJ11" s="42"/>
      <c r="HK11" s="42"/>
      <c r="HL11" s="42"/>
      <c r="HM11" s="42"/>
      <c r="HN11" s="42"/>
      <c r="HO11" s="42"/>
      <c r="HP11" s="42"/>
      <c r="HQ11" s="42"/>
      <c r="HR11" s="42"/>
      <c r="HS11" s="42"/>
      <c r="HT11" s="42"/>
      <c r="HU11" s="42"/>
      <c r="HV11" s="42"/>
      <c r="HW11" s="42"/>
      <c r="HX11" s="42"/>
      <c r="HY11" s="42"/>
      <c r="HZ11" s="42"/>
      <c r="IA11" s="42"/>
      <c r="IB11" s="42"/>
      <c r="IC11" s="42"/>
      <c r="ID11" s="42"/>
      <c r="IE11" s="42"/>
      <c r="IF11" s="42"/>
      <c r="IG11" s="42"/>
      <c r="IH11" s="42"/>
      <c r="II11" s="42"/>
      <c r="IJ11" s="42"/>
      <c r="IK11" s="42"/>
      <c r="IL11" s="42"/>
      <c r="IM11" s="42"/>
      <c r="IN11" s="42"/>
      <c r="IO11" s="42"/>
      <c r="IP11" s="42"/>
      <c r="IQ11" s="42"/>
      <c r="IR11" s="42"/>
      <c r="IS11" s="42"/>
    </row>
    <row r="12" spans="1:253">
      <c r="A12" s="33"/>
      <c r="B12" s="354"/>
      <c r="C12" s="34"/>
      <c r="D12" s="1"/>
      <c r="E12" s="1"/>
      <c r="G12"/>
      <c r="H12" s="35"/>
    </row>
    <row r="13" spans="1:253">
      <c r="A13" s="36"/>
      <c r="B13" s="926" t="s">
        <v>2923</v>
      </c>
      <c r="C13" s="927"/>
      <c r="D13" s="927"/>
      <c r="E13" s="927"/>
      <c r="F13" s="838"/>
      <c r="G13" s="355" t="s">
        <v>1506</v>
      </c>
      <c r="H13" s="37"/>
    </row>
    <row r="14" spans="1:253" ht="17">
      <c r="A14" s="36" t="s">
        <v>2135</v>
      </c>
      <c r="B14" s="926" t="s">
        <v>2157</v>
      </c>
      <c r="C14" s="837" t="s">
        <v>2138</v>
      </c>
      <c r="D14" s="837" t="s">
        <v>2134</v>
      </c>
      <c r="E14" s="837" t="s">
        <v>2133</v>
      </c>
      <c r="F14" s="838" t="s">
        <v>2220</v>
      </c>
      <c r="G14" s="38" t="s">
        <v>2184</v>
      </c>
      <c r="H14" s="39" t="s">
        <v>333</v>
      </c>
    </row>
    <row r="15" spans="1:253" ht="34">
      <c r="A15" s="36"/>
      <c r="B15" s="841" t="s">
        <v>2185</v>
      </c>
      <c r="C15" s="841" t="s">
        <v>2185</v>
      </c>
      <c r="D15" s="841" t="s">
        <v>2185</v>
      </c>
      <c r="E15" s="841" t="s">
        <v>2185</v>
      </c>
      <c r="F15" s="921"/>
      <c r="G15" s="40"/>
      <c r="H15" s="36"/>
    </row>
    <row r="16" spans="1:253">
      <c r="A16" s="36"/>
      <c r="B16" s="864"/>
      <c r="C16" s="868"/>
      <c r="D16" s="868"/>
      <c r="E16" s="868"/>
      <c r="F16" s="921"/>
      <c r="G16" s="40"/>
      <c r="H16" s="36"/>
    </row>
    <row r="17" spans="1:8" ht="34">
      <c r="A17" s="36"/>
      <c r="B17" s="841" t="s">
        <v>4879</v>
      </c>
      <c r="C17" s="841" t="s">
        <v>2185</v>
      </c>
      <c r="D17" s="841" t="s">
        <v>2185</v>
      </c>
      <c r="E17" s="841" t="s">
        <v>2185</v>
      </c>
      <c r="F17" s="921"/>
      <c r="G17" s="40"/>
      <c r="H17" s="36"/>
    </row>
    <row r="18" spans="1:8">
      <c r="A18" s="36"/>
      <c r="B18" s="864"/>
      <c r="C18" s="868"/>
      <c r="D18" s="868"/>
      <c r="E18" s="868"/>
      <c r="F18" s="921"/>
      <c r="G18" s="40"/>
      <c r="H18" s="36"/>
    </row>
    <row r="19" spans="1:8" ht="34">
      <c r="A19" s="36"/>
      <c r="B19" s="841" t="s">
        <v>3551</v>
      </c>
      <c r="C19" s="841" t="s">
        <v>2185</v>
      </c>
      <c r="D19" s="841" t="s">
        <v>2185</v>
      </c>
      <c r="E19" s="841" t="s">
        <v>2185</v>
      </c>
      <c r="F19" s="921"/>
      <c r="G19" s="40"/>
      <c r="H19" s="36"/>
    </row>
    <row r="20" spans="1:8">
      <c r="A20" s="36"/>
      <c r="B20" s="864"/>
      <c r="C20" s="868"/>
      <c r="D20" s="868"/>
      <c r="E20" s="868"/>
      <c r="F20" s="921"/>
      <c r="G20" s="40"/>
      <c r="H20" s="36"/>
    </row>
    <row r="21" spans="1:8">
      <c r="A21" s="36"/>
      <c r="B21" s="877" t="s">
        <v>2183</v>
      </c>
      <c r="C21" s="940"/>
      <c r="D21" s="940"/>
      <c r="E21" s="940"/>
      <c r="F21" s="924"/>
      <c r="G21" s="40"/>
      <c r="H21" s="36"/>
    </row>
    <row r="22" spans="1:8">
      <c r="A22" s="36"/>
      <c r="F22"/>
      <c r="G22" s="40"/>
      <c r="H22" s="36"/>
    </row>
    <row r="23" spans="1:8">
      <c r="A23" s="36"/>
      <c r="F23"/>
      <c r="G23" s="40"/>
      <c r="H23" s="36"/>
    </row>
    <row r="24" spans="1:8">
      <c r="A24" s="36"/>
      <c r="F24"/>
      <c r="G24" s="40"/>
      <c r="H24" s="36"/>
    </row>
    <row r="25" spans="1:8">
      <c r="A25" s="36"/>
      <c r="F25"/>
      <c r="G25" s="40"/>
      <c r="H25" s="36"/>
    </row>
    <row r="26" spans="1:8">
      <c r="A26" s="36"/>
      <c r="F26"/>
      <c r="G26" s="40"/>
      <c r="H26" s="36"/>
    </row>
    <row r="27" spans="1:8">
      <c r="A27" s="36"/>
      <c r="F27"/>
      <c r="G27" s="40"/>
      <c r="H27" s="36"/>
    </row>
    <row r="28" spans="1:8">
      <c r="A28" s="36"/>
      <c r="F28"/>
      <c r="G28" s="40"/>
      <c r="H28" s="36"/>
    </row>
    <row r="29" spans="1:8">
      <c r="A29" s="36"/>
      <c r="F29"/>
      <c r="G29" s="40"/>
      <c r="H29" s="36"/>
    </row>
    <row r="30" spans="1:8">
      <c r="A30" s="36"/>
      <c r="F30"/>
      <c r="G30" s="40"/>
      <c r="H30" s="36"/>
    </row>
    <row r="31" spans="1:8">
      <c r="A31" s="36"/>
      <c r="F31"/>
      <c r="G31" s="40"/>
      <c r="H31" s="36"/>
    </row>
    <row r="32" spans="1:8">
      <c r="A32" s="36"/>
      <c r="F32"/>
      <c r="G32" s="40"/>
      <c r="H32" s="36"/>
    </row>
    <row r="33" spans="1:8">
      <c r="A33" s="36"/>
      <c r="F33"/>
      <c r="G33" s="40"/>
      <c r="H33" s="36"/>
    </row>
    <row r="34" spans="1:8">
      <c r="A34" s="36"/>
      <c r="F34"/>
      <c r="G34" s="40"/>
      <c r="H34" s="36"/>
    </row>
    <row r="35" spans="1:8">
      <c r="A35" s="36"/>
      <c r="F35"/>
      <c r="G35" s="40"/>
      <c r="H35" s="36"/>
    </row>
    <row r="36" spans="1:8">
      <c r="A36" s="36"/>
      <c r="F36"/>
      <c r="G36" s="40"/>
      <c r="H36" s="36"/>
    </row>
    <row r="37" spans="1:8">
      <c r="A37" s="36"/>
      <c r="F37"/>
      <c r="G37" s="40"/>
      <c r="H37" s="36"/>
    </row>
    <row r="38" spans="1:8">
      <c r="A38" s="36"/>
      <c r="F38"/>
      <c r="G38" s="40"/>
      <c r="H38" s="36"/>
    </row>
    <row r="39" spans="1:8">
      <c r="A39" s="36"/>
      <c r="F39"/>
      <c r="G39" s="40"/>
      <c r="H39" s="36"/>
    </row>
    <row r="40" spans="1:8">
      <c r="A40" s="36"/>
      <c r="F40"/>
      <c r="G40" s="40"/>
      <c r="H40" s="36"/>
    </row>
    <row r="41" spans="1:8">
      <c r="A41" s="36"/>
      <c r="F41"/>
      <c r="G41" s="40"/>
      <c r="H41" s="36"/>
    </row>
    <row r="42" spans="1:8">
      <c r="A42" s="36"/>
      <c r="F42"/>
      <c r="G42" s="40"/>
      <c r="H42" s="36"/>
    </row>
    <row r="43" spans="1:8">
      <c r="A43" s="36"/>
      <c r="F43"/>
      <c r="G43" s="40"/>
      <c r="H43" s="36"/>
    </row>
    <row r="44" spans="1:8">
      <c r="A44" s="36"/>
      <c r="F44"/>
      <c r="G44" s="40"/>
      <c r="H44" s="36"/>
    </row>
    <row r="45" spans="1:8">
      <c r="A45" s="36"/>
      <c r="F45"/>
      <c r="G45" s="40"/>
      <c r="H45" s="36"/>
    </row>
    <row r="46" spans="1:8">
      <c r="A46" s="36"/>
      <c r="F46"/>
      <c r="G46" s="40"/>
      <c r="H46" s="36"/>
    </row>
    <row r="47" spans="1:8">
      <c r="A47" s="36"/>
      <c r="F47"/>
      <c r="G47" s="40"/>
      <c r="H47" s="36"/>
    </row>
    <row r="48" spans="1:8">
      <c r="A48" s="36"/>
      <c r="F48"/>
      <c r="G48" s="40"/>
      <c r="H48" s="36"/>
    </row>
    <row r="49" spans="1:8">
      <c r="A49" s="36"/>
      <c r="F49"/>
      <c r="G49" s="40"/>
      <c r="H49" s="36"/>
    </row>
    <row r="50" spans="1:8">
      <c r="A50" s="36"/>
      <c r="F50"/>
      <c r="G50" s="40"/>
      <c r="H50" s="36"/>
    </row>
    <row r="51" spans="1:8">
      <c r="A51" s="36"/>
      <c r="F51"/>
      <c r="G51" s="40"/>
      <c r="H51" s="36"/>
    </row>
    <row r="52" spans="1:8">
      <c r="A52" s="36"/>
      <c r="F52"/>
      <c r="G52" s="40"/>
      <c r="H52" s="36"/>
    </row>
    <row r="53" spans="1:8">
      <c r="A53" s="36"/>
      <c r="F53"/>
      <c r="G53" s="40"/>
      <c r="H53" s="36"/>
    </row>
    <row r="54" spans="1:8">
      <c r="A54" s="36"/>
      <c r="F54"/>
      <c r="G54" s="40"/>
      <c r="H54" s="36"/>
    </row>
    <row r="55" spans="1:8">
      <c r="A55" s="36"/>
      <c r="F55"/>
      <c r="G55" s="40"/>
      <c r="H55" s="36"/>
    </row>
    <row r="56" spans="1:8">
      <c r="A56" s="36"/>
      <c r="F56"/>
      <c r="G56" s="40"/>
      <c r="H56" s="36"/>
    </row>
    <row r="57" spans="1:8">
      <c r="A57" s="36"/>
      <c r="F57"/>
      <c r="G57" s="40"/>
      <c r="H57" s="36"/>
    </row>
    <row r="58" spans="1:8">
      <c r="A58" s="36"/>
      <c r="F58"/>
      <c r="G58" s="40"/>
      <c r="H58" s="36"/>
    </row>
    <row r="59" spans="1:8">
      <c r="A59" s="36"/>
      <c r="F59"/>
      <c r="G59" s="40"/>
      <c r="H59" s="36"/>
    </row>
    <row r="60" spans="1:8">
      <c r="A60" s="36"/>
      <c r="F60"/>
      <c r="G60" s="40"/>
      <c r="H60" s="36"/>
    </row>
    <row r="61" spans="1:8">
      <c r="A61" s="36"/>
      <c r="F61"/>
      <c r="G61" s="40"/>
      <c r="H61" s="36"/>
    </row>
    <row r="62" spans="1:8">
      <c r="A62" s="36"/>
      <c r="F62"/>
      <c r="G62" s="40"/>
      <c r="H62" s="36"/>
    </row>
    <row r="63" spans="1:8">
      <c r="A63" s="36"/>
      <c r="F63"/>
      <c r="G63" s="40"/>
      <c r="H63" s="36"/>
    </row>
    <row r="64" spans="1:8">
      <c r="A64" s="36"/>
      <c r="F64"/>
      <c r="G64" s="40"/>
      <c r="H64" s="36"/>
    </row>
    <row r="65" spans="1:8">
      <c r="A65" s="36"/>
      <c r="F65"/>
      <c r="G65" s="40"/>
      <c r="H65" s="36"/>
    </row>
    <row r="66" spans="1:8">
      <c r="A66" s="36"/>
      <c r="F66"/>
      <c r="G66" s="40"/>
      <c r="H66" s="36"/>
    </row>
    <row r="67" spans="1:8">
      <c r="A67" s="36"/>
      <c r="F67"/>
      <c r="G67" s="40"/>
      <c r="H67" s="36"/>
    </row>
    <row r="68" spans="1:8">
      <c r="A68" s="36"/>
      <c r="F68"/>
      <c r="G68" s="40"/>
      <c r="H68" s="36"/>
    </row>
    <row r="69" spans="1:8">
      <c r="A69" s="36"/>
      <c r="F69"/>
      <c r="G69" s="40"/>
      <c r="H69" s="36"/>
    </row>
    <row r="70" spans="1:8">
      <c r="A70" s="36"/>
      <c r="F70"/>
      <c r="G70" s="40"/>
      <c r="H70" s="36"/>
    </row>
    <row r="71" spans="1:8">
      <c r="A71" s="36"/>
      <c r="F71"/>
      <c r="G71" s="40"/>
      <c r="H71" s="36"/>
    </row>
    <row r="72" spans="1:8">
      <c r="A72" s="36"/>
      <c r="F72"/>
      <c r="G72" s="40"/>
      <c r="H72" s="36"/>
    </row>
    <row r="73" spans="1:8">
      <c r="A73" s="36"/>
      <c r="F73"/>
      <c r="G73" s="40"/>
      <c r="H73" s="36"/>
    </row>
    <row r="74" spans="1:8">
      <c r="F74"/>
    </row>
    <row r="75" spans="1:8">
      <c r="F75"/>
    </row>
    <row r="76" spans="1:8">
      <c r="F76"/>
    </row>
    <row r="77" spans="1:8">
      <c r="F77"/>
    </row>
    <row r="78" spans="1:8">
      <c r="F78"/>
    </row>
    <row r="79" spans="1:8">
      <c r="F79"/>
    </row>
    <row r="80" spans="1:8">
      <c r="F80"/>
    </row>
    <row r="81" spans="6:6">
      <c r="F81"/>
    </row>
    <row r="82" spans="6:6">
      <c r="F82"/>
    </row>
    <row r="83" spans="6:6">
      <c r="F83"/>
    </row>
    <row r="84" spans="6:6">
      <c r="F84"/>
    </row>
    <row r="85" spans="6:6">
      <c r="F85"/>
    </row>
    <row r="86" spans="6:6">
      <c r="F86"/>
    </row>
    <row r="87" spans="6:6">
      <c r="F87"/>
    </row>
    <row r="88" spans="6:6">
      <c r="F88"/>
    </row>
    <row r="89" spans="6:6">
      <c r="F89"/>
    </row>
    <row r="90" spans="6:6">
      <c r="F90"/>
    </row>
    <row r="91" spans="6:6">
      <c r="F91"/>
    </row>
    <row r="92" spans="6:6">
      <c r="F92"/>
    </row>
    <row r="93" spans="6:6">
      <c r="F93"/>
    </row>
    <row r="94" spans="6:6">
      <c r="F94"/>
    </row>
    <row r="95" spans="6:6">
      <c r="F95"/>
    </row>
    <row r="96" spans="6:6">
      <c r="F96"/>
    </row>
    <row r="97" spans="6:6">
      <c r="F97"/>
    </row>
    <row r="98" spans="6:6">
      <c r="F98"/>
    </row>
    <row r="99" spans="6:6">
      <c r="F99"/>
    </row>
    <row r="100" spans="6:6">
      <c r="F100"/>
    </row>
    <row r="101" spans="6:6">
      <c r="F101"/>
    </row>
    <row r="102" spans="6:6">
      <c r="F102"/>
    </row>
    <row r="103" spans="6:6">
      <c r="F103"/>
    </row>
    <row r="104" spans="6:6">
      <c r="F104"/>
    </row>
    <row r="105" spans="6:6">
      <c r="F105"/>
    </row>
    <row r="106" spans="6:6">
      <c r="F106"/>
    </row>
    <row r="107" spans="6:6">
      <c r="F107"/>
    </row>
    <row r="108" spans="6:6">
      <c r="F108"/>
    </row>
    <row r="109" spans="6:6">
      <c r="F109"/>
    </row>
    <row r="110" spans="6:6">
      <c r="F110"/>
    </row>
    <row r="111" spans="6:6">
      <c r="F111"/>
    </row>
    <row r="112" spans="6:6">
      <c r="F112"/>
    </row>
    <row r="113" spans="6:6">
      <c r="F113"/>
    </row>
    <row r="114" spans="6:6">
      <c r="F114"/>
    </row>
    <row r="115" spans="6:6">
      <c r="F115"/>
    </row>
    <row r="116" spans="6:6">
      <c r="F116"/>
    </row>
    <row r="117" spans="6:6">
      <c r="F117"/>
    </row>
    <row r="118" spans="6:6">
      <c r="F118"/>
    </row>
    <row r="119" spans="6:6">
      <c r="F119"/>
    </row>
    <row r="120" spans="6:6">
      <c r="F120"/>
    </row>
    <row r="121" spans="6:6">
      <c r="F121"/>
    </row>
    <row r="122" spans="6:6">
      <c r="F122"/>
    </row>
    <row r="123" spans="6:6">
      <c r="F123"/>
    </row>
    <row r="124" spans="6:6">
      <c r="F124"/>
    </row>
    <row r="125" spans="6:6">
      <c r="F125"/>
    </row>
    <row r="126" spans="6:6">
      <c r="F126"/>
    </row>
    <row r="127" spans="6:6">
      <c r="F127"/>
    </row>
    <row r="128" spans="6:6">
      <c r="F128"/>
    </row>
    <row r="129" spans="6:6">
      <c r="F129"/>
    </row>
    <row r="130" spans="6:6">
      <c r="F130"/>
    </row>
    <row r="131" spans="6:6">
      <c r="F131"/>
    </row>
    <row r="132" spans="6:6">
      <c r="F132"/>
    </row>
    <row r="133" spans="6:6">
      <c r="F133"/>
    </row>
    <row r="134" spans="6:6">
      <c r="F134"/>
    </row>
    <row r="135" spans="6:6">
      <c r="F135"/>
    </row>
    <row r="136" spans="6:6">
      <c r="F136"/>
    </row>
    <row r="137" spans="6:6">
      <c r="F137"/>
    </row>
    <row r="138" spans="6:6">
      <c r="F138"/>
    </row>
    <row r="139" spans="6:6">
      <c r="F139"/>
    </row>
    <row r="140" spans="6:6">
      <c r="F140"/>
    </row>
    <row r="141" spans="6:6">
      <c r="F141"/>
    </row>
    <row r="142" spans="6:6">
      <c r="F142"/>
    </row>
    <row r="143" spans="6:6">
      <c r="F143"/>
    </row>
    <row r="144" spans="6:6">
      <c r="F144"/>
    </row>
    <row r="145" spans="6:6">
      <c r="F145"/>
    </row>
    <row r="146" spans="6:6">
      <c r="F146"/>
    </row>
    <row r="147" spans="6:6">
      <c r="F147"/>
    </row>
    <row r="148" spans="6:6">
      <c r="F148"/>
    </row>
    <row r="149" spans="6:6">
      <c r="F149"/>
    </row>
    <row r="150" spans="6:6">
      <c r="F150"/>
    </row>
    <row r="151" spans="6:6">
      <c r="F151"/>
    </row>
    <row r="152" spans="6:6">
      <c r="F152"/>
    </row>
    <row r="153" spans="6:6">
      <c r="F153"/>
    </row>
    <row r="154" spans="6:6">
      <c r="F154"/>
    </row>
    <row r="155" spans="6:6">
      <c r="F155"/>
    </row>
    <row r="156" spans="6:6">
      <c r="F156"/>
    </row>
    <row r="157" spans="6:6">
      <c r="F157"/>
    </row>
    <row r="158" spans="6:6">
      <c r="F158"/>
    </row>
    <row r="159" spans="6:6">
      <c r="F159"/>
    </row>
    <row r="160" spans="6:6">
      <c r="F160"/>
    </row>
    <row r="161" spans="6:6">
      <c r="F161"/>
    </row>
    <row r="162" spans="6:6">
      <c r="F162"/>
    </row>
    <row r="163" spans="6:6">
      <c r="F163"/>
    </row>
    <row r="164" spans="6:6">
      <c r="F164"/>
    </row>
    <row r="165" spans="6:6">
      <c r="F165"/>
    </row>
    <row r="166" spans="6:6">
      <c r="F166"/>
    </row>
    <row r="167" spans="6:6">
      <c r="F167"/>
    </row>
    <row r="168" spans="6:6">
      <c r="F168"/>
    </row>
    <row r="169" spans="6:6">
      <c r="F169"/>
    </row>
    <row r="170" spans="6:6">
      <c r="F170"/>
    </row>
    <row r="171" spans="6:6">
      <c r="F171"/>
    </row>
    <row r="172" spans="6:6">
      <c r="F172"/>
    </row>
    <row r="173" spans="6:6">
      <c r="F173"/>
    </row>
    <row r="174" spans="6:6">
      <c r="F174"/>
    </row>
    <row r="175" spans="6:6">
      <c r="F175"/>
    </row>
    <row r="176" spans="6:6">
      <c r="F176"/>
    </row>
    <row r="177" spans="6:6">
      <c r="F177"/>
    </row>
    <row r="178" spans="6:6">
      <c r="F178"/>
    </row>
    <row r="179" spans="6:6">
      <c r="F179"/>
    </row>
    <row r="180" spans="6:6">
      <c r="F180"/>
    </row>
    <row r="181" spans="6:6">
      <c r="F181"/>
    </row>
    <row r="182" spans="6:6">
      <c r="F182"/>
    </row>
    <row r="183" spans="6:6">
      <c r="F183"/>
    </row>
    <row r="184" spans="6:6">
      <c r="F184"/>
    </row>
    <row r="185" spans="6:6">
      <c r="F185"/>
    </row>
    <row r="186" spans="6:6">
      <c r="F186"/>
    </row>
    <row r="187" spans="6:6">
      <c r="F187"/>
    </row>
    <row r="188" spans="6:6">
      <c r="F188"/>
    </row>
    <row r="189" spans="6:6">
      <c r="F189"/>
    </row>
    <row r="190" spans="6:6">
      <c r="F190"/>
    </row>
    <row r="191" spans="6:6">
      <c r="F191"/>
    </row>
    <row r="192" spans="6:6">
      <c r="F192"/>
    </row>
    <row r="193" spans="6:6">
      <c r="F193"/>
    </row>
    <row r="194" spans="6:6">
      <c r="F194"/>
    </row>
    <row r="195" spans="6:6">
      <c r="F195"/>
    </row>
    <row r="196" spans="6:6">
      <c r="F196"/>
    </row>
    <row r="197" spans="6:6">
      <c r="F197"/>
    </row>
    <row r="198" spans="6:6">
      <c r="F198"/>
    </row>
    <row r="199" spans="6:6">
      <c r="F199"/>
    </row>
    <row r="200" spans="6:6">
      <c r="F200"/>
    </row>
    <row r="201" spans="6:6">
      <c r="F201"/>
    </row>
    <row r="202" spans="6:6">
      <c r="F202"/>
    </row>
    <row r="203" spans="6:6">
      <c r="F203"/>
    </row>
    <row r="204" spans="6:6">
      <c r="F204"/>
    </row>
    <row r="205" spans="6:6">
      <c r="F205"/>
    </row>
    <row r="206" spans="6:6">
      <c r="F206"/>
    </row>
    <row r="207" spans="6:6">
      <c r="F207"/>
    </row>
    <row r="208" spans="6:6">
      <c r="F208"/>
    </row>
    <row r="209" spans="6:6">
      <c r="F209"/>
    </row>
    <row r="210" spans="6:6">
      <c r="F210"/>
    </row>
    <row r="211" spans="6:6">
      <c r="F211"/>
    </row>
    <row r="212" spans="6:6">
      <c r="F212"/>
    </row>
    <row r="213" spans="6:6">
      <c r="F213"/>
    </row>
    <row r="214" spans="6:6">
      <c r="F214"/>
    </row>
    <row r="215" spans="6:6">
      <c r="F215"/>
    </row>
    <row r="216" spans="6:6">
      <c r="F216"/>
    </row>
    <row r="217" spans="6:6">
      <c r="F217"/>
    </row>
    <row r="218" spans="6:6">
      <c r="F218"/>
    </row>
    <row r="219" spans="6:6">
      <c r="F219"/>
    </row>
    <row r="220" spans="6:6">
      <c r="F220"/>
    </row>
    <row r="221" spans="6:6">
      <c r="F221"/>
    </row>
    <row r="222" spans="6:6">
      <c r="F222"/>
    </row>
    <row r="223" spans="6:6">
      <c r="F223"/>
    </row>
    <row r="224" spans="6:6">
      <c r="F224"/>
    </row>
    <row r="225" spans="6:6">
      <c r="F225"/>
    </row>
    <row r="226" spans="6:6">
      <c r="F226"/>
    </row>
    <row r="227" spans="6:6">
      <c r="F227"/>
    </row>
    <row r="228" spans="6:6">
      <c r="F228"/>
    </row>
    <row r="229" spans="6:6">
      <c r="F229"/>
    </row>
    <row r="230" spans="6:6">
      <c r="F230"/>
    </row>
    <row r="231" spans="6:6">
      <c r="F231"/>
    </row>
    <row r="232" spans="6:6">
      <c r="F232"/>
    </row>
    <row r="233" spans="6:6">
      <c r="F233"/>
    </row>
    <row r="234" spans="6:6">
      <c r="F234"/>
    </row>
    <row r="235" spans="6:6">
      <c r="F235"/>
    </row>
    <row r="236" spans="6:6">
      <c r="F236"/>
    </row>
    <row r="237" spans="6:6">
      <c r="F237"/>
    </row>
    <row r="238" spans="6:6">
      <c r="F238"/>
    </row>
    <row r="239" spans="6:6">
      <c r="F239"/>
    </row>
    <row r="240" spans="6:6">
      <c r="F240"/>
    </row>
    <row r="241" spans="6:6">
      <c r="F241"/>
    </row>
    <row r="242" spans="6:6">
      <c r="F242"/>
    </row>
    <row r="243" spans="6:6">
      <c r="F243"/>
    </row>
    <row r="244" spans="6:6">
      <c r="F244"/>
    </row>
    <row r="245" spans="6:6">
      <c r="F245"/>
    </row>
    <row r="246" spans="6:6">
      <c r="F246"/>
    </row>
    <row r="247" spans="6:6">
      <c r="F247"/>
    </row>
    <row r="248" spans="6:6">
      <c r="F248"/>
    </row>
    <row r="249" spans="6:6">
      <c r="F249"/>
    </row>
    <row r="250" spans="6:6">
      <c r="F250"/>
    </row>
    <row r="251" spans="6:6">
      <c r="F251"/>
    </row>
    <row r="252" spans="6:6">
      <c r="F252"/>
    </row>
    <row r="253" spans="6:6">
      <c r="F253"/>
    </row>
    <row r="254" spans="6:6">
      <c r="F254"/>
    </row>
    <row r="255" spans="6:6">
      <c r="F255"/>
    </row>
    <row r="256" spans="6:6">
      <c r="F256"/>
    </row>
    <row r="257" spans="6:6">
      <c r="F257"/>
    </row>
    <row r="258" spans="6:6">
      <c r="F258"/>
    </row>
    <row r="259" spans="6:6">
      <c r="F259"/>
    </row>
    <row r="260" spans="6:6">
      <c r="F260"/>
    </row>
    <row r="261" spans="6:6">
      <c r="F261"/>
    </row>
    <row r="262" spans="6:6">
      <c r="F262"/>
    </row>
    <row r="263" spans="6:6">
      <c r="F263"/>
    </row>
    <row r="264" spans="6:6">
      <c r="F264"/>
    </row>
    <row r="265" spans="6:6">
      <c r="F265"/>
    </row>
    <row r="266" spans="6:6">
      <c r="F266"/>
    </row>
    <row r="267" spans="6:6">
      <c r="F267"/>
    </row>
    <row r="268" spans="6:6">
      <c r="F268"/>
    </row>
    <row r="269" spans="6:6">
      <c r="F269"/>
    </row>
    <row r="270" spans="6:6">
      <c r="F270"/>
    </row>
    <row r="271" spans="6:6">
      <c r="F271"/>
    </row>
    <row r="272" spans="6:6">
      <c r="F272"/>
    </row>
    <row r="273" spans="6:6">
      <c r="F273"/>
    </row>
    <row r="274" spans="6:6">
      <c r="F274"/>
    </row>
    <row r="275" spans="6:6">
      <c r="F275"/>
    </row>
    <row r="276" spans="6:6">
      <c r="F276"/>
    </row>
    <row r="277" spans="6:6">
      <c r="F277"/>
    </row>
    <row r="278" spans="6:6">
      <c r="F278"/>
    </row>
    <row r="279" spans="6:6">
      <c r="F279"/>
    </row>
    <row r="280" spans="6:6">
      <c r="F280"/>
    </row>
    <row r="281" spans="6:6">
      <c r="F281"/>
    </row>
    <row r="282" spans="6:6">
      <c r="F282"/>
    </row>
    <row r="283" spans="6:6">
      <c r="F283"/>
    </row>
    <row r="284" spans="6:6">
      <c r="F284"/>
    </row>
    <row r="285" spans="6:6">
      <c r="F285"/>
    </row>
    <row r="286" spans="6:6">
      <c r="F286"/>
    </row>
    <row r="287" spans="6:6">
      <c r="F287"/>
    </row>
    <row r="288" spans="6:6">
      <c r="F288"/>
    </row>
    <row r="289" spans="6:6">
      <c r="F289"/>
    </row>
    <row r="290" spans="6:6">
      <c r="F290"/>
    </row>
    <row r="291" spans="6:6">
      <c r="F291"/>
    </row>
    <row r="292" spans="6:6">
      <c r="F292"/>
    </row>
    <row r="293" spans="6:6">
      <c r="F293"/>
    </row>
    <row r="294" spans="6:6">
      <c r="F294"/>
    </row>
    <row r="295" spans="6:6">
      <c r="F295"/>
    </row>
    <row r="296" spans="6:6">
      <c r="F296"/>
    </row>
    <row r="297" spans="6:6">
      <c r="F297"/>
    </row>
    <row r="298" spans="6:6">
      <c r="F298"/>
    </row>
    <row r="299" spans="6:6">
      <c r="F299"/>
    </row>
    <row r="300" spans="6:6">
      <c r="F300"/>
    </row>
    <row r="301" spans="6:6">
      <c r="F301"/>
    </row>
    <row r="302" spans="6:6">
      <c r="F302"/>
    </row>
    <row r="303" spans="6:6">
      <c r="F303"/>
    </row>
    <row r="304" spans="6:6">
      <c r="F304"/>
    </row>
    <row r="305" spans="6:6">
      <c r="F305"/>
    </row>
    <row r="306" spans="6:6">
      <c r="F306"/>
    </row>
    <row r="307" spans="6:6">
      <c r="F307"/>
    </row>
    <row r="308" spans="6:6">
      <c r="F308"/>
    </row>
    <row r="309" spans="6:6">
      <c r="F309"/>
    </row>
    <row r="310" spans="6:6">
      <c r="F310"/>
    </row>
    <row r="311" spans="6:6">
      <c r="F311"/>
    </row>
    <row r="312" spans="6:6">
      <c r="F312"/>
    </row>
    <row r="313" spans="6:6">
      <c r="F313"/>
    </row>
    <row r="314" spans="6:6">
      <c r="F314"/>
    </row>
    <row r="315" spans="6:6">
      <c r="F315"/>
    </row>
    <row r="316" spans="6:6">
      <c r="F316"/>
    </row>
    <row r="317" spans="6:6">
      <c r="F317"/>
    </row>
    <row r="318" spans="6:6">
      <c r="F318"/>
    </row>
    <row r="319" spans="6:6">
      <c r="F319"/>
    </row>
    <row r="320" spans="6:6">
      <c r="F320"/>
    </row>
    <row r="321" spans="6:6">
      <c r="F321"/>
    </row>
    <row r="322" spans="6:6">
      <c r="F322"/>
    </row>
    <row r="323" spans="6:6">
      <c r="F323"/>
    </row>
    <row r="324" spans="6:6">
      <c r="F324"/>
    </row>
    <row r="325" spans="6:6">
      <c r="F325"/>
    </row>
    <row r="326" spans="6:6">
      <c r="F326"/>
    </row>
    <row r="327" spans="6:6">
      <c r="F327"/>
    </row>
    <row r="328" spans="6:6">
      <c r="F328"/>
    </row>
    <row r="329" spans="6:6">
      <c r="F329"/>
    </row>
    <row r="330" spans="6:6">
      <c r="F330"/>
    </row>
    <row r="331" spans="6:6">
      <c r="F331"/>
    </row>
    <row r="332" spans="6:6">
      <c r="F332"/>
    </row>
    <row r="333" spans="6:6">
      <c r="F333"/>
    </row>
    <row r="334" spans="6:6">
      <c r="F334"/>
    </row>
    <row r="335" spans="6:6">
      <c r="F335"/>
    </row>
    <row r="336" spans="6:6">
      <c r="F336"/>
    </row>
    <row r="337" spans="6:6">
      <c r="F337"/>
    </row>
    <row r="338" spans="6:6">
      <c r="F338"/>
    </row>
    <row r="339" spans="6:6">
      <c r="F339"/>
    </row>
    <row r="340" spans="6:6">
      <c r="F340"/>
    </row>
    <row r="341" spans="6:6">
      <c r="F341"/>
    </row>
    <row r="342" spans="6:6">
      <c r="F342"/>
    </row>
    <row r="343" spans="6:6">
      <c r="F343"/>
    </row>
    <row r="344" spans="6:6">
      <c r="F344"/>
    </row>
    <row r="345" spans="6:6">
      <c r="F345"/>
    </row>
    <row r="346" spans="6:6">
      <c r="F346"/>
    </row>
    <row r="347" spans="6:6">
      <c r="F347"/>
    </row>
    <row r="348" spans="6:6">
      <c r="F348"/>
    </row>
    <row r="349" spans="6:6">
      <c r="F349"/>
    </row>
    <row r="350" spans="6:6">
      <c r="F350"/>
    </row>
    <row r="351" spans="6:6">
      <c r="F351"/>
    </row>
    <row r="352" spans="6:6">
      <c r="F352"/>
    </row>
    <row r="353" spans="6:6">
      <c r="F353"/>
    </row>
    <row r="354" spans="6:6">
      <c r="F354"/>
    </row>
    <row r="355" spans="6:6">
      <c r="F355"/>
    </row>
    <row r="356" spans="6:6">
      <c r="F356"/>
    </row>
    <row r="357" spans="6:6">
      <c r="F357"/>
    </row>
    <row r="358" spans="6:6">
      <c r="F358"/>
    </row>
    <row r="359" spans="6:6">
      <c r="F359"/>
    </row>
    <row r="360" spans="6:6">
      <c r="F360"/>
    </row>
    <row r="361" spans="6:6">
      <c r="F361"/>
    </row>
    <row r="362" spans="6:6">
      <c r="F362"/>
    </row>
    <row r="363" spans="6:6">
      <c r="F363"/>
    </row>
    <row r="364" spans="6:6">
      <c r="F364"/>
    </row>
    <row r="365" spans="6:6">
      <c r="F365"/>
    </row>
    <row r="366" spans="6:6">
      <c r="F366"/>
    </row>
    <row r="367" spans="6:6">
      <c r="F367"/>
    </row>
    <row r="368" spans="6:6">
      <c r="F368"/>
    </row>
    <row r="369" spans="6:6">
      <c r="F369"/>
    </row>
    <row r="370" spans="6:6">
      <c r="F370"/>
    </row>
    <row r="371" spans="6:6">
      <c r="F371"/>
    </row>
    <row r="372" spans="6:6">
      <c r="F372"/>
    </row>
    <row r="373" spans="6:6">
      <c r="F373"/>
    </row>
    <row r="374" spans="6:6">
      <c r="F374"/>
    </row>
    <row r="375" spans="6:6">
      <c r="F375"/>
    </row>
    <row r="376" spans="6:6">
      <c r="F376"/>
    </row>
    <row r="377" spans="6:6">
      <c r="F377"/>
    </row>
    <row r="378" spans="6:6">
      <c r="F378"/>
    </row>
    <row r="379" spans="6:6">
      <c r="F379"/>
    </row>
    <row r="380" spans="6:6">
      <c r="F380"/>
    </row>
    <row r="381" spans="6:6">
      <c r="F381"/>
    </row>
    <row r="382" spans="6:6">
      <c r="F382"/>
    </row>
    <row r="383" spans="6:6">
      <c r="F383"/>
    </row>
    <row r="384" spans="6:6">
      <c r="F384"/>
    </row>
    <row r="385" spans="6:6">
      <c r="F385"/>
    </row>
    <row r="386" spans="6:6">
      <c r="F386"/>
    </row>
    <row r="387" spans="6:6">
      <c r="F387"/>
    </row>
    <row r="388" spans="6:6">
      <c r="F388"/>
    </row>
    <row r="389" spans="6:6">
      <c r="F389"/>
    </row>
    <row r="390" spans="6:6">
      <c r="F390"/>
    </row>
    <row r="391" spans="6:6">
      <c r="F391"/>
    </row>
    <row r="392" spans="6:6">
      <c r="F392"/>
    </row>
    <row r="393" spans="6:6">
      <c r="F393"/>
    </row>
    <row r="394" spans="6:6">
      <c r="F394"/>
    </row>
    <row r="395" spans="6:6">
      <c r="F395"/>
    </row>
    <row r="396" spans="6:6">
      <c r="F396"/>
    </row>
    <row r="397" spans="6:6">
      <c r="F397"/>
    </row>
    <row r="398" spans="6:6">
      <c r="F398"/>
    </row>
    <row r="399" spans="6:6">
      <c r="F399"/>
    </row>
    <row r="400" spans="6:6">
      <c r="F400"/>
    </row>
    <row r="401" spans="6:6">
      <c r="F401"/>
    </row>
    <row r="402" spans="6:6">
      <c r="F402"/>
    </row>
    <row r="403" spans="6:6">
      <c r="F403"/>
    </row>
    <row r="404" spans="6:6">
      <c r="F404"/>
    </row>
    <row r="405" spans="6:6">
      <c r="F405"/>
    </row>
    <row r="406" spans="6:6">
      <c r="F406"/>
    </row>
    <row r="407" spans="6:6">
      <c r="F407"/>
    </row>
    <row r="408" spans="6:6">
      <c r="F408"/>
    </row>
    <row r="409" spans="6:6">
      <c r="F409"/>
    </row>
    <row r="410" spans="6:6">
      <c r="F410"/>
    </row>
    <row r="411" spans="6:6">
      <c r="F411"/>
    </row>
    <row r="412" spans="6:6">
      <c r="F412"/>
    </row>
    <row r="413" spans="6:6">
      <c r="F413"/>
    </row>
    <row r="414" spans="6:6">
      <c r="F414"/>
    </row>
    <row r="415" spans="6:6">
      <c r="F415"/>
    </row>
    <row r="416" spans="6:6">
      <c r="F416"/>
    </row>
    <row r="417" spans="6:6">
      <c r="F417"/>
    </row>
    <row r="418" spans="6:6">
      <c r="F418"/>
    </row>
    <row r="419" spans="6:6">
      <c r="F419"/>
    </row>
    <row r="420" spans="6:6">
      <c r="F420"/>
    </row>
    <row r="421" spans="6:6">
      <c r="F421"/>
    </row>
    <row r="422" spans="6:6">
      <c r="F422"/>
    </row>
    <row r="423" spans="6:6">
      <c r="F423"/>
    </row>
    <row r="424" spans="6:6">
      <c r="F424"/>
    </row>
    <row r="425" spans="6:6">
      <c r="F425"/>
    </row>
    <row r="426" spans="6:6">
      <c r="F426"/>
    </row>
    <row r="427" spans="6:6">
      <c r="F427"/>
    </row>
    <row r="428" spans="6:6">
      <c r="F428"/>
    </row>
    <row r="429" spans="6:6">
      <c r="F429"/>
    </row>
    <row r="430" spans="6:6">
      <c r="F430"/>
    </row>
    <row r="431" spans="6:6">
      <c r="F431"/>
    </row>
    <row r="432" spans="6:6">
      <c r="F432"/>
    </row>
    <row r="433" spans="6:6">
      <c r="F433"/>
    </row>
    <row r="434" spans="6:6">
      <c r="F434"/>
    </row>
    <row r="435" spans="6:6">
      <c r="F435"/>
    </row>
    <row r="436" spans="6:6">
      <c r="F436"/>
    </row>
    <row r="437" spans="6:6">
      <c r="F437"/>
    </row>
    <row r="438" spans="6:6">
      <c r="F438"/>
    </row>
    <row r="439" spans="6:6">
      <c r="F439"/>
    </row>
    <row r="440" spans="6:6">
      <c r="F440"/>
    </row>
    <row r="441" spans="6:6">
      <c r="F441"/>
    </row>
    <row r="442" spans="6:6">
      <c r="F442"/>
    </row>
    <row r="443" spans="6:6">
      <c r="F443"/>
    </row>
    <row r="444" spans="6:6">
      <c r="F444"/>
    </row>
    <row r="445" spans="6:6">
      <c r="F445"/>
    </row>
    <row r="446" spans="6:6">
      <c r="F446"/>
    </row>
    <row r="447" spans="6:6">
      <c r="F447"/>
    </row>
    <row r="448" spans="6:6">
      <c r="F448"/>
    </row>
    <row r="449" spans="6:6">
      <c r="F449"/>
    </row>
    <row r="450" spans="6:6">
      <c r="F450"/>
    </row>
    <row r="451" spans="6:6">
      <c r="F451"/>
    </row>
    <row r="452" spans="6:6">
      <c r="F452"/>
    </row>
    <row r="453" spans="6:6">
      <c r="F453"/>
    </row>
    <row r="454" spans="6:6">
      <c r="F454"/>
    </row>
    <row r="455" spans="6:6">
      <c r="F455"/>
    </row>
    <row r="456" spans="6:6">
      <c r="F456"/>
    </row>
    <row r="457" spans="6:6">
      <c r="F457"/>
    </row>
    <row r="458" spans="6:6">
      <c r="F458"/>
    </row>
    <row r="459" spans="6:6">
      <c r="F459"/>
    </row>
    <row r="460" spans="6:6">
      <c r="F460"/>
    </row>
  </sheetData>
  <sortState xmlns:xlrd2="http://schemas.microsoft.com/office/spreadsheetml/2017/richdata2" ref="B13:F356">
    <sortCondition ref="B15"/>
  </sortState>
  <mergeCells count="14">
    <mergeCell ref="B20:E20"/>
    <mergeCell ref="B21:E21"/>
    <mergeCell ref="A9:B9"/>
    <mergeCell ref="A1:H1"/>
    <mergeCell ref="A2:H2"/>
    <mergeCell ref="A8:B8"/>
    <mergeCell ref="C8:E8"/>
    <mergeCell ref="C7:E7"/>
    <mergeCell ref="A3:B3"/>
    <mergeCell ref="A4:B4"/>
    <mergeCell ref="A6:B6"/>
    <mergeCell ref="A7:B7"/>
    <mergeCell ref="B16:E16"/>
    <mergeCell ref="B18:E18"/>
  </mergeCells>
  <pageMargins left="0.1" right="0.1" top="0.5" bottom="0.1" header="0.25" footer="0.25"/>
  <pageSetup orientation="portrait" horizontalDpi="240" verticalDpi="144" r:id="rId2"/>
  <headerFooter>
    <oddHeader>&amp;L&amp;F</oddHeader>
  </headerFooter>
  <colBreaks count="1" manualBreakCount="1">
    <brk id="8" max="1048575" man="1"/>
  </colBreak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4"/>
  <dimension ref="A1:L369"/>
  <sheetViews>
    <sheetView tabSelected="1" view="pageBreakPreview" zoomScaleNormal="100" zoomScaleSheetLayoutView="100" workbookViewId="0">
      <pane ySplit="12" topLeftCell="A56" activePane="bottomLeft" state="frozen"/>
      <selection pane="bottomLeft" activeCell="C80" sqref="C80"/>
    </sheetView>
  </sheetViews>
  <sheetFormatPr baseColWidth="10" defaultColWidth="7" defaultRowHeight="13"/>
  <cols>
    <col min="1" max="1" width="2.6640625" style="71" customWidth="1"/>
    <col min="2" max="2" width="10" style="71" customWidth="1"/>
    <col min="3" max="3" width="39.1640625" style="71" customWidth="1"/>
    <col min="4" max="4" width="4.33203125" style="71" customWidth="1"/>
    <col min="5" max="5" width="6.1640625" style="71" customWidth="1"/>
    <col min="6" max="6" width="25.33203125" style="71" customWidth="1"/>
    <col min="7" max="7" width="2.5" style="71" customWidth="1"/>
    <col min="8" max="8" width="0.6640625" style="73" customWidth="1"/>
    <col min="9" max="16384" width="7" style="71"/>
  </cols>
  <sheetData>
    <row r="1" spans="1:12" s="69" customFormat="1">
      <c r="A1" s="71"/>
      <c r="B1" s="71"/>
      <c r="C1" s="71"/>
      <c r="D1" s="71"/>
      <c r="E1" s="71"/>
      <c r="F1" s="71"/>
      <c r="H1" s="74"/>
    </row>
    <row r="2" spans="1:12" s="69" customFormat="1" ht="18">
      <c r="A2" s="906" t="s">
        <v>2198</v>
      </c>
      <c r="B2" s="906"/>
      <c r="C2" s="906"/>
      <c r="D2" s="906"/>
      <c r="E2" s="906"/>
      <c r="F2" s="906"/>
      <c r="H2" s="74"/>
    </row>
    <row r="3" spans="1:12" s="69" customFormat="1" ht="14.25" customHeight="1">
      <c r="A3" s="71"/>
      <c r="B3" s="71"/>
      <c r="C3" s="71"/>
      <c r="D3" s="71"/>
      <c r="E3" s="71"/>
      <c r="F3" s="71"/>
      <c r="H3" s="74"/>
    </row>
    <row r="4" spans="1:12" s="69" customFormat="1" ht="14.25" customHeight="1">
      <c r="A4" s="71"/>
      <c r="B4" s="71"/>
      <c r="C4" s="71"/>
      <c r="D4" s="75"/>
      <c r="E4" s="75" t="s">
        <v>2199</v>
      </c>
      <c r="F4" s="76" t="e">
        <f>jumlah_komponen</f>
        <v>#REF!</v>
      </c>
      <c r="H4" s="74"/>
    </row>
    <row r="5" spans="1:12" s="69" customFormat="1" ht="14.25" customHeight="1">
      <c r="A5" s="71"/>
      <c r="B5" s="71"/>
      <c r="C5" s="71"/>
      <c r="D5" s="71"/>
      <c r="E5" s="71"/>
      <c r="F5" s="71"/>
      <c r="H5" s="74"/>
      <c r="K5" s="71"/>
      <c r="L5" s="71"/>
    </row>
    <row r="6" spans="1:12" s="69" customFormat="1">
      <c r="A6" s="77" t="s">
        <v>2200</v>
      </c>
      <c r="B6" s="77"/>
      <c r="C6" s="71" t="s">
        <v>2201</v>
      </c>
      <c r="D6" s="71"/>
      <c r="E6" s="77" t="s">
        <v>2202</v>
      </c>
      <c r="F6" s="78" t="str">
        <f>No_proyek</f>
        <v>RZ0458</v>
      </c>
      <c r="H6" s="74"/>
      <c r="K6" s="71"/>
      <c r="L6" s="71"/>
    </row>
    <row r="7" spans="1:12" s="69" customFormat="1" ht="14">
      <c r="A7" s="77" t="s">
        <v>2203</v>
      </c>
      <c r="B7" s="77"/>
      <c r="C7" s="79" t="str">
        <f>no_kontrak</f>
        <v>127/RK-RL-PI/PAP-LL/XII/2025</v>
      </c>
      <c r="D7" s="71"/>
      <c r="E7" s="71"/>
      <c r="F7" s="77"/>
      <c r="H7" s="74"/>
      <c r="K7" s="78"/>
      <c r="L7" s="78"/>
    </row>
    <row r="8" spans="1:12" s="69" customFormat="1" ht="14">
      <c r="A8" s="80" t="s">
        <v>1508</v>
      </c>
      <c r="B8" s="80"/>
      <c r="C8" s="81" t="str">
        <f>nip</f>
        <v>25LL017MPC</v>
      </c>
      <c r="D8" s="71"/>
      <c r="E8" s="71"/>
      <c r="F8" s="77"/>
      <c r="H8" s="74"/>
      <c r="K8" s="78"/>
      <c r="L8" s="78"/>
    </row>
    <row r="9" spans="1:12" s="69" customFormat="1" ht="14">
      <c r="A9" s="77" t="s">
        <v>2204</v>
      </c>
      <c r="B9" s="77"/>
      <c r="C9" s="8" t="str">
        <f>nama_proyek</f>
        <v>PT Malindo Feedmill Tbk-Dry Pantry</v>
      </c>
      <c r="D9" s="71"/>
      <c r="E9" s="75" t="s">
        <v>2205</v>
      </c>
      <c r="F9" s="881">
        <f>tgl</f>
        <v>46163</v>
      </c>
      <c r="G9" s="882"/>
      <c r="H9" s="881"/>
      <c r="K9" s="78"/>
      <c r="L9" s="78"/>
    </row>
    <row r="10" spans="1:12" s="69" customFormat="1" ht="15.75" customHeight="1">
      <c r="A10" s="907" t="s">
        <v>2206</v>
      </c>
      <c r="B10" s="907"/>
      <c r="C10" s="8" t="str">
        <f>Estimator</f>
        <v>Fahrudin</v>
      </c>
      <c r="D10" s="908" t="s">
        <v>2838</v>
      </c>
      <c r="E10" s="908"/>
      <c r="F10" s="71" t="s">
        <v>1787</v>
      </c>
      <c r="H10" s="74"/>
      <c r="K10" s="78"/>
      <c r="L10" s="78"/>
    </row>
    <row r="11" spans="1:12" s="69" customFormat="1" ht="6" customHeight="1">
      <c r="A11" s="71"/>
      <c r="B11" s="71"/>
      <c r="C11" s="71"/>
      <c r="D11" s="71"/>
      <c r="E11" s="71"/>
      <c r="F11" s="71"/>
      <c r="H11" s="74"/>
      <c r="K11" s="78"/>
      <c r="L11" s="78"/>
    </row>
    <row r="12" spans="1:12" s="69" customFormat="1" ht="30" customHeight="1">
      <c r="A12" s="134" t="s">
        <v>327</v>
      </c>
      <c r="B12" s="134" t="s">
        <v>329</v>
      </c>
      <c r="C12" s="82" t="s">
        <v>330</v>
      </c>
      <c r="D12" s="134" t="s">
        <v>331</v>
      </c>
      <c r="E12" s="82" t="s">
        <v>332</v>
      </c>
      <c r="F12" s="82" t="s">
        <v>333</v>
      </c>
      <c r="H12" s="74"/>
      <c r="K12" s="78"/>
      <c r="L12" s="78"/>
    </row>
    <row r="13" spans="1:12" s="69" customFormat="1" ht="14.25" customHeight="1">
      <c r="A13" s="86">
        <v>1</v>
      </c>
      <c r="B13" s="86" t="str">
        <f>IFERROR(INDEX((ID),MATCH(C13,BARANG,0)),"…")</f>
        <v>205526</v>
      </c>
      <c r="C13" s="84" t="str">
        <f>minifix_hettich</f>
        <v>MINIFIX HETTICH</v>
      </c>
      <c r="D13" s="135">
        <f>ROUNDUP((SUMIF(minifix,C13,jumlah_minifix)*1.05),0)</f>
        <v>68</v>
      </c>
      <c r="E13" s="83" t="s">
        <v>337</v>
      </c>
      <c r="F13" s="87"/>
      <c r="H13" s="74"/>
      <c r="K13" s="78"/>
      <c r="L13" s="78"/>
    </row>
    <row r="14" spans="1:12" s="69" customFormat="1" ht="14.25" customHeight="1">
      <c r="A14" s="86">
        <v>2</v>
      </c>
      <c r="B14" s="86" t="str">
        <f>IFERROR(INDEX((ID),MATCH(C14,BARANG,0)),"…")</f>
        <v>205554</v>
      </c>
      <c r="C14" s="136" t="str">
        <f>dowelØ8</f>
        <v>DOWEL KAYU 4X8</v>
      </c>
      <c r="D14" s="135">
        <f>ROUNDUP((SUMIF(dowel,C14,jumlah_dowel)*1.05),0)</f>
        <v>87</v>
      </c>
      <c r="E14" s="86" t="s">
        <v>341</v>
      </c>
      <c r="F14" s="87"/>
      <c r="H14" s="74"/>
      <c r="K14" s="71"/>
      <c r="L14" s="71"/>
    </row>
    <row r="15" spans="1:12" s="69" customFormat="1" ht="14.25" customHeight="1">
      <c r="A15" s="86"/>
      <c r="B15" s="86"/>
      <c r="C15" s="136"/>
      <c r="D15" s="135"/>
      <c r="E15" s="86"/>
      <c r="F15" s="87"/>
      <c r="H15" s="74"/>
      <c r="K15" s="71"/>
      <c r="L15" s="71"/>
    </row>
    <row r="16" spans="1:12" s="69" customFormat="1" ht="14.25" customHeight="1">
      <c r="A16" s="86">
        <v>3</v>
      </c>
      <c r="B16" s="86" t="str">
        <f>IFERROR(INDEX((ID),MATCH(C16,BARANG,0)),"…")</f>
        <v>205568</v>
      </c>
      <c r="C16" s="137" t="s">
        <v>648</v>
      </c>
      <c r="D16" s="495">
        <f>+ROUNDUP(D17+D18,0)</f>
        <v>2</v>
      </c>
      <c r="E16" s="86" t="s">
        <v>645</v>
      </c>
      <c r="F16" s="87"/>
      <c r="H16" s="74"/>
      <c r="I16" s="102" t="s">
        <v>2207</v>
      </c>
      <c r="J16" s="71"/>
      <c r="K16" s="71"/>
      <c r="L16" s="71"/>
    </row>
    <row r="17" spans="1:12" s="69" customFormat="1" ht="14.25" customHeight="1">
      <c r="A17" s="86"/>
      <c r="B17" s="86" t="str">
        <f>IFERROR(INDEX((ID),MATCH(C17,BARANG,0)),"…")</f>
        <v>205783</v>
      </c>
      <c r="C17" s="137" t="s">
        <v>660</v>
      </c>
      <c r="D17" s="443">
        <f>ROUNDUP((SUMIF(profil_3,C17,_2PL)/tube_meter)+(SUMIF(profil_2,C17,P)/tube_meter),0)</f>
        <v>2</v>
      </c>
      <c r="E17" s="86" t="s">
        <v>651</v>
      </c>
      <c r="F17" s="87"/>
      <c r="H17" s="74"/>
      <c r="I17" s="102">
        <v>307490</v>
      </c>
      <c r="J17" s="71" t="s">
        <v>381</v>
      </c>
      <c r="K17" s="71"/>
      <c r="L17" s="71"/>
    </row>
    <row r="18" spans="1:12" s="69" customFormat="1" ht="14.25" customHeight="1">
      <c r="A18" s="86"/>
      <c r="B18" s="470">
        <v>206603</v>
      </c>
      <c r="C18" s="471" t="s">
        <v>650</v>
      </c>
      <c r="D18" s="443">
        <f>ROUNDUP((SUMIF(profil_3,C18,_2PL)/tube_meter)+(SUMIF(profil_2,C18,P)/tube_meter),0)</f>
        <v>0</v>
      </c>
      <c r="E18" s="86" t="s">
        <v>651</v>
      </c>
      <c r="F18" s="87"/>
      <c r="H18" s="74"/>
      <c r="I18" s="102"/>
      <c r="J18" s="71"/>
      <c r="K18" s="71"/>
      <c r="L18" s="71"/>
    </row>
    <row r="19" spans="1:12" s="69" customFormat="1" ht="14.25" customHeight="1">
      <c r="A19" s="86"/>
      <c r="B19" s="86"/>
      <c r="C19" s="137"/>
      <c r="D19" s="86"/>
      <c r="E19" s="86"/>
      <c r="F19" s="87"/>
      <c r="H19" s="74"/>
      <c r="I19" s="102"/>
      <c r="J19" s="71"/>
      <c r="K19" s="71"/>
      <c r="L19" s="71"/>
    </row>
    <row r="20" spans="1:12" s="69" customFormat="1" ht="14.25" customHeight="1">
      <c r="A20" s="86"/>
      <c r="B20" s="86"/>
      <c r="C20" s="137"/>
      <c r="D20" s="86"/>
      <c r="E20" s="86"/>
      <c r="F20" s="87"/>
      <c r="H20" s="74"/>
      <c r="I20" s="102"/>
      <c r="J20" s="71"/>
      <c r="K20" s="71"/>
      <c r="L20" s="71"/>
    </row>
    <row r="21" spans="1:12" s="69" customFormat="1" ht="14.25" customHeight="1">
      <c r="A21" s="86"/>
      <c r="B21" s="86">
        <f t="shared" ref="B21:B27" si="0">IFERROR(INDEX((ID),MATCH(C21,BARANG,0)),"…")</f>
        <v>3065067</v>
      </c>
      <c r="C21" s="136" t="str">
        <f>_rel1</f>
        <v>LEGRA S1 ORION GREY (OG</v>
      </c>
      <c r="D21" s="135">
        <f t="shared" ref="D21:D27" si="1">SUMIF(RelI,C21,Rel)</f>
        <v>0</v>
      </c>
      <c r="E21" s="86" t="s">
        <v>345</v>
      </c>
      <c r="F21" s="87"/>
      <c r="H21" s="74"/>
      <c r="I21" s="103">
        <v>307054</v>
      </c>
      <c r="J21" s="104" t="s">
        <v>377</v>
      </c>
      <c r="K21" s="71"/>
      <c r="L21" s="71"/>
    </row>
    <row r="22" spans="1:12" s="69" customFormat="1" ht="14.25" customHeight="1">
      <c r="A22" s="86"/>
      <c r="B22" s="86">
        <f t="shared" si="0"/>
        <v>3065146</v>
      </c>
      <c r="C22" s="136" t="str">
        <f>_rel2</f>
        <v>LEGRABOX S4 OG (ORION GREY)</v>
      </c>
      <c r="D22" s="135">
        <f t="shared" si="1"/>
        <v>0</v>
      </c>
      <c r="E22" s="86" t="s">
        <v>345</v>
      </c>
      <c r="F22" s="87"/>
      <c r="H22" s="74"/>
      <c r="I22" s="103">
        <v>307054</v>
      </c>
      <c r="J22" s="104" t="s">
        <v>377</v>
      </c>
      <c r="K22" s="71"/>
      <c r="L22" s="71"/>
    </row>
    <row r="23" spans="1:12" s="69" customFormat="1" ht="14.25" customHeight="1">
      <c r="A23" s="86"/>
      <c r="B23" s="86" t="str">
        <f t="shared" si="0"/>
        <v>307051</v>
      </c>
      <c r="C23" s="136" t="str">
        <f>_rel3</f>
        <v>REL TANDEM BLUM SINGLE EXT INTG P.500</v>
      </c>
      <c r="D23" s="135">
        <f t="shared" si="1"/>
        <v>0</v>
      </c>
      <c r="E23" s="86" t="s">
        <v>345</v>
      </c>
      <c r="F23" s="87"/>
      <c r="H23" s="74"/>
      <c r="I23" s="103">
        <v>307054</v>
      </c>
      <c r="J23" s="104" t="s">
        <v>377</v>
      </c>
      <c r="K23" s="71"/>
      <c r="L23" s="71"/>
    </row>
    <row r="24" spans="1:12" s="69" customFormat="1" ht="14.25" customHeight="1">
      <c r="A24" s="86">
        <v>4</v>
      </c>
      <c r="B24" s="86" t="str">
        <f t="shared" si="0"/>
        <v>307056</v>
      </c>
      <c r="C24" s="136" t="str">
        <f>_rel4</f>
        <v>REL TANDEM BLUM FULL EXT INTG P.500</v>
      </c>
      <c r="D24" s="135">
        <f t="shared" si="1"/>
        <v>4</v>
      </c>
      <c r="E24" s="86" t="s">
        <v>345</v>
      </c>
      <c r="F24" s="87"/>
      <c r="H24" s="74"/>
      <c r="I24" s="103">
        <v>307054</v>
      </c>
      <c r="J24" s="104" t="s">
        <v>377</v>
      </c>
      <c r="K24" s="71"/>
      <c r="L24" s="71"/>
    </row>
    <row r="25" spans="1:12" s="69" customFormat="1" ht="14.25" customHeight="1">
      <c r="A25" s="86"/>
      <c r="B25" s="86" t="str">
        <f t="shared" si="0"/>
        <v>307061</v>
      </c>
      <c r="C25" s="136" t="str">
        <f>_rel5</f>
        <v>REL TANDEM BLUM FULL EXT INTG P.400</v>
      </c>
      <c r="D25" s="135">
        <f t="shared" si="1"/>
        <v>0</v>
      </c>
      <c r="E25" s="86" t="s">
        <v>345</v>
      </c>
      <c r="F25" s="87"/>
      <c r="H25" s="74"/>
      <c r="I25" s="103"/>
      <c r="J25" s="104"/>
      <c r="K25" s="71"/>
      <c r="L25" s="71"/>
    </row>
    <row r="26" spans="1:12" s="69" customFormat="1" ht="14.25" customHeight="1">
      <c r="A26" s="86"/>
      <c r="B26" s="86" t="str">
        <f>IFERROR(INDEX((ID),MATCH(C26,BARANG,0)),"…")</f>
        <v>307124</v>
      </c>
      <c r="C26" s="136" t="str">
        <f>_rel6</f>
        <v>LACI B1S1 INTE BLUMO</v>
      </c>
      <c r="D26" s="135">
        <f>SUMIF(RelI,C26,Rel)</f>
        <v>0</v>
      </c>
      <c r="E26" s="86" t="s">
        <v>345</v>
      </c>
      <c r="F26" s="87"/>
      <c r="H26" s="74"/>
      <c r="I26" s="103"/>
      <c r="J26" s="104"/>
      <c r="K26" s="71"/>
      <c r="L26" s="71"/>
    </row>
    <row r="27" spans="1:12" s="69" customFormat="1" ht="14.25" customHeight="1">
      <c r="A27" s="86"/>
      <c r="B27" s="86" t="str">
        <f t="shared" si="0"/>
        <v>307132</v>
      </c>
      <c r="C27" s="136" t="str">
        <f>_rel7</f>
        <v>B1S2 GREY INTEG.BM</v>
      </c>
      <c r="D27" s="135">
        <f t="shared" si="1"/>
        <v>0</v>
      </c>
      <c r="E27" s="86" t="s">
        <v>345</v>
      </c>
      <c r="F27" s="87"/>
      <c r="H27" s="74"/>
      <c r="I27" s="103"/>
      <c r="J27" s="104"/>
      <c r="K27" s="71"/>
      <c r="L27" s="71"/>
    </row>
    <row r="28" spans="1:12" s="69" customFormat="1" ht="14.25" customHeight="1">
      <c r="A28" s="86"/>
      <c r="B28" s="86" t="str">
        <f t="shared" ref="B28:B34" si="2">IFERROR(INDEX((ID),MATCH(C28,BARANG,0)),"…")</f>
        <v>307057</v>
      </c>
      <c r="C28" s="136" t="str">
        <f>_rel8</f>
        <v>REL TANDEM BLUM SINGLE EXT INTG P.450</v>
      </c>
      <c r="D28" s="135">
        <f t="shared" ref="D28:D36" si="3">SUMIF(RelI,C28,Rel)</f>
        <v>0</v>
      </c>
      <c r="E28" s="86" t="s">
        <v>345</v>
      </c>
      <c r="F28" s="87"/>
      <c r="H28" s="74"/>
      <c r="I28" s="103"/>
      <c r="J28" s="104"/>
      <c r="K28" s="71"/>
      <c r="L28" s="71"/>
    </row>
    <row r="29" spans="1:12" s="69" customFormat="1" ht="14.25" customHeight="1">
      <c r="A29" s="86"/>
      <c r="B29" s="86">
        <f t="shared" si="2"/>
        <v>318142</v>
      </c>
      <c r="C29" s="136" t="str">
        <f>_rel9</f>
        <v>MERIVOBOX MVX S1 SW 500 40 BM</v>
      </c>
      <c r="D29" s="135">
        <f t="shared" si="3"/>
        <v>0</v>
      </c>
      <c r="E29" s="86" t="s">
        <v>345</v>
      </c>
      <c r="F29" s="87"/>
      <c r="H29" s="74"/>
      <c r="I29" s="103"/>
      <c r="J29" s="104"/>
      <c r="K29" s="71"/>
      <c r="L29" s="71"/>
    </row>
    <row r="30" spans="1:12" s="69" customFormat="1" ht="14.25" customHeight="1">
      <c r="A30" s="86"/>
      <c r="B30" s="86">
        <f t="shared" si="2"/>
        <v>318134</v>
      </c>
      <c r="C30" s="136" t="str">
        <f>_rel10</f>
        <v>MERIVOBOX MVX S4 SW 500 70 BM</v>
      </c>
      <c r="D30" s="135">
        <f t="shared" si="3"/>
        <v>0</v>
      </c>
      <c r="E30" s="86" t="s">
        <v>345</v>
      </c>
      <c r="F30" s="87"/>
      <c r="H30" s="74"/>
      <c r="I30" s="103"/>
      <c r="J30" s="104"/>
      <c r="K30" s="71"/>
      <c r="L30" s="71"/>
    </row>
    <row r="31" spans="1:12" s="69" customFormat="1" ht="14.25" customHeight="1">
      <c r="A31" s="86"/>
      <c r="B31" s="86">
        <f t="shared" si="2"/>
        <v>318287</v>
      </c>
      <c r="C31" s="136" t="str">
        <f>_rel11</f>
        <v>LACI MERIVOBOX S2 + KACA ORION GREY</v>
      </c>
      <c r="D31" s="135">
        <f t="shared" si="3"/>
        <v>0</v>
      </c>
      <c r="E31" s="86" t="s">
        <v>345</v>
      </c>
      <c r="F31" s="87"/>
      <c r="H31" s="74"/>
      <c r="I31" s="103"/>
      <c r="J31" s="104"/>
      <c r="K31" s="71"/>
      <c r="L31" s="71"/>
    </row>
    <row r="32" spans="1:12" s="69" customFormat="1" ht="14.25" customHeight="1">
      <c r="A32" s="86"/>
      <c r="B32" s="86">
        <f t="shared" si="2"/>
        <v>307917</v>
      </c>
      <c r="C32" s="136" t="str">
        <f>_rel12</f>
        <v>QUADRO V6 SFP FL 500 EB 20 TIP ON HETTICH L/R</v>
      </c>
      <c r="D32" s="135">
        <f t="shared" si="3"/>
        <v>0</v>
      </c>
      <c r="E32" s="86" t="s">
        <v>345</v>
      </c>
      <c r="F32" s="87"/>
      <c r="H32" s="74"/>
      <c r="I32" s="103"/>
      <c r="J32" s="104"/>
      <c r="K32" s="71"/>
      <c r="L32" s="71"/>
    </row>
    <row r="33" spans="1:12" s="69" customFormat="1" ht="14.25" customHeight="1">
      <c r="A33" s="86"/>
      <c r="B33" s="86" t="str">
        <f t="shared" si="2"/>
        <v>…</v>
      </c>
      <c r="C33" s="136" t="str">
        <f>_rel13</f>
        <v>Avantech You 101 P.500mm</v>
      </c>
      <c r="D33" s="135">
        <f t="shared" si="3"/>
        <v>0</v>
      </c>
      <c r="E33" s="86" t="s">
        <v>345</v>
      </c>
      <c r="F33" s="87"/>
      <c r="H33" s="74"/>
      <c r="I33" s="103"/>
      <c r="J33" s="104"/>
      <c r="K33" s="71"/>
      <c r="L33" s="71"/>
    </row>
    <row r="34" spans="1:12" s="69" customFormat="1" ht="14.25" customHeight="1">
      <c r="A34" s="86"/>
      <c r="B34" s="86" t="str">
        <f t="shared" si="2"/>
        <v>…</v>
      </c>
      <c r="C34" s="136" t="str">
        <f>_rel14</f>
        <v>Avantech You 251 P.500mm</v>
      </c>
      <c r="D34" s="135">
        <f t="shared" si="3"/>
        <v>0</v>
      </c>
      <c r="E34" s="86" t="s">
        <v>345</v>
      </c>
      <c r="F34" s="87"/>
      <c r="H34" s="74"/>
      <c r="I34" s="103"/>
      <c r="J34" s="104"/>
      <c r="K34" s="71"/>
      <c r="L34" s="71"/>
    </row>
    <row r="35" spans="1:12" s="69" customFormat="1" ht="14.25" customHeight="1">
      <c r="A35" s="86"/>
      <c r="B35" s="86"/>
      <c r="C35" s="136"/>
      <c r="D35" s="135"/>
      <c r="E35" s="86"/>
      <c r="F35" s="87"/>
      <c r="H35" s="74"/>
      <c r="I35" s="103"/>
      <c r="J35" s="104"/>
      <c r="K35" s="71"/>
      <c r="L35" s="71"/>
    </row>
    <row r="36" spans="1:12" s="69" customFormat="1" ht="25" customHeight="1">
      <c r="A36" s="411"/>
      <c r="B36" s="411" t="str">
        <f>IFERROR(INDEX((ID),MATCH(C36,BARANG,0)),"…")</f>
        <v>…</v>
      </c>
      <c r="C36" s="468" t="e">
        <f>bb_full_50</f>
        <v>#NAME?</v>
      </c>
      <c r="D36" s="135">
        <f t="shared" si="3"/>
        <v>0</v>
      </c>
      <c r="E36" s="411" t="s">
        <v>345</v>
      </c>
      <c r="F36" s="467"/>
      <c r="H36" s="74"/>
      <c r="I36" s="103"/>
      <c r="J36" s="104"/>
      <c r="K36" s="71"/>
      <c r="L36" s="71"/>
    </row>
    <row r="37" spans="1:12" s="69" customFormat="1" ht="14.25" customHeight="1">
      <c r="A37" s="86"/>
      <c r="B37" s="86"/>
      <c r="C37" s="136"/>
      <c r="D37" s="135"/>
      <c r="E37" s="86"/>
      <c r="F37" s="87"/>
      <c r="H37" s="74"/>
      <c r="I37" s="103"/>
      <c r="J37" s="104"/>
      <c r="K37" s="71"/>
      <c r="L37" s="71"/>
    </row>
    <row r="38" spans="1:12" s="69" customFormat="1" ht="14.25" customHeight="1">
      <c r="A38" s="86"/>
      <c r="B38" s="86"/>
      <c r="C38" s="136"/>
      <c r="D38" s="135"/>
      <c r="E38" s="86"/>
      <c r="F38" s="87"/>
      <c r="H38" s="74"/>
      <c r="I38" s="103"/>
      <c r="J38" s="104"/>
      <c r="K38" s="71"/>
      <c r="L38" s="71"/>
    </row>
    <row r="39" spans="1:12" s="69" customFormat="1" ht="28">
      <c r="A39" s="86"/>
      <c r="B39" s="411">
        <f>IFERROR(INDEX((ID),MATCH(C39,BARANG,0)),"…")</f>
        <v>301103</v>
      </c>
      <c r="C39" s="468" t="str">
        <f>tip_on_1</f>
        <v>SEMI CIRCULAR SHAFT T 55.889 W (T 55 000R Tip On Pinion/Syncrh</v>
      </c>
      <c r="D39" s="135">
        <v>0</v>
      </c>
      <c r="E39" s="411" t="s">
        <v>345</v>
      </c>
      <c r="F39" s="87"/>
      <c r="H39" s="74"/>
      <c r="I39" s="103"/>
      <c r="J39" s="104"/>
      <c r="K39" s="71"/>
      <c r="L39" s="71"/>
    </row>
    <row r="40" spans="1:12" s="69" customFormat="1" ht="14.25" customHeight="1">
      <c r="A40" s="86"/>
      <c r="B40" s="86">
        <f>IFERROR(INDEX((ID),MATCH(C40,BARANG,0)),"…")</f>
        <v>307484</v>
      </c>
      <c r="C40" s="136" t="str">
        <f>tip_on_2</f>
        <v xml:space="preserve">T 55 . 1151 TIP ON for tandem single </v>
      </c>
      <c r="D40" s="135">
        <v>0</v>
      </c>
      <c r="E40" s="86" t="s">
        <v>345</v>
      </c>
      <c r="F40" s="87"/>
      <c r="H40" s="74"/>
      <c r="I40" s="103"/>
      <c r="J40" s="104"/>
      <c r="K40" s="71"/>
      <c r="L40" s="71"/>
    </row>
    <row r="41" spans="1:12" s="69" customFormat="1" ht="14.25" customHeight="1">
      <c r="A41" s="86"/>
      <c r="B41" s="86">
        <f>IFERROR(INDEX((ID),MATCH(C41,BARANG,0)),"…")</f>
        <v>307486</v>
      </c>
      <c r="C41" s="136" t="str">
        <f>tip_on_3</f>
        <v xml:space="preserve">T 55 . 7151 TIP ON for tandem double </v>
      </c>
      <c r="D41" s="135">
        <v>0</v>
      </c>
      <c r="E41" s="86" t="s">
        <v>345</v>
      </c>
      <c r="F41" s="87"/>
      <c r="H41" s="74"/>
      <c r="I41" s="103"/>
      <c r="J41" s="104"/>
      <c r="K41" s="71"/>
      <c r="L41" s="71"/>
    </row>
    <row r="42" spans="1:12" s="69" customFormat="1" ht="14.25" customHeight="1">
      <c r="A42" s="86"/>
      <c r="B42" s="86"/>
      <c r="C42" s="136"/>
      <c r="D42" s="135"/>
      <c r="E42" s="86"/>
      <c r="F42" s="87"/>
      <c r="H42" s="74"/>
      <c r="I42" s="103"/>
      <c r="J42" s="104"/>
      <c r="K42" s="71"/>
      <c r="L42" s="71"/>
    </row>
    <row r="43" spans="1:12" s="69" customFormat="1" ht="14.25" customHeight="1">
      <c r="A43" s="86"/>
      <c r="B43" s="86"/>
      <c r="C43" s="136"/>
      <c r="D43" s="135"/>
      <c r="E43" s="86"/>
      <c r="F43" s="87"/>
      <c r="H43" s="74"/>
      <c r="I43" s="103"/>
      <c r="J43" s="104"/>
      <c r="K43" s="71"/>
      <c r="L43" s="71"/>
    </row>
    <row r="44" spans="1:12" s="69" customFormat="1" ht="25" customHeight="1">
      <c r="A44" s="411">
        <v>5</v>
      </c>
      <c r="B44" s="411">
        <f t="shared" ref="B44:B57" si="4">IFERROR(INDEX((ID),MATCH(C44,BARANG,0)),"…")</f>
        <v>317210</v>
      </c>
      <c r="C44" s="469" t="str">
        <f>engsel1</f>
        <v>ENGSEL CLIP TOP  107 DEG INTEGRATED 75 B 1550 + 173 L 6100</v>
      </c>
      <c r="D44" s="135">
        <f t="shared" ref="D44:D53" si="5">SUMIF(EI,C44,E)</f>
        <v>8</v>
      </c>
      <c r="E44" s="411" t="s">
        <v>2230</v>
      </c>
      <c r="F44" s="87"/>
      <c r="H44" s="74"/>
      <c r="I44" s="103">
        <v>301103</v>
      </c>
      <c r="J44" s="104" t="s">
        <v>2208</v>
      </c>
      <c r="K44" s="71"/>
      <c r="L44" s="71"/>
    </row>
    <row r="45" spans="1:12" s="69" customFormat="1" ht="14.25" customHeight="1">
      <c r="A45" s="86"/>
      <c r="B45" s="86" t="str">
        <f t="shared" si="4"/>
        <v>307237</v>
      </c>
      <c r="C45" s="138" t="str">
        <f>engsel2</f>
        <v>ENGSEL SALICE PUSH.TIP ON FOR DOOR</v>
      </c>
      <c r="D45" s="135">
        <f t="shared" si="5"/>
        <v>0</v>
      </c>
      <c r="E45" s="86" t="s">
        <v>2230</v>
      </c>
      <c r="F45" s="87"/>
      <c r="H45" s="74"/>
      <c r="I45" s="103">
        <v>301103</v>
      </c>
      <c r="J45" s="104" t="s">
        <v>2208</v>
      </c>
      <c r="K45" s="71"/>
      <c r="L45" s="71"/>
    </row>
    <row r="46" spans="1:12" s="69" customFormat="1" ht="14.25" customHeight="1">
      <c r="A46" s="86"/>
      <c r="B46" s="86">
        <f t="shared" si="4"/>
        <v>317778</v>
      </c>
      <c r="C46" s="138" t="str">
        <f>engsel3</f>
        <v xml:space="preserve">ENGSEL 155 DRAJAT  71 B 7550   </v>
      </c>
      <c r="D46" s="135">
        <f t="shared" si="5"/>
        <v>0</v>
      </c>
      <c r="E46" s="86" t="s">
        <v>2230</v>
      </c>
      <c r="F46" s="87"/>
      <c r="H46" s="74"/>
      <c r="I46" s="103">
        <v>301103</v>
      </c>
      <c r="J46" s="104" t="s">
        <v>2208</v>
      </c>
      <c r="K46" s="71"/>
      <c r="L46" s="71"/>
    </row>
    <row r="47" spans="1:12" s="69" customFormat="1" ht="14.25" customHeight="1">
      <c r="A47" s="86"/>
      <c r="B47" s="86" t="str">
        <f t="shared" si="4"/>
        <v>307088</v>
      </c>
      <c r="C47" s="138" t="str">
        <f>engsel4</f>
        <v>ENGSEL BIFOLD</v>
      </c>
      <c r="D47" s="135">
        <f t="shared" si="5"/>
        <v>0</v>
      </c>
      <c r="E47" s="86" t="s">
        <v>2230</v>
      </c>
      <c r="F47" s="87"/>
      <c r="H47" s="74"/>
      <c r="I47" s="103">
        <v>301103</v>
      </c>
      <c r="J47" s="104" t="s">
        <v>2208</v>
      </c>
      <c r="K47" s="71"/>
      <c r="L47" s="71"/>
    </row>
    <row r="48" spans="1:12" s="69" customFormat="1" ht="14.25" customHeight="1">
      <c r="A48" s="86"/>
      <c r="B48" s="86">
        <f t="shared" si="4"/>
        <v>307288</v>
      </c>
      <c r="C48" s="138" t="str">
        <f>engsel5</f>
        <v>ENGSEL 79M9550 BLIND CORNER</v>
      </c>
      <c r="D48" s="135">
        <f t="shared" si="5"/>
        <v>0</v>
      </c>
      <c r="E48" s="86" t="s">
        <v>2230</v>
      </c>
      <c r="F48" s="87"/>
      <c r="H48" s="74"/>
      <c r="I48" s="103">
        <v>301103</v>
      </c>
      <c r="J48" s="104" t="s">
        <v>2208</v>
      </c>
      <c r="K48" s="71"/>
      <c r="L48" s="71"/>
    </row>
    <row r="49" spans="1:12" s="69" customFormat="1" ht="14.25" customHeight="1">
      <c r="A49" s="86"/>
      <c r="B49" s="86">
        <f t="shared" si="4"/>
        <v>317177</v>
      </c>
      <c r="C49" s="138" t="str">
        <f>engsel6</f>
        <v>ENGSEL  S 8657i B12 TH52</v>
      </c>
      <c r="D49" s="135">
        <f t="shared" si="5"/>
        <v>0</v>
      </c>
      <c r="E49" s="86" t="s">
        <v>2230</v>
      </c>
      <c r="F49" s="87"/>
      <c r="H49" s="74"/>
      <c r="I49" s="103"/>
      <c r="J49" s="104"/>
      <c r="K49" s="71"/>
      <c r="L49" s="71"/>
    </row>
    <row r="50" spans="1:12" s="69" customFormat="1" ht="14.25" customHeight="1">
      <c r="A50" s="86"/>
      <c r="B50" s="86">
        <f t="shared" si="4"/>
        <v>307092</v>
      </c>
      <c r="C50" s="138" t="str">
        <f>engsel7</f>
        <v>ENGSEL 9936 W45 C6</v>
      </c>
      <c r="D50" s="135">
        <f t="shared" si="5"/>
        <v>0</v>
      </c>
      <c r="E50" s="86" t="s">
        <v>2230</v>
      </c>
      <c r="F50" s="87"/>
      <c r="H50" s="74"/>
      <c r="I50" s="103"/>
      <c r="J50" s="104"/>
      <c r="K50" s="71"/>
      <c r="L50" s="71"/>
    </row>
    <row r="51" spans="1:12" s="69" customFormat="1" ht="26">
      <c r="A51" s="86"/>
      <c r="B51" s="411">
        <f t="shared" si="4"/>
        <v>317117</v>
      </c>
      <c r="C51" s="469" t="str">
        <f>engsel8</f>
        <v>Engsel Sensys Full Bengkok C 16-110 DERAJAT 907 1207</v>
      </c>
      <c r="D51" s="135">
        <f t="shared" si="5"/>
        <v>0</v>
      </c>
      <c r="E51" s="411" t="s">
        <v>2230</v>
      </c>
      <c r="F51" s="87"/>
      <c r="H51" s="74"/>
      <c r="I51" s="103"/>
      <c r="J51" s="104"/>
      <c r="K51" s="71"/>
      <c r="L51" s="71"/>
    </row>
    <row r="52" spans="1:12" s="69" customFormat="1" ht="14.25" customHeight="1">
      <c r="A52" s="86"/>
      <c r="B52" s="86">
        <f t="shared" si="4"/>
        <v>307086</v>
      </c>
      <c r="C52" s="138" t="str">
        <f>engsel9</f>
        <v>ENGSEL MEPLA FLAP DOOR</v>
      </c>
      <c r="D52" s="135">
        <f t="shared" si="5"/>
        <v>0</v>
      </c>
      <c r="E52" s="86" t="s">
        <v>2230</v>
      </c>
      <c r="F52" s="87"/>
      <c r="H52" s="74"/>
      <c r="I52" s="103"/>
      <c r="J52" s="104"/>
      <c r="K52" s="71"/>
      <c r="L52" s="71"/>
    </row>
    <row r="53" spans="1:12" s="69" customFormat="1" ht="14.25" customHeight="1">
      <c r="A53" s="86"/>
      <c r="B53" s="86">
        <f t="shared" si="4"/>
        <v>307367</v>
      </c>
      <c r="C53" s="138" t="str">
        <f>engsel10</f>
        <v>RDK-52A FOLDING HINGE</v>
      </c>
      <c r="D53" s="135">
        <f t="shared" si="5"/>
        <v>0</v>
      </c>
      <c r="E53" s="86" t="s">
        <v>2230</v>
      </c>
      <c r="F53" s="87"/>
      <c r="H53" s="74"/>
      <c r="I53" s="103"/>
      <c r="J53" s="104"/>
      <c r="K53" s="71"/>
      <c r="L53" s="71"/>
    </row>
    <row r="54" spans="1:12" s="69" customFormat="1" ht="14.25" customHeight="1">
      <c r="A54" s="86"/>
      <c r="B54" s="86"/>
      <c r="C54" s="136"/>
      <c r="D54" s="135"/>
      <c r="E54" s="86"/>
      <c r="F54" s="87"/>
      <c r="H54" s="74"/>
      <c r="I54" s="103"/>
      <c r="J54" s="104"/>
      <c r="K54" s="71"/>
      <c r="L54" s="71"/>
    </row>
    <row r="55" spans="1:12" s="69" customFormat="1" ht="14.25" customHeight="1">
      <c r="A55" s="86"/>
      <c r="B55" s="86" t="str">
        <f t="shared" si="4"/>
        <v>307098</v>
      </c>
      <c r="C55" s="136" t="str">
        <f>wl77_2pintu</f>
        <v>WING LINE 77,2 PNT</v>
      </c>
      <c r="D55" s="135">
        <f>SUMIF(EI,C55,jumlah_pemakaian)</f>
        <v>0</v>
      </c>
      <c r="E55" s="86" t="s">
        <v>3091</v>
      </c>
      <c r="F55" s="87"/>
      <c r="H55" s="74"/>
      <c r="I55" s="103"/>
      <c r="J55" s="104"/>
      <c r="K55" s="71"/>
      <c r="L55" s="71"/>
    </row>
    <row r="56" spans="1:12" s="69" customFormat="1" ht="14.25" customHeight="1">
      <c r="A56" s="86"/>
      <c r="B56" s="86" t="str">
        <f t="shared" si="4"/>
        <v>…</v>
      </c>
      <c r="C56" s="136" t="str">
        <f>wl77_ra</f>
        <v>RUNNER PROFLE 072918</v>
      </c>
      <c r="D56" s="135">
        <f>+D55/2</f>
        <v>0</v>
      </c>
      <c r="E56" s="86" t="s">
        <v>2392</v>
      </c>
      <c r="F56" s="87"/>
      <c r="H56" s="74"/>
      <c r="I56" s="103"/>
      <c r="J56" s="104"/>
      <c r="K56" s="71"/>
      <c r="L56" s="71"/>
    </row>
    <row r="57" spans="1:12" s="69" customFormat="1" ht="14.25" customHeight="1">
      <c r="A57" s="86"/>
      <c r="B57" s="86" t="str">
        <f t="shared" si="4"/>
        <v>…</v>
      </c>
      <c r="C57" s="136" t="str">
        <f>wl77_rb</f>
        <v>GUIDE PROFILE 072919</v>
      </c>
      <c r="D57" s="135">
        <f>+D55/2</f>
        <v>0</v>
      </c>
      <c r="E57" s="86" t="s">
        <v>2392</v>
      </c>
      <c r="F57" s="87"/>
      <c r="H57" s="74"/>
      <c r="I57" s="103"/>
      <c r="J57" s="104"/>
      <c r="K57" s="71"/>
      <c r="L57" s="71"/>
    </row>
    <row r="58" spans="1:12" s="69" customFormat="1" ht="14.25" customHeight="1">
      <c r="A58" s="86"/>
      <c r="B58" s="86"/>
      <c r="C58" s="136"/>
      <c r="D58" s="135"/>
      <c r="E58" s="86"/>
      <c r="F58" s="87"/>
      <c r="H58" s="74"/>
      <c r="I58" s="103"/>
      <c r="J58" s="104"/>
      <c r="K58" s="71"/>
      <c r="L58" s="71"/>
    </row>
    <row r="59" spans="1:12" s="69" customFormat="1" ht="14.25" customHeight="1">
      <c r="A59" s="86"/>
      <c r="B59" s="86" t="str">
        <f>IFERROR(INDEX((ID),MATCH(C59,BARANG,0)),"…")</f>
        <v>307095</v>
      </c>
      <c r="C59" s="136" t="str">
        <f>wl230_4pintu</f>
        <v>WING LINE 230SET,4PINTU</v>
      </c>
      <c r="D59" s="135">
        <v>0</v>
      </c>
      <c r="E59" s="86" t="s">
        <v>2306</v>
      </c>
      <c r="F59" s="87"/>
      <c r="H59" s="74"/>
      <c r="I59" s="103"/>
      <c r="J59" s="104"/>
      <c r="K59" s="71"/>
      <c r="L59" s="71"/>
    </row>
    <row r="60" spans="1:12" s="69" customFormat="1" ht="14.25" customHeight="1">
      <c r="A60" s="86"/>
      <c r="B60" s="86" t="str">
        <f>IFERROR(INDEX((ID),MATCH(C60,BARANG,0)),"…")</f>
        <v>…</v>
      </c>
      <c r="C60" s="136" t="str">
        <f>wl230_ra</f>
        <v xml:space="preserve">RUNNER PROFILE 079013, </v>
      </c>
      <c r="D60" s="135">
        <v>0</v>
      </c>
      <c r="E60" s="86" t="s">
        <v>2931</v>
      </c>
      <c r="F60" s="87"/>
      <c r="H60" s="74"/>
      <c r="I60" s="103"/>
      <c r="J60" s="104"/>
      <c r="K60" s="71"/>
      <c r="L60" s="71"/>
    </row>
    <row r="61" spans="1:12" s="69" customFormat="1" ht="14.25" customHeight="1">
      <c r="A61" s="86"/>
      <c r="B61" s="86"/>
      <c r="C61" s="138"/>
      <c r="D61" s="135"/>
      <c r="E61" s="86"/>
      <c r="F61" s="87"/>
      <c r="H61" s="74"/>
      <c r="I61" s="103"/>
      <c r="J61" s="104"/>
      <c r="K61" s="71"/>
      <c r="L61" s="71"/>
    </row>
    <row r="62" spans="1:12" s="69" customFormat="1" ht="14.25" customHeight="1">
      <c r="A62" s="86"/>
      <c r="B62" s="86">
        <f>IFERROR(INDEX((ID),MATCH(C62,BARANG,0)),"…")</f>
        <v>307367</v>
      </c>
      <c r="C62" s="138" t="str">
        <f>engsel10</f>
        <v>RDK-52A FOLDING HINGE</v>
      </c>
      <c r="D62" s="135">
        <f>SUMIF(EI,C62,E)</f>
        <v>0</v>
      </c>
      <c r="E62" s="86" t="s">
        <v>2230</v>
      </c>
      <c r="F62" s="87"/>
      <c r="H62" s="74"/>
      <c r="I62" s="103">
        <v>301103</v>
      </c>
      <c r="J62" s="104" t="s">
        <v>2208</v>
      </c>
      <c r="K62" s="71"/>
      <c r="L62" s="71"/>
    </row>
    <row r="63" spans="1:12" s="69" customFormat="1" ht="16">
      <c r="A63" s="86"/>
      <c r="B63" s="411">
        <f>IFERROR(INDEX((ID),MATCH(C63,BARANG,0)),"…")</f>
        <v>317948</v>
      </c>
      <c r="C63" s="469" t="str">
        <f>roda_atas_fold_formwell</f>
        <v>TOP ADJUSTABLE ART 869 SLIDE WITH 6 BERINGS</v>
      </c>
      <c r="D63" s="61">
        <v>0</v>
      </c>
      <c r="E63" s="411" t="s">
        <v>2306</v>
      </c>
      <c r="F63" s="87"/>
      <c r="H63" s="74"/>
      <c r="I63" s="103"/>
      <c r="J63" s="104"/>
      <c r="K63" s="71"/>
      <c r="L63" s="71"/>
    </row>
    <row r="64" spans="1:12" s="69" customFormat="1" ht="14.25" customHeight="1">
      <c r="A64" s="86"/>
      <c r="B64" s="86">
        <f>IFERROR(INDEX((ID),MATCH(C64,BARANG,0)),"…")</f>
        <v>307193</v>
      </c>
      <c r="C64" s="138" t="str">
        <f>rel_atas_fold_formwell</f>
        <v>1080A TRACK IN 2000</v>
      </c>
      <c r="D64" s="61">
        <v>0</v>
      </c>
      <c r="E64" s="86" t="s">
        <v>2230</v>
      </c>
      <c r="F64" s="87"/>
      <c r="H64" s="74"/>
      <c r="I64" s="103"/>
      <c r="J64" s="104"/>
      <c r="K64" s="71"/>
      <c r="L64" s="71"/>
    </row>
    <row r="65" spans="1:12" s="69" customFormat="1" ht="14.25" customHeight="1">
      <c r="A65" s="86"/>
      <c r="B65" s="86"/>
      <c r="C65" s="138"/>
      <c r="D65" s="135"/>
      <c r="E65" s="86"/>
      <c r="F65" s="87"/>
      <c r="H65" s="74"/>
      <c r="I65" s="103"/>
      <c r="J65" s="104"/>
      <c r="K65" s="71"/>
      <c r="L65" s="71"/>
    </row>
    <row r="66" spans="1:12" s="69" customFormat="1" ht="14.25" customHeight="1">
      <c r="A66" s="86"/>
      <c r="B66" s="86" t="str">
        <f>IFERROR(INDEX((ID),MATCH(C66,BARANG,0)),"…")</f>
        <v>307371</v>
      </c>
      <c r="C66" s="138" t="str">
        <f>sl_56_kit</f>
        <v>SLIDE LINE 56-2 PINTU</v>
      </c>
      <c r="D66" s="135">
        <v>0</v>
      </c>
      <c r="E66" s="86" t="s">
        <v>2306</v>
      </c>
      <c r="F66" s="87"/>
      <c r="H66" s="74"/>
      <c r="I66" s="103"/>
      <c r="J66" s="104"/>
      <c r="K66" s="71"/>
      <c r="L66" s="71"/>
    </row>
    <row r="67" spans="1:12" s="69" customFormat="1" ht="14.25" customHeight="1">
      <c r="A67" s="86"/>
      <c r="B67" s="86" t="str">
        <f>IFERROR(INDEX((ID),MATCH(C67,BARANG,0)),"…")</f>
        <v>307373</v>
      </c>
      <c r="C67" s="138" t="str">
        <f>sl_56_track</f>
        <v>REL SLIDE LINE 56 P.3 MTR</v>
      </c>
      <c r="D67" s="135">
        <v>0</v>
      </c>
      <c r="E67" s="86" t="s">
        <v>2224</v>
      </c>
      <c r="F67" s="87"/>
      <c r="H67" s="74"/>
      <c r="I67" s="103"/>
      <c r="J67" s="104"/>
      <c r="K67" s="71"/>
      <c r="L67" s="71"/>
    </row>
    <row r="68" spans="1:12" s="69" customFormat="1" ht="14.25" customHeight="1">
      <c r="A68" s="86"/>
      <c r="B68" s="86"/>
      <c r="C68" s="138"/>
      <c r="D68" s="135"/>
      <c r="E68" s="86"/>
      <c r="F68" s="87"/>
      <c r="H68" s="74"/>
      <c r="I68" s="103"/>
      <c r="J68" s="104"/>
      <c r="K68" s="71"/>
      <c r="L68" s="71"/>
    </row>
    <row r="69" spans="1:12" s="69" customFormat="1" ht="14.25" customHeight="1">
      <c r="A69" s="86"/>
      <c r="B69" s="86"/>
      <c r="C69" s="138"/>
      <c r="D69" s="135"/>
      <c r="E69" s="86"/>
      <c r="F69" s="87"/>
      <c r="H69" s="74"/>
      <c r="I69" s="103"/>
      <c r="J69" s="104"/>
      <c r="K69" s="71"/>
      <c r="L69" s="71"/>
    </row>
    <row r="70" spans="1:12" s="69" customFormat="1" ht="14.25" customHeight="1">
      <c r="A70" s="86"/>
      <c r="B70" s="86"/>
      <c r="C70" s="138"/>
      <c r="D70" s="135"/>
      <c r="E70" s="86"/>
      <c r="F70" s="87"/>
      <c r="H70" s="74"/>
      <c r="I70" s="103"/>
      <c r="J70" s="104"/>
      <c r="K70" s="71"/>
      <c r="L70" s="71"/>
    </row>
    <row r="71" spans="1:12" s="69" customFormat="1" ht="14.25" customHeight="1">
      <c r="A71" s="86"/>
      <c r="B71" s="86" t="str">
        <f>IFERROR(INDEX((ID),MATCH(C71,BARANG,0)),"…")</f>
        <v>307252</v>
      </c>
      <c r="C71" s="138" t="str">
        <f>PD_blum_55</f>
        <v>POCKET DOOR 55 CM</v>
      </c>
      <c r="D71" s="61">
        <v>0</v>
      </c>
      <c r="E71" s="86" t="s">
        <v>2306</v>
      </c>
      <c r="F71" s="87"/>
      <c r="H71" s="74"/>
      <c r="I71" s="103"/>
      <c r="J71" s="104"/>
      <c r="K71" s="71"/>
      <c r="L71" s="71"/>
    </row>
    <row r="72" spans="1:12" s="69" customFormat="1" ht="14.25" customHeight="1">
      <c r="A72" s="86"/>
      <c r="B72" s="86"/>
      <c r="C72" s="138"/>
      <c r="D72" s="61"/>
      <c r="E72" s="86"/>
      <c r="F72" s="87"/>
      <c r="H72" s="74"/>
      <c r="I72" s="103"/>
      <c r="J72" s="104"/>
      <c r="K72" s="71"/>
      <c r="L72" s="71"/>
    </row>
    <row r="73" spans="1:12" s="69" customFormat="1" ht="26">
      <c r="A73" s="86"/>
      <c r="B73" s="411" t="str">
        <f>IFERROR(INDEX((ID),MATCH(C73,BARANG,0)),"…")</f>
        <v>306821</v>
      </c>
      <c r="C73" s="469" t="str">
        <f>camar_807</f>
        <v>FIT HANGING SYSTEM FOR BASE CABINET 807 02 Z1 IN</v>
      </c>
      <c r="D73" s="61">
        <v>0</v>
      </c>
      <c r="E73" s="411" t="s">
        <v>2306</v>
      </c>
      <c r="F73" s="87"/>
      <c r="H73" s="74"/>
      <c r="I73" s="103"/>
      <c r="J73" s="104"/>
      <c r="K73" s="71"/>
      <c r="L73" s="71"/>
    </row>
    <row r="74" spans="1:12" s="69" customFormat="1" ht="14.25" customHeight="1">
      <c r="A74" s="86"/>
      <c r="B74" s="86">
        <f>IFERROR(INDEX((ID),MATCH(C74,BARANG,0)),"…")</f>
        <v>207098</v>
      </c>
      <c r="C74" s="138" t="str">
        <f>libra_h6</f>
        <v>LIBRA H 6</v>
      </c>
      <c r="D74" s="61">
        <v>0</v>
      </c>
      <c r="E74" s="86" t="s">
        <v>2306</v>
      </c>
      <c r="F74" s="87"/>
      <c r="H74" s="74"/>
      <c r="I74" s="103"/>
      <c r="J74" s="104"/>
      <c r="K74" s="71"/>
      <c r="L74" s="71"/>
    </row>
    <row r="75" spans="1:12" s="69" customFormat="1" ht="14.25" customHeight="1">
      <c r="A75" s="86"/>
      <c r="B75" s="86">
        <f>IFERROR(INDEX((ID),MATCH(C75,BARANG,0)),"…")</f>
        <v>207099</v>
      </c>
      <c r="C75" s="138" t="str">
        <f>libra_Ch</f>
        <v>LIBRA CH</v>
      </c>
      <c r="D75" s="61">
        <v>0</v>
      </c>
      <c r="E75" s="86" t="s">
        <v>2230</v>
      </c>
      <c r="F75" s="87"/>
      <c r="H75" s="74"/>
      <c r="I75" s="103"/>
      <c r="J75" s="104"/>
      <c r="K75" s="71"/>
      <c r="L75" s="71"/>
    </row>
    <row r="76" spans="1:12" s="69" customFormat="1" ht="14.25" customHeight="1">
      <c r="A76" s="86"/>
      <c r="B76" s="86"/>
      <c r="C76" s="138"/>
      <c r="D76" s="61"/>
      <c r="E76" s="86"/>
      <c r="F76" s="87"/>
      <c r="H76" s="74"/>
      <c r="I76" s="103"/>
      <c r="J76" s="104"/>
      <c r="K76" s="71"/>
      <c r="L76" s="71"/>
    </row>
    <row r="77" spans="1:12" s="69" customFormat="1" ht="14.25" customHeight="1">
      <c r="A77" s="86"/>
      <c r="B77" s="86"/>
      <c r="C77" s="138"/>
      <c r="D77" s="61"/>
      <c r="E77" s="86"/>
      <c r="F77" s="87"/>
      <c r="H77" s="74"/>
      <c r="I77" s="103"/>
      <c r="J77" s="104"/>
      <c r="K77" s="71"/>
      <c r="L77" s="71"/>
    </row>
    <row r="78" spans="1:12" s="69" customFormat="1" ht="14.25" customHeight="1">
      <c r="A78" s="86"/>
      <c r="B78" s="86">
        <f>IFERROR(INDEX((ID),MATCH(C78,BARANG,0)),"…")</f>
        <v>110088</v>
      </c>
      <c r="C78" s="138" t="str">
        <f>lapisan1</f>
        <v>WY_5216_D(V)</v>
      </c>
      <c r="D78" s="61"/>
      <c r="E78" s="86" t="s">
        <v>2361</v>
      </c>
      <c r="F78" s="90" t="s">
        <v>3477</v>
      </c>
      <c r="H78" s="74"/>
      <c r="I78" s="103"/>
      <c r="J78" s="104"/>
      <c r="K78" s="71"/>
      <c r="L78" s="71"/>
    </row>
    <row r="79" spans="1:12" s="69" customFormat="1" ht="14.25" customHeight="1">
      <c r="A79" s="86"/>
      <c r="B79" s="86">
        <f>IFERROR(INDEX((ID),MATCH(C79,BARANG,0)),"…")</f>
        <v>122655</v>
      </c>
      <c r="C79" s="138" t="str">
        <f>lapisan3</f>
        <v>L-FA_0206_AP</v>
      </c>
      <c r="D79" s="61"/>
      <c r="E79" s="86" t="s">
        <v>2361</v>
      </c>
      <c r="F79" s="90" t="s">
        <v>2930</v>
      </c>
      <c r="H79" s="74"/>
      <c r="I79" s="103"/>
      <c r="J79" s="104"/>
      <c r="K79" s="71"/>
      <c r="L79" s="71"/>
    </row>
    <row r="80" spans="1:12" s="69" customFormat="1" ht="14.25" customHeight="1">
      <c r="A80" s="86"/>
      <c r="B80" s="86">
        <f>IFERROR(INDEX((ID),MATCH(C80,BARANG,0)),"…")</f>
        <v>121261</v>
      </c>
      <c r="C80" s="138" t="str">
        <f>lapisan5</f>
        <v>DXO_1338_D</v>
      </c>
      <c r="D80" s="61"/>
      <c r="E80" s="86" t="s">
        <v>2361</v>
      </c>
      <c r="F80" s="90" t="s">
        <v>2930</v>
      </c>
      <c r="H80" s="74"/>
      <c r="I80" s="103"/>
      <c r="J80" s="104"/>
      <c r="K80" s="71"/>
      <c r="L80" s="71"/>
    </row>
    <row r="81" spans="1:12" s="69" customFormat="1" ht="14.25" customHeight="1">
      <c r="A81" s="86"/>
      <c r="B81" s="86" t="str">
        <f>IFERROR(INDEX((ID),MATCH(C81,BARANG,0)),"…")</f>
        <v>…</v>
      </c>
      <c r="C81" s="138">
        <f>lapisan6</f>
        <v>0</v>
      </c>
      <c r="D81" s="61"/>
      <c r="E81" s="86" t="s">
        <v>2361</v>
      </c>
      <c r="F81" s="90" t="s">
        <v>2930</v>
      </c>
      <c r="H81" s="74"/>
      <c r="I81" s="103"/>
      <c r="J81" s="104"/>
      <c r="K81" s="71"/>
      <c r="L81" s="71"/>
    </row>
    <row r="82" spans="1:12" s="69" customFormat="1" ht="14.25" customHeight="1">
      <c r="A82" s="86"/>
      <c r="B82" s="86" t="str">
        <f>IFERROR(INDEX((ID),MATCH(C82,BARANG,0)),"…")</f>
        <v>…</v>
      </c>
      <c r="C82" s="138">
        <f>lapisan6</f>
        <v>0</v>
      </c>
      <c r="D82" s="61"/>
      <c r="E82" s="86" t="s">
        <v>2361</v>
      </c>
      <c r="F82" s="90" t="s">
        <v>2930</v>
      </c>
      <c r="H82" s="74"/>
      <c r="I82" s="103"/>
      <c r="J82" s="104"/>
      <c r="K82" s="71"/>
      <c r="L82" s="71"/>
    </row>
    <row r="83" spans="1:12" s="69" customFormat="1" ht="14.25" customHeight="1">
      <c r="A83" s="86"/>
      <c r="B83" s="86"/>
      <c r="C83" s="138"/>
      <c r="D83" s="135"/>
      <c r="E83" s="86"/>
      <c r="F83" s="87"/>
      <c r="H83" s="74"/>
      <c r="I83" s="103"/>
      <c r="J83" s="104"/>
      <c r="K83" s="71"/>
      <c r="L83" s="71"/>
    </row>
    <row r="84" spans="1:12" s="69" customFormat="1" ht="14.25" customHeight="1">
      <c r="A84" s="86"/>
      <c r="B84" s="86">
        <f t="shared" ref="B84:B89" si="6">IFERROR(INDEX((ID),MATCH(C84,BARANG,0)),"…")</f>
        <v>210481</v>
      </c>
      <c r="C84" s="95" t="str">
        <f>edgingkab1</f>
        <v>Edg_Décor_1723_B</v>
      </c>
      <c r="D84" s="443">
        <f t="shared" ref="D84:D89" si="7">ROUNDUP((SUMIF(anodizeh,C84,_2PL)/1),0)</f>
        <v>0</v>
      </c>
      <c r="E84" s="89" t="s">
        <v>2209</v>
      </c>
      <c r="F84" s="442" t="s">
        <v>2383</v>
      </c>
      <c r="H84" s="74"/>
      <c r="K84" s="78"/>
      <c r="L84" s="78"/>
    </row>
    <row r="85" spans="1:12" s="69" customFormat="1" ht="14.25" customHeight="1">
      <c r="A85" s="86"/>
      <c r="B85" s="86" t="str">
        <f t="shared" si="6"/>
        <v>…</v>
      </c>
      <c r="C85" s="95" t="str">
        <f>edgingkab2</f>
        <v>Edg_Decor_1723_B_(55x1)</v>
      </c>
      <c r="D85" s="443">
        <f t="shared" si="7"/>
        <v>0</v>
      </c>
      <c r="E85" s="89" t="s">
        <v>2209</v>
      </c>
      <c r="F85" s="442" t="s">
        <v>3835</v>
      </c>
      <c r="H85" s="74"/>
      <c r="K85" s="78"/>
      <c r="L85" s="78"/>
    </row>
    <row r="86" spans="1:12" s="69" customFormat="1" ht="14.25" customHeight="1">
      <c r="A86" s="86"/>
      <c r="B86" s="86" t="str">
        <f t="shared" si="6"/>
        <v>…</v>
      </c>
      <c r="C86" s="95" t="str">
        <f>edging1</f>
        <v>Edg_EAW_5216D1</v>
      </c>
      <c r="D86" s="443">
        <f t="shared" si="7"/>
        <v>61</v>
      </c>
      <c r="E86" s="89" t="s">
        <v>2209</v>
      </c>
      <c r="F86" s="442" t="s">
        <v>2383</v>
      </c>
      <c r="H86" s="74"/>
      <c r="K86" s="78"/>
      <c r="L86" s="78"/>
    </row>
    <row r="87" spans="1:12" s="69" customFormat="1" ht="14.25" customHeight="1">
      <c r="A87" s="86"/>
      <c r="B87" s="86">
        <f t="shared" si="6"/>
        <v>220577</v>
      </c>
      <c r="C87" s="95" t="str">
        <f>edging2</f>
        <v>Edg_EAW_5216_D1(44x1)</v>
      </c>
      <c r="D87" s="443">
        <f t="shared" si="7"/>
        <v>0</v>
      </c>
      <c r="E87" s="89" t="s">
        <v>2209</v>
      </c>
      <c r="F87" s="442" t="s">
        <v>3835</v>
      </c>
      <c r="H87" s="74"/>
      <c r="K87" s="78"/>
      <c r="L87" s="78"/>
    </row>
    <row r="88" spans="1:12" s="69" customFormat="1" ht="14.25" customHeight="1">
      <c r="A88" s="86"/>
      <c r="B88" s="86">
        <f t="shared" si="6"/>
        <v>220861</v>
      </c>
      <c r="C88" s="95" t="str">
        <f>edging3</f>
        <v>Edg_DSS_00206_SM</v>
      </c>
      <c r="D88" s="443">
        <f t="shared" si="7"/>
        <v>0</v>
      </c>
      <c r="E88" s="89" t="s">
        <v>2209</v>
      </c>
      <c r="F88" s="442" t="s">
        <v>2383</v>
      </c>
      <c r="H88" s="74"/>
      <c r="K88" s="78"/>
      <c r="L88" s="78"/>
    </row>
    <row r="89" spans="1:12" s="69" customFormat="1" ht="14.25" customHeight="1">
      <c r="A89" s="86"/>
      <c r="B89" s="86">
        <f t="shared" si="6"/>
        <v>221110</v>
      </c>
      <c r="C89" s="95" t="str">
        <f>edging4</f>
        <v>Edg_DSS_00206_SM(45X1)</v>
      </c>
      <c r="D89" s="443">
        <f t="shared" si="7"/>
        <v>0</v>
      </c>
      <c r="E89" s="89" t="s">
        <v>2209</v>
      </c>
      <c r="F89" s="442" t="s">
        <v>3835</v>
      </c>
      <c r="H89" s="74"/>
      <c r="K89" s="78"/>
      <c r="L89" s="78"/>
    </row>
    <row r="90" spans="1:12" s="69" customFormat="1" ht="14.25" customHeight="1">
      <c r="A90" s="86"/>
      <c r="B90" s="86"/>
      <c r="C90" s="95"/>
      <c r="D90" s="443"/>
      <c r="E90" s="89"/>
      <c r="F90" s="442"/>
      <c r="H90" s="74"/>
      <c r="K90" s="78"/>
      <c r="L90" s="78"/>
    </row>
    <row r="91" spans="1:12" s="69" customFormat="1" ht="14.25" customHeight="1">
      <c r="A91" s="86"/>
      <c r="B91" s="86">
        <f t="shared" ref="B91:B96" si="8">IFERROR(INDEX((ID),MATCH(C91,BARANG,0)),"…")</f>
        <v>210481</v>
      </c>
      <c r="C91" s="95" t="str">
        <f>edgingkab1</f>
        <v>Edg_Décor_1723_B</v>
      </c>
      <c r="D91" s="443">
        <f t="shared" ref="D91:D96" si="9">ROUNDUP((SUMIF(anodizev,C91,_2PL)/1),0)</f>
        <v>0</v>
      </c>
      <c r="E91" s="89" t="s">
        <v>2209</v>
      </c>
      <c r="F91" s="442" t="s">
        <v>2382</v>
      </c>
      <c r="H91" s="74"/>
      <c r="K91" s="78"/>
      <c r="L91" s="78"/>
    </row>
    <row r="92" spans="1:12" s="69" customFormat="1" ht="14.25" customHeight="1">
      <c r="A92" s="86"/>
      <c r="B92" s="86" t="str">
        <f t="shared" si="8"/>
        <v>…</v>
      </c>
      <c r="C92" s="95" t="str">
        <f>edgingkab2</f>
        <v>Edg_Decor_1723_B_(55x1)</v>
      </c>
      <c r="D92" s="443">
        <f t="shared" si="9"/>
        <v>0</v>
      </c>
      <c r="E92" s="89" t="s">
        <v>2209</v>
      </c>
      <c r="F92" s="442" t="s">
        <v>3833</v>
      </c>
      <c r="H92" s="74"/>
      <c r="K92" s="78"/>
      <c r="L92" s="78"/>
    </row>
    <row r="93" spans="1:12" s="69" customFormat="1" ht="14.25" customHeight="1">
      <c r="A93" s="86"/>
      <c r="B93" s="86" t="str">
        <f t="shared" si="8"/>
        <v>…</v>
      </c>
      <c r="C93" s="95" t="str">
        <f>edging1</f>
        <v>Edg_EAW_5216D1</v>
      </c>
      <c r="D93" s="443">
        <f t="shared" si="9"/>
        <v>0</v>
      </c>
      <c r="E93" s="89" t="s">
        <v>2209</v>
      </c>
      <c r="F93" s="442" t="s">
        <v>2382</v>
      </c>
      <c r="H93" s="74"/>
      <c r="K93" s="78"/>
      <c r="L93" s="78"/>
    </row>
    <row r="94" spans="1:12" s="69" customFormat="1" ht="14.25" customHeight="1">
      <c r="A94" s="86"/>
      <c r="B94" s="86">
        <f t="shared" si="8"/>
        <v>220577</v>
      </c>
      <c r="C94" s="95" t="str">
        <f>edging2</f>
        <v>Edg_EAW_5216_D1(44x1)</v>
      </c>
      <c r="D94" s="443">
        <f t="shared" si="9"/>
        <v>0</v>
      </c>
      <c r="E94" s="89" t="s">
        <v>2209</v>
      </c>
      <c r="F94" s="442" t="s">
        <v>3834</v>
      </c>
      <c r="H94" s="74"/>
      <c r="K94" s="78"/>
      <c r="L94" s="78"/>
    </row>
    <row r="95" spans="1:12" s="69" customFormat="1" ht="14.25" customHeight="1">
      <c r="A95" s="86"/>
      <c r="B95" s="86">
        <f t="shared" si="8"/>
        <v>220861</v>
      </c>
      <c r="C95" s="95" t="str">
        <f>edging3</f>
        <v>Edg_DSS_00206_SM</v>
      </c>
      <c r="D95" s="443">
        <f t="shared" si="9"/>
        <v>0</v>
      </c>
      <c r="E95" s="89" t="s">
        <v>2209</v>
      </c>
      <c r="F95" s="442" t="s">
        <v>2382</v>
      </c>
      <c r="H95" s="74"/>
      <c r="K95" s="78"/>
      <c r="L95" s="78"/>
    </row>
    <row r="96" spans="1:12" s="69" customFormat="1" ht="14.25" customHeight="1">
      <c r="A96" s="86"/>
      <c r="B96" s="86">
        <f t="shared" si="8"/>
        <v>221110</v>
      </c>
      <c r="C96" s="95" t="str">
        <f>edging4</f>
        <v>Edg_DSS_00206_SM(45X1)</v>
      </c>
      <c r="D96" s="443">
        <f t="shared" si="9"/>
        <v>0</v>
      </c>
      <c r="E96" s="89" t="s">
        <v>2209</v>
      </c>
      <c r="F96" s="442" t="s">
        <v>3833</v>
      </c>
      <c r="H96" s="74"/>
      <c r="K96" s="78"/>
      <c r="L96" s="78"/>
    </row>
    <row r="97" spans="1:12" s="69" customFormat="1" ht="14.25" customHeight="1">
      <c r="A97" s="86"/>
      <c r="B97" s="86"/>
      <c r="C97" s="95"/>
      <c r="D97" s="444"/>
      <c r="E97" s="89"/>
      <c r="F97" s="90"/>
      <c r="H97" s="74"/>
      <c r="K97" s="78"/>
      <c r="L97" s="78"/>
    </row>
    <row r="98" spans="1:12" s="69" customFormat="1" ht="14.25" customHeight="1">
      <c r="A98" s="86"/>
      <c r="B98" s="86"/>
      <c r="C98" s="95"/>
      <c r="D98" s="444"/>
      <c r="E98" s="89"/>
      <c r="F98" s="90"/>
      <c r="H98" s="74"/>
      <c r="K98" s="78"/>
      <c r="L98" s="78"/>
    </row>
    <row r="99" spans="1:12" s="69" customFormat="1" ht="14.25" customHeight="1">
      <c r="A99" s="86"/>
      <c r="B99" s="86"/>
      <c r="C99" s="95"/>
      <c r="D99" s="88"/>
      <c r="E99" s="89"/>
      <c r="F99" s="90"/>
      <c r="H99" s="74"/>
      <c r="K99" s="78"/>
      <c r="L99" s="78"/>
    </row>
    <row r="100" spans="1:12" s="69" customFormat="1" ht="14.25" customHeight="1">
      <c r="A100" s="86"/>
      <c r="B100" s="86">
        <f>IFERROR(INDEX((ID),MATCH(C100,BARANG,0)),"…")</f>
        <v>114611</v>
      </c>
      <c r="C100" s="136" t="str">
        <f>acrylic_mled</f>
        <v>ACRYLIC SUSU 2 MM 12X1220</v>
      </c>
      <c r="D100" s="88">
        <f>ROUNDUP(jumlah_mled*3000/1220,0)+10%+jumlah_mled_manual</f>
        <v>5.0999999999999996</v>
      </c>
      <c r="E100" s="86" t="s">
        <v>2224</v>
      </c>
      <c r="F100" s="87"/>
      <c r="H100" s="74"/>
      <c r="K100" s="78"/>
      <c r="L100" s="78"/>
    </row>
    <row r="101" spans="1:12" s="69" customFormat="1" ht="14.25" customHeight="1">
      <c r="A101" s="86"/>
      <c r="B101" s="86"/>
      <c r="C101" s="95"/>
      <c r="D101" s="88"/>
      <c r="E101" s="89"/>
      <c r="F101" s="90"/>
      <c r="H101" s="74"/>
      <c r="K101" s="78"/>
      <c r="L101" s="78"/>
    </row>
    <row r="102" spans="1:12" s="69" customFormat="1" ht="14.25" customHeight="1">
      <c r="A102" s="86"/>
      <c r="B102" s="86" t="str">
        <f>IFERROR(INDEX((ID),MATCH(C102,BARANG,0)),"…")</f>
        <v>205713</v>
      </c>
      <c r="C102" s="95" t="str">
        <f>plat_join</f>
        <v>PLAT JOIN 50X50X0.5</v>
      </c>
      <c r="D102" s="61">
        <v>0</v>
      </c>
      <c r="E102" s="89" t="s">
        <v>2230</v>
      </c>
      <c r="F102" s="90"/>
      <c r="H102" s="74"/>
      <c r="K102" s="78"/>
      <c r="L102" s="78"/>
    </row>
    <row r="103" spans="1:12" s="69" customFormat="1" ht="14.25" customHeight="1">
      <c r="A103" s="86"/>
      <c r="B103" s="86"/>
      <c r="C103" s="95"/>
      <c r="D103" s="444"/>
      <c r="E103" s="89"/>
      <c r="F103" s="90"/>
      <c r="H103" s="74"/>
      <c r="K103" s="78"/>
      <c r="L103" s="78"/>
    </row>
    <row r="104" spans="1:12" s="69" customFormat="1" ht="14.25" customHeight="1">
      <c r="A104" s="86"/>
      <c r="B104" s="86"/>
      <c r="C104" s="95"/>
      <c r="D104" s="444"/>
      <c r="E104" s="89"/>
      <c r="F104" s="90"/>
      <c r="H104" s="74"/>
      <c r="K104" s="78"/>
      <c r="L104" s="78"/>
    </row>
    <row r="105" spans="1:12" s="69" customFormat="1" ht="14.25" customHeight="1">
      <c r="A105" s="86"/>
      <c r="B105" s="86"/>
      <c r="C105" s="95"/>
      <c r="D105" s="444"/>
      <c r="E105" s="89"/>
      <c r="F105" s="90"/>
      <c r="H105" s="74"/>
      <c r="K105" s="78"/>
      <c r="L105" s="78"/>
    </row>
    <row r="106" spans="1:12" s="69" customFormat="1" ht="14.25" customHeight="1">
      <c r="A106" s="86"/>
      <c r="B106" s="86"/>
      <c r="C106" s="95"/>
      <c r="D106" s="444"/>
      <c r="E106" s="89"/>
      <c r="F106" s="90"/>
      <c r="H106" s="74"/>
      <c r="K106" s="78"/>
      <c r="L106" s="78"/>
    </row>
    <row r="107" spans="1:12" s="69" customFormat="1" ht="14.25" customHeight="1">
      <c r="A107" s="86"/>
      <c r="B107" s="86">
        <f>IFERROR(INDEX((ID),MATCH(C107,BARANG,0)),"…")</f>
        <v>206029</v>
      </c>
      <c r="C107" s="95" t="str">
        <f>sikubr</f>
        <v>SIKU BR 012</v>
      </c>
      <c r="D107" s="135">
        <f>ROUNDUP((SUMIF(siku_joint,C107,jumlah_pemakaian)*3),0)</f>
        <v>3</v>
      </c>
      <c r="E107" s="89" t="s">
        <v>2230</v>
      </c>
      <c r="F107" s="90"/>
      <c r="H107" s="74"/>
      <c r="K107" s="78"/>
      <c r="L107" s="78"/>
    </row>
    <row r="108" spans="1:12" s="69" customFormat="1" ht="14.25" customHeight="1">
      <c r="A108" s="89"/>
      <c r="B108" s="86"/>
      <c r="C108" s="95"/>
      <c r="D108" s="89"/>
      <c r="E108" s="89"/>
      <c r="F108" s="90"/>
      <c r="H108" s="74"/>
      <c r="K108" s="78"/>
      <c r="L108" s="78"/>
    </row>
    <row r="109" spans="1:12" s="69" customFormat="1" ht="39">
      <c r="A109" s="89"/>
      <c r="B109" s="411">
        <f>IFERROR(INDEX((ID),MATCH(C109,BARANG,0)),"…")</f>
        <v>3065886</v>
      </c>
      <c r="C109" s="622" t="str">
        <f>m_grill_01</f>
        <v>M-GRILL 01 COKLAT DOFF</v>
      </c>
      <c r="D109" s="135">
        <f>ROUNDUP((SUMIF(siku_joint,C109,jumlah_pemakaian)),0)</f>
        <v>0</v>
      </c>
      <c r="E109" s="412" t="s">
        <v>2230</v>
      </c>
      <c r="F109" s="621" t="s">
        <v>3508</v>
      </c>
      <c r="H109" s="74"/>
      <c r="K109" s="78"/>
      <c r="L109" s="78"/>
    </row>
    <row r="110" spans="1:12" s="69" customFormat="1" ht="14.25" customHeight="1">
      <c r="A110" s="86"/>
      <c r="B110" s="86"/>
      <c r="C110" s="95"/>
      <c r="D110" s="89"/>
      <c r="E110" s="89"/>
      <c r="F110" s="90"/>
      <c r="H110" s="74"/>
      <c r="K110" s="78"/>
      <c r="L110" s="78"/>
    </row>
    <row r="111" spans="1:12" s="69" customFormat="1" ht="26">
      <c r="A111" s="89"/>
      <c r="B111" s="411" t="str">
        <f>IFERROR(INDEX((ID),MATCH(C111,BARANG,0)),"…")</f>
        <v>306821</v>
      </c>
      <c r="C111" s="469" t="str">
        <f>camar_807</f>
        <v>FIT HANGING SYSTEM FOR BASE CABINET 807 02 Z1 IN</v>
      </c>
      <c r="D111" s="135">
        <f>ROUNDUP((SUMIF(siku_joint,C111,jumlah_pemakaian)),0)</f>
        <v>0</v>
      </c>
      <c r="E111" s="411" t="s">
        <v>2306</v>
      </c>
      <c r="F111" s="90"/>
      <c r="H111" s="74"/>
      <c r="K111" s="78"/>
      <c r="L111" s="78"/>
    </row>
    <row r="112" spans="1:12" s="69" customFormat="1" ht="14.25" customHeight="1">
      <c r="A112" s="89"/>
      <c r="B112" s="86">
        <f>IFERROR(INDEX((ID),MATCH(C112,BARANG,0)),"…")</f>
        <v>207098</v>
      </c>
      <c r="C112" s="138" t="str">
        <f>libra_h6</f>
        <v>LIBRA H 6</v>
      </c>
      <c r="D112" s="135">
        <f>ROUNDUP((SUMIF(siku_joint,C112,jumlah_pemakaian)),0)</f>
        <v>0</v>
      </c>
      <c r="E112" s="86" t="s">
        <v>2306</v>
      </c>
      <c r="F112" s="90"/>
      <c r="H112" s="74"/>
      <c r="K112" s="78"/>
      <c r="L112" s="78"/>
    </row>
    <row r="113" spans="1:12" s="69" customFormat="1" ht="14.25" customHeight="1">
      <c r="A113" s="89"/>
      <c r="B113" s="86">
        <f>IFERROR(INDEX((ID),MATCH(C113,BARANG,0)),"…")</f>
        <v>207099</v>
      </c>
      <c r="C113" s="138" t="str">
        <f>libra_Ch</f>
        <v>LIBRA CH</v>
      </c>
      <c r="D113" s="135">
        <f>ROUNDUP((SUMIF(siku_joint,C113,jumlah_pemakaian)),0)</f>
        <v>0</v>
      </c>
      <c r="E113" s="86" t="s">
        <v>2230</v>
      </c>
      <c r="F113" s="90"/>
      <c r="H113" s="74"/>
      <c r="K113" s="78"/>
      <c r="L113" s="78"/>
    </row>
    <row r="114" spans="1:12" s="69" customFormat="1" ht="14.25" customHeight="1">
      <c r="A114" s="89"/>
      <c r="B114" s="86"/>
      <c r="C114" s="95"/>
      <c r="D114" s="89"/>
      <c r="E114" s="89"/>
      <c r="F114" s="90"/>
      <c r="H114" s="74"/>
      <c r="K114" s="78"/>
      <c r="L114" s="78"/>
    </row>
    <row r="115" spans="1:12" s="69" customFormat="1" ht="14.25" customHeight="1">
      <c r="A115" s="89"/>
      <c r="B115" s="86"/>
      <c r="C115" s="95"/>
      <c r="D115" s="89"/>
      <c r="E115" s="89"/>
      <c r="F115" s="90"/>
      <c r="H115" s="74"/>
      <c r="K115" s="78"/>
      <c r="L115" s="78"/>
    </row>
    <row r="116" spans="1:12" s="69" customFormat="1" ht="14.25" customHeight="1">
      <c r="A116" s="89"/>
      <c r="B116" s="86"/>
      <c r="C116" s="95"/>
      <c r="D116" s="89"/>
      <c r="E116" s="89"/>
      <c r="F116" s="90"/>
      <c r="H116" s="74"/>
      <c r="K116" s="78"/>
      <c r="L116" s="78"/>
    </row>
    <row r="117" spans="1:12" s="69" customFormat="1" ht="14.25" customHeight="1">
      <c r="A117" s="89"/>
      <c r="B117" s="86"/>
      <c r="C117" s="95"/>
      <c r="D117" s="89"/>
      <c r="E117" s="89"/>
      <c r="F117" s="90"/>
      <c r="H117" s="74"/>
      <c r="K117" s="78"/>
      <c r="L117" s="78"/>
    </row>
    <row r="118" spans="1:12" s="69" customFormat="1" ht="14.25" customHeight="1">
      <c r="A118" s="89"/>
      <c r="B118" s="86" t="str">
        <f>IFERROR(INDEX((ID),MATCH(C118,BARANG,0)),"…")</f>
        <v>…</v>
      </c>
      <c r="C118" s="95" t="s">
        <v>2376</v>
      </c>
      <c r="D118" s="89">
        <v>0</v>
      </c>
      <c r="E118" s="89" t="s">
        <v>2230</v>
      </c>
      <c r="F118" s="90" t="s">
        <v>2377</v>
      </c>
      <c r="H118" s="74"/>
      <c r="K118" s="78"/>
      <c r="L118" s="78"/>
    </row>
    <row r="119" spans="1:12" s="69" customFormat="1" ht="14.25" customHeight="1">
      <c r="A119" s="89"/>
      <c r="B119" s="86"/>
      <c r="C119" s="95"/>
      <c r="D119" s="89"/>
      <c r="E119" s="89"/>
      <c r="F119" s="90"/>
      <c r="H119" s="74"/>
      <c r="K119" s="78"/>
      <c r="L119" s="78"/>
    </row>
    <row r="120" spans="1:12" s="69" customFormat="1" ht="14.25" customHeight="1">
      <c r="A120" s="89"/>
      <c r="B120" s="86"/>
      <c r="C120" s="95"/>
      <c r="D120" s="89"/>
      <c r="E120" s="89"/>
      <c r="F120" s="90"/>
      <c r="H120" s="74"/>
      <c r="K120" s="78"/>
      <c r="L120" s="78"/>
    </row>
    <row r="121" spans="1:12" s="69" customFormat="1" ht="14.25" customHeight="1">
      <c r="A121" s="89"/>
      <c r="B121" s="86"/>
      <c r="C121" s="316" t="s">
        <v>2519</v>
      </c>
      <c r="D121" s="135">
        <f>ROUNDUP((SUMIF(anodizev,C121,jumlah_pemakaian)),0)</f>
        <v>0</v>
      </c>
      <c r="E121" s="89" t="s">
        <v>2230</v>
      </c>
      <c r="F121" s="90"/>
      <c r="H121" s="74"/>
      <c r="K121" s="78"/>
      <c r="L121" s="78"/>
    </row>
    <row r="122" spans="1:12" s="69" customFormat="1" ht="14.25" customHeight="1">
      <c r="A122" s="89"/>
      <c r="B122" s="86"/>
      <c r="C122" s="95"/>
      <c r="D122" s="89"/>
      <c r="E122" s="89"/>
      <c r="F122" s="90"/>
      <c r="H122" s="74"/>
      <c r="K122" s="78"/>
      <c r="L122" s="78"/>
    </row>
    <row r="123" spans="1:12" s="69" customFormat="1" ht="14.25" customHeight="1">
      <c r="A123" s="412"/>
      <c r="B123" s="411" t="str">
        <f>IFERROR(INDEX((ID),MATCH(C123,BARANG,0)),"…")</f>
        <v>…</v>
      </c>
      <c r="C123" s="410">
        <f>prof_pintu_1</f>
        <v>0</v>
      </c>
      <c r="D123" s="135">
        <f>ROUNDUP((SUMIF(profil,C123,_2PL)/2.2),0)</f>
        <v>332</v>
      </c>
      <c r="E123" s="412" t="s">
        <v>2392</v>
      </c>
      <c r="F123" s="90" t="s">
        <v>2733</v>
      </c>
      <c r="H123" s="74"/>
      <c r="K123" s="78"/>
      <c r="L123" s="78"/>
    </row>
    <row r="124" spans="1:12" s="69" customFormat="1" ht="16">
      <c r="A124" s="412"/>
      <c r="B124" s="411">
        <f>IFERROR(INDEX((ID),MATCH(C124,BARANG,0)),"…")</f>
        <v>1115918</v>
      </c>
      <c r="C124" s="410" t="str">
        <f>prof_pintu_2</f>
        <v>PROFIL MLP 04 MDF HIJAU UK 2350X14X14</v>
      </c>
      <c r="D124" s="135">
        <f>ROUNDUP((SUMIF(profil_2,C124,_2PL)/2.2),0)</f>
        <v>0</v>
      </c>
      <c r="E124" s="412" t="s">
        <v>2392</v>
      </c>
      <c r="F124" s="90" t="s">
        <v>2733</v>
      </c>
      <c r="H124" s="74"/>
      <c r="K124" s="78"/>
      <c r="L124" s="78"/>
    </row>
    <row r="125" spans="1:12" s="69" customFormat="1" ht="14.25" customHeight="1">
      <c r="A125" s="89"/>
      <c r="B125" s="86" t="str">
        <f>IFERROR(INDEX((ID),MATCH(C125,BARANG,0)),"…")</f>
        <v>…</v>
      </c>
      <c r="C125" s="95">
        <f>Prof_pintu_3</f>
        <v>0</v>
      </c>
      <c r="D125" s="135">
        <f>ROUNDUP((SUMIF(profil_3,C125,_2PL)/2.2),0)</f>
        <v>327</v>
      </c>
      <c r="E125" s="89" t="s">
        <v>2392</v>
      </c>
      <c r="F125" s="90" t="s">
        <v>2733</v>
      </c>
      <c r="H125" s="74"/>
      <c r="K125" s="78"/>
      <c r="L125" s="78"/>
    </row>
    <row r="126" spans="1:12" s="69" customFormat="1" ht="14.25" customHeight="1">
      <c r="A126" s="89"/>
      <c r="B126" s="86" t="str">
        <f>IFERROR(INDEX((ID),MATCH(C126,BARANG,0)),"…")</f>
        <v>…</v>
      </c>
      <c r="C126" s="95">
        <f>Prof_pintu_3</f>
        <v>0</v>
      </c>
      <c r="D126" s="135">
        <f>ROUNDUP((SUMIF(profil_3,C126,jumlah_pemakaian)*4),0)</f>
        <v>724</v>
      </c>
      <c r="E126" s="89" t="s">
        <v>2230</v>
      </c>
      <c r="F126" s="90" t="s">
        <v>2733</v>
      </c>
      <c r="H126" s="74"/>
      <c r="K126" s="78"/>
      <c r="L126" s="78"/>
    </row>
    <row r="127" spans="1:12" s="69" customFormat="1" ht="25" customHeight="1">
      <c r="A127" s="412"/>
      <c r="B127" s="411" t="s">
        <v>1787</v>
      </c>
      <c r="C127" s="410" t="s">
        <v>2746</v>
      </c>
      <c r="D127" s="135">
        <f>+D126</f>
        <v>724</v>
      </c>
      <c r="E127" s="412" t="s">
        <v>2230</v>
      </c>
      <c r="F127" s="446" t="s">
        <v>2733</v>
      </c>
      <c r="H127" s="74"/>
      <c r="K127" s="78"/>
      <c r="L127" s="78"/>
    </row>
    <row r="128" spans="1:12" s="69" customFormat="1" ht="14.25" customHeight="1">
      <c r="A128" s="89"/>
      <c r="B128" s="86"/>
      <c r="C128" s="95"/>
      <c r="D128" s="135"/>
      <c r="E128" s="89"/>
      <c r="F128" s="90"/>
      <c r="H128" s="74"/>
      <c r="K128" s="78"/>
      <c r="L128" s="78"/>
    </row>
    <row r="129" spans="1:12" s="69" customFormat="1" ht="14.25" customHeight="1">
      <c r="A129" s="89"/>
      <c r="B129" s="86">
        <f>IFERROR(INDEX((ID),MATCH(C129,BARANG,0)),"…")</f>
        <v>1115908</v>
      </c>
      <c r="C129" s="95" t="str">
        <f>prof_cor_3</f>
        <v>PROFIL R5 MDF hijau 10X15X2350 (MR 02)</v>
      </c>
      <c r="D129" s="135">
        <f>ROUNDUP((SUMIF(profil_3,C129,P)/2.2),0)*2</f>
        <v>0</v>
      </c>
      <c r="E129" s="89" t="s">
        <v>2392</v>
      </c>
      <c r="F129" s="90" t="s">
        <v>2732</v>
      </c>
      <c r="H129" s="74"/>
      <c r="K129" s="78"/>
      <c r="L129" s="78"/>
    </row>
    <row r="130" spans="1:12" s="69" customFormat="1" ht="14.25" customHeight="1">
      <c r="A130" s="89"/>
      <c r="B130" s="86">
        <f>IFERROR(INDEX((ID),MATCH(C130,BARANG,0)),"…")</f>
        <v>1115908</v>
      </c>
      <c r="C130" s="95" t="str">
        <f>prof_cor_2</f>
        <v>PROFIL R5 MDF hijau 10X15X2350 (MR 02)</v>
      </c>
      <c r="D130" s="135">
        <f>ROUNDUP((SUMIF(profil_2,C130,P)/2.2),0)</f>
        <v>0</v>
      </c>
      <c r="E130" s="89" t="s">
        <v>2392</v>
      </c>
      <c r="F130" s="90" t="s">
        <v>2732</v>
      </c>
      <c r="H130" s="74"/>
      <c r="K130" s="78"/>
      <c r="L130" s="78"/>
    </row>
    <row r="131" spans="1:12" s="69" customFormat="1" ht="14.25" customHeight="1">
      <c r="A131" s="89"/>
      <c r="B131" s="86">
        <f>IFERROR(INDEX((ID),MATCH(C131,BARANG,0)),"…")</f>
        <v>1115302</v>
      </c>
      <c r="C131" s="95" t="str">
        <f>prof_cor_1</f>
        <v>PROFIL MLT 01 MDF + PLY 2440X128X24</v>
      </c>
      <c r="D131" s="135">
        <f>ROUNDUP((SUMIF(profil,C131,P)/2.2),0)</f>
        <v>0</v>
      </c>
      <c r="E131" s="89" t="s">
        <v>2392</v>
      </c>
      <c r="F131" s="90" t="s">
        <v>2732</v>
      </c>
      <c r="H131" s="74"/>
      <c r="K131" s="78"/>
      <c r="L131" s="78"/>
    </row>
    <row r="132" spans="1:12" s="69" customFormat="1" ht="14.25" customHeight="1">
      <c r="A132" s="89"/>
      <c r="B132" s="86"/>
      <c r="C132" s="95"/>
      <c r="D132" s="135"/>
      <c r="E132" s="89"/>
      <c r="F132" s="91"/>
      <c r="H132" s="74"/>
      <c r="K132" s="78"/>
      <c r="L132" s="78"/>
    </row>
    <row r="133" spans="1:12" s="69" customFormat="1" ht="14.25" customHeight="1">
      <c r="A133" s="89"/>
      <c r="B133" s="86">
        <f>IFERROR(INDEX((ID),MATCH(C133,BARANG,0)),"…")</f>
        <v>1115953</v>
      </c>
      <c r="C133" s="95" t="str">
        <f>prof_panel_3</f>
        <v>PROFIL MLP 02 MDF HIJAU UK 2350X16X17( Tidak coak)</v>
      </c>
      <c r="D133" s="135">
        <f>ROUNDUP((SUMIF(profil,C133,P)/2.2),0)</f>
        <v>0</v>
      </c>
      <c r="E133" s="89" t="s">
        <v>2230</v>
      </c>
      <c r="F133" s="91"/>
      <c r="H133" s="74"/>
      <c r="K133" s="78"/>
      <c r="L133" s="78"/>
    </row>
    <row r="134" spans="1:12" s="69" customFormat="1" ht="14.25" customHeight="1">
      <c r="A134" s="89"/>
      <c r="B134" s="86">
        <f>IFERROR(INDEX((ID),MATCH(C134,BARANG,0)),"…")</f>
        <v>1115251</v>
      </c>
      <c r="C134" s="95" t="str">
        <f>prof_panel_2</f>
        <v>PROFIL KOTAK PIRAMID 4X4</v>
      </c>
      <c r="D134" s="135">
        <f>ROUNDUP((SUMIF(profil_2,C134,P)/2.2),0)</f>
        <v>0</v>
      </c>
      <c r="E134" s="89" t="s">
        <v>2230</v>
      </c>
      <c r="F134" s="91"/>
      <c r="H134" s="74"/>
      <c r="K134" s="78"/>
      <c r="L134" s="78"/>
    </row>
    <row r="135" spans="1:12" s="69" customFormat="1" ht="14.25" customHeight="1">
      <c r="A135" s="89"/>
      <c r="B135" s="86">
        <f>IFERROR(INDEX((ID),MATCH(C135,BARANG,0)),"…")</f>
        <v>1115922</v>
      </c>
      <c r="C135" s="95" t="str">
        <f>prof_panel_1</f>
        <v>PROFIL  PT-04 MDF HIJAU P.2440</v>
      </c>
      <c r="D135" s="135">
        <f>ROUNDUP((SUMIF(profil_3,C135,P)/2.2),0)</f>
        <v>0</v>
      </c>
      <c r="E135" s="89" t="s">
        <v>2230</v>
      </c>
      <c r="F135" s="91"/>
      <c r="H135" s="74"/>
      <c r="K135" s="78"/>
      <c r="L135" s="78"/>
    </row>
    <row r="136" spans="1:12" s="69" customFormat="1" ht="14.25" customHeight="1">
      <c r="A136" s="89"/>
      <c r="B136" s="86"/>
      <c r="C136" s="95"/>
      <c r="D136" s="135"/>
      <c r="E136" s="89"/>
      <c r="F136" s="91"/>
      <c r="H136" s="74"/>
      <c r="K136" s="78"/>
      <c r="L136" s="78"/>
    </row>
    <row r="137" spans="1:12" s="69" customFormat="1" ht="25" customHeight="1">
      <c r="A137" s="412"/>
      <c r="B137" s="411">
        <f>IFERROR(INDEX((ID),MATCH(C137,BARANG,0)),"…")</f>
        <v>1115985</v>
      </c>
      <c r="C137" s="410" t="str">
        <f>prof_pl_1</f>
        <v>PROFIL PLINT MPP-01 T.100  MDF HIJAU UK:2350x100x45</v>
      </c>
      <c r="D137" s="135">
        <f>ROUNDUP((SUMIF(profil,C137,P)/2.35),0)</f>
        <v>0</v>
      </c>
      <c r="E137" s="412" t="s">
        <v>2392</v>
      </c>
      <c r="F137" s="90"/>
      <c r="H137" s="74"/>
      <c r="K137" s="78"/>
      <c r="L137" s="78"/>
    </row>
    <row r="138" spans="1:12" s="69" customFormat="1" ht="25" customHeight="1">
      <c r="A138" s="412"/>
      <c r="B138" s="411">
        <f>IFERROR(INDEX((ID),MATCH(C138,BARANG,0)),"…")</f>
        <v>1115931</v>
      </c>
      <c r="C138" s="410" t="str">
        <f>prof_pl_2</f>
        <v>PROFIL PLINT MPP-01 T.100  MDF HIJAU</v>
      </c>
      <c r="D138" s="135">
        <f>ROUNDUP((SUMIF(profil_2,C138,P)/2.35),0)</f>
        <v>0</v>
      </c>
      <c r="E138" s="412" t="s">
        <v>2392</v>
      </c>
      <c r="F138" s="463" t="s">
        <v>2893</v>
      </c>
      <c r="H138" s="74"/>
      <c r="K138" s="78"/>
      <c r="L138" s="78"/>
    </row>
    <row r="139" spans="1:12" s="69" customFormat="1" ht="14.25" customHeight="1">
      <c r="A139" s="89"/>
      <c r="B139" s="86">
        <f>IFERROR(INDEX((ID),MATCH(C139,BARANG,0)),"…")</f>
        <v>1115931</v>
      </c>
      <c r="C139" s="95" t="str">
        <f>prof_pl_3</f>
        <v>PROFIL PLINT MPP-01 T.100  MDF HIJAU</v>
      </c>
      <c r="D139" s="135">
        <f>ROUNDUP((SUMIF(profil_3,C139,_2PL)/2.2),0)</f>
        <v>0</v>
      </c>
      <c r="E139" s="89" t="s">
        <v>2392</v>
      </c>
      <c r="F139" s="91"/>
      <c r="H139" s="74"/>
      <c r="K139" s="78"/>
      <c r="L139" s="78"/>
    </row>
    <row r="140" spans="1:12" s="69" customFormat="1" ht="14.25" customHeight="1">
      <c r="A140" s="89"/>
      <c r="B140" s="86"/>
      <c r="C140" s="95"/>
      <c r="D140" s="135"/>
      <c r="E140" s="89"/>
      <c r="F140" s="91"/>
      <c r="H140" s="74"/>
      <c r="K140" s="78"/>
      <c r="L140" s="78"/>
    </row>
    <row r="141" spans="1:12" s="69" customFormat="1" ht="34">
      <c r="A141" s="412"/>
      <c r="B141" s="411">
        <f>IFERROR(INDEX((ID),MATCH(C141,BARANG,0)),"…")</f>
        <v>1115985</v>
      </c>
      <c r="C141" s="604" t="str">
        <f>prof_pl_1</f>
        <v>PROFIL PLINT MPP-01 T.100  MDF HIJAU UK:2350x100x45</v>
      </c>
      <c r="D141" s="61">
        <v>0</v>
      </c>
      <c r="E141" s="412" t="s">
        <v>2392</v>
      </c>
      <c r="F141" s="463" t="s">
        <v>2893</v>
      </c>
      <c r="G141" s="135"/>
      <c r="H141" s="74"/>
      <c r="I141" s="135">
        <f>(562+517+1141+570+20+600+1122+479+1004+1004+654+20+602+20+620+904+904+602+990)/2200</f>
        <v>5.6068181818181815</v>
      </c>
      <c r="K141" s="78"/>
      <c r="L141" s="78"/>
    </row>
    <row r="142" spans="1:12" s="69" customFormat="1" ht="14.25" customHeight="1">
      <c r="A142" s="89"/>
      <c r="B142" s="86" t="str">
        <f>IFERROR(INDEX((ID),MATCH(C142,BARANG,0)),"…")</f>
        <v>…</v>
      </c>
      <c r="C142" s="95"/>
      <c r="D142" s="135"/>
      <c r="E142" s="89"/>
      <c r="F142" s="91"/>
      <c r="H142" s="74"/>
      <c r="K142" s="78"/>
      <c r="L142" s="78"/>
    </row>
    <row r="143" spans="1:12" s="69" customFormat="1" ht="14.25" customHeight="1">
      <c r="A143" s="89"/>
      <c r="B143" s="411"/>
      <c r="C143" s="95"/>
      <c r="D143" s="89"/>
      <c r="E143" s="89"/>
      <c r="F143" s="90"/>
      <c r="H143" s="74"/>
      <c r="K143" s="78"/>
      <c r="L143" s="78"/>
    </row>
    <row r="144" spans="1:12" s="69" customFormat="1" ht="14.25" customHeight="1">
      <c r="A144" s="89"/>
      <c r="B144" s="411"/>
      <c r="C144" s="95"/>
      <c r="D144" s="89"/>
      <c r="E144" s="89"/>
      <c r="F144" s="90"/>
      <c r="H144" s="74"/>
      <c r="K144" s="78"/>
      <c r="L144" s="78"/>
    </row>
    <row r="145" spans="1:10" s="69" customFormat="1" ht="16" customHeight="1">
      <c r="A145" s="71" t="s">
        <v>2210</v>
      </c>
      <c r="B145" s="71"/>
      <c r="C145" s="71"/>
      <c r="D145" s="71"/>
      <c r="E145" s="71"/>
      <c r="F145" s="71"/>
      <c r="H145" s="74"/>
      <c r="I145" s="71"/>
      <c r="J145" s="71"/>
    </row>
    <row r="146" spans="1:10" s="69" customFormat="1" ht="16" customHeight="1">
      <c r="A146" s="71"/>
      <c r="B146" s="71"/>
      <c r="C146" s="71"/>
      <c r="D146" s="71"/>
      <c r="E146" s="71"/>
      <c r="F146" s="71"/>
      <c r="H146" s="74"/>
      <c r="I146" s="71"/>
      <c r="J146" s="71"/>
    </row>
    <row r="147" spans="1:10" s="69" customFormat="1" ht="16" customHeight="1">
      <c r="A147" s="71"/>
      <c r="B147" s="71"/>
      <c r="C147" s="71"/>
      <c r="D147" s="71"/>
      <c r="E147" s="71"/>
      <c r="F147" s="71"/>
      <c r="H147" s="74"/>
      <c r="I147" s="71"/>
      <c r="J147" s="71"/>
    </row>
    <row r="148" spans="1:10" s="69" customFormat="1" ht="16" customHeight="1">
      <c r="A148" s="71" t="s">
        <v>2211</v>
      </c>
      <c r="B148" s="71"/>
      <c r="C148" s="71"/>
      <c r="D148" s="71"/>
      <c r="E148" s="71"/>
      <c r="F148" s="71"/>
      <c r="H148" s="74"/>
      <c r="I148" s="102"/>
      <c r="J148" s="71"/>
    </row>
    <row r="149" spans="1:10" s="69" customFormat="1" ht="16" customHeight="1">
      <c r="A149" s="71"/>
      <c r="B149" s="71"/>
      <c r="C149" s="71"/>
      <c r="D149" s="71"/>
      <c r="E149" s="71"/>
      <c r="F149" s="71"/>
      <c r="H149" s="74"/>
    </row>
    <row r="150" spans="1:10" s="69" customFormat="1" ht="17" customHeight="1">
      <c r="A150" s="96" t="s">
        <v>2197</v>
      </c>
      <c r="B150" s="96"/>
      <c r="C150" s="96"/>
      <c r="D150" s="96"/>
      <c r="E150" s="96"/>
      <c r="F150" s="96"/>
      <c r="H150" s="74"/>
    </row>
    <row r="151" spans="1:10" s="69" customFormat="1" ht="17" customHeight="1">
      <c r="A151" s="96"/>
      <c r="B151" s="96"/>
      <c r="C151" s="96"/>
      <c r="D151" s="96"/>
      <c r="E151" s="96"/>
      <c r="F151" s="96"/>
      <c r="H151" s="74"/>
    </row>
    <row r="152" spans="1:10" s="69" customFormat="1" ht="17" customHeight="1">
      <c r="A152" s="96"/>
      <c r="B152" s="96"/>
      <c r="C152" s="96"/>
      <c r="D152" s="96"/>
      <c r="E152" s="96"/>
      <c r="F152" s="96"/>
      <c r="H152" s="74"/>
    </row>
    <row r="153" spans="1:10" s="69" customFormat="1" ht="17" customHeight="1">
      <c r="A153" s="71"/>
      <c r="B153" s="71"/>
      <c r="C153" s="71"/>
      <c r="D153" s="71"/>
      <c r="E153" s="71"/>
      <c r="F153" s="71"/>
      <c r="H153" s="74"/>
    </row>
    <row r="154" spans="1:10" s="69" customFormat="1" ht="18" customHeight="1">
      <c r="A154" s="906" t="s">
        <v>2198</v>
      </c>
      <c r="B154" s="906"/>
      <c r="C154" s="906"/>
      <c r="D154" s="906"/>
      <c r="E154" s="906"/>
      <c r="F154" s="906"/>
      <c r="H154" s="74"/>
    </row>
    <row r="155" spans="1:10" s="69" customFormat="1">
      <c r="A155" s="71"/>
      <c r="B155" s="71"/>
      <c r="C155" s="71"/>
      <c r="D155" s="71"/>
      <c r="E155" s="71"/>
      <c r="F155" s="71"/>
      <c r="H155" s="74"/>
    </row>
    <row r="156" spans="1:10" s="69" customFormat="1" ht="12" customHeight="1">
      <c r="A156" s="71"/>
      <c r="B156" s="71"/>
      <c r="C156" s="71"/>
      <c r="D156" s="71"/>
      <c r="E156" s="75" t="s">
        <v>2199</v>
      </c>
      <c r="F156" s="76" t="e">
        <f>jumlah_komponen</f>
        <v>#REF!</v>
      </c>
      <c r="H156" s="98" t="s">
        <v>2213</v>
      </c>
    </row>
    <row r="157" spans="1:10" s="69" customFormat="1" ht="12" customHeight="1">
      <c r="A157" s="71"/>
      <c r="B157" s="71"/>
      <c r="C157" s="71"/>
      <c r="D157" s="71"/>
      <c r="E157" s="71"/>
      <c r="F157" s="71"/>
      <c r="H157" s="98" t="s">
        <v>2214</v>
      </c>
    </row>
    <row r="158" spans="1:10" s="69" customFormat="1" ht="12" customHeight="1">
      <c r="A158" s="77" t="s">
        <v>2200</v>
      </c>
      <c r="B158" s="77"/>
      <c r="C158" s="71" t="s">
        <v>2201</v>
      </c>
      <c r="D158" s="71"/>
      <c r="E158" s="77" t="s">
        <v>2202</v>
      </c>
      <c r="F158" s="78" t="str">
        <f>F6&amp;"B"</f>
        <v>RZ0458B</v>
      </c>
      <c r="H158" s="98" t="s">
        <v>2215</v>
      </c>
    </row>
    <row r="159" spans="1:10" s="69" customFormat="1" ht="12" customHeight="1">
      <c r="A159" s="77" t="s">
        <v>2203</v>
      </c>
      <c r="B159" s="77"/>
      <c r="C159" s="79" t="str">
        <f>C7</f>
        <v>127/RK-RL-PI/PAP-LL/XII/2025</v>
      </c>
      <c r="D159" s="71"/>
      <c r="E159" s="71"/>
      <c r="F159" s="77"/>
      <c r="H159" s="74"/>
    </row>
    <row r="160" spans="1:10" s="69" customFormat="1" ht="12" customHeight="1">
      <c r="A160" s="77" t="s">
        <v>1508</v>
      </c>
      <c r="B160" s="77"/>
      <c r="C160" s="79" t="str">
        <f>C8</f>
        <v>25LL017MPC</v>
      </c>
      <c r="D160" s="71"/>
      <c r="E160" s="71"/>
      <c r="F160" s="77"/>
      <c r="H160" s="74"/>
    </row>
    <row r="161" spans="1:8" s="69" customFormat="1" ht="12" customHeight="1">
      <c r="A161" s="77" t="s">
        <v>2204</v>
      </c>
      <c r="B161" s="77"/>
      <c r="C161" s="79" t="str">
        <f>C9</f>
        <v>PT Malindo Feedmill Tbk-Dry Pantry</v>
      </c>
      <c r="D161" s="71"/>
      <c r="E161" s="75" t="s">
        <v>2205</v>
      </c>
      <c r="F161" s="881">
        <f ca="1">NOW()</f>
        <v>46178.657870601855</v>
      </c>
      <c r="G161" s="882"/>
      <c r="H161" s="881"/>
    </row>
    <row r="162" spans="1:8" s="69" customFormat="1" ht="12" customHeight="1">
      <c r="A162" s="885" t="s">
        <v>2206</v>
      </c>
      <c r="B162" s="885"/>
      <c r="C162" s="30" t="str">
        <f>C10</f>
        <v>Fahrudin</v>
      </c>
      <c r="D162" s="908" t="s">
        <v>2838</v>
      </c>
      <c r="E162" s="908"/>
      <c r="F162" s="71" t="s">
        <v>1787</v>
      </c>
      <c r="H162" s="74"/>
    </row>
    <row r="163" spans="1:8" s="69" customFormat="1" ht="12" customHeight="1">
      <c r="A163" s="71"/>
      <c r="B163" s="71"/>
      <c r="C163" s="71"/>
      <c r="D163" s="71"/>
      <c r="E163" s="71"/>
      <c r="F163" s="71"/>
      <c r="H163" s="74"/>
    </row>
    <row r="164" spans="1:8" s="69" customFormat="1" ht="30" customHeight="1">
      <c r="A164" s="82" t="s">
        <v>327</v>
      </c>
      <c r="B164" s="82" t="s">
        <v>329</v>
      </c>
      <c r="C164" s="82" t="s">
        <v>330</v>
      </c>
      <c r="D164" s="82" t="s">
        <v>331</v>
      </c>
      <c r="E164" s="82" t="s">
        <v>332</v>
      </c>
      <c r="F164" s="82" t="s">
        <v>333</v>
      </c>
      <c r="H164" s="98" t="s">
        <v>2213</v>
      </c>
    </row>
    <row r="165" spans="1:8" s="69" customFormat="1" ht="14.25" customHeight="1">
      <c r="A165" s="89"/>
      <c r="B165" s="89"/>
      <c r="C165" s="95"/>
      <c r="D165" s="89"/>
      <c r="E165" s="89"/>
      <c r="F165" s="90"/>
      <c r="H165" s="98" t="s">
        <v>2216</v>
      </c>
    </row>
    <row r="166" spans="1:8" s="69" customFormat="1" ht="14.25" customHeight="1">
      <c r="A166" s="89"/>
      <c r="B166" s="89"/>
      <c r="C166" s="95"/>
      <c r="D166" s="89"/>
      <c r="E166" s="89"/>
      <c r="F166" s="90"/>
      <c r="H166" s="74"/>
    </row>
    <row r="167" spans="1:8" s="69" customFormat="1" ht="14.25" customHeight="1">
      <c r="A167" s="89"/>
      <c r="B167" s="89"/>
      <c r="C167" s="95"/>
      <c r="D167" s="89"/>
      <c r="E167" s="89"/>
      <c r="F167" s="90"/>
      <c r="H167" s="74"/>
    </row>
    <row r="168" spans="1:8" s="69" customFormat="1" ht="14.25" customHeight="1">
      <c r="A168" s="89"/>
      <c r="B168" s="89"/>
      <c r="C168" s="95"/>
      <c r="D168" s="89"/>
      <c r="E168" s="89"/>
      <c r="F168" s="437"/>
      <c r="H168" s="74"/>
    </row>
    <row r="169" spans="1:8" s="69" customFormat="1" ht="14.25" customHeight="1">
      <c r="A169" s="89"/>
      <c r="B169" s="89"/>
      <c r="C169" s="95"/>
      <c r="D169" s="89"/>
      <c r="E169" s="436"/>
      <c r="F169" s="90"/>
      <c r="H169" s="98" t="s">
        <v>2213</v>
      </c>
    </row>
    <row r="170" spans="1:8" s="69" customFormat="1" ht="14.25" customHeight="1">
      <c r="A170" s="89"/>
      <c r="B170" s="89"/>
      <c r="C170" s="95"/>
      <c r="D170" s="89"/>
      <c r="E170" s="436"/>
      <c r="F170" s="90"/>
      <c r="H170" s="98" t="s">
        <v>2217</v>
      </c>
    </row>
    <row r="171" spans="1:8" s="69" customFormat="1" ht="14.25" customHeight="1">
      <c r="A171" s="89"/>
      <c r="B171" s="89"/>
      <c r="C171" s="95"/>
      <c r="D171" s="89"/>
      <c r="E171" s="436"/>
      <c r="F171" s="90"/>
      <c r="H171" s="74"/>
    </row>
    <row r="172" spans="1:8" s="69" customFormat="1" ht="14.25" customHeight="1">
      <c r="A172" s="89"/>
      <c r="B172" s="89"/>
      <c r="C172" s="95"/>
      <c r="D172" s="89"/>
      <c r="E172" s="436"/>
      <c r="F172" s="90"/>
      <c r="H172" s="74"/>
    </row>
    <row r="173" spans="1:8" s="69" customFormat="1" ht="14.25" customHeight="1">
      <c r="A173" s="89"/>
      <c r="B173" s="89"/>
      <c r="C173" s="95"/>
      <c r="D173" s="89"/>
      <c r="E173" s="436"/>
      <c r="F173" s="90"/>
      <c r="H173" s="74"/>
    </row>
    <row r="174" spans="1:8" s="69" customFormat="1" ht="14.25" customHeight="1">
      <c r="A174" s="89"/>
      <c r="B174" s="89"/>
      <c r="C174" s="95"/>
      <c r="D174" s="89"/>
      <c r="E174" s="436"/>
      <c r="F174" s="90"/>
      <c r="H174" s="74"/>
    </row>
    <row r="175" spans="1:8" s="69" customFormat="1" ht="14.25" customHeight="1">
      <c r="A175" s="89"/>
      <c r="B175" s="89"/>
      <c r="C175" s="95"/>
      <c r="D175" s="89"/>
      <c r="E175" s="436"/>
      <c r="F175" s="90"/>
      <c r="H175" s="74"/>
    </row>
    <row r="176" spans="1:8" s="69" customFormat="1" ht="14.25" customHeight="1">
      <c r="A176" s="89"/>
      <c r="B176" s="89"/>
      <c r="C176" s="95"/>
      <c r="D176" s="89"/>
      <c r="E176" s="436"/>
      <c r="F176" s="90"/>
      <c r="H176" s="74"/>
    </row>
    <row r="177" spans="1:9" s="69" customFormat="1" ht="14.25" customHeight="1">
      <c r="A177" s="89"/>
      <c r="B177" s="89"/>
      <c r="C177" s="95"/>
      <c r="D177" s="89"/>
      <c r="E177" s="436"/>
      <c r="F177" s="90"/>
      <c r="H177" s="74"/>
    </row>
    <row r="178" spans="1:9" s="69" customFormat="1" ht="14.25" customHeight="1">
      <c r="A178" s="89"/>
      <c r="B178" s="89"/>
      <c r="C178" s="95"/>
      <c r="D178" s="89"/>
      <c r="E178" s="436"/>
      <c r="F178" s="90"/>
      <c r="H178" s="74"/>
    </row>
    <row r="179" spans="1:9" s="69" customFormat="1" ht="14.25" customHeight="1">
      <c r="A179" s="89"/>
      <c r="B179" s="89"/>
      <c r="C179" s="95"/>
      <c r="D179" s="89"/>
      <c r="E179" s="436"/>
      <c r="F179" s="90"/>
      <c r="H179" s="74"/>
    </row>
    <row r="180" spans="1:9" s="69" customFormat="1" ht="14.25" customHeight="1">
      <c r="A180" s="89"/>
      <c r="B180" s="89"/>
      <c r="C180" s="95"/>
      <c r="D180" s="89"/>
      <c r="E180" s="436"/>
      <c r="F180" s="90"/>
      <c r="H180" s="74"/>
    </row>
    <row r="181" spans="1:9" s="69" customFormat="1" ht="14.25" customHeight="1">
      <c r="A181" s="89"/>
      <c r="B181" s="89"/>
      <c r="C181" s="95"/>
      <c r="D181" s="89"/>
      <c r="E181" s="436"/>
      <c r="F181" s="90"/>
      <c r="H181" s="74"/>
    </row>
    <row r="182" spans="1:9" s="69" customFormat="1" ht="14.25" customHeight="1">
      <c r="A182" s="89"/>
      <c r="B182" s="89"/>
      <c r="C182" s="95"/>
      <c r="D182" s="89"/>
      <c r="E182" s="436"/>
      <c r="F182" s="90"/>
      <c r="H182" s="74"/>
    </row>
    <row r="183" spans="1:9" s="69" customFormat="1" ht="14.25" customHeight="1">
      <c r="A183" s="89"/>
      <c r="B183" s="89"/>
      <c r="C183" s="95"/>
      <c r="D183" s="89"/>
      <c r="E183" s="436"/>
      <c r="F183" s="90"/>
      <c r="H183" s="74"/>
    </row>
    <row r="184" spans="1:9" s="69" customFormat="1" ht="14.25" customHeight="1">
      <c r="A184" s="89"/>
      <c r="B184" s="89"/>
      <c r="C184" s="95"/>
      <c r="D184" s="89"/>
      <c r="E184" s="436"/>
      <c r="F184" s="90"/>
      <c r="H184" s="74"/>
    </row>
    <row r="185" spans="1:9" s="69" customFormat="1" ht="14.25" customHeight="1">
      <c r="A185" s="89"/>
      <c r="B185" s="89"/>
      <c r="C185" s="95"/>
      <c r="D185" s="89"/>
      <c r="E185" s="436"/>
      <c r="F185" s="90"/>
      <c r="H185" s="74"/>
      <c r="I185" s="69" t="s">
        <v>511</v>
      </c>
    </row>
    <row r="186" spans="1:9" s="69" customFormat="1" ht="14.25" customHeight="1">
      <c r="A186" s="89"/>
      <c r="B186" s="89"/>
      <c r="C186" s="95"/>
      <c r="D186" s="89"/>
      <c r="E186" s="436"/>
      <c r="F186" s="90"/>
      <c r="H186" s="74"/>
    </row>
    <row r="187" spans="1:9" s="69" customFormat="1" ht="14.25" customHeight="1">
      <c r="A187" s="89"/>
      <c r="B187" s="89"/>
      <c r="C187" s="95"/>
      <c r="D187" s="89"/>
      <c r="E187" s="436"/>
      <c r="F187" s="90"/>
      <c r="H187" s="74"/>
    </row>
    <row r="188" spans="1:9" s="69" customFormat="1" ht="14.25" customHeight="1">
      <c r="A188" s="89"/>
      <c r="B188" s="89"/>
      <c r="C188" s="95"/>
      <c r="D188" s="89"/>
      <c r="E188" s="436"/>
      <c r="F188" s="90"/>
      <c r="H188" s="74"/>
    </row>
    <row r="189" spans="1:9" s="69" customFormat="1" ht="14.25" customHeight="1">
      <c r="A189" s="89"/>
      <c r="B189" s="89"/>
      <c r="C189" s="95"/>
      <c r="D189" s="89"/>
      <c r="E189" s="436"/>
      <c r="F189" s="90"/>
      <c r="H189" s="74"/>
    </row>
    <row r="190" spans="1:9" s="69" customFormat="1" ht="14.25" customHeight="1">
      <c r="A190" s="89"/>
      <c r="B190" s="89"/>
      <c r="C190" s="95"/>
      <c r="D190" s="89"/>
      <c r="E190" s="436"/>
      <c r="F190" s="90"/>
      <c r="H190" s="74"/>
    </row>
    <row r="191" spans="1:9" s="69" customFormat="1" ht="14.25" customHeight="1">
      <c r="A191" s="89"/>
      <c r="B191" s="89"/>
      <c r="C191" s="95"/>
      <c r="D191" s="89"/>
      <c r="E191" s="436"/>
      <c r="F191" s="90"/>
      <c r="H191" s="74"/>
    </row>
    <row r="192" spans="1:9" s="69" customFormat="1" ht="14.25" customHeight="1">
      <c r="A192" s="89"/>
      <c r="B192" s="89"/>
      <c r="C192" s="95"/>
      <c r="D192" s="89"/>
      <c r="E192" s="436"/>
      <c r="F192" s="90"/>
      <c r="H192" s="74"/>
    </row>
    <row r="193" spans="1:8" s="69" customFormat="1" ht="14.25" customHeight="1">
      <c r="A193" s="89"/>
      <c r="B193" s="89"/>
      <c r="C193" s="95"/>
      <c r="D193" s="89"/>
      <c r="E193" s="436"/>
      <c r="F193" s="90"/>
      <c r="H193" s="74"/>
    </row>
    <row r="194" spans="1:8" s="69" customFormat="1" ht="14.25" customHeight="1">
      <c r="A194" s="89"/>
      <c r="B194" s="89"/>
      <c r="C194" s="95"/>
      <c r="D194" s="89"/>
      <c r="E194" s="436"/>
      <c r="F194" s="90"/>
      <c r="H194" s="74"/>
    </row>
    <row r="195" spans="1:8" s="69" customFormat="1" ht="14.25" customHeight="1">
      <c r="A195" s="89"/>
      <c r="B195" s="89"/>
      <c r="C195" s="95"/>
      <c r="D195" s="89"/>
      <c r="E195" s="436"/>
      <c r="F195" s="90"/>
      <c r="H195" s="74"/>
    </row>
    <row r="196" spans="1:8" s="69" customFormat="1" ht="14.25" customHeight="1">
      <c r="A196" s="89"/>
      <c r="B196" s="89"/>
      <c r="C196" s="95"/>
      <c r="D196" s="89"/>
      <c r="E196" s="436"/>
      <c r="F196" s="90"/>
      <c r="H196" s="74"/>
    </row>
    <row r="197" spans="1:8" s="69" customFormat="1" ht="14.25" customHeight="1">
      <c r="A197" s="89"/>
      <c r="B197" s="89"/>
      <c r="C197" s="95"/>
      <c r="D197" s="89"/>
      <c r="E197" s="436"/>
      <c r="F197" s="90"/>
      <c r="H197" s="74"/>
    </row>
    <row r="198" spans="1:8" s="69" customFormat="1" ht="14.25" customHeight="1">
      <c r="A198" s="89"/>
      <c r="B198" s="89"/>
      <c r="C198" s="95"/>
      <c r="D198" s="89"/>
      <c r="E198" s="436"/>
      <c r="F198" s="90"/>
      <c r="G198" s="111"/>
      <c r="H198" s="112"/>
    </row>
    <row r="199" spans="1:8" s="69" customFormat="1" ht="16" customHeight="1">
      <c r="A199" s="71" t="s">
        <v>2210</v>
      </c>
      <c r="B199" s="71"/>
      <c r="C199" s="71"/>
      <c r="D199" s="71"/>
      <c r="E199" s="71"/>
      <c r="F199" s="71"/>
      <c r="H199" s="74"/>
    </row>
    <row r="200" spans="1:8" s="69" customFormat="1" ht="16" customHeight="1">
      <c r="A200" s="71"/>
      <c r="B200" s="71"/>
      <c r="C200" s="71"/>
      <c r="D200" s="71"/>
      <c r="E200" s="71"/>
      <c r="F200" s="71"/>
      <c r="H200" s="74"/>
    </row>
    <row r="201" spans="1:8" s="69" customFormat="1" ht="16" customHeight="1">
      <c r="A201" s="71"/>
      <c r="B201" s="71"/>
      <c r="C201" s="71"/>
      <c r="D201" s="71"/>
      <c r="E201" s="71"/>
      <c r="F201" s="71"/>
      <c r="H201" s="74"/>
    </row>
    <row r="202" spans="1:8" s="69" customFormat="1" ht="16" customHeight="1">
      <c r="A202" s="71" t="s">
        <v>2211</v>
      </c>
      <c r="B202" s="71"/>
      <c r="C202" s="71"/>
      <c r="D202" s="71"/>
      <c r="E202" s="71"/>
      <c r="F202" s="71"/>
      <c r="H202" s="74"/>
    </row>
    <row r="203" spans="1:8" s="69" customFormat="1" ht="16" customHeight="1">
      <c r="A203" s="71"/>
      <c r="B203" s="71"/>
      <c r="C203" s="71"/>
      <c r="D203" s="71"/>
      <c r="E203" s="71"/>
      <c r="F203" s="71"/>
      <c r="H203" s="74"/>
    </row>
    <row r="204" spans="1:8" s="69" customFormat="1" ht="17" customHeight="1">
      <c r="A204" s="96" t="s">
        <v>2197</v>
      </c>
      <c r="B204" s="96"/>
      <c r="C204" s="96"/>
      <c r="D204" s="96"/>
      <c r="E204" s="96"/>
      <c r="F204" s="96"/>
      <c r="H204" s="74"/>
    </row>
    <row r="205" spans="1:8" s="69" customFormat="1" ht="12" customHeight="1">
      <c r="A205" s="71"/>
      <c r="B205" s="71"/>
      <c r="C205" s="71"/>
      <c r="D205" s="71"/>
      <c r="E205" s="71"/>
      <c r="F205" s="71"/>
      <c r="H205" s="74"/>
    </row>
    <row r="206" spans="1:8" s="69" customFormat="1" ht="12" customHeight="1">
      <c r="A206" s="71"/>
      <c r="B206" s="71"/>
      <c r="C206" s="71"/>
      <c r="D206" s="71"/>
      <c r="E206" s="71"/>
      <c r="F206" s="71"/>
      <c r="H206" s="74"/>
    </row>
    <row r="207" spans="1:8" s="69" customFormat="1" ht="12" customHeight="1">
      <c r="A207" s="96"/>
      <c r="B207" s="96"/>
      <c r="C207" s="96"/>
      <c r="D207" s="96"/>
      <c r="E207" s="96"/>
      <c r="F207" s="96"/>
      <c r="H207" s="74"/>
    </row>
    <row r="208" spans="1:8" s="69" customFormat="1" ht="12" customHeight="1">
      <c r="A208" s="71"/>
      <c r="B208" s="71"/>
      <c r="C208" s="71"/>
      <c r="D208" s="71"/>
      <c r="E208" s="71"/>
      <c r="F208" s="71"/>
      <c r="H208" s="74"/>
    </row>
    <row r="209" spans="1:8" s="69" customFormat="1" ht="18" customHeight="1">
      <c r="A209" s="906" t="s">
        <v>2198</v>
      </c>
      <c r="B209" s="906"/>
      <c r="C209" s="906"/>
      <c r="D209" s="906"/>
      <c r="E209" s="906"/>
      <c r="F209" s="906"/>
      <c r="H209" s="74"/>
    </row>
    <row r="210" spans="1:8" s="69" customFormat="1" ht="12" customHeight="1">
      <c r="A210" s="71"/>
      <c r="B210" s="71"/>
      <c r="C210" s="71"/>
      <c r="D210" s="71"/>
      <c r="E210" s="71"/>
      <c r="F210" s="71"/>
      <c r="H210" s="74"/>
    </row>
    <row r="211" spans="1:8" s="69" customFormat="1" ht="18" customHeight="1">
      <c r="A211" s="71"/>
      <c r="B211" s="71"/>
      <c r="C211" s="71"/>
      <c r="D211" s="71"/>
      <c r="E211" s="77" t="s">
        <v>2212</v>
      </c>
      <c r="F211" s="71"/>
      <c r="H211" s="74"/>
    </row>
    <row r="212" spans="1:8" s="69" customFormat="1" ht="12" customHeight="1">
      <c r="A212" s="71"/>
      <c r="B212" s="71"/>
      <c r="C212" s="71"/>
      <c r="D212" s="71"/>
      <c r="E212" s="71"/>
      <c r="F212" s="71"/>
      <c r="H212" s="98" t="s">
        <v>2213</v>
      </c>
    </row>
    <row r="213" spans="1:8" s="69" customFormat="1" ht="12" customHeight="1">
      <c r="A213" s="77" t="s">
        <v>2200</v>
      </c>
      <c r="B213" s="77"/>
      <c r="C213" s="71" t="s">
        <v>2201</v>
      </c>
      <c r="D213" s="71"/>
      <c r="E213" s="77" t="s">
        <v>2202</v>
      </c>
      <c r="F213" s="78" t="str">
        <f>F158</f>
        <v>RZ0458B</v>
      </c>
      <c r="H213" s="98" t="s">
        <v>2214</v>
      </c>
    </row>
    <row r="214" spans="1:8" s="69" customFormat="1" ht="12" customHeight="1">
      <c r="A214" s="77" t="s">
        <v>2203</v>
      </c>
      <c r="B214" s="77"/>
      <c r="C214" s="79" t="str">
        <f>C159</f>
        <v>127/RK-RL-PI/PAP-LL/XII/2025</v>
      </c>
      <c r="D214" s="71"/>
      <c r="E214" s="71"/>
      <c r="F214" s="77"/>
      <c r="H214" s="98" t="s">
        <v>2215</v>
      </c>
    </row>
    <row r="215" spans="1:8" s="69" customFormat="1" ht="12" customHeight="1">
      <c r="A215" s="99" t="s">
        <v>1508</v>
      </c>
      <c r="B215" s="99"/>
      <c r="C215" s="100" t="str">
        <f>C160</f>
        <v>25LL017MPC</v>
      </c>
      <c r="D215" s="71"/>
      <c r="E215" s="71"/>
      <c r="F215" s="77"/>
      <c r="H215" s="74"/>
    </row>
    <row r="216" spans="1:8" s="69" customFormat="1" ht="12" customHeight="1">
      <c r="A216" s="77" t="s">
        <v>2204</v>
      </c>
      <c r="B216" s="77"/>
      <c r="C216" s="79" t="str">
        <f>C161</f>
        <v>PT Malindo Feedmill Tbk-Dry Pantry</v>
      </c>
      <c r="D216" s="71"/>
      <c r="E216" s="75" t="s">
        <v>2205</v>
      </c>
      <c r="F216" s="71"/>
      <c r="H216" s="74"/>
    </row>
    <row r="217" spans="1:8" s="69" customFormat="1" ht="12" customHeight="1">
      <c r="A217" s="905" t="s">
        <v>2180</v>
      </c>
      <c r="B217" s="905"/>
      <c r="C217" s="101" t="str">
        <f>C162</f>
        <v>Fahrudin</v>
      </c>
      <c r="D217" s="908" t="s">
        <v>2838</v>
      </c>
      <c r="E217" s="908"/>
      <c r="F217" s="71" t="s">
        <v>1787</v>
      </c>
      <c r="H217" s="74"/>
    </row>
    <row r="218" spans="1:8" s="69" customFormat="1" ht="12" customHeight="1">
      <c r="A218" s="71"/>
      <c r="B218" s="71"/>
      <c r="C218" s="71"/>
      <c r="D218" s="71"/>
      <c r="E218" s="71"/>
      <c r="F218" s="71"/>
      <c r="H218" s="74"/>
    </row>
    <row r="219" spans="1:8" s="69" customFormat="1" ht="12" customHeight="1">
      <c r="A219" s="71"/>
      <c r="B219" s="71"/>
      <c r="C219" s="71"/>
      <c r="D219" s="71"/>
      <c r="E219" s="71"/>
      <c r="F219" s="71"/>
      <c r="H219" s="74"/>
    </row>
    <row r="220" spans="1:8" s="69" customFormat="1" ht="30" customHeight="1">
      <c r="A220" s="82" t="s">
        <v>327</v>
      </c>
      <c r="B220" s="82" t="s">
        <v>329</v>
      </c>
      <c r="C220" s="82" t="s">
        <v>330</v>
      </c>
      <c r="D220" s="82" t="s">
        <v>331</v>
      </c>
      <c r="E220" s="82" t="s">
        <v>332</v>
      </c>
      <c r="F220" s="82" t="s">
        <v>333</v>
      </c>
      <c r="H220" s="98" t="s">
        <v>2213</v>
      </c>
    </row>
    <row r="221" spans="1:8" s="69" customFormat="1" ht="12" customHeight="1">
      <c r="A221" s="113"/>
      <c r="B221" s="113"/>
      <c r="C221" s="114"/>
      <c r="D221" s="113"/>
      <c r="E221" s="113"/>
      <c r="F221" s="116"/>
      <c r="H221" s="98" t="s">
        <v>2216</v>
      </c>
    </row>
    <row r="222" spans="1:8" s="69" customFormat="1" ht="12" customHeight="1">
      <c r="A222" s="89"/>
      <c r="B222" s="89"/>
      <c r="C222" s="95"/>
      <c r="D222" s="89"/>
      <c r="E222" s="89"/>
      <c r="F222" s="110"/>
      <c r="H222" s="74"/>
    </row>
    <row r="223" spans="1:8" s="69" customFormat="1" ht="12" customHeight="1">
      <c r="A223" s="89"/>
      <c r="B223" s="89"/>
      <c r="C223" s="95"/>
      <c r="D223" s="89"/>
      <c r="E223" s="89"/>
      <c r="F223" s="110"/>
      <c r="H223" s="74"/>
    </row>
    <row r="224" spans="1:8" s="69" customFormat="1" ht="12" customHeight="1">
      <c r="A224" s="89"/>
      <c r="B224" s="89"/>
      <c r="C224" s="95"/>
      <c r="D224" s="89"/>
      <c r="E224" s="89"/>
      <c r="F224" s="110"/>
      <c r="H224" s="74"/>
    </row>
    <row r="225" spans="1:8" s="69" customFormat="1" ht="12" customHeight="1">
      <c r="A225" s="89"/>
      <c r="B225" s="89"/>
      <c r="C225" s="95"/>
      <c r="D225" s="89"/>
      <c r="E225" s="89"/>
      <c r="F225" s="110"/>
      <c r="H225" s="98" t="s">
        <v>2213</v>
      </c>
    </row>
    <row r="226" spans="1:8" s="69" customFormat="1" ht="12" customHeight="1">
      <c r="A226" s="89"/>
      <c r="B226" s="89"/>
      <c r="C226" s="95"/>
      <c r="D226" s="89"/>
      <c r="E226" s="89"/>
      <c r="F226" s="110"/>
      <c r="H226" s="98" t="s">
        <v>2217</v>
      </c>
    </row>
    <row r="227" spans="1:8" s="69" customFormat="1" ht="12" customHeight="1">
      <c r="A227" s="89"/>
      <c r="B227" s="89"/>
      <c r="C227" s="95"/>
      <c r="D227" s="89"/>
      <c r="E227" s="89"/>
      <c r="F227" s="110"/>
      <c r="H227" s="74"/>
    </row>
    <row r="228" spans="1:8" s="69" customFormat="1" ht="12" customHeight="1">
      <c r="A228" s="89"/>
      <c r="B228" s="89"/>
      <c r="C228" s="95"/>
      <c r="D228" s="89"/>
      <c r="E228" s="89"/>
      <c r="F228" s="110"/>
      <c r="H228" s="74"/>
    </row>
    <row r="229" spans="1:8" s="69" customFormat="1" ht="12" customHeight="1">
      <c r="A229" s="89"/>
      <c r="B229" s="89"/>
      <c r="C229" s="95"/>
      <c r="D229" s="89"/>
      <c r="E229" s="89"/>
      <c r="F229" s="110"/>
      <c r="H229" s="74"/>
    </row>
    <row r="230" spans="1:8" s="69" customFormat="1" ht="12" customHeight="1">
      <c r="A230" s="89"/>
      <c r="B230" s="89"/>
      <c r="C230" s="95"/>
      <c r="D230" s="89"/>
      <c r="E230" s="89"/>
      <c r="F230" s="110"/>
      <c r="H230" s="74"/>
    </row>
    <row r="231" spans="1:8" s="69" customFormat="1" ht="12" customHeight="1">
      <c r="A231" s="89"/>
      <c r="B231" s="89"/>
      <c r="C231" s="95"/>
      <c r="D231" s="89"/>
      <c r="E231" s="89"/>
      <c r="F231" s="110"/>
      <c r="H231" s="74"/>
    </row>
    <row r="232" spans="1:8" s="69" customFormat="1" ht="12" customHeight="1">
      <c r="A232" s="89"/>
      <c r="B232" s="89"/>
      <c r="C232" s="95"/>
      <c r="D232" s="89"/>
      <c r="E232" s="89"/>
      <c r="F232" s="110"/>
      <c r="H232" s="74"/>
    </row>
    <row r="233" spans="1:8" s="69" customFormat="1" ht="12" customHeight="1">
      <c r="A233" s="89"/>
      <c r="B233" s="89"/>
      <c r="C233" s="95"/>
      <c r="D233" s="89"/>
      <c r="E233" s="89"/>
      <c r="F233" s="110"/>
      <c r="H233" s="74"/>
    </row>
    <row r="234" spans="1:8" s="69" customFormat="1" ht="12" customHeight="1">
      <c r="A234" s="89"/>
      <c r="B234" s="89"/>
      <c r="C234" s="95"/>
      <c r="D234" s="89"/>
      <c r="E234" s="89"/>
      <c r="F234" s="110"/>
      <c r="H234" s="74"/>
    </row>
    <row r="235" spans="1:8" s="69" customFormat="1" ht="12" customHeight="1">
      <c r="A235" s="89"/>
      <c r="B235" s="89"/>
      <c r="C235" s="95"/>
      <c r="D235" s="89"/>
      <c r="E235" s="89"/>
      <c r="F235" s="110"/>
      <c r="H235" s="74"/>
    </row>
    <row r="236" spans="1:8" s="69" customFormat="1" ht="12" customHeight="1">
      <c r="A236" s="89"/>
      <c r="B236" s="89"/>
      <c r="C236" s="95"/>
      <c r="D236" s="89"/>
      <c r="E236" s="89"/>
      <c r="F236" s="110"/>
      <c r="H236" s="74"/>
    </row>
    <row r="237" spans="1:8" s="69" customFormat="1" ht="12" customHeight="1">
      <c r="A237" s="89"/>
      <c r="B237" s="89"/>
      <c r="C237" s="95"/>
      <c r="D237" s="89"/>
      <c r="E237" s="89"/>
      <c r="F237" s="110"/>
      <c r="H237" s="74"/>
    </row>
    <row r="238" spans="1:8" s="69" customFormat="1" ht="12" customHeight="1">
      <c r="A238" s="89"/>
      <c r="B238" s="89"/>
      <c r="C238" s="95"/>
      <c r="D238" s="89"/>
      <c r="E238" s="89"/>
      <c r="F238" s="110"/>
      <c r="H238" s="74"/>
    </row>
    <row r="239" spans="1:8" s="69" customFormat="1" ht="12" customHeight="1">
      <c r="A239" s="89"/>
      <c r="B239" s="89"/>
      <c r="C239" s="95"/>
      <c r="D239" s="89"/>
      <c r="E239" s="89"/>
      <c r="F239" s="110"/>
      <c r="H239" s="74"/>
    </row>
    <row r="240" spans="1:8" s="69" customFormat="1" ht="12" customHeight="1">
      <c r="A240" s="89"/>
      <c r="B240" s="89"/>
      <c r="C240" s="95"/>
      <c r="D240" s="89"/>
      <c r="E240" s="89"/>
      <c r="F240" s="110"/>
      <c r="H240" s="74"/>
    </row>
    <row r="241" spans="1:8" s="69" customFormat="1" ht="12" customHeight="1">
      <c r="A241" s="89"/>
      <c r="B241" s="89"/>
      <c r="C241" s="95"/>
      <c r="D241" s="89"/>
      <c r="E241" s="89"/>
      <c r="F241" s="110"/>
      <c r="H241" s="74"/>
    </row>
    <row r="242" spans="1:8" s="69" customFormat="1" ht="12" customHeight="1">
      <c r="A242" s="89"/>
      <c r="B242" s="89"/>
      <c r="C242" s="95"/>
      <c r="D242" s="89"/>
      <c r="E242" s="89"/>
      <c r="F242" s="110"/>
      <c r="H242" s="74"/>
    </row>
    <row r="243" spans="1:8" s="69" customFormat="1" ht="12" customHeight="1">
      <c r="A243" s="89"/>
      <c r="B243" s="89"/>
      <c r="C243" s="95"/>
      <c r="D243" s="89"/>
      <c r="E243" s="89"/>
      <c r="F243" s="110"/>
      <c r="H243" s="74"/>
    </row>
    <row r="244" spans="1:8" s="69" customFormat="1" ht="12" customHeight="1">
      <c r="A244" s="89"/>
      <c r="B244" s="89"/>
      <c r="C244" s="95"/>
      <c r="D244" s="89"/>
      <c r="E244" s="89"/>
      <c r="F244" s="110"/>
      <c r="H244" s="74"/>
    </row>
    <row r="245" spans="1:8" s="69" customFormat="1" ht="12" customHeight="1">
      <c r="A245" s="89"/>
      <c r="B245" s="89"/>
      <c r="C245" s="95"/>
      <c r="D245" s="89"/>
      <c r="E245" s="89"/>
      <c r="F245" s="110"/>
      <c r="H245" s="74"/>
    </row>
    <row r="246" spans="1:8" s="69" customFormat="1" ht="12" customHeight="1">
      <c r="A246" s="89"/>
      <c r="B246" s="89"/>
      <c r="C246" s="95"/>
      <c r="D246" s="89"/>
      <c r="E246" s="89"/>
      <c r="F246" s="110"/>
      <c r="H246" s="74"/>
    </row>
    <row r="247" spans="1:8" s="69" customFormat="1" ht="12" customHeight="1">
      <c r="A247" s="89"/>
      <c r="B247" s="89"/>
      <c r="C247" s="95"/>
      <c r="D247" s="89"/>
      <c r="E247" s="89"/>
      <c r="F247" s="110"/>
      <c r="H247" s="74"/>
    </row>
    <row r="248" spans="1:8" s="69" customFormat="1" ht="12" customHeight="1">
      <c r="A248" s="89"/>
      <c r="B248" s="89"/>
      <c r="C248" s="95"/>
      <c r="D248" s="89"/>
      <c r="E248" s="89"/>
      <c r="F248" s="110"/>
      <c r="H248" s="74"/>
    </row>
    <row r="249" spans="1:8" s="69" customFormat="1" ht="12" customHeight="1">
      <c r="A249" s="89"/>
      <c r="B249" s="89"/>
      <c r="C249" s="95"/>
      <c r="D249" s="89"/>
      <c r="E249" s="89"/>
      <c r="F249" s="110"/>
      <c r="H249" s="74"/>
    </row>
    <row r="250" spans="1:8" s="69" customFormat="1" ht="12" customHeight="1">
      <c r="A250" s="89"/>
      <c r="B250" s="89"/>
      <c r="C250" s="95"/>
      <c r="D250" s="89"/>
      <c r="E250" s="89"/>
      <c r="F250" s="110"/>
      <c r="H250" s="74"/>
    </row>
    <row r="251" spans="1:8" s="69" customFormat="1" ht="12" customHeight="1">
      <c r="A251" s="89"/>
      <c r="B251" s="89"/>
      <c r="C251" s="95"/>
      <c r="D251" s="89"/>
      <c r="E251" s="89"/>
      <c r="F251" s="110"/>
      <c r="H251" s="74"/>
    </row>
    <row r="252" spans="1:8" s="69" customFormat="1" ht="12" customHeight="1">
      <c r="A252" s="89"/>
      <c r="B252" s="89"/>
      <c r="C252" s="95"/>
      <c r="D252" s="89"/>
      <c r="E252" s="89"/>
      <c r="F252" s="110"/>
      <c r="H252" s="74"/>
    </row>
    <row r="253" spans="1:8" s="69" customFormat="1" ht="12" customHeight="1">
      <c r="A253" s="89"/>
      <c r="B253" s="89"/>
      <c r="C253" s="95"/>
      <c r="D253" s="89"/>
      <c r="E253" s="89"/>
      <c r="F253" s="110"/>
      <c r="H253" s="74"/>
    </row>
    <row r="254" spans="1:8" s="69" customFormat="1" ht="12" customHeight="1">
      <c r="A254" s="89"/>
      <c r="B254" s="89"/>
      <c r="C254" s="95"/>
      <c r="D254" s="89"/>
      <c r="E254" s="89"/>
      <c r="F254" s="110"/>
      <c r="H254" s="74"/>
    </row>
    <row r="255" spans="1:8" s="69" customFormat="1" ht="12" customHeight="1">
      <c r="A255" s="89"/>
      <c r="B255" s="89"/>
      <c r="C255" s="95"/>
      <c r="D255" s="89"/>
      <c r="E255" s="89"/>
      <c r="F255" s="110"/>
      <c r="H255" s="74"/>
    </row>
    <row r="256" spans="1:8" s="69" customFormat="1" ht="12" customHeight="1">
      <c r="A256" s="89"/>
      <c r="B256" s="89"/>
      <c r="C256" s="95"/>
      <c r="D256" s="89"/>
      <c r="E256" s="89"/>
      <c r="F256" s="110"/>
      <c r="H256" s="74"/>
    </row>
    <row r="257" spans="1:12" s="69" customFormat="1" ht="12" customHeight="1">
      <c r="A257" s="71" t="s">
        <v>2210</v>
      </c>
      <c r="B257" s="71"/>
      <c r="C257" s="71"/>
      <c r="D257" s="71"/>
      <c r="E257" s="71"/>
      <c r="F257" s="71"/>
      <c r="H257" s="74"/>
    </row>
    <row r="258" spans="1:12" s="69" customFormat="1" ht="12" customHeight="1">
      <c r="A258" s="71"/>
      <c r="B258" s="71"/>
      <c r="C258" s="71"/>
      <c r="D258" s="71"/>
      <c r="E258" s="71"/>
      <c r="F258" s="71"/>
      <c r="G258" s="117"/>
      <c r="H258" s="118"/>
    </row>
    <row r="259" spans="1:12" s="69" customFormat="1" ht="12" customHeight="1">
      <c r="A259" s="71"/>
      <c r="B259" s="71"/>
      <c r="C259" s="71"/>
      <c r="D259" s="71"/>
      <c r="E259" s="71"/>
      <c r="F259" s="71"/>
      <c r="H259" s="74"/>
    </row>
    <row r="260" spans="1:12" s="69" customFormat="1" ht="12" customHeight="1">
      <c r="A260" s="71"/>
      <c r="B260" s="71"/>
      <c r="C260" s="71"/>
      <c r="D260" s="71"/>
      <c r="E260" s="71"/>
      <c r="F260" s="71"/>
      <c r="H260" s="74"/>
    </row>
    <row r="261" spans="1:12" s="69" customFormat="1" ht="16" customHeight="1">
      <c r="A261" s="71" t="s">
        <v>2211</v>
      </c>
      <c r="B261" s="71"/>
      <c r="C261" s="71"/>
      <c r="D261" s="71"/>
      <c r="E261" s="71"/>
      <c r="F261" s="71"/>
      <c r="H261" s="74"/>
    </row>
    <row r="262" spans="1:12" s="69" customFormat="1" ht="16" customHeight="1">
      <c r="A262" s="71"/>
      <c r="B262" s="71"/>
      <c r="C262" s="71"/>
      <c r="D262" s="71"/>
      <c r="E262" s="71"/>
      <c r="F262" s="71"/>
      <c r="H262" s="74"/>
    </row>
    <row r="263" spans="1:12" s="69" customFormat="1" ht="16" customHeight="1">
      <c r="A263" s="96" t="s">
        <v>2197</v>
      </c>
      <c r="B263" s="96"/>
      <c r="C263" s="96"/>
      <c r="D263" s="96"/>
      <c r="E263" s="96"/>
      <c r="F263" s="96"/>
      <c r="H263" s="74"/>
    </row>
    <row r="264" spans="1:12" s="69" customFormat="1" ht="16" customHeight="1">
      <c r="A264" s="71"/>
      <c r="B264" s="71"/>
      <c r="C264" s="71"/>
      <c r="D264" s="71"/>
      <c r="E264" s="71"/>
      <c r="F264" s="71"/>
      <c r="H264" s="74"/>
    </row>
    <row r="265" spans="1:12" s="69" customFormat="1" ht="16" customHeight="1">
      <c r="A265" s="71"/>
      <c r="B265" s="71"/>
      <c r="C265" s="71"/>
      <c r="D265" s="71"/>
      <c r="E265" s="71"/>
      <c r="F265" s="71"/>
      <c r="H265" s="74"/>
    </row>
    <row r="266" spans="1:12" s="69" customFormat="1" ht="17" customHeight="1">
      <c r="A266" s="96"/>
      <c r="B266" s="96"/>
      <c r="C266" s="96"/>
      <c r="D266" s="96"/>
      <c r="E266" s="96"/>
      <c r="F266" s="96"/>
      <c r="H266" s="74"/>
    </row>
    <row r="267" spans="1:12" ht="12.75" customHeight="1">
      <c r="I267" s="69"/>
      <c r="J267" s="69"/>
      <c r="K267" s="69"/>
      <c r="L267" s="69"/>
    </row>
    <row r="268" spans="1:12" ht="12.75" customHeight="1">
      <c r="I268" s="69"/>
      <c r="J268" s="69"/>
      <c r="K268" s="69"/>
      <c r="L268" s="69"/>
    </row>
    <row r="269" spans="1:12" ht="12.75" customHeight="1">
      <c r="I269" s="69"/>
      <c r="J269" s="69"/>
      <c r="K269" s="69"/>
      <c r="L269" s="69"/>
    </row>
    <row r="270" spans="1:12" ht="12.75" customHeight="1">
      <c r="I270" s="69"/>
      <c r="J270" s="69"/>
      <c r="K270" s="69"/>
      <c r="L270" s="69"/>
    </row>
    <row r="271" spans="1:12" ht="12.75" customHeight="1">
      <c r="I271" s="69"/>
      <c r="J271" s="69"/>
      <c r="K271" s="69"/>
      <c r="L271" s="69"/>
    </row>
    <row r="272" spans="1:12" ht="12.75" customHeight="1">
      <c r="I272" s="69"/>
      <c r="J272" s="69"/>
      <c r="K272" s="69"/>
      <c r="L272" s="69"/>
    </row>
    <row r="273" spans="9:12" ht="12.75" customHeight="1">
      <c r="I273" s="69"/>
      <c r="J273" s="69"/>
      <c r="K273" s="69"/>
      <c r="L273" s="69"/>
    </row>
    <row r="274" spans="9:12" ht="12.75" customHeight="1">
      <c r="I274" s="69"/>
      <c r="J274" s="69"/>
      <c r="K274" s="69"/>
      <c r="L274" s="69"/>
    </row>
    <row r="275" spans="9:12" ht="12.75" customHeight="1">
      <c r="I275" s="69"/>
      <c r="J275" s="69"/>
      <c r="K275" s="69"/>
      <c r="L275" s="69"/>
    </row>
    <row r="276" spans="9:12" ht="12.75" customHeight="1">
      <c r="I276" s="69"/>
      <c r="J276" s="69"/>
      <c r="K276" s="69"/>
      <c r="L276" s="69"/>
    </row>
    <row r="277" spans="9:12" ht="12.75" customHeight="1">
      <c r="I277" s="69"/>
      <c r="J277" s="69"/>
      <c r="K277" s="69"/>
      <c r="L277" s="69"/>
    </row>
    <row r="278" spans="9:12" ht="12.75" customHeight="1">
      <c r="I278" s="69"/>
      <c r="J278" s="69"/>
      <c r="K278" s="69"/>
      <c r="L278" s="69"/>
    </row>
    <row r="279" spans="9:12" ht="12.75" customHeight="1">
      <c r="I279" s="69"/>
      <c r="J279" s="69"/>
      <c r="K279" s="69"/>
      <c r="L279" s="69"/>
    </row>
    <row r="280" spans="9:12" ht="12.75" customHeight="1">
      <c r="I280" s="69"/>
      <c r="J280" s="69"/>
      <c r="K280" s="69"/>
      <c r="L280" s="69"/>
    </row>
    <row r="281" spans="9:12" ht="12.75" customHeight="1">
      <c r="I281" s="69"/>
      <c r="J281" s="69"/>
      <c r="K281" s="69"/>
      <c r="L281" s="69"/>
    </row>
    <row r="282" spans="9:12" ht="12.75" customHeight="1">
      <c r="I282" s="69"/>
      <c r="J282" s="69"/>
      <c r="K282" s="69"/>
      <c r="L282" s="69"/>
    </row>
    <row r="283" spans="9:12" ht="12.75" customHeight="1">
      <c r="I283" s="69"/>
      <c r="J283" s="69"/>
      <c r="K283" s="69"/>
      <c r="L283" s="69"/>
    </row>
    <row r="284" spans="9:12" ht="12.75" customHeight="1">
      <c r="I284" s="69"/>
      <c r="J284" s="69"/>
      <c r="K284" s="69"/>
      <c r="L284" s="69"/>
    </row>
    <row r="285" spans="9:12" ht="12.75" customHeight="1">
      <c r="I285" s="69"/>
      <c r="J285" s="69"/>
      <c r="K285" s="69"/>
      <c r="L285" s="69"/>
    </row>
    <row r="286" spans="9:12" ht="12.75" customHeight="1">
      <c r="I286" s="69"/>
      <c r="J286" s="69"/>
      <c r="K286" s="69"/>
      <c r="L286" s="69"/>
    </row>
    <row r="287" spans="9:12" ht="12.75" customHeight="1">
      <c r="I287" s="69"/>
      <c r="J287" s="69"/>
      <c r="K287" s="69"/>
      <c r="L287" s="69"/>
    </row>
    <row r="288" spans="9:12" ht="12.75" customHeight="1">
      <c r="I288" s="69"/>
      <c r="J288" s="69"/>
      <c r="K288" s="69"/>
      <c r="L288" s="69"/>
    </row>
    <row r="289" spans="9:12" ht="12.75" customHeight="1">
      <c r="I289" s="69"/>
      <c r="J289" s="69"/>
      <c r="K289" s="69"/>
      <c r="L289" s="69"/>
    </row>
    <row r="290" spans="9:12" ht="12.75" customHeight="1">
      <c r="I290" s="69"/>
      <c r="J290" s="69"/>
      <c r="K290" s="69"/>
      <c r="L290" s="69"/>
    </row>
    <row r="291" spans="9:12" ht="12.75" customHeight="1">
      <c r="I291" s="69"/>
      <c r="J291" s="69"/>
      <c r="K291" s="69"/>
      <c r="L291" s="69"/>
    </row>
    <row r="292" spans="9:12" ht="12.75" customHeight="1">
      <c r="I292" s="69"/>
      <c r="J292" s="69"/>
      <c r="K292" s="69"/>
      <c r="L292" s="69"/>
    </row>
    <row r="293" spans="9:12" ht="12.75" customHeight="1">
      <c r="I293" s="69"/>
      <c r="J293" s="69"/>
      <c r="K293" s="69"/>
      <c r="L293" s="69"/>
    </row>
    <row r="294" spans="9:12" ht="12.75" customHeight="1">
      <c r="I294" s="69"/>
      <c r="J294" s="69"/>
      <c r="K294" s="69"/>
      <c r="L294" s="69"/>
    </row>
    <row r="295" spans="9:12" ht="12.75" customHeight="1">
      <c r="I295" s="69"/>
      <c r="J295" s="69"/>
      <c r="K295" s="69"/>
      <c r="L295" s="69"/>
    </row>
    <row r="296" spans="9:12" ht="12.75" customHeight="1">
      <c r="I296" s="69"/>
      <c r="J296" s="69"/>
      <c r="K296" s="69"/>
      <c r="L296" s="69"/>
    </row>
    <row r="297" spans="9:12" ht="12.75" customHeight="1">
      <c r="I297" s="69"/>
      <c r="J297" s="69"/>
      <c r="K297" s="69"/>
      <c r="L297" s="69"/>
    </row>
    <row r="298" spans="9:12" ht="12.75" customHeight="1">
      <c r="I298" s="69"/>
      <c r="J298" s="69"/>
      <c r="K298" s="69"/>
      <c r="L298" s="69"/>
    </row>
    <row r="299" spans="9:12" ht="12.75" customHeight="1">
      <c r="I299" s="69"/>
      <c r="J299" s="69"/>
      <c r="K299" s="119"/>
      <c r="L299" s="69"/>
    </row>
    <row r="300" spans="9:12" ht="12.75" customHeight="1">
      <c r="I300" s="69"/>
      <c r="J300" s="69"/>
      <c r="K300" s="69"/>
      <c r="L300" s="69"/>
    </row>
    <row r="301" spans="9:12" ht="12.75" customHeight="1">
      <c r="I301" s="69"/>
      <c r="J301" s="69"/>
      <c r="K301" s="69"/>
      <c r="L301" s="69"/>
    </row>
    <row r="302" spans="9:12" ht="12.75" customHeight="1">
      <c r="I302" s="69"/>
      <c r="J302" s="69"/>
      <c r="K302" s="69"/>
      <c r="L302" s="69"/>
    </row>
    <row r="303" spans="9:12" ht="12.75" customHeight="1">
      <c r="I303" s="69"/>
      <c r="J303" s="69"/>
      <c r="K303" s="69"/>
      <c r="L303" s="69"/>
    </row>
    <row r="304" spans="9:12" ht="12.75" customHeight="1">
      <c r="I304" s="69"/>
      <c r="J304" s="69"/>
      <c r="K304" s="69"/>
      <c r="L304" s="69"/>
    </row>
    <row r="305" spans="9:12" ht="12.75" customHeight="1">
      <c r="I305" s="69"/>
      <c r="J305" s="69"/>
      <c r="K305" s="69"/>
      <c r="L305" s="69"/>
    </row>
    <row r="306" spans="9:12" ht="12.75" customHeight="1">
      <c r="I306" s="69"/>
      <c r="J306" s="69"/>
      <c r="K306" s="69"/>
      <c r="L306" s="69"/>
    </row>
    <row r="307" spans="9:12" ht="12.75" customHeight="1">
      <c r="I307" s="69"/>
      <c r="J307" s="69"/>
      <c r="K307" s="69"/>
      <c r="L307" s="69"/>
    </row>
    <row r="308" spans="9:12" ht="12.75" customHeight="1">
      <c r="I308" s="119"/>
      <c r="J308" s="119"/>
      <c r="K308" s="69"/>
      <c r="L308" s="69"/>
    </row>
    <row r="309" spans="9:12" ht="12.75" customHeight="1">
      <c r="I309" s="69"/>
      <c r="J309" s="69"/>
      <c r="K309" s="69"/>
      <c r="L309" s="69"/>
    </row>
    <row r="310" spans="9:12" ht="12.75" customHeight="1">
      <c r="I310" s="69"/>
      <c r="J310" s="69"/>
      <c r="K310" s="69"/>
      <c r="L310" s="69"/>
    </row>
    <row r="311" spans="9:12" ht="12.75" customHeight="1">
      <c r="I311" s="69"/>
      <c r="J311" s="69"/>
      <c r="K311" s="69"/>
      <c r="L311" s="69"/>
    </row>
    <row r="312" spans="9:12" ht="12.75" customHeight="1">
      <c r="I312" s="69"/>
      <c r="J312" s="69"/>
      <c r="K312" s="69"/>
      <c r="L312" s="69"/>
    </row>
    <row r="313" spans="9:12" ht="12.75" customHeight="1">
      <c r="I313" s="69"/>
      <c r="J313" s="69"/>
      <c r="K313" s="69"/>
      <c r="L313" s="69"/>
    </row>
    <row r="314" spans="9:12" ht="12.75" customHeight="1">
      <c r="I314" s="69"/>
      <c r="J314" s="69"/>
      <c r="K314" s="69"/>
      <c r="L314" s="69"/>
    </row>
    <row r="315" spans="9:12" ht="12.75" customHeight="1">
      <c r="I315" s="69"/>
      <c r="J315" s="69"/>
      <c r="K315" s="69"/>
      <c r="L315" s="69"/>
    </row>
    <row r="316" spans="9:12" ht="12.75" customHeight="1">
      <c r="I316" s="69"/>
      <c r="J316" s="69"/>
      <c r="K316" s="69"/>
      <c r="L316" s="69"/>
    </row>
    <row r="317" spans="9:12" ht="12.75" customHeight="1">
      <c r="I317" s="69"/>
      <c r="J317" s="69"/>
      <c r="K317" s="69"/>
      <c r="L317" s="69"/>
    </row>
    <row r="318" spans="9:12" ht="12.75" customHeight="1">
      <c r="I318" s="69"/>
      <c r="J318" s="69"/>
      <c r="K318" s="69"/>
      <c r="L318" s="69"/>
    </row>
    <row r="319" spans="9:12" ht="12.75" customHeight="1">
      <c r="I319" s="69"/>
      <c r="J319" s="69"/>
      <c r="K319" s="69"/>
      <c r="L319" s="69"/>
    </row>
    <row r="320" spans="9:12" ht="12.75" customHeight="1">
      <c r="I320" s="69"/>
      <c r="J320" s="69"/>
      <c r="K320" s="69"/>
      <c r="L320" s="69"/>
    </row>
    <row r="321" spans="9:12" ht="12.75" customHeight="1">
      <c r="I321" s="69"/>
      <c r="J321" s="69"/>
      <c r="K321" s="69"/>
      <c r="L321" s="69"/>
    </row>
    <row r="322" spans="9:12" ht="12.75" customHeight="1">
      <c r="I322" s="69"/>
      <c r="J322" s="69"/>
      <c r="K322" s="69"/>
      <c r="L322" s="69"/>
    </row>
    <row r="323" spans="9:12" ht="12.75" customHeight="1">
      <c r="I323" s="69"/>
      <c r="J323" s="69"/>
      <c r="K323" s="69"/>
      <c r="L323" s="69"/>
    </row>
    <row r="324" spans="9:12" ht="12.75" customHeight="1">
      <c r="I324" s="69"/>
      <c r="J324" s="69"/>
      <c r="K324" s="69"/>
      <c r="L324" s="69"/>
    </row>
    <row r="325" spans="9:12" ht="12.75" customHeight="1">
      <c r="I325" s="69"/>
      <c r="J325" s="69"/>
      <c r="K325" s="69"/>
      <c r="L325" s="69"/>
    </row>
    <row r="326" spans="9:12" ht="12.75" customHeight="1">
      <c r="I326" s="69"/>
      <c r="J326" s="69"/>
      <c r="K326" s="69"/>
      <c r="L326" s="69"/>
    </row>
    <row r="327" spans="9:12" ht="12.75" customHeight="1">
      <c r="I327" s="69"/>
      <c r="J327" s="69"/>
      <c r="K327" s="69"/>
      <c r="L327" s="69"/>
    </row>
    <row r="328" spans="9:12" ht="12.75" customHeight="1">
      <c r="I328" s="69"/>
      <c r="J328" s="69"/>
      <c r="K328" s="69"/>
      <c r="L328" s="69"/>
    </row>
    <row r="329" spans="9:12" ht="12.75" customHeight="1">
      <c r="I329" s="69"/>
      <c r="J329" s="69"/>
      <c r="K329" s="69"/>
      <c r="L329" s="69"/>
    </row>
    <row r="330" spans="9:12" ht="12.75" customHeight="1">
      <c r="I330" s="69"/>
      <c r="J330" s="69"/>
      <c r="K330" s="69"/>
      <c r="L330" s="69"/>
    </row>
    <row r="331" spans="9:12" ht="12.75" customHeight="1">
      <c r="I331" s="69"/>
      <c r="J331" s="69"/>
      <c r="K331" s="69"/>
      <c r="L331" s="69"/>
    </row>
    <row r="332" spans="9:12" ht="12.75" customHeight="1">
      <c r="I332" s="69"/>
      <c r="J332" s="69"/>
      <c r="K332" s="69"/>
      <c r="L332" s="69"/>
    </row>
    <row r="333" spans="9:12" ht="12.75" customHeight="1">
      <c r="I333" s="69"/>
      <c r="J333" s="69"/>
      <c r="K333" s="69"/>
      <c r="L333" s="69"/>
    </row>
    <row r="334" spans="9:12" ht="12.75" customHeight="1">
      <c r="I334" s="69"/>
      <c r="J334" s="69"/>
      <c r="K334" s="69"/>
      <c r="L334" s="69"/>
    </row>
    <row r="335" spans="9:12" ht="12.75" customHeight="1">
      <c r="I335" s="69"/>
      <c r="J335" s="69"/>
      <c r="K335" s="69"/>
      <c r="L335" s="69"/>
    </row>
    <row r="336" spans="9:12" ht="12.75" customHeight="1">
      <c r="I336" s="69"/>
      <c r="J336" s="69"/>
      <c r="K336" s="69"/>
      <c r="L336" s="69"/>
    </row>
    <row r="337" spans="9:12" ht="12.75" customHeight="1">
      <c r="I337" s="69"/>
      <c r="J337" s="69"/>
      <c r="K337" s="69"/>
      <c r="L337" s="69"/>
    </row>
    <row r="338" spans="9:12" ht="12.75" customHeight="1">
      <c r="I338" s="69"/>
      <c r="J338" s="69"/>
      <c r="K338" s="120"/>
      <c r="L338" s="69"/>
    </row>
    <row r="339" spans="9:12" ht="12.75" customHeight="1">
      <c r="I339" s="69"/>
      <c r="J339" s="69"/>
      <c r="K339" s="69"/>
      <c r="L339" s="69"/>
    </row>
    <row r="340" spans="9:12" ht="12.75" customHeight="1">
      <c r="I340" s="69"/>
      <c r="J340" s="69"/>
      <c r="K340" s="69"/>
      <c r="L340" s="69"/>
    </row>
    <row r="341" spans="9:12" ht="12.75" customHeight="1">
      <c r="I341" s="69"/>
      <c r="J341" s="69"/>
      <c r="K341" s="119"/>
      <c r="L341" s="69"/>
    </row>
    <row r="342" spans="9:12" ht="12.75" customHeight="1">
      <c r="I342" s="69"/>
      <c r="J342" s="69"/>
      <c r="K342" s="69"/>
      <c r="L342" s="69"/>
    </row>
    <row r="343" spans="9:12" ht="12.75" customHeight="1">
      <c r="I343" s="69"/>
      <c r="J343" s="69"/>
      <c r="K343" s="69"/>
      <c r="L343" s="69"/>
    </row>
    <row r="344" spans="9:12" ht="12.75" customHeight="1">
      <c r="I344" s="69"/>
      <c r="J344" s="69"/>
      <c r="K344" s="69"/>
      <c r="L344" s="69"/>
    </row>
    <row r="345" spans="9:12" ht="12.75" customHeight="1">
      <c r="I345" s="69"/>
      <c r="J345" s="69"/>
      <c r="K345" s="69"/>
      <c r="L345" s="69"/>
    </row>
    <row r="346" spans="9:12" ht="12.75" customHeight="1">
      <c r="I346" s="69"/>
      <c r="J346" s="69"/>
      <c r="K346" s="69"/>
      <c r="L346" s="69"/>
    </row>
    <row r="347" spans="9:12" ht="12.75" customHeight="1">
      <c r="I347" s="120"/>
      <c r="J347" s="120"/>
    </row>
    <row r="348" spans="9:12" ht="12.75" customHeight="1">
      <c r="I348" s="69"/>
      <c r="J348" s="69"/>
    </row>
    <row r="349" spans="9:12" ht="12.75" customHeight="1">
      <c r="I349" s="69"/>
      <c r="J349" s="69"/>
    </row>
    <row r="350" spans="9:12" ht="12.75" customHeight="1">
      <c r="I350" s="119"/>
      <c r="J350" s="119"/>
    </row>
    <row r="351" spans="9:12" ht="12.75" customHeight="1">
      <c r="I351" s="69"/>
      <c r="J351" s="69"/>
    </row>
    <row r="352" spans="9:12" ht="12.75" customHeight="1">
      <c r="I352" s="69"/>
      <c r="J352" s="69"/>
    </row>
    <row r="353" spans="9:10" ht="12.75" customHeight="1">
      <c r="I353" s="69"/>
      <c r="J353" s="69"/>
    </row>
    <row r="354" spans="9:10" ht="12.75" customHeight="1">
      <c r="I354" s="69"/>
      <c r="J354" s="69"/>
    </row>
    <row r="355" spans="9:10" ht="12.75" customHeight="1">
      <c r="I355" s="69"/>
      <c r="J355" s="69"/>
    </row>
    <row r="356" spans="9:10" ht="12.75" customHeight="1"/>
    <row r="357" spans="9:10" ht="12.75" customHeight="1"/>
    <row r="358" spans="9:10" ht="12.75" customHeight="1"/>
    <row r="359" spans="9:10" ht="12.75" customHeight="1"/>
    <row r="360" spans="9:10" ht="12.75" customHeight="1"/>
    <row r="361" spans="9:10" ht="12.75" customHeight="1"/>
    <row r="362" spans="9:10" ht="12.75" customHeight="1"/>
    <row r="363" spans="9:10" ht="12.75" customHeight="1"/>
    <row r="364" spans="9:10" ht="12.75" customHeight="1"/>
    <row r="365" spans="9:10" ht="12.75" customHeight="1"/>
    <row r="366" spans="9:10" ht="12.75" customHeight="1"/>
    <row r="367" spans="9:10" ht="12.75" customHeight="1"/>
    <row r="368" spans="9:10" ht="12.75" customHeight="1"/>
    <row r="369" ht="12.75" customHeight="1"/>
  </sheetData>
  <autoFilter ref="A12:F145" xr:uid="{00000000-0009-0000-0000-000011000000}"/>
  <mergeCells count="11">
    <mergeCell ref="A217:B217"/>
    <mergeCell ref="A2:F2"/>
    <mergeCell ref="F9:H9"/>
    <mergeCell ref="A10:B10"/>
    <mergeCell ref="A154:F154"/>
    <mergeCell ref="A162:B162"/>
    <mergeCell ref="A209:F209"/>
    <mergeCell ref="F161:H161"/>
    <mergeCell ref="D10:E10"/>
    <mergeCell ref="D162:E162"/>
    <mergeCell ref="D217:E217"/>
  </mergeCells>
  <dataValidations disablePrompts="1" count="1">
    <dataValidation type="list" allowBlank="1" showInputMessage="1" showErrorMessage="1" sqref="C109" xr:uid="{00000000-0002-0000-1100-000000000000}">
      <formula1>m_grill</formula1>
    </dataValidation>
  </dataValidations>
  <printOptions horizontalCentered="1"/>
  <pageMargins left="0.1" right="0.1" top="0.3" bottom="0.1" header="0.51111111111111096" footer="0.51111111111111096"/>
  <pageSetup orientation="portrait" horizontalDpi="240" verticalDpi="144" r:id="rId1"/>
  <headerFooter scaleWithDoc="0" alignWithMargins="0"/>
  <rowBreaks count="1" manualBreakCount="1">
    <brk id="151" max="5" man="1"/>
  </rowBreaks>
  <colBreaks count="1" manualBreakCount="1">
    <brk id="6" max="1048575" man="1"/>
  </colBreaks>
  <drawing r:id="rId2"/>
  <legacyDrawing r:id="rId3"/>
  <oleObjects>
    <mc:AlternateContent xmlns:mc="http://schemas.openxmlformats.org/markup-compatibility/2006">
      <mc:Choice Requires="x14">
        <oleObject progId="MSPhotoEd.3" shapeId="165913" r:id="rId4">
          <objectPr defaultSize="0" autoPict="0" altText="" r:id="rId5">
            <anchor moveWithCells="1">
              <from>
                <xdr:col>0</xdr:col>
                <xdr:colOff>114300</xdr:colOff>
                <xdr:row>0</xdr:row>
                <xdr:rowOff>0</xdr:rowOff>
              </from>
              <to>
                <xdr:col>1</xdr:col>
                <xdr:colOff>787400</xdr:colOff>
                <xdr:row>4</xdr:row>
                <xdr:rowOff>25400</xdr:rowOff>
              </to>
            </anchor>
          </objectPr>
        </oleObject>
      </mc:Choice>
      <mc:Fallback>
        <oleObject progId="MSPhotoEd.3" shapeId="165913" r:id="rId4"/>
      </mc:Fallback>
    </mc:AlternateContent>
    <mc:AlternateContent xmlns:mc="http://schemas.openxmlformats.org/markup-compatibility/2006">
      <mc:Choice Requires="x14">
        <oleObject progId="MSPhotoEd.3" shapeId="165914" r:id="rId6">
          <objectPr defaultSize="0" autoPict="0" altText="" r:id="rId5">
            <anchor moveWithCells="1">
              <from>
                <xdr:col>0</xdr:col>
                <xdr:colOff>114300</xdr:colOff>
                <xdr:row>152</xdr:row>
                <xdr:rowOff>0</xdr:rowOff>
              </from>
              <to>
                <xdr:col>1</xdr:col>
                <xdr:colOff>787400</xdr:colOff>
                <xdr:row>155</xdr:row>
                <xdr:rowOff>152400</xdr:rowOff>
              </to>
            </anchor>
          </objectPr>
        </oleObject>
      </mc:Choice>
      <mc:Fallback>
        <oleObject progId="MSPhotoEd.3" shapeId="165914" r:id="rId6"/>
      </mc:Fallback>
    </mc:AlternateContent>
    <mc:AlternateContent xmlns:mc="http://schemas.openxmlformats.org/markup-compatibility/2006">
      <mc:Choice Requires="x14">
        <oleObject progId="MSPhotoEd.3" shapeId="165915" r:id="rId7">
          <objectPr defaultSize="0" autoPict="0" altText="" r:id="rId5">
            <anchor moveWithCells="1">
              <from>
                <xdr:col>0</xdr:col>
                <xdr:colOff>114300</xdr:colOff>
                <xdr:row>207</xdr:row>
                <xdr:rowOff>0</xdr:rowOff>
              </from>
              <to>
                <xdr:col>1</xdr:col>
                <xdr:colOff>787400</xdr:colOff>
                <xdr:row>211</xdr:row>
                <xdr:rowOff>25400</xdr:rowOff>
              </to>
            </anchor>
          </objectPr>
        </oleObject>
      </mc:Choice>
      <mc:Fallback>
        <oleObject progId="MSPhotoEd.3" shapeId="165915" r:id="rId7"/>
      </mc:Fallback>
    </mc:AlternateContent>
  </oleObjec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L258"/>
  <sheetViews>
    <sheetView view="pageBreakPreview" zoomScale="85" zoomScaleNormal="100" zoomScaleSheetLayoutView="85" workbookViewId="0">
      <pane ySplit="12" topLeftCell="A28" activePane="bottomLeft" state="frozen"/>
      <selection pane="bottomLeft" activeCell="A40" sqref="A40:E40"/>
    </sheetView>
  </sheetViews>
  <sheetFormatPr baseColWidth="10" defaultColWidth="7" defaultRowHeight="13"/>
  <cols>
    <col min="1" max="1" width="4" style="71" customWidth="1"/>
    <col min="2" max="2" width="10" style="71" customWidth="1"/>
    <col min="3" max="3" width="35.6640625" style="71" customWidth="1"/>
    <col min="4" max="4" width="4.33203125" style="72" customWidth="1"/>
    <col min="5" max="5" width="6.1640625" style="71" customWidth="1"/>
    <col min="6" max="6" width="25.33203125" style="71" customWidth="1"/>
    <col min="7" max="7" width="2.5" style="71" customWidth="1"/>
    <col min="8" max="8" width="0.6640625" style="73" customWidth="1"/>
    <col min="9" max="10" width="7" style="71"/>
    <col min="11" max="11" width="7.33203125" style="71" bestFit="1" customWidth="1"/>
    <col min="12" max="16384" width="7" style="71"/>
  </cols>
  <sheetData>
    <row r="1" spans="1:12" s="69" customFormat="1">
      <c r="A1" s="71"/>
      <c r="B1" s="71"/>
      <c r="C1" s="71"/>
      <c r="D1" s="72"/>
      <c r="E1" s="71"/>
      <c r="F1" s="71"/>
      <c r="H1" s="74"/>
    </row>
    <row r="2" spans="1:12" s="69" customFormat="1" ht="18">
      <c r="A2" s="906" t="s">
        <v>2198</v>
      </c>
      <c r="B2" s="906"/>
      <c r="C2" s="906"/>
      <c r="D2" s="906"/>
      <c r="E2" s="906"/>
      <c r="F2" s="906"/>
      <c r="H2" s="74"/>
    </row>
    <row r="3" spans="1:12" s="69" customFormat="1" ht="14">
      <c r="A3" s="71"/>
      <c r="B3" s="71"/>
      <c r="C3" s="71"/>
      <c r="D3" s="72"/>
      <c r="E3" s="71"/>
      <c r="F3" s="613" t="s">
        <v>3554</v>
      </c>
      <c r="H3" s="74"/>
    </row>
    <row r="4" spans="1:12" s="69" customFormat="1" ht="14">
      <c r="A4" s="71"/>
      <c r="B4" s="71"/>
      <c r="C4" s="71"/>
      <c r="D4" s="75"/>
      <c r="E4" s="75" t="s">
        <v>2199</v>
      </c>
      <c r="F4" s="76" t="e">
        <f>jumlah_komponen</f>
        <v>#REF!</v>
      </c>
      <c r="H4" s="74"/>
    </row>
    <row r="5" spans="1:12" s="69" customFormat="1">
      <c r="A5" s="71"/>
      <c r="B5" s="71"/>
      <c r="C5" s="71"/>
      <c r="D5" s="72"/>
      <c r="E5" s="71"/>
      <c r="F5" s="71"/>
      <c r="H5" s="74"/>
      <c r="K5" s="71"/>
      <c r="L5" s="71"/>
    </row>
    <row r="6" spans="1:12" s="69" customFormat="1">
      <c r="A6" s="77" t="s">
        <v>2200</v>
      </c>
      <c r="B6" s="77"/>
      <c r="C6" s="71" t="s">
        <v>2201</v>
      </c>
      <c r="D6" s="72"/>
      <c r="E6" s="77" t="s">
        <v>2202</v>
      </c>
      <c r="F6" s="78" t="str">
        <f>No_proyek&amp;"-11"</f>
        <v>RZ0458-11</v>
      </c>
      <c r="H6" s="74"/>
      <c r="K6" s="71"/>
      <c r="L6" s="71"/>
    </row>
    <row r="7" spans="1:12" s="69" customFormat="1" ht="14">
      <c r="A7" s="77" t="s">
        <v>2203</v>
      </c>
      <c r="B7" s="77"/>
      <c r="C7" s="79" t="str">
        <f>no_kontrak</f>
        <v>127/RK-RL-PI/PAP-LL/XII/2025</v>
      </c>
      <c r="D7" s="72"/>
      <c r="E7" s="71"/>
      <c r="F7" s="77"/>
      <c r="H7" s="74"/>
      <c r="K7" s="78"/>
      <c r="L7" s="78"/>
    </row>
    <row r="8" spans="1:12" s="69" customFormat="1" ht="14">
      <c r="A8" s="80" t="s">
        <v>1508</v>
      </c>
      <c r="B8" s="80"/>
      <c r="C8" s="81" t="str">
        <f>nip</f>
        <v>25LL017MPC</v>
      </c>
      <c r="D8" s="72"/>
      <c r="E8" s="71"/>
      <c r="F8" s="77"/>
      <c r="H8" s="74"/>
      <c r="K8" s="78"/>
      <c r="L8" s="78"/>
    </row>
    <row r="9" spans="1:12" s="69" customFormat="1" ht="14">
      <c r="A9" s="77" t="s">
        <v>2204</v>
      </c>
      <c r="B9" s="77"/>
      <c r="C9" s="8" t="str">
        <f>nama_proyek</f>
        <v>PT Malindo Feedmill Tbk-Dry Pantry</v>
      </c>
      <c r="D9" s="72"/>
      <c r="E9" s="77" t="s">
        <v>2205</v>
      </c>
      <c r="F9" s="881">
        <f>tgl</f>
        <v>46163</v>
      </c>
      <c r="G9" s="882"/>
      <c r="H9" s="881"/>
      <c r="K9" s="78"/>
      <c r="L9" s="78"/>
    </row>
    <row r="10" spans="1:12" s="69" customFormat="1" ht="14">
      <c r="A10" s="907" t="s">
        <v>2206</v>
      </c>
      <c r="B10" s="907"/>
      <c r="C10" s="8" t="str">
        <f>Estimator</f>
        <v>Fahrudin</v>
      </c>
      <c r="D10" s="72"/>
      <c r="E10" s="77"/>
      <c r="F10" s="71"/>
      <c r="H10" s="74"/>
      <c r="K10" s="78"/>
      <c r="L10" s="78"/>
    </row>
    <row r="11" spans="1:12" s="69" customFormat="1">
      <c r="A11" s="71"/>
      <c r="B11" s="71"/>
      <c r="C11" s="71"/>
      <c r="D11" s="72"/>
      <c r="E11" s="71"/>
      <c r="F11" s="71"/>
      <c r="H11" s="74"/>
      <c r="K11" s="78"/>
      <c r="L11" s="78"/>
    </row>
    <row r="12" spans="1:12" s="69" customFormat="1" ht="30" customHeight="1">
      <c r="A12" s="412" t="s">
        <v>327</v>
      </c>
      <c r="B12" s="412" t="s">
        <v>329</v>
      </c>
      <c r="C12" s="412" t="s">
        <v>330</v>
      </c>
      <c r="D12" s="514" t="s">
        <v>331</v>
      </c>
      <c r="E12" s="412" t="s">
        <v>332</v>
      </c>
      <c r="F12" s="412" t="s">
        <v>333</v>
      </c>
      <c r="H12" s="74"/>
      <c r="K12" s="78"/>
      <c r="L12" s="78"/>
    </row>
    <row r="13" spans="1:12" s="69" customFormat="1" ht="16">
      <c r="A13" s="511"/>
      <c r="B13" s="511">
        <f>INDEX((ID),MATCH(C13,BARANG,0))</f>
        <v>4854002</v>
      </c>
      <c r="C13" s="512" t="str">
        <f>siku_fr</f>
        <v>PLAT BESI SIKU 2 MM (U/FRAME AL)</v>
      </c>
      <c r="D13" s="513">
        <f>SUMIF(siku_joint,C13,Qty_siku_fr)</f>
        <v>0</v>
      </c>
      <c r="E13" s="511" t="s">
        <v>2230</v>
      </c>
      <c r="F13" s="85"/>
      <c r="H13" s="74"/>
      <c r="K13" s="78"/>
      <c r="L13" s="78"/>
    </row>
    <row r="14" spans="1:12" s="69" customFormat="1" ht="16">
      <c r="A14" s="86"/>
      <c r="B14" s="86">
        <f>INDEX((ID),MATCH(C14,BARANG,0))</f>
        <v>4850272</v>
      </c>
      <c r="C14" s="378" t="str">
        <f>siku_fr05</f>
        <v>PLAT BESI bracket (U/FRAME AL 05)</v>
      </c>
      <c r="D14" s="513">
        <f>SUMIF(siku_joint,C14,Qty_siku_fr)</f>
        <v>0</v>
      </c>
      <c r="E14" s="86" t="s">
        <v>2224</v>
      </c>
      <c r="F14" s="87"/>
      <c r="H14" s="74"/>
      <c r="K14" s="71"/>
      <c r="L14" s="71"/>
    </row>
    <row r="15" spans="1:12" s="69" customFormat="1" ht="16">
      <c r="A15" s="86"/>
      <c r="B15" s="86" t="str">
        <f>INDEX((ID),MATCH(C15,BARANG,0))</f>
        <v>205755</v>
      </c>
      <c r="C15" s="378" t="str">
        <f>siku_ls01</f>
        <v xml:space="preserve">SIKU JOINT LIGHTING SHELF 35 MM           </v>
      </c>
      <c r="D15" s="513">
        <f>SUMIF(siku_joint,C15,Qty_siku_fr)</f>
        <v>0</v>
      </c>
      <c r="E15" s="86" t="s">
        <v>2224</v>
      </c>
      <c r="F15" s="87"/>
      <c r="H15" s="74"/>
      <c r="K15" s="71" t="str">
        <f>siku_fr</f>
        <v>PLAT BESI SIKU 2 MM (U/FRAME AL)</v>
      </c>
      <c r="L15" s="71"/>
    </row>
    <row r="16" spans="1:12" s="69" customFormat="1" ht="16">
      <c r="A16" s="86"/>
      <c r="B16" s="86" t="str">
        <f>INDEX((ID),MATCH(C16,BARANG,0))</f>
        <v>205754</v>
      </c>
      <c r="C16" s="378" t="str">
        <f>siku_ls02</f>
        <v xml:space="preserve">SIKU JOINT LIGHTING SHELF 28 MM          </v>
      </c>
      <c r="D16" s="513">
        <f>SUMIF(siku_joint,C16,Qty_siku_fr)</f>
        <v>0</v>
      </c>
      <c r="E16" s="86" t="s">
        <v>2224</v>
      </c>
      <c r="F16" s="87"/>
      <c r="H16" s="74"/>
      <c r="I16" s="102"/>
      <c r="J16" s="71"/>
      <c r="K16" s="71"/>
      <c r="L16" s="71"/>
    </row>
    <row r="17" spans="1:12" s="69" customFormat="1" ht="16">
      <c r="A17" s="86"/>
      <c r="B17" s="86" t="str">
        <f>INDEX((ID),MATCH(C17,BARANG,0))</f>
        <v>205683</v>
      </c>
      <c r="C17" s="378" t="str">
        <f>siku_mshf04</f>
        <v xml:space="preserve">BRACKET ALM 25X25X4.7 + SCRUP          </v>
      </c>
      <c r="D17" s="513">
        <f>SUMIF(siku_joint,C17,Qty_siku_fr)</f>
        <v>0</v>
      </c>
      <c r="E17" s="86" t="s">
        <v>2224</v>
      </c>
      <c r="F17" s="87"/>
      <c r="H17" s="74"/>
      <c r="I17" s="102"/>
      <c r="J17" s="71"/>
      <c r="K17" s="71"/>
      <c r="L17" s="71"/>
    </row>
    <row r="18" spans="1:12" s="69" customFormat="1" ht="16">
      <c r="A18" s="86"/>
      <c r="B18" s="86"/>
      <c r="C18" s="378"/>
      <c r="D18" s="60"/>
      <c r="E18" s="86"/>
      <c r="F18" s="87"/>
      <c r="H18" s="74"/>
      <c r="I18" s="102"/>
      <c r="J18" s="71"/>
      <c r="K18" s="71"/>
      <c r="L18" s="71"/>
    </row>
    <row r="19" spans="1:12" s="69" customFormat="1" ht="16">
      <c r="A19" s="86"/>
      <c r="B19" s="86" t="str">
        <f>INDEX((ID),MATCH(C19,BARANG,0))</f>
        <v>205664</v>
      </c>
      <c r="C19" s="378" t="str">
        <f>scr_fr</f>
        <v>SCREW JF 4X6</v>
      </c>
      <c r="D19" s="60">
        <f>SUMIF(Screw_Join_fr,C19,Qty_screw_Jf)</f>
        <v>0</v>
      </c>
      <c r="E19" s="86" t="s">
        <v>2224</v>
      </c>
      <c r="F19" s="87"/>
      <c r="H19" s="74"/>
      <c r="I19" s="103"/>
      <c r="J19" s="104"/>
      <c r="K19" s="71"/>
      <c r="L19" s="71"/>
    </row>
    <row r="20" spans="1:12" s="69" customFormat="1" ht="16">
      <c r="A20" s="86"/>
      <c r="B20" s="86" t="str">
        <f>INDEX((ID),MATCH(C20,BARANG,0))</f>
        <v>205688</v>
      </c>
      <c r="C20" s="378" t="str">
        <f>scr_fr05</f>
        <v>SCREW JF 4X10</v>
      </c>
      <c r="D20" s="60">
        <f>SUMIF(Screw_Join_fr,C20,Qty_screw_Jf)</f>
        <v>0</v>
      </c>
      <c r="E20" s="86" t="s">
        <v>2224</v>
      </c>
      <c r="F20" s="87"/>
      <c r="H20" s="74"/>
      <c r="I20" s="103"/>
      <c r="J20" s="104"/>
      <c r="K20" s="71"/>
      <c r="L20" s="71"/>
    </row>
    <row r="21" spans="1:12" s="69" customFormat="1" ht="16">
      <c r="A21" s="86"/>
      <c r="B21" s="86" t="str">
        <f>INDEX((ID),MATCH(C21,BARANG,0))</f>
        <v>205536</v>
      </c>
      <c r="C21" s="378" t="str">
        <f>scr_ls01</f>
        <v>SCREW JF 5X10</v>
      </c>
      <c r="D21" s="60">
        <f>SUMIF(Screw_Join_fr,C21,Qty_screw_Jf)</f>
        <v>0</v>
      </c>
      <c r="E21" s="86" t="s">
        <v>2224</v>
      </c>
      <c r="F21" s="87"/>
      <c r="H21" s="74"/>
      <c r="I21" s="103"/>
      <c r="J21" s="104"/>
      <c r="K21" s="71"/>
      <c r="L21" s="71"/>
    </row>
    <row r="22" spans="1:12" s="69" customFormat="1" ht="16">
      <c r="A22" s="86"/>
      <c r="B22" s="86" t="str">
        <f>INDEX((ID),MATCH(C22,BARANG,0))</f>
        <v>205529</v>
      </c>
      <c r="C22" s="378" t="str">
        <f>scr_mshf04</f>
        <v>SCREW 6X3/8</v>
      </c>
      <c r="D22" s="60">
        <f>SUMIF(Screw_Join_fr,C22,Qty_screw_Jf)</f>
        <v>0</v>
      </c>
      <c r="E22" s="86" t="s">
        <v>2224</v>
      </c>
      <c r="F22" s="87"/>
      <c r="H22" s="74"/>
      <c r="I22" s="103"/>
      <c r="J22" s="104"/>
      <c r="K22" s="71"/>
      <c r="L22" s="71"/>
    </row>
    <row r="23" spans="1:12" s="69" customFormat="1" ht="16">
      <c r="A23" s="86"/>
      <c r="B23" s="86"/>
      <c r="C23" s="378"/>
      <c r="D23" s="60"/>
      <c r="E23" s="86"/>
      <c r="F23" s="87"/>
      <c r="H23" s="74"/>
      <c r="I23" s="105"/>
      <c r="J23" s="104"/>
      <c r="K23" s="71"/>
      <c r="L23" s="71"/>
    </row>
    <row r="24" spans="1:12" s="69" customFormat="1" ht="16">
      <c r="A24" s="86"/>
      <c r="B24" s="86"/>
      <c r="C24" s="603" t="s">
        <v>3447</v>
      </c>
      <c r="D24" s="60"/>
      <c r="E24" s="86"/>
      <c r="F24" s="87"/>
      <c r="H24" s="74"/>
      <c r="I24" s="105"/>
      <c r="J24" s="104"/>
      <c r="K24" s="71"/>
      <c r="L24" s="71"/>
    </row>
    <row r="25" spans="1:12" s="69" customFormat="1" ht="16">
      <c r="A25" s="86"/>
      <c r="B25" s="86"/>
      <c r="C25" s="378"/>
      <c r="D25" s="60"/>
      <c r="E25" s="86"/>
      <c r="F25" s="87"/>
      <c r="H25" s="74"/>
      <c r="I25" s="105"/>
      <c r="J25" s="104"/>
      <c r="K25" s="71"/>
      <c r="L25" s="71"/>
    </row>
    <row r="26" spans="1:12" s="69" customFormat="1" ht="16">
      <c r="A26" s="86"/>
      <c r="B26" s="86"/>
      <c r="C26" s="378"/>
      <c r="D26" s="60"/>
      <c r="E26" s="86"/>
      <c r="F26" s="87"/>
      <c r="H26" s="74"/>
      <c r="I26" s="105"/>
      <c r="J26" s="104"/>
      <c r="K26" s="71"/>
      <c r="L26" s="71"/>
    </row>
    <row r="27" spans="1:12" s="69" customFormat="1" ht="16">
      <c r="A27" s="86"/>
      <c r="B27" s="86">
        <f t="shared" ref="B27:B32" si="0">INDEX((ID),MATCH(C27,BARANG,0))</f>
        <v>308288</v>
      </c>
      <c r="C27" s="378" t="s">
        <v>3387</v>
      </c>
      <c r="D27" s="60">
        <f t="shared" ref="D27:D32" si="1">SUMIF(anodizev,C27,jumlah_pemakaian)</f>
        <v>0</v>
      </c>
      <c r="E27" s="86" t="s">
        <v>2224</v>
      </c>
      <c r="F27" s="87"/>
      <c r="H27" s="74"/>
      <c r="I27" s="105"/>
      <c r="J27" s="104"/>
      <c r="K27" s="71"/>
      <c r="L27" s="71"/>
    </row>
    <row r="28" spans="1:12" s="70" customFormat="1" ht="16">
      <c r="A28" s="86"/>
      <c r="B28" s="86">
        <f t="shared" si="0"/>
        <v>308289</v>
      </c>
      <c r="C28" s="378" t="s">
        <v>3388</v>
      </c>
      <c r="D28" s="60">
        <f t="shared" si="1"/>
        <v>0</v>
      </c>
      <c r="E28" s="86" t="s">
        <v>2224</v>
      </c>
      <c r="F28" s="87"/>
      <c r="I28" s="106"/>
      <c r="J28" s="107"/>
      <c r="K28" s="108"/>
      <c r="L28" s="108"/>
    </row>
    <row r="29" spans="1:12" s="70" customFormat="1" ht="16">
      <c r="A29" s="86"/>
      <c r="B29" s="86">
        <f t="shared" si="0"/>
        <v>308290</v>
      </c>
      <c r="C29" s="378" t="s">
        <v>3389</v>
      </c>
      <c r="D29" s="60">
        <f t="shared" si="1"/>
        <v>0</v>
      </c>
      <c r="E29" s="86" t="s">
        <v>2224</v>
      </c>
      <c r="F29" s="87"/>
      <c r="I29" s="106"/>
      <c r="J29" s="107"/>
      <c r="K29" s="108"/>
      <c r="L29" s="108"/>
    </row>
    <row r="30" spans="1:12" s="70" customFormat="1" ht="16">
      <c r="A30" s="86"/>
      <c r="B30" s="86">
        <f t="shared" si="0"/>
        <v>308291</v>
      </c>
      <c r="C30" s="378" t="s">
        <v>3390</v>
      </c>
      <c r="D30" s="60">
        <f t="shared" si="1"/>
        <v>0</v>
      </c>
      <c r="E30" s="86" t="s">
        <v>2224</v>
      </c>
      <c r="F30" s="87"/>
      <c r="I30" s="106"/>
      <c r="J30" s="107"/>
      <c r="K30" s="108"/>
      <c r="L30" s="108"/>
    </row>
    <row r="31" spans="1:12" s="70" customFormat="1" ht="16">
      <c r="A31" s="86"/>
      <c r="B31" s="86">
        <f t="shared" si="0"/>
        <v>308292</v>
      </c>
      <c r="C31" s="378" t="s">
        <v>3391</v>
      </c>
      <c r="D31" s="60">
        <f t="shared" si="1"/>
        <v>0</v>
      </c>
      <c r="E31" s="86" t="s">
        <v>2224</v>
      </c>
      <c r="F31" s="87"/>
      <c r="I31" s="106"/>
      <c r="J31" s="107"/>
      <c r="K31" s="108"/>
      <c r="L31" s="108"/>
    </row>
    <row r="32" spans="1:12" s="69" customFormat="1" ht="16">
      <c r="A32" s="86"/>
      <c r="B32" s="86">
        <f t="shared" si="0"/>
        <v>308293</v>
      </c>
      <c r="C32" s="378" t="s">
        <v>3392</v>
      </c>
      <c r="D32" s="60">
        <f t="shared" si="1"/>
        <v>0</v>
      </c>
      <c r="E32" s="86" t="s">
        <v>2224</v>
      </c>
      <c r="F32" s="87"/>
      <c r="H32" s="74"/>
      <c r="I32" s="105"/>
      <c r="J32" s="104"/>
      <c r="K32" s="71"/>
      <c r="L32" s="71"/>
    </row>
    <row r="33" spans="1:12" s="69" customFormat="1" ht="16">
      <c r="A33" s="89"/>
      <c r="B33" s="86"/>
      <c r="C33" s="378"/>
      <c r="D33" s="60"/>
      <c r="E33" s="86"/>
      <c r="F33" s="90"/>
      <c r="H33" s="74"/>
      <c r="I33" s="105"/>
      <c r="J33" s="104"/>
    </row>
    <row r="34" spans="1:12" s="69" customFormat="1" ht="16">
      <c r="A34" s="89"/>
      <c r="B34" s="86" t="str">
        <f>INDEX((ID),MATCH(C34,BARANG,0))</f>
        <v>308020</v>
      </c>
      <c r="C34" s="378" t="s">
        <v>3395</v>
      </c>
      <c r="D34" s="60">
        <f>SUMIF(anodizev,C34,jumlah_pemakaian)</f>
        <v>0</v>
      </c>
      <c r="E34" s="86" t="s">
        <v>2224</v>
      </c>
      <c r="F34" s="90"/>
      <c r="H34" s="74"/>
      <c r="I34" s="105"/>
      <c r="J34" s="104"/>
    </row>
    <row r="35" spans="1:12" s="69" customFormat="1" ht="16">
      <c r="A35" s="89"/>
      <c r="B35" s="86" t="str">
        <f>INDEX((ID),MATCH(C35,BARANG,0))</f>
        <v>308043</v>
      </c>
      <c r="C35" s="378" t="s">
        <v>3398</v>
      </c>
      <c r="D35" s="60">
        <f>SUMIF(anodizev,C35,jumlah_pemakaian)</f>
        <v>0</v>
      </c>
      <c r="E35" s="86" t="s">
        <v>2224</v>
      </c>
      <c r="F35" s="90"/>
      <c r="H35" s="74"/>
      <c r="I35" s="102"/>
      <c r="J35" s="71"/>
    </row>
    <row r="36" spans="1:12" s="69" customFormat="1" ht="16">
      <c r="A36" s="89"/>
      <c r="B36" s="86" t="str">
        <f>INDEX((ID),MATCH(C36,BARANG,0))</f>
        <v>308046</v>
      </c>
      <c r="C36" s="378" t="s">
        <v>3401</v>
      </c>
      <c r="D36" s="60">
        <f>SUMIF(anodizev,C36,jumlah_pemakaian)</f>
        <v>0</v>
      </c>
      <c r="E36" s="86" t="s">
        <v>2224</v>
      </c>
      <c r="F36" s="91"/>
      <c r="H36" s="92"/>
      <c r="I36" s="102"/>
      <c r="J36" s="71"/>
    </row>
    <row r="37" spans="1:12" s="69" customFormat="1" ht="16">
      <c r="A37" s="89"/>
      <c r="B37" s="86" t="str">
        <f>INDEX((ID),MATCH(C37,BARANG,0))</f>
        <v>308015</v>
      </c>
      <c r="C37" s="378" t="s">
        <v>3404</v>
      </c>
      <c r="D37" s="60">
        <f>SUMIF(anodizev,C37,jumlah_pemakaian)</f>
        <v>0</v>
      </c>
      <c r="E37" s="86" t="s">
        <v>2224</v>
      </c>
      <c r="F37" s="91"/>
      <c r="H37" s="74"/>
      <c r="I37" s="102"/>
      <c r="J37" s="71"/>
    </row>
    <row r="38" spans="1:12" s="69" customFormat="1" ht="16">
      <c r="A38" s="89"/>
      <c r="B38" s="86" t="str">
        <f>INDEX((ID),MATCH(C38,BARANG,0))</f>
        <v>308024</v>
      </c>
      <c r="C38" s="378" t="s">
        <v>3407</v>
      </c>
      <c r="D38" s="60">
        <f>SUMIF(anodizev,C38,jumlah_pemakaian)</f>
        <v>0</v>
      </c>
      <c r="E38" s="86" t="s">
        <v>2224</v>
      </c>
      <c r="F38" s="90">
        <f>tandembox_dasar</f>
        <v>75</v>
      </c>
      <c r="H38" s="74"/>
      <c r="I38" s="102"/>
      <c r="J38" s="71"/>
    </row>
    <row r="39" spans="1:12" s="69" customFormat="1">
      <c r="A39" s="89"/>
      <c r="B39" s="86"/>
      <c r="C39" s="94"/>
      <c r="D39" s="89"/>
      <c r="E39" s="89"/>
      <c r="F39" s="90">
        <f>tandembox_palang</f>
        <v>87</v>
      </c>
      <c r="H39" s="74"/>
      <c r="I39" s="102"/>
      <c r="J39" s="71"/>
    </row>
    <row r="40" spans="1:12" s="69" customFormat="1" ht="16">
      <c r="A40" s="89"/>
      <c r="B40" s="86">
        <f>INDEX((ID),MATCH(C40,BARANG,0))</f>
        <v>301085</v>
      </c>
      <c r="C40" s="378" t="str">
        <f>soket_ministrip</f>
        <v>SOCKET LAMPU MINISTRIP</v>
      </c>
      <c r="D40" s="60">
        <f>SUMIF(profil_3,C40,jumlah_pemakaian)</f>
        <v>0</v>
      </c>
      <c r="E40" s="86" t="s">
        <v>2230</v>
      </c>
      <c r="F40" s="90"/>
      <c r="H40" s="74"/>
      <c r="K40" s="78"/>
      <c r="L40" s="78"/>
    </row>
    <row r="41" spans="1:12" s="69" customFormat="1">
      <c r="A41" s="89"/>
      <c r="B41" s="86"/>
      <c r="C41" s="95"/>
      <c r="D41" s="93"/>
      <c r="E41" s="89"/>
      <c r="F41" s="90"/>
      <c r="H41" s="74"/>
      <c r="K41" s="78"/>
      <c r="L41" s="78"/>
    </row>
    <row r="42" spans="1:12" s="69" customFormat="1">
      <c r="A42" s="89"/>
      <c r="B42" s="86"/>
      <c r="C42" s="95"/>
      <c r="D42" s="93"/>
      <c r="E42" s="89"/>
      <c r="F42" s="90"/>
      <c r="H42" s="74"/>
      <c r="K42" s="78"/>
      <c r="L42" s="78"/>
    </row>
    <row r="43" spans="1:12" s="69" customFormat="1">
      <c r="A43" s="89"/>
      <c r="B43" s="86"/>
      <c r="C43" s="95"/>
      <c r="D43" s="93"/>
      <c r="E43" s="89"/>
      <c r="F43" s="90"/>
      <c r="H43" s="74"/>
      <c r="K43" s="78"/>
      <c r="L43" s="78"/>
    </row>
    <row r="44" spans="1:12" s="69" customFormat="1">
      <c r="A44" s="89"/>
      <c r="B44" s="89"/>
      <c r="C44" s="95"/>
      <c r="D44" s="93"/>
      <c r="E44" s="89"/>
      <c r="F44" s="90"/>
      <c r="H44" s="74"/>
      <c r="K44" s="78"/>
      <c r="L44" s="78"/>
    </row>
    <row r="45" spans="1:12" s="69" customFormat="1">
      <c r="A45" s="89"/>
      <c r="B45" s="89"/>
      <c r="C45" s="95"/>
      <c r="D45" s="93"/>
      <c r="E45" s="89"/>
      <c r="F45" s="90"/>
      <c r="H45" s="74"/>
      <c r="I45" s="78"/>
      <c r="J45" s="78"/>
    </row>
    <row r="46" spans="1:12" s="69" customFormat="1">
      <c r="A46" s="89"/>
      <c r="B46" s="89"/>
      <c r="C46" s="95"/>
      <c r="D46" s="93"/>
      <c r="E46" s="89"/>
      <c r="F46" s="90"/>
      <c r="H46" s="74"/>
      <c r="I46" s="71"/>
      <c r="J46" s="71"/>
    </row>
    <row r="47" spans="1:12" s="69" customFormat="1">
      <c r="A47" s="71" t="s">
        <v>2210</v>
      </c>
      <c r="B47" s="71"/>
      <c r="C47" s="71"/>
      <c r="D47" s="72"/>
      <c r="E47" s="71"/>
      <c r="F47" s="71"/>
      <c r="H47" s="74"/>
      <c r="I47" s="71"/>
      <c r="J47" s="71"/>
    </row>
    <row r="48" spans="1:12" s="69" customFormat="1">
      <c r="A48" s="71"/>
      <c r="B48" s="71"/>
      <c r="C48" s="71"/>
      <c r="D48" s="72"/>
      <c r="E48" s="71"/>
      <c r="F48" s="71"/>
      <c r="H48" s="74"/>
      <c r="I48" s="71"/>
      <c r="J48" s="71"/>
    </row>
    <row r="49" spans="1:10" s="69" customFormat="1">
      <c r="A49" s="71"/>
      <c r="B49" s="71"/>
      <c r="C49" s="71"/>
      <c r="D49" s="72"/>
      <c r="E49" s="71"/>
      <c r="F49" s="71"/>
      <c r="H49" s="74"/>
      <c r="I49" s="71"/>
      <c r="J49" s="71"/>
    </row>
    <row r="50" spans="1:10" s="69" customFormat="1">
      <c r="A50" s="71" t="s">
        <v>2211</v>
      </c>
      <c r="B50" s="71"/>
      <c r="C50" s="71"/>
      <c r="D50" s="72"/>
      <c r="E50" s="71"/>
      <c r="F50" s="71"/>
      <c r="H50" s="74"/>
      <c r="I50" s="102"/>
      <c r="J50" s="71"/>
    </row>
    <row r="51" spans="1:10" s="69" customFormat="1">
      <c r="A51" s="71"/>
      <c r="B51" s="71"/>
      <c r="C51" s="71"/>
      <c r="D51" s="72"/>
      <c r="E51" s="71"/>
      <c r="F51" s="71"/>
      <c r="H51" s="74"/>
    </row>
    <row r="52" spans="1:10" s="69" customFormat="1">
      <c r="A52" s="96" t="s">
        <v>2197</v>
      </c>
      <c r="B52" s="96"/>
      <c r="C52" s="96"/>
      <c r="D52" s="97"/>
      <c r="E52" s="96"/>
      <c r="F52" s="96"/>
      <c r="H52" s="74"/>
    </row>
    <row r="53" spans="1:10" s="69" customFormat="1">
      <c r="A53" s="96"/>
      <c r="B53" s="96"/>
      <c r="C53" s="96"/>
      <c r="D53" s="97"/>
      <c r="E53" s="96"/>
      <c r="F53" s="96"/>
      <c r="H53" s="74"/>
    </row>
    <row r="54" spans="1:10" s="69" customFormat="1">
      <c r="A54" s="96"/>
      <c r="B54" s="96"/>
      <c r="C54" s="96"/>
      <c r="D54" s="97"/>
      <c r="E54" s="96"/>
      <c r="F54" s="96"/>
      <c r="H54" s="74"/>
    </row>
    <row r="55" spans="1:10" s="69" customFormat="1">
      <c r="A55" s="71"/>
      <c r="B55" s="71"/>
      <c r="C55" s="71"/>
      <c r="D55" s="72"/>
      <c r="E55" s="71"/>
      <c r="F55" s="71"/>
      <c r="H55" s="74"/>
    </row>
    <row r="56" spans="1:10" s="69" customFormat="1" ht="18">
      <c r="A56" s="906" t="s">
        <v>2198</v>
      </c>
      <c r="B56" s="906"/>
      <c r="C56" s="906"/>
      <c r="D56" s="906"/>
      <c r="E56" s="906"/>
      <c r="F56" s="906"/>
      <c r="H56" s="74"/>
    </row>
    <row r="57" spans="1:10" s="69" customFormat="1">
      <c r="A57" s="71"/>
      <c r="B57" s="71"/>
      <c r="C57" s="71"/>
      <c r="D57" s="72"/>
      <c r="E57" s="71"/>
      <c r="F57" s="71"/>
      <c r="H57" s="74"/>
    </row>
    <row r="58" spans="1:10" s="69" customFormat="1">
      <c r="A58" s="71"/>
      <c r="B58" s="71"/>
      <c r="C58" s="71"/>
      <c r="D58" s="72"/>
      <c r="E58" s="77" t="s">
        <v>2212</v>
      </c>
      <c r="F58" s="71"/>
      <c r="H58" s="98" t="s">
        <v>2213</v>
      </c>
    </row>
    <row r="59" spans="1:10" s="69" customFormat="1">
      <c r="A59" s="71"/>
      <c r="B59" s="71"/>
      <c r="C59" s="71"/>
      <c r="D59" s="72"/>
      <c r="E59" s="71"/>
      <c r="F59" s="71"/>
      <c r="H59" s="98" t="s">
        <v>2214</v>
      </c>
    </row>
    <row r="60" spans="1:10" s="69" customFormat="1">
      <c r="A60" s="77" t="s">
        <v>2200</v>
      </c>
      <c r="B60" s="77"/>
      <c r="C60" s="71" t="s">
        <v>2201</v>
      </c>
      <c r="D60" s="72"/>
      <c r="E60" s="77" t="s">
        <v>2202</v>
      </c>
      <c r="F60" s="78" t="str">
        <f>F6&amp;"B"</f>
        <v>RZ0458-11B</v>
      </c>
      <c r="H60" s="98" t="s">
        <v>2215</v>
      </c>
    </row>
    <row r="61" spans="1:10" s="69" customFormat="1" ht="14">
      <c r="A61" s="77" t="s">
        <v>2203</v>
      </c>
      <c r="B61" s="77"/>
      <c r="C61" s="79" t="str">
        <f>C7</f>
        <v>127/RK-RL-PI/PAP-LL/XII/2025</v>
      </c>
      <c r="D61" s="72"/>
      <c r="E61" s="71"/>
      <c r="F61" s="77"/>
      <c r="H61" s="74"/>
    </row>
    <row r="62" spans="1:10" s="69" customFormat="1" ht="14">
      <c r="A62" s="99" t="s">
        <v>1508</v>
      </c>
      <c r="B62" s="99"/>
      <c r="C62" s="100" t="str">
        <f>C8</f>
        <v>25LL017MPC</v>
      </c>
      <c r="D62" s="72"/>
      <c r="E62" s="71"/>
      <c r="F62" s="77"/>
      <c r="H62" s="74"/>
    </row>
    <row r="63" spans="1:10" s="69" customFormat="1" ht="14">
      <c r="A63" s="77" t="s">
        <v>2204</v>
      </c>
      <c r="B63" s="77"/>
      <c r="C63" s="79" t="str">
        <f>C9</f>
        <v>PT Malindo Feedmill Tbk-Dry Pantry</v>
      </c>
      <c r="D63" s="72"/>
      <c r="E63" s="77" t="s">
        <v>2205</v>
      </c>
      <c r="F63" s="71"/>
      <c r="H63" s="74"/>
    </row>
    <row r="64" spans="1:10" s="69" customFormat="1" ht="14">
      <c r="A64" s="905" t="s">
        <v>2180</v>
      </c>
      <c r="B64" s="905"/>
      <c r="C64" s="101" t="str">
        <f>C10</f>
        <v>Fahrudin</v>
      </c>
      <c r="D64" s="72"/>
      <c r="E64" s="77"/>
      <c r="F64" s="71"/>
      <c r="H64" s="74"/>
    </row>
    <row r="65" spans="1:8" s="69" customFormat="1">
      <c r="A65" s="71"/>
      <c r="B65" s="71"/>
      <c r="C65" s="71"/>
      <c r="D65" s="72"/>
      <c r="E65" s="71"/>
      <c r="F65" s="71"/>
      <c r="H65" s="74"/>
    </row>
    <row r="66" spans="1:8" s="69" customFormat="1">
      <c r="A66" s="82" t="s">
        <v>327</v>
      </c>
      <c r="B66" s="82" t="s">
        <v>329</v>
      </c>
      <c r="C66" s="82" t="s">
        <v>330</v>
      </c>
      <c r="D66" s="109" t="s">
        <v>331</v>
      </c>
      <c r="E66" s="82" t="s">
        <v>332</v>
      </c>
      <c r="F66" s="82" t="s">
        <v>333</v>
      </c>
      <c r="H66" s="98" t="s">
        <v>2213</v>
      </c>
    </row>
    <row r="67" spans="1:8" s="69" customFormat="1">
      <c r="A67" s="89"/>
      <c r="B67" s="89"/>
      <c r="C67" s="95"/>
      <c r="D67" s="93"/>
      <c r="E67" s="89"/>
      <c r="F67" s="110"/>
      <c r="H67" s="98" t="s">
        <v>2216</v>
      </c>
    </row>
    <row r="68" spans="1:8" s="69" customFormat="1">
      <c r="A68" s="89"/>
      <c r="B68" s="89"/>
      <c r="C68" s="95"/>
      <c r="D68" s="93"/>
      <c r="E68" s="89"/>
      <c r="F68" s="110"/>
      <c r="H68" s="74"/>
    </row>
    <row r="69" spans="1:8" s="69" customFormat="1">
      <c r="A69" s="89"/>
      <c r="B69" s="89"/>
      <c r="C69" s="95"/>
      <c r="D69" s="93"/>
      <c r="E69" s="89"/>
      <c r="F69" s="110"/>
      <c r="H69" s="74"/>
    </row>
    <row r="70" spans="1:8" s="69" customFormat="1">
      <c r="A70" s="89"/>
      <c r="B70" s="89"/>
      <c r="C70" s="95"/>
      <c r="D70" s="93"/>
      <c r="E70" s="89"/>
      <c r="F70" s="110"/>
      <c r="H70" s="74"/>
    </row>
    <row r="71" spans="1:8" s="69" customFormat="1">
      <c r="A71" s="89"/>
      <c r="B71" s="89"/>
      <c r="C71" s="95"/>
      <c r="D71" s="93"/>
      <c r="E71" s="89"/>
      <c r="F71" s="110"/>
      <c r="H71" s="98" t="s">
        <v>2213</v>
      </c>
    </row>
    <row r="72" spans="1:8" s="69" customFormat="1">
      <c r="A72" s="89"/>
      <c r="B72" s="89"/>
      <c r="C72" s="95"/>
      <c r="D72" s="93"/>
      <c r="E72" s="89"/>
      <c r="F72" s="110"/>
      <c r="H72" s="98" t="s">
        <v>2217</v>
      </c>
    </row>
    <row r="73" spans="1:8" s="69" customFormat="1">
      <c r="A73" s="89"/>
      <c r="B73" s="89"/>
      <c r="C73" s="95"/>
      <c r="D73" s="93"/>
      <c r="E73" s="89"/>
      <c r="F73" s="110"/>
      <c r="H73" s="74"/>
    </row>
    <row r="74" spans="1:8" s="69" customFormat="1">
      <c r="A74" s="89"/>
      <c r="B74" s="89"/>
      <c r="C74" s="95"/>
      <c r="D74" s="93"/>
      <c r="E74" s="89"/>
      <c r="F74" s="110"/>
      <c r="H74" s="74"/>
    </row>
    <row r="75" spans="1:8" s="69" customFormat="1">
      <c r="A75" s="89"/>
      <c r="B75" s="89"/>
      <c r="C75" s="95"/>
      <c r="D75" s="93"/>
      <c r="E75" s="89"/>
      <c r="F75" s="110"/>
      <c r="H75" s="74"/>
    </row>
    <row r="76" spans="1:8" s="69" customFormat="1">
      <c r="A76" s="89"/>
      <c r="B76" s="89"/>
      <c r="C76" s="95"/>
      <c r="D76" s="93"/>
      <c r="E76" s="89"/>
      <c r="F76" s="110"/>
      <c r="H76" s="74"/>
    </row>
    <row r="77" spans="1:8" s="69" customFormat="1">
      <c r="A77" s="89"/>
      <c r="B77" s="89"/>
      <c r="C77" s="95"/>
      <c r="D77" s="93"/>
      <c r="E77" s="89"/>
      <c r="F77" s="110"/>
      <c r="H77" s="74"/>
    </row>
    <row r="78" spans="1:8" s="69" customFormat="1">
      <c r="A78" s="89"/>
      <c r="B78" s="89"/>
      <c r="C78" s="95"/>
      <c r="D78" s="93"/>
      <c r="E78" s="89"/>
      <c r="F78" s="110"/>
      <c r="H78" s="74"/>
    </row>
    <row r="79" spans="1:8" s="69" customFormat="1">
      <c r="A79" s="89"/>
      <c r="B79" s="89"/>
      <c r="C79" s="95"/>
      <c r="D79" s="93"/>
      <c r="E79" s="89"/>
      <c r="F79" s="110"/>
      <c r="H79" s="74"/>
    </row>
    <row r="80" spans="1:8" s="69" customFormat="1">
      <c r="A80" s="89"/>
      <c r="B80" s="89"/>
      <c r="C80" s="95"/>
      <c r="D80" s="93"/>
      <c r="E80" s="89"/>
      <c r="F80" s="110"/>
      <c r="H80" s="74"/>
    </row>
    <row r="81" spans="1:9" s="69" customFormat="1">
      <c r="A81" s="89"/>
      <c r="B81" s="89"/>
      <c r="C81" s="95"/>
      <c r="D81" s="93"/>
      <c r="E81" s="89"/>
      <c r="F81" s="110"/>
      <c r="H81" s="74"/>
    </row>
    <row r="82" spans="1:9" s="69" customFormat="1">
      <c r="A82" s="89"/>
      <c r="B82" s="89"/>
      <c r="C82" s="95"/>
      <c r="D82" s="93"/>
      <c r="E82" s="89"/>
      <c r="F82" s="110"/>
      <c r="H82" s="74"/>
    </row>
    <row r="83" spans="1:9" s="69" customFormat="1">
      <c r="A83" s="89"/>
      <c r="B83" s="89"/>
      <c r="C83" s="95"/>
      <c r="D83" s="93"/>
      <c r="E83" s="89"/>
      <c r="F83" s="110"/>
      <c r="H83" s="74"/>
    </row>
    <row r="84" spans="1:9" s="69" customFormat="1">
      <c r="A84" s="89"/>
      <c r="B84" s="89"/>
      <c r="C84" s="95"/>
      <c r="D84" s="93"/>
      <c r="E84" s="89"/>
      <c r="F84" s="110"/>
      <c r="H84" s="74"/>
    </row>
    <row r="85" spans="1:9" s="69" customFormat="1">
      <c r="A85" s="89"/>
      <c r="B85" s="89"/>
      <c r="C85" s="95"/>
      <c r="D85" s="93"/>
      <c r="E85" s="89"/>
      <c r="F85" s="110"/>
      <c r="H85" s="74"/>
    </row>
    <row r="86" spans="1:9" s="69" customFormat="1">
      <c r="A86" s="89"/>
      <c r="B86" s="89"/>
      <c r="C86" s="95"/>
      <c r="D86" s="93"/>
      <c r="E86" s="89"/>
      <c r="F86" s="110"/>
      <c r="H86" s="74"/>
    </row>
    <row r="87" spans="1:9" s="69" customFormat="1">
      <c r="A87" s="89"/>
      <c r="B87" s="89"/>
      <c r="C87" s="95"/>
      <c r="D87" s="93"/>
      <c r="E87" s="89"/>
      <c r="F87" s="110"/>
      <c r="H87" s="74"/>
      <c r="I87" s="69" t="s">
        <v>511</v>
      </c>
    </row>
    <row r="88" spans="1:9" s="69" customFormat="1">
      <c r="A88" s="89"/>
      <c r="B88" s="89"/>
      <c r="C88" s="95"/>
      <c r="D88" s="93"/>
      <c r="E88" s="89"/>
      <c r="F88" s="110"/>
      <c r="H88" s="74"/>
    </row>
    <row r="89" spans="1:9" s="69" customFormat="1">
      <c r="A89" s="89"/>
      <c r="B89" s="89"/>
      <c r="C89" s="95"/>
      <c r="D89" s="93"/>
      <c r="E89" s="89"/>
      <c r="F89" s="110"/>
      <c r="H89" s="74"/>
    </row>
    <row r="90" spans="1:9" s="69" customFormat="1">
      <c r="A90" s="89"/>
      <c r="B90" s="89"/>
      <c r="C90" s="95"/>
      <c r="D90" s="93"/>
      <c r="E90" s="89"/>
      <c r="F90" s="110"/>
      <c r="H90" s="74"/>
    </row>
    <row r="91" spans="1:9" s="69" customFormat="1">
      <c r="A91" s="89"/>
      <c r="B91" s="89"/>
      <c r="C91" s="95"/>
      <c r="D91" s="93"/>
      <c r="E91" s="89"/>
      <c r="F91" s="110"/>
      <c r="H91" s="74"/>
    </row>
    <row r="92" spans="1:9" s="69" customFormat="1">
      <c r="A92" s="89"/>
      <c r="B92" s="89"/>
      <c r="C92" s="95"/>
      <c r="D92" s="93"/>
      <c r="E92" s="89"/>
      <c r="F92" s="110"/>
      <c r="H92" s="74"/>
    </row>
    <row r="93" spans="1:9" s="69" customFormat="1">
      <c r="A93" s="89"/>
      <c r="B93" s="89"/>
      <c r="C93" s="95"/>
      <c r="D93" s="93"/>
      <c r="E93" s="89"/>
      <c r="F93" s="110"/>
      <c r="H93" s="74"/>
    </row>
    <row r="94" spans="1:9" s="69" customFormat="1">
      <c r="A94" s="89"/>
      <c r="B94" s="89"/>
      <c r="C94" s="95"/>
      <c r="D94" s="93"/>
      <c r="E94" s="89"/>
      <c r="F94" s="110"/>
      <c r="H94" s="74"/>
    </row>
    <row r="95" spans="1:9" s="69" customFormat="1">
      <c r="A95" s="89"/>
      <c r="B95" s="89"/>
      <c r="C95" s="95"/>
      <c r="D95" s="93"/>
      <c r="E95" s="89"/>
      <c r="F95" s="110"/>
      <c r="H95" s="74"/>
    </row>
    <row r="96" spans="1:9" s="69" customFormat="1">
      <c r="A96" s="89"/>
      <c r="B96" s="89"/>
      <c r="C96" s="95"/>
      <c r="D96" s="93"/>
      <c r="E96" s="89"/>
      <c r="F96" s="110"/>
      <c r="H96" s="74"/>
    </row>
    <row r="97" spans="1:8" s="69" customFormat="1">
      <c r="A97" s="89"/>
      <c r="B97" s="89"/>
      <c r="C97" s="95"/>
      <c r="D97" s="93"/>
      <c r="E97" s="89"/>
      <c r="F97" s="110"/>
      <c r="H97" s="74"/>
    </row>
    <row r="98" spans="1:8" s="69" customFormat="1">
      <c r="A98" s="89"/>
      <c r="B98" s="89"/>
      <c r="C98" s="95"/>
      <c r="D98" s="93"/>
      <c r="E98" s="89"/>
      <c r="F98" s="110"/>
      <c r="H98" s="74"/>
    </row>
    <row r="99" spans="1:8" s="69" customFormat="1">
      <c r="A99" s="89"/>
      <c r="B99" s="89"/>
      <c r="C99" s="95"/>
      <c r="D99" s="93"/>
      <c r="E99" s="89"/>
      <c r="F99" s="110"/>
      <c r="H99" s="74"/>
    </row>
    <row r="100" spans="1:8" s="69" customFormat="1">
      <c r="A100" s="89"/>
      <c r="B100" s="89"/>
      <c r="C100" s="95"/>
      <c r="D100" s="93"/>
      <c r="E100" s="89"/>
      <c r="F100" s="110"/>
      <c r="H100" s="74"/>
    </row>
    <row r="101" spans="1:8" s="69" customFormat="1">
      <c r="A101" s="89"/>
      <c r="B101" s="89"/>
      <c r="C101" s="95"/>
      <c r="D101" s="93"/>
      <c r="E101" s="89"/>
      <c r="F101" s="110"/>
      <c r="G101" s="111"/>
      <c r="H101" s="112"/>
    </row>
    <row r="102" spans="1:8" s="69" customFormat="1">
      <c r="A102" s="71" t="s">
        <v>2210</v>
      </c>
      <c r="B102" s="71"/>
      <c r="C102" s="71"/>
      <c r="D102" s="72"/>
      <c r="E102" s="71"/>
      <c r="F102" s="71"/>
      <c r="H102" s="74"/>
    </row>
    <row r="103" spans="1:8" s="69" customFormat="1">
      <c r="A103" s="71"/>
      <c r="B103" s="71"/>
      <c r="C103" s="71"/>
      <c r="D103" s="72"/>
      <c r="E103" s="71"/>
      <c r="F103" s="71"/>
      <c r="H103" s="74"/>
    </row>
    <row r="104" spans="1:8" s="69" customFormat="1">
      <c r="A104" s="71"/>
      <c r="B104" s="71"/>
      <c r="C104" s="71"/>
      <c r="D104" s="72"/>
      <c r="E104" s="71"/>
      <c r="F104" s="71"/>
      <c r="H104" s="74"/>
    </row>
    <row r="105" spans="1:8" s="69" customFormat="1">
      <c r="A105" s="71" t="s">
        <v>2211</v>
      </c>
      <c r="B105" s="71"/>
      <c r="C105" s="71"/>
      <c r="D105" s="72"/>
      <c r="E105" s="71"/>
      <c r="F105" s="71"/>
      <c r="H105" s="74"/>
    </row>
    <row r="106" spans="1:8" s="69" customFormat="1">
      <c r="A106" s="71"/>
      <c r="B106" s="71"/>
      <c r="C106" s="71"/>
      <c r="D106" s="72"/>
      <c r="E106" s="71"/>
      <c r="F106" s="71"/>
      <c r="H106" s="74"/>
    </row>
    <row r="107" spans="1:8" s="69" customFormat="1">
      <c r="A107" s="96" t="s">
        <v>2197</v>
      </c>
      <c r="B107" s="96"/>
      <c r="C107" s="96"/>
      <c r="D107" s="97"/>
      <c r="E107" s="96"/>
      <c r="F107" s="96"/>
      <c r="H107" s="74"/>
    </row>
    <row r="108" spans="1:8" s="69" customFormat="1">
      <c r="A108" s="71"/>
      <c r="B108" s="71"/>
      <c r="C108" s="71"/>
      <c r="D108" s="72"/>
      <c r="E108" s="71"/>
      <c r="F108" s="71"/>
      <c r="H108" s="74"/>
    </row>
    <row r="109" spans="1:8" s="69" customFormat="1">
      <c r="A109" s="71"/>
      <c r="B109" s="71"/>
      <c r="C109" s="71"/>
      <c r="D109" s="72"/>
      <c r="E109" s="71"/>
      <c r="F109" s="71"/>
      <c r="H109" s="74"/>
    </row>
    <row r="110" spans="1:8" s="69" customFormat="1">
      <c r="A110" s="96"/>
      <c r="B110" s="96"/>
      <c r="C110" s="96"/>
      <c r="D110" s="97"/>
      <c r="E110" s="96"/>
      <c r="F110" s="96"/>
      <c r="H110" s="74"/>
    </row>
    <row r="111" spans="1:8" s="69" customFormat="1">
      <c r="A111" s="71"/>
      <c r="B111" s="71"/>
      <c r="C111" s="71"/>
      <c r="D111" s="72"/>
      <c r="E111" s="71"/>
      <c r="F111" s="71"/>
      <c r="H111" s="74"/>
    </row>
    <row r="112" spans="1:8" s="69" customFormat="1" ht="18">
      <c r="A112" s="906" t="s">
        <v>2198</v>
      </c>
      <c r="B112" s="906"/>
      <c r="C112" s="906"/>
      <c r="D112" s="906"/>
      <c r="E112" s="906"/>
      <c r="F112" s="906"/>
      <c r="H112" s="74"/>
    </row>
    <row r="113" spans="1:8" s="69" customFormat="1">
      <c r="A113" s="71"/>
      <c r="B113" s="71"/>
      <c r="C113" s="71"/>
      <c r="D113" s="72"/>
      <c r="E113" s="71"/>
      <c r="F113" s="71"/>
      <c r="H113" s="74"/>
    </row>
    <row r="114" spans="1:8" s="69" customFormat="1">
      <c r="A114" s="71"/>
      <c r="B114" s="71"/>
      <c r="C114" s="71"/>
      <c r="D114" s="72"/>
      <c r="E114" s="77" t="s">
        <v>2212</v>
      </c>
      <c r="F114" s="71"/>
      <c r="H114" s="74"/>
    </row>
    <row r="115" spans="1:8" s="69" customFormat="1">
      <c r="A115" s="71"/>
      <c r="B115" s="71"/>
      <c r="C115" s="71"/>
      <c r="D115" s="72"/>
      <c r="E115" s="71"/>
      <c r="F115" s="71"/>
      <c r="H115" s="98" t="s">
        <v>2213</v>
      </c>
    </row>
    <row r="116" spans="1:8" s="69" customFormat="1">
      <c r="A116" s="77" t="s">
        <v>2200</v>
      </c>
      <c r="B116" s="77"/>
      <c r="C116" s="71" t="s">
        <v>2201</v>
      </c>
      <c r="D116" s="72"/>
      <c r="E116" s="77" t="s">
        <v>2202</v>
      </c>
      <c r="F116" s="78" t="str">
        <f>F60</f>
        <v>RZ0458-11B</v>
      </c>
      <c r="H116" s="98" t="s">
        <v>2214</v>
      </c>
    </row>
    <row r="117" spans="1:8" s="69" customFormat="1" ht="14">
      <c r="A117" s="77" t="s">
        <v>2203</v>
      </c>
      <c r="B117" s="77"/>
      <c r="C117" s="79" t="str">
        <f>C61</f>
        <v>127/RK-RL-PI/PAP-LL/XII/2025</v>
      </c>
      <c r="D117" s="72"/>
      <c r="E117" s="71"/>
      <c r="F117" s="77"/>
      <c r="H117" s="98" t="s">
        <v>2215</v>
      </c>
    </row>
    <row r="118" spans="1:8" s="69" customFormat="1" ht="14">
      <c r="A118" s="99" t="s">
        <v>1508</v>
      </c>
      <c r="B118" s="99"/>
      <c r="C118" s="100" t="str">
        <f>C62</f>
        <v>25LL017MPC</v>
      </c>
      <c r="D118" s="72"/>
      <c r="E118" s="71"/>
      <c r="F118" s="77"/>
      <c r="H118" s="74"/>
    </row>
    <row r="119" spans="1:8" s="69" customFormat="1" ht="14">
      <c r="A119" s="77" t="s">
        <v>2204</v>
      </c>
      <c r="B119" s="77"/>
      <c r="C119" s="79" t="str">
        <f>C63</f>
        <v>PT Malindo Feedmill Tbk-Dry Pantry</v>
      </c>
      <c r="D119" s="72"/>
      <c r="E119" s="77" t="s">
        <v>2205</v>
      </c>
      <c r="F119" s="71"/>
      <c r="H119" s="74"/>
    </row>
    <row r="120" spans="1:8" s="69" customFormat="1" ht="14">
      <c r="A120" s="905" t="s">
        <v>2180</v>
      </c>
      <c r="B120" s="905"/>
      <c r="C120" s="101" t="str">
        <f>C64</f>
        <v>Fahrudin</v>
      </c>
      <c r="D120" s="72"/>
      <c r="E120" s="77"/>
      <c r="F120" s="71"/>
      <c r="H120" s="74"/>
    </row>
    <row r="121" spans="1:8" s="69" customFormat="1">
      <c r="A121" s="71"/>
      <c r="B121" s="71"/>
      <c r="C121" s="71"/>
      <c r="D121" s="72"/>
      <c r="E121" s="71"/>
      <c r="F121" s="71"/>
      <c r="H121" s="74"/>
    </row>
    <row r="122" spans="1:8" s="69" customFormat="1">
      <c r="A122" s="71"/>
      <c r="B122" s="71"/>
      <c r="C122" s="71"/>
      <c r="D122" s="72"/>
      <c r="E122" s="71"/>
      <c r="F122" s="71"/>
      <c r="H122" s="74"/>
    </row>
    <row r="123" spans="1:8" s="69" customFormat="1">
      <c r="A123" s="82" t="s">
        <v>327</v>
      </c>
      <c r="B123" s="82" t="s">
        <v>329</v>
      </c>
      <c r="C123" s="82" t="s">
        <v>330</v>
      </c>
      <c r="D123" s="109" t="s">
        <v>331</v>
      </c>
      <c r="E123" s="82" t="s">
        <v>332</v>
      </c>
      <c r="F123" s="82" t="s">
        <v>333</v>
      </c>
      <c r="H123" s="98" t="s">
        <v>2213</v>
      </c>
    </row>
    <row r="124" spans="1:8" s="69" customFormat="1">
      <c r="A124" s="113"/>
      <c r="B124" s="113"/>
      <c r="C124" s="114"/>
      <c r="D124" s="115"/>
      <c r="E124" s="113"/>
      <c r="F124" s="116"/>
      <c r="H124" s="98" t="s">
        <v>2216</v>
      </c>
    </row>
    <row r="125" spans="1:8" s="69" customFormat="1">
      <c r="A125" s="89"/>
      <c r="B125" s="89"/>
      <c r="C125" s="95"/>
      <c r="D125" s="93"/>
      <c r="E125" s="89"/>
      <c r="F125" s="110"/>
      <c r="H125" s="74"/>
    </row>
    <row r="126" spans="1:8" s="69" customFormat="1">
      <c r="A126" s="89"/>
      <c r="B126" s="89"/>
      <c r="C126" s="95"/>
      <c r="D126" s="93"/>
      <c r="E126" s="89"/>
      <c r="F126" s="110"/>
      <c r="H126" s="74"/>
    </row>
    <row r="127" spans="1:8" s="69" customFormat="1">
      <c r="A127" s="89"/>
      <c r="B127" s="89"/>
      <c r="C127" s="95"/>
      <c r="D127" s="93"/>
      <c r="E127" s="89"/>
      <c r="F127" s="110"/>
      <c r="H127" s="74"/>
    </row>
    <row r="128" spans="1:8" s="69" customFormat="1">
      <c r="A128" s="89"/>
      <c r="B128" s="89"/>
      <c r="C128" s="95"/>
      <c r="D128" s="93"/>
      <c r="E128" s="89"/>
      <c r="F128" s="110"/>
      <c r="H128" s="98" t="s">
        <v>2213</v>
      </c>
    </row>
    <row r="129" spans="1:8" s="69" customFormat="1">
      <c r="A129" s="89"/>
      <c r="B129" s="89"/>
      <c r="C129" s="95"/>
      <c r="D129" s="93"/>
      <c r="E129" s="89"/>
      <c r="F129" s="110"/>
      <c r="H129" s="98" t="s">
        <v>2217</v>
      </c>
    </row>
    <row r="130" spans="1:8" s="69" customFormat="1">
      <c r="A130" s="89"/>
      <c r="B130" s="89"/>
      <c r="C130" s="95"/>
      <c r="D130" s="93"/>
      <c r="E130" s="89"/>
      <c r="F130" s="110"/>
      <c r="H130" s="74"/>
    </row>
    <row r="131" spans="1:8" s="69" customFormat="1">
      <c r="A131" s="89"/>
      <c r="B131" s="89"/>
      <c r="C131" s="95"/>
      <c r="D131" s="93"/>
      <c r="E131" s="89"/>
      <c r="F131" s="110"/>
      <c r="H131" s="74"/>
    </row>
    <row r="132" spans="1:8" s="69" customFormat="1">
      <c r="A132" s="89"/>
      <c r="B132" s="89"/>
      <c r="C132" s="95"/>
      <c r="D132" s="93"/>
      <c r="E132" s="89"/>
      <c r="F132" s="110"/>
      <c r="H132" s="74"/>
    </row>
    <row r="133" spans="1:8" s="69" customFormat="1">
      <c r="A133" s="89"/>
      <c r="B133" s="89"/>
      <c r="C133" s="95"/>
      <c r="D133" s="93"/>
      <c r="E133" s="89"/>
      <c r="F133" s="110"/>
      <c r="H133" s="74"/>
    </row>
    <row r="134" spans="1:8" s="69" customFormat="1">
      <c r="A134" s="89"/>
      <c r="B134" s="89"/>
      <c r="C134" s="95"/>
      <c r="D134" s="93"/>
      <c r="E134" s="89"/>
      <c r="F134" s="110"/>
      <c r="H134" s="74"/>
    </row>
    <row r="135" spans="1:8" s="69" customFormat="1">
      <c r="A135" s="89"/>
      <c r="B135" s="89"/>
      <c r="C135" s="95"/>
      <c r="D135" s="93"/>
      <c r="E135" s="89"/>
      <c r="F135" s="110"/>
      <c r="H135" s="74"/>
    </row>
    <row r="136" spans="1:8" s="69" customFormat="1">
      <c r="A136" s="89"/>
      <c r="B136" s="89"/>
      <c r="C136" s="95"/>
      <c r="D136" s="93"/>
      <c r="E136" s="89"/>
      <c r="F136" s="110"/>
      <c r="H136" s="74"/>
    </row>
    <row r="137" spans="1:8" s="69" customFormat="1">
      <c r="A137" s="89"/>
      <c r="B137" s="89"/>
      <c r="C137" s="95"/>
      <c r="D137" s="93"/>
      <c r="E137" s="89"/>
      <c r="F137" s="110"/>
      <c r="H137" s="74"/>
    </row>
    <row r="138" spans="1:8" s="69" customFormat="1">
      <c r="A138" s="89"/>
      <c r="B138" s="89"/>
      <c r="C138" s="95"/>
      <c r="D138" s="93"/>
      <c r="E138" s="89"/>
      <c r="F138" s="110"/>
      <c r="H138" s="74"/>
    </row>
    <row r="139" spans="1:8" s="69" customFormat="1">
      <c r="A139" s="89"/>
      <c r="B139" s="89"/>
      <c r="C139" s="95"/>
      <c r="D139" s="93"/>
      <c r="E139" s="89"/>
      <c r="F139" s="110"/>
      <c r="H139" s="74"/>
    </row>
    <row r="140" spans="1:8" s="69" customFormat="1">
      <c r="A140" s="89"/>
      <c r="B140" s="89"/>
      <c r="C140" s="95"/>
      <c r="D140" s="93"/>
      <c r="E140" s="89"/>
      <c r="F140" s="110"/>
      <c r="H140" s="74"/>
    </row>
    <row r="141" spans="1:8" s="69" customFormat="1">
      <c r="A141" s="89"/>
      <c r="B141" s="89"/>
      <c r="C141" s="95"/>
      <c r="D141" s="93"/>
      <c r="E141" s="89"/>
      <c r="F141" s="110"/>
      <c r="H141" s="74"/>
    </row>
    <row r="142" spans="1:8" s="69" customFormat="1">
      <c r="A142" s="89"/>
      <c r="B142" s="89"/>
      <c r="C142" s="95"/>
      <c r="D142" s="93"/>
      <c r="E142" s="89"/>
      <c r="F142" s="110"/>
      <c r="H142" s="74"/>
    </row>
    <row r="143" spans="1:8" s="69" customFormat="1">
      <c r="A143" s="89"/>
      <c r="B143" s="89"/>
      <c r="C143" s="95"/>
      <c r="D143" s="93"/>
      <c r="E143" s="89"/>
      <c r="F143" s="110"/>
      <c r="H143" s="74"/>
    </row>
    <row r="144" spans="1:8" s="69" customFormat="1">
      <c r="A144" s="89"/>
      <c r="B144" s="89"/>
      <c r="C144" s="95"/>
      <c r="D144" s="93"/>
      <c r="E144" s="89"/>
      <c r="F144" s="110"/>
      <c r="H144" s="74"/>
    </row>
    <row r="145" spans="1:8" s="69" customFormat="1">
      <c r="A145" s="89"/>
      <c r="B145" s="89"/>
      <c r="C145" s="95"/>
      <c r="D145" s="93"/>
      <c r="E145" s="89"/>
      <c r="F145" s="110"/>
      <c r="H145" s="74"/>
    </row>
    <row r="146" spans="1:8" s="69" customFormat="1">
      <c r="A146" s="89"/>
      <c r="B146" s="89"/>
      <c r="C146" s="95"/>
      <c r="D146" s="93"/>
      <c r="E146" s="89"/>
      <c r="F146" s="110"/>
      <c r="H146" s="74"/>
    </row>
    <row r="147" spans="1:8" s="69" customFormat="1">
      <c r="A147" s="89"/>
      <c r="B147" s="89"/>
      <c r="C147" s="95"/>
      <c r="D147" s="93"/>
      <c r="E147" s="89"/>
      <c r="F147" s="110"/>
      <c r="H147" s="74"/>
    </row>
    <row r="148" spans="1:8" s="69" customFormat="1">
      <c r="A148" s="89"/>
      <c r="B148" s="89"/>
      <c r="C148" s="95"/>
      <c r="D148" s="93"/>
      <c r="E148" s="89"/>
      <c r="F148" s="110"/>
      <c r="H148" s="74"/>
    </row>
    <row r="149" spans="1:8" s="69" customFormat="1">
      <c r="A149" s="89"/>
      <c r="B149" s="89"/>
      <c r="C149" s="95"/>
      <c r="D149" s="93"/>
      <c r="E149" s="89"/>
      <c r="F149" s="110"/>
      <c r="H149" s="74"/>
    </row>
    <row r="150" spans="1:8" s="69" customFormat="1">
      <c r="A150" s="89"/>
      <c r="B150" s="89"/>
      <c r="C150" s="95"/>
      <c r="D150" s="93"/>
      <c r="E150" s="89"/>
      <c r="F150" s="110"/>
      <c r="H150" s="74"/>
    </row>
    <row r="151" spans="1:8" s="69" customFormat="1">
      <c r="A151" s="89"/>
      <c r="B151" s="89"/>
      <c r="C151" s="95"/>
      <c r="D151" s="93"/>
      <c r="E151" s="89"/>
      <c r="F151" s="110"/>
      <c r="H151" s="74"/>
    </row>
    <row r="152" spans="1:8" s="69" customFormat="1">
      <c r="A152" s="89"/>
      <c r="B152" s="89"/>
      <c r="C152" s="95"/>
      <c r="D152" s="93"/>
      <c r="E152" s="89"/>
      <c r="F152" s="110"/>
      <c r="H152" s="74"/>
    </row>
    <row r="153" spans="1:8" s="69" customFormat="1">
      <c r="A153" s="89"/>
      <c r="B153" s="89"/>
      <c r="C153" s="95"/>
      <c r="D153" s="93"/>
      <c r="E153" s="89"/>
      <c r="F153" s="110"/>
      <c r="H153" s="74"/>
    </row>
    <row r="154" spans="1:8" s="69" customFormat="1">
      <c r="A154" s="89"/>
      <c r="B154" s="89"/>
      <c r="C154" s="95"/>
      <c r="D154" s="93"/>
      <c r="E154" s="89"/>
      <c r="F154" s="110"/>
      <c r="H154" s="74"/>
    </row>
    <row r="155" spans="1:8" s="69" customFormat="1">
      <c r="A155" s="89"/>
      <c r="B155" s="89"/>
      <c r="C155" s="95"/>
      <c r="D155" s="93"/>
      <c r="E155" s="89"/>
      <c r="F155" s="110"/>
      <c r="H155" s="74"/>
    </row>
    <row r="156" spans="1:8" s="69" customFormat="1">
      <c r="A156" s="89"/>
      <c r="B156" s="89"/>
      <c r="C156" s="95"/>
      <c r="D156" s="93"/>
      <c r="E156" s="89"/>
      <c r="F156" s="110"/>
      <c r="H156" s="74"/>
    </row>
    <row r="157" spans="1:8" s="69" customFormat="1">
      <c r="A157" s="89"/>
      <c r="B157" s="89"/>
      <c r="C157" s="95"/>
      <c r="D157" s="93"/>
      <c r="E157" s="89"/>
      <c r="F157" s="110"/>
      <c r="H157" s="74"/>
    </row>
    <row r="158" spans="1:8" s="69" customFormat="1">
      <c r="A158" s="89"/>
      <c r="B158" s="89"/>
      <c r="C158" s="95"/>
      <c r="D158" s="93"/>
      <c r="E158" s="89"/>
      <c r="F158" s="110"/>
      <c r="H158" s="74"/>
    </row>
    <row r="159" spans="1:8" s="69" customFormat="1">
      <c r="A159" s="89"/>
      <c r="B159" s="89"/>
      <c r="C159" s="95"/>
      <c r="D159" s="93"/>
      <c r="E159" s="89"/>
      <c r="F159" s="110"/>
      <c r="H159" s="74"/>
    </row>
    <row r="160" spans="1:8" s="69" customFormat="1">
      <c r="A160" s="71" t="s">
        <v>2210</v>
      </c>
      <c r="B160" s="71"/>
      <c r="C160" s="71"/>
      <c r="D160" s="72"/>
      <c r="E160" s="71"/>
      <c r="F160" s="71"/>
      <c r="H160" s="74"/>
    </row>
    <row r="161" spans="1:12" s="69" customFormat="1">
      <c r="A161" s="71"/>
      <c r="B161" s="71"/>
      <c r="C161" s="71"/>
      <c r="D161" s="72"/>
      <c r="E161" s="71"/>
      <c r="F161" s="71"/>
      <c r="G161" s="117"/>
      <c r="H161" s="118"/>
    </row>
    <row r="162" spans="1:12" s="69" customFormat="1">
      <c r="A162" s="71"/>
      <c r="B162" s="71"/>
      <c r="C162" s="71"/>
      <c r="D162" s="72"/>
      <c r="E162" s="71"/>
      <c r="F162" s="71"/>
      <c r="H162" s="74"/>
    </row>
    <row r="163" spans="1:12" s="69" customFormat="1">
      <c r="A163" s="71"/>
      <c r="B163" s="71"/>
      <c r="C163" s="71"/>
      <c r="D163" s="72"/>
      <c r="E163" s="71"/>
      <c r="F163" s="71"/>
      <c r="H163" s="74"/>
    </row>
    <row r="164" spans="1:12" s="69" customFormat="1">
      <c r="A164" s="71" t="s">
        <v>2211</v>
      </c>
      <c r="B164" s="71"/>
      <c r="C164" s="71"/>
      <c r="D164" s="72"/>
      <c r="E164" s="71"/>
      <c r="F164" s="71"/>
      <c r="H164" s="74"/>
    </row>
    <row r="165" spans="1:12" s="69" customFormat="1">
      <c r="A165" s="71"/>
      <c r="B165" s="71"/>
      <c r="C165" s="71"/>
      <c r="D165" s="72"/>
      <c r="E165" s="71"/>
      <c r="F165" s="71"/>
      <c r="H165" s="74"/>
    </row>
    <row r="166" spans="1:12" s="69" customFormat="1">
      <c r="A166" s="96" t="s">
        <v>2197</v>
      </c>
      <c r="B166" s="96"/>
      <c r="C166" s="96"/>
      <c r="D166" s="97"/>
      <c r="E166" s="96"/>
      <c r="F166" s="96"/>
      <c r="H166" s="74"/>
    </row>
    <row r="167" spans="1:12" s="69" customFormat="1">
      <c r="A167" s="71"/>
      <c r="B167" s="71"/>
      <c r="C167" s="71"/>
      <c r="D167" s="72"/>
      <c r="E167" s="71"/>
      <c r="F167" s="71"/>
      <c r="H167" s="74"/>
    </row>
    <row r="168" spans="1:12" s="69" customFormat="1">
      <c r="A168" s="71"/>
      <c r="B168" s="71"/>
      <c r="C168" s="71"/>
      <c r="D168" s="72"/>
      <c r="E168" s="71"/>
      <c r="F168" s="71"/>
      <c r="H168" s="74"/>
    </row>
    <row r="169" spans="1:12" s="69" customFormat="1">
      <c r="A169" s="96"/>
      <c r="B169" s="96"/>
      <c r="C169" s="96"/>
      <c r="D169" s="97"/>
      <c r="E169" s="96"/>
      <c r="F169" s="96"/>
      <c r="H169" s="74"/>
    </row>
    <row r="170" spans="1:12">
      <c r="I170" s="69"/>
      <c r="J170" s="69"/>
      <c r="K170" s="69"/>
      <c r="L170" s="69"/>
    </row>
    <row r="171" spans="1:12">
      <c r="I171" s="69"/>
      <c r="J171" s="69"/>
      <c r="K171" s="69"/>
      <c r="L171" s="69"/>
    </row>
    <row r="172" spans="1:12">
      <c r="I172" s="69"/>
      <c r="J172" s="69"/>
      <c r="K172" s="69"/>
      <c r="L172" s="69"/>
    </row>
    <row r="173" spans="1:12">
      <c r="I173" s="69"/>
      <c r="J173" s="69"/>
      <c r="K173" s="69"/>
      <c r="L173" s="69"/>
    </row>
    <row r="174" spans="1:12">
      <c r="I174" s="69"/>
      <c r="J174" s="69"/>
      <c r="K174" s="69"/>
      <c r="L174" s="69"/>
    </row>
    <row r="175" spans="1:12">
      <c r="I175" s="69"/>
      <c r="J175" s="69"/>
      <c r="K175" s="69"/>
      <c r="L175" s="69"/>
    </row>
    <row r="176" spans="1:12">
      <c r="I176" s="69"/>
      <c r="J176" s="69"/>
      <c r="K176" s="69"/>
      <c r="L176" s="69"/>
    </row>
    <row r="177" spans="9:12">
      <c r="I177" s="69"/>
      <c r="J177" s="69"/>
      <c r="K177" s="69"/>
      <c r="L177" s="69"/>
    </row>
    <row r="178" spans="9:12">
      <c r="I178" s="69"/>
      <c r="J178" s="69"/>
      <c r="K178" s="69"/>
      <c r="L178" s="69"/>
    </row>
    <row r="179" spans="9:12">
      <c r="I179" s="69"/>
      <c r="J179" s="69"/>
      <c r="K179" s="69"/>
      <c r="L179" s="69"/>
    </row>
    <row r="180" spans="9:12">
      <c r="I180" s="69"/>
      <c r="J180" s="69"/>
      <c r="K180" s="69"/>
      <c r="L180" s="69"/>
    </row>
    <row r="181" spans="9:12">
      <c r="I181" s="69"/>
      <c r="J181" s="69"/>
      <c r="K181" s="69"/>
      <c r="L181" s="69"/>
    </row>
    <row r="182" spans="9:12">
      <c r="I182" s="69"/>
      <c r="J182" s="69"/>
      <c r="K182" s="69"/>
      <c r="L182" s="69"/>
    </row>
    <row r="183" spans="9:12">
      <c r="I183" s="69"/>
      <c r="J183" s="69"/>
      <c r="K183" s="69"/>
      <c r="L183" s="69"/>
    </row>
    <row r="184" spans="9:12">
      <c r="I184" s="69"/>
      <c r="J184" s="69"/>
      <c r="K184" s="69"/>
      <c r="L184" s="69"/>
    </row>
    <row r="185" spans="9:12">
      <c r="I185" s="69"/>
      <c r="J185" s="69"/>
      <c r="K185" s="69"/>
      <c r="L185" s="69"/>
    </row>
    <row r="186" spans="9:12">
      <c r="I186" s="69"/>
      <c r="J186" s="69"/>
      <c r="K186" s="69"/>
      <c r="L186" s="69"/>
    </row>
    <row r="187" spans="9:12">
      <c r="I187" s="69"/>
      <c r="J187" s="69"/>
      <c r="K187" s="69"/>
      <c r="L187" s="69"/>
    </row>
    <row r="188" spans="9:12">
      <c r="I188" s="69"/>
      <c r="J188" s="69"/>
      <c r="K188" s="69"/>
      <c r="L188" s="69"/>
    </row>
    <row r="189" spans="9:12">
      <c r="I189" s="69"/>
      <c r="J189" s="69"/>
      <c r="K189" s="69"/>
      <c r="L189" s="69"/>
    </row>
    <row r="190" spans="9:12">
      <c r="I190" s="69"/>
      <c r="J190" s="69"/>
      <c r="K190" s="69"/>
      <c r="L190" s="69"/>
    </row>
    <row r="191" spans="9:12">
      <c r="I191" s="69"/>
      <c r="J191" s="69"/>
      <c r="K191" s="69"/>
      <c r="L191" s="69"/>
    </row>
    <row r="192" spans="9:12">
      <c r="I192" s="69"/>
      <c r="J192" s="69"/>
      <c r="K192" s="69"/>
      <c r="L192" s="69"/>
    </row>
    <row r="193" spans="9:12">
      <c r="I193" s="69"/>
      <c r="J193" s="69"/>
      <c r="K193" s="69"/>
      <c r="L193" s="69"/>
    </row>
    <row r="194" spans="9:12">
      <c r="I194" s="69"/>
      <c r="J194" s="69"/>
      <c r="K194" s="69"/>
      <c r="L194" s="69"/>
    </row>
    <row r="195" spans="9:12">
      <c r="I195" s="69"/>
      <c r="J195" s="69"/>
      <c r="K195" s="69"/>
      <c r="L195" s="69"/>
    </row>
    <row r="196" spans="9:12">
      <c r="I196" s="69"/>
      <c r="J196" s="69"/>
      <c r="K196" s="69"/>
      <c r="L196" s="69"/>
    </row>
    <row r="197" spans="9:12">
      <c r="I197" s="69"/>
      <c r="J197" s="69"/>
      <c r="K197" s="69"/>
      <c r="L197" s="69"/>
    </row>
    <row r="198" spans="9:12">
      <c r="I198" s="69"/>
      <c r="J198" s="69"/>
      <c r="K198" s="69"/>
      <c r="L198" s="69"/>
    </row>
    <row r="199" spans="9:12">
      <c r="I199" s="69"/>
      <c r="J199" s="69"/>
      <c r="K199" s="69"/>
      <c r="L199" s="69"/>
    </row>
    <row r="200" spans="9:12">
      <c r="I200" s="69"/>
      <c r="J200" s="69"/>
      <c r="K200" s="69"/>
      <c r="L200" s="69"/>
    </row>
    <row r="201" spans="9:12">
      <c r="I201" s="69"/>
      <c r="J201" s="69"/>
      <c r="K201" s="69"/>
      <c r="L201" s="69"/>
    </row>
    <row r="202" spans="9:12">
      <c r="I202" s="69"/>
      <c r="J202" s="69"/>
      <c r="K202" s="119"/>
      <c r="L202" s="69"/>
    </row>
    <row r="203" spans="9:12">
      <c r="I203" s="69"/>
      <c r="J203" s="69"/>
      <c r="K203" s="69"/>
      <c r="L203" s="69"/>
    </row>
    <row r="204" spans="9:12">
      <c r="I204" s="69"/>
      <c r="J204" s="69"/>
      <c r="K204" s="69"/>
      <c r="L204" s="69"/>
    </row>
    <row r="205" spans="9:12">
      <c r="I205" s="69"/>
      <c r="J205" s="69"/>
      <c r="K205" s="69"/>
      <c r="L205" s="69"/>
    </row>
    <row r="206" spans="9:12">
      <c r="I206" s="69"/>
      <c r="J206" s="69"/>
      <c r="K206" s="69"/>
      <c r="L206" s="69"/>
    </row>
    <row r="207" spans="9:12">
      <c r="I207" s="69"/>
      <c r="J207" s="69"/>
      <c r="K207" s="69"/>
      <c r="L207" s="69"/>
    </row>
    <row r="208" spans="9:12">
      <c r="I208" s="69"/>
      <c r="J208" s="69"/>
      <c r="K208" s="69"/>
      <c r="L208" s="69"/>
    </row>
    <row r="209" spans="9:12">
      <c r="I209" s="69"/>
      <c r="J209" s="69"/>
      <c r="K209" s="69"/>
      <c r="L209" s="69"/>
    </row>
    <row r="210" spans="9:12">
      <c r="I210" s="69"/>
      <c r="J210" s="69"/>
      <c r="K210" s="69"/>
      <c r="L210" s="69"/>
    </row>
    <row r="211" spans="9:12">
      <c r="I211" s="119"/>
      <c r="J211" s="119"/>
      <c r="K211" s="69"/>
      <c r="L211" s="69"/>
    </row>
    <row r="212" spans="9:12">
      <c r="I212" s="69"/>
      <c r="J212" s="69"/>
      <c r="K212" s="69"/>
      <c r="L212" s="69"/>
    </row>
    <row r="213" spans="9:12">
      <c r="I213" s="69"/>
      <c r="J213" s="69"/>
      <c r="K213" s="69"/>
      <c r="L213" s="69"/>
    </row>
    <row r="214" spans="9:12">
      <c r="I214" s="69"/>
      <c r="J214" s="69"/>
      <c r="K214" s="69"/>
      <c r="L214" s="69"/>
    </row>
    <row r="215" spans="9:12">
      <c r="I215" s="69"/>
      <c r="J215" s="69"/>
      <c r="K215" s="69"/>
      <c r="L215" s="69"/>
    </row>
    <row r="216" spans="9:12">
      <c r="I216" s="69"/>
      <c r="J216" s="69"/>
      <c r="K216" s="69"/>
      <c r="L216" s="69"/>
    </row>
    <row r="217" spans="9:12">
      <c r="I217" s="69"/>
      <c r="J217" s="69"/>
      <c r="K217" s="69"/>
      <c r="L217" s="69"/>
    </row>
    <row r="218" spans="9:12">
      <c r="I218" s="69"/>
      <c r="J218" s="69"/>
      <c r="K218" s="69"/>
      <c r="L218" s="69"/>
    </row>
    <row r="219" spans="9:12">
      <c r="I219" s="69"/>
      <c r="J219" s="69"/>
      <c r="K219" s="69"/>
      <c r="L219" s="69"/>
    </row>
    <row r="220" spans="9:12">
      <c r="I220" s="69"/>
      <c r="J220" s="69"/>
      <c r="K220" s="69"/>
      <c r="L220" s="69"/>
    </row>
    <row r="221" spans="9:12">
      <c r="I221" s="69"/>
      <c r="J221" s="69"/>
      <c r="K221" s="69"/>
      <c r="L221" s="69"/>
    </row>
    <row r="222" spans="9:12">
      <c r="I222" s="69"/>
      <c r="J222" s="69"/>
      <c r="K222" s="69"/>
      <c r="L222" s="69"/>
    </row>
    <row r="223" spans="9:12">
      <c r="I223" s="69"/>
      <c r="J223" s="69"/>
      <c r="K223" s="69"/>
      <c r="L223" s="69"/>
    </row>
    <row r="224" spans="9:12">
      <c r="I224" s="69"/>
      <c r="J224" s="69"/>
      <c r="K224" s="69"/>
      <c r="L224" s="69"/>
    </row>
    <row r="225" spans="9:12">
      <c r="I225" s="69"/>
      <c r="J225" s="69"/>
      <c r="K225" s="69"/>
      <c r="L225" s="69"/>
    </row>
    <row r="226" spans="9:12">
      <c r="I226" s="69"/>
      <c r="J226" s="69"/>
      <c r="K226" s="69"/>
      <c r="L226" s="69"/>
    </row>
    <row r="227" spans="9:12">
      <c r="I227" s="69"/>
      <c r="J227" s="69"/>
      <c r="K227" s="69"/>
      <c r="L227" s="69"/>
    </row>
    <row r="228" spans="9:12">
      <c r="I228" s="69"/>
      <c r="J228" s="69"/>
      <c r="K228" s="69"/>
      <c r="L228" s="69"/>
    </row>
    <row r="229" spans="9:12">
      <c r="I229" s="69"/>
      <c r="J229" s="69"/>
      <c r="K229" s="69"/>
      <c r="L229" s="69"/>
    </row>
    <row r="230" spans="9:12">
      <c r="I230" s="69"/>
      <c r="J230" s="69"/>
      <c r="K230" s="69"/>
      <c r="L230" s="69"/>
    </row>
    <row r="231" spans="9:12">
      <c r="I231" s="69"/>
      <c r="J231" s="69"/>
      <c r="K231" s="69"/>
      <c r="L231" s="69"/>
    </row>
    <row r="232" spans="9:12">
      <c r="I232" s="69"/>
      <c r="J232" s="69"/>
      <c r="K232" s="69"/>
      <c r="L232" s="69"/>
    </row>
    <row r="233" spans="9:12">
      <c r="I233" s="69"/>
      <c r="J233" s="69"/>
      <c r="K233" s="69"/>
      <c r="L233" s="69"/>
    </row>
    <row r="234" spans="9:12">
      <c r="I234" s="69"/>
      <c r="J234" s="69"/>
      <c r="K234" s="69"/>
      <c r="L234" s="69"/>
    </row>
    <row r="235" spans="9:12">
      <c r="I235" s="69"/>
      <c r="J235" s="69"/>
      <c r="K235" s="69"/>
      <c r="L235" s="69"/>
    </row>
    <row r="236" spans="9:12">
      <c r="I236" s="69"/>
      <c r="J236" s="69"/>
      <c r="K236" s="69"/>
      <c r="L236" s="69"/>
    </row>
    <row r="237" spans="9:12">
      <c r="I237" s="69"/>
      <c r="J237" s="69"/>
      <c r="K237" s="69"/>
      <c r="L237" s="69"/>
    </row>
    <row r="238" spans="9:12">
      <c r="I238" s="69"/>
      <c r="J238" s="69"/>
      <c r="K238" s="69"/>
      <c r="L238" s="69"/>
    </row>
    <row r="239" spans="9:12">
      <c r="I239" s="69"/>
      <c r="J239" s="69"/>
      <c r="K239" s="69"/>
      <c r="L239" s="69"/>
    </row>
    <row r="240" spans="9:12">
      <c r="I240" s="69"/>
      <c r="J240" s="69"/>
      <c r="K240" s="69"/>
      <c r="L240" s="69"/>
    </row>
    <row r="241" spans="9:12">
      <c r="I241" s="69"/>
      <c r="J241" s="69"/>
      <c r="K241" s="120"/>
      <c r="L241" s="69"/>
    </row>
    <row r="242" spans="9:12">
      <c r="I242" s="69"/>
      <c r="J242" s="69"/>
      <c r="K242" s="69"/>
      <c r="L242" s="69"/>
    </row>
    <row r="243" spans="9:12">
      <c r="I243" s="69"/>
      <c r="J243" s="69"/>
      <c r="K243" s="69"/>
      <c r="L243" s="69"/>
    </row>
    <row r="244" spans="9:12">
      <c r="I244" s="69"/>
      <c r="J244" s="69"/>
      <c r="K244" s="119"/>
      <c r="L244" s="69"/>
    </row>
    <row r="245" spans="9:12">
      <c r="I245" s="69"/>
      <c r="J245" s="69"/>
      <c r="K245" s="69"/>
      <c r="L245" s="69"/>
    </row>
    <row r="246" spans="9:12">
      <c r="I246" s="69"/>
      <c r="J246" s="69"/>
      <c r="K246" s="69"/>
      <c r="L246" s="69"/>
    </row>
    <row r="247" spans="9:12">
      <c r="I247" s="69"/>
      <c r="J247" s="69"/>
      <c r="K247" s="69"/>
      <c r="L247" s="69"/>
    </row>
    <row r="248" spans="9:12">
      <c r="I248" s="69"/>
      <c r="J248" s="69"/>
      <c r="K248" s="69"/>
      <c r="L248" s="69"/>
    </row>
    <row r="249" spans="9:12">
      <c r="I249" s="69"/>
      <c r="J249" s="69"/>
      <c r="K249" s="69"/>
      <c r="L249" s="69"/>
    </row>
    <row r="250" spans="9:12">
      <c r="I250" s="120"/>
      <c r="J250" s="120"/>
    </row>
    <row r="251" spans="9:12">
      <c r="I251" s="69"/>
      <c r="J251" s="69"/>
    </row>
    <row r="252" spans="9:12">
      <c r="I252" s="69"/>
      <c r="J252" s="69"/>
    </row>
    <row r="253" spans="9:12">
      <c r="I253" s="119"/>
      <c r="J253" s="119"/>
    </row>
    <row r="254" spans="9:12">
      <c r="I254" s="69"/>
      <c r="J254" s="69"/>
    </row>
    <row r="255" spans="9:12">
      <c r="I255" s="69"/>
      <c r="J255" s="69"/>
    </row>
    <row r="256" spans="9:12">
      <c r="I256" s="69"/>
      <c r="J256" s="69"/>
    </row>
    <row r="257" spans="9:10">
      <c r="I257" s="69"/>
      <c r="J257" s="69"/>
    </row>
    <row r="258" spans="9:10">
      <c r="I258" s="69"/>
      <c r="J258" s="69"/>
    </row>
  </sheetData>
  <autoFilter ref="A12:F47" xr:uid="{00000000-0009-0000-0000-000012000000}"/>
  <mergeCells count="7">
    <mergeCell ref="A120:B120"/>
    <mergeCell ref="A2:F2"/>
    <mergeCell ref="F9:H9"/>
    <mergeCell ref="A10:B10"/>
    <mergeCell ref="A56:F56"/>
    <mergeCell ref="A64:B64"/>
    <mergeCell ref="A112:F112"/>
  </mergeCells>
  <dataValidations count="3">
    <dataValidation type="list" allowBlank="1" showInputMessage="1" showErrorMessage="1" sqref="C13:C17 C19:C22" xr:uid="{00000000-0002-0000-1200-000000000000}">
      <formula1>BARANG</formula1>
    </dataValidation>
    <dataValidation type="list" allowBlank="1" showInputMessage="1" showErrorMessage="1" sqref="C18 C23 C25:C26" xr:uid="{00000000-0002-0000-1200-000001000000}">
      <formula1>Fr</formula1>
    </dataValidation>
    <dataValidation type="list" allowBlank="1" showInputMessage="1" showErrorMessage="1" sqref="C27:C38 C40" xr:uid="{00000000-0002-0000-1200-000002000000}">
      <formula1>ministrip</formula1>
    </dataValidation>
  </dataValidations>
  <printOptions horizontalCentered="1"/>
  <pageMargins left="0.1" right="0.1" top="0.3" bottom="0.1" header="0.51111111111111096" footer="0.51111111111111096"/>
  <pageSetup orientation="portrait" horizontalDpi="4294967293" verticalDpi="4294967293" r:id="rId1"/>
  <headerFooter scaleWithDoc="0" alignWithMargins="0"/>
  <colBreaks count="1" manualBreakCount="1">
    <brk id="6" max="1048575" man="1"/>
  </colBreaks>
  <drawing r:id="rId2"/>
  <legacyDrawing r:id="rId3"/>
  <oleObjects>
    <mc:AlternateContent xmlns:mc="http://schemas.openxmlformats.org/markup-compatibility/2006">
      <mc:Choice Requires="x14">
        <oleObject progId="MSPhotoEd.3" shapeId="167961" r:id="rId4">
          <objectPr defaultSize="0" autoPict="0" altText="" r:id="rId5">
            <anchor moveWithCells="1">
              <from>
                <xdr:col>0</xdr:col>
                <xdr:colOff>114300</xdr:colOff>
                <xdr:row>0</xdr:row>
                <xdr:rowOff>0</xdr:rowOff>
              </from>
              <to>
                <xdr:col>1</xdr:col>
                <xdr:colOff>647700</xdr:colOff>
                <xdr:row>4</xdr:row>
                <xdr:rowOff>12700</xdr:rowOff>
              </to>
            </anchor>
          </objectPr>
        </oleObject>
      </mc:Choice>
      <mc:Fallback>
        <oleObject progId="MSPhotoEd.3" shapeId="167961" r:id="rId4"/>
      </mc:Fallback>
    </mc:AlternateContent>
    <mc:AlternateContent xmlns:mc="http://schemas.openxmlformats.org/markup-compatibility/2006">
      <mc:Choice Requires="x14">
        <oleObject progId="MSPhotoEd.3" shapeId="167962" r:id="rId6">
          <objectPr defaultSize="0" autoPict="0" altText="" r:id="rId5">
            <anchor moveWithCells="1">
              <from>
                <xdr:col>0</xdr:col>
                <xdr:colOff>114300</xdr:colOff>
                <xdr:row>54</xdr:row>
                <xdr:rowOff>0</xdr:rowOff>
              </from>
              <to>
                <xdr:col>1</xdr:col>
                <xdr:colOff>647700</xdr:colOff>
                <xdr:row>58</xdr:row>
                <xdr:rowOff>0</xdr:rowOff>
              </to>
            </anchor>
          </objectPr>
        </oleObject>
      </mc:Choice>
      <mc:Fallback>
        <oleObject progId="MSPhotoEd.3" shapeId="167962" r:id="rId6"/>
      </mc:Fallback>
    </mc:AlternateContent>
    <mc:AlternateContent xmlns:mc="http://schemas.openxmlformats.org/markup-compatibility/2006">
      <mc:Choice Requires="x14">
        <oleObject progId="MSPhotoEd.3" shapeId="167963" r:id="rId7">
          <objectPr defaultSize="0" autoPict="0" altText="" r:id="rId5">
            <anchor moveWithCells="1">
              <from>
                <xdr:col>0</xdr:col>
                <xdr:colOff>114300</xdr:colOff>
                <xdr:row>110</xdr:row>
                <xdr:rowOff>0</xdr:rowOff>
              </from>
              <to>
                <xdr:col>1</xdr:col>
                <xdr:colOff>647700</xdr:colOff>
                <xdr:row>114</xdr:row>
                <xdr:rowOff>88900</xdr:rowOff>
              </to>
            </anchor>
          </objectPr>
        </oleObject>
      </mc:Choice>
      <mc:Fallback>
        <oleObject progId="MSPhotoEd.3" shapeId="167963" r:id="rId7"/>
      </mc:Fallback>
    </mc:AlternateContent>
  </oleObjec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5"/>
  <dimension ref="A1:L159"/>
  <sheetViews>
    <sheetView view="pageBreakPreview" zoomScale="70" zoomScaleNormal="100" zoomScaleSheetLayoutView="70" workbookViewId="0">
      <pane ySplit="12" topLeftCell="A82" activePane="bottomLeft" state="frozen"/>
      <selection pane="bottomLeft" activeCell="D95" sqref="D95"/>
    </sheetView>
  </sheetViews>
  <sheetFormatPr baseColWidth="10" defaultColWidth="7" defaultRowHeight="13"/>
  <cols>
    <col min="1" max="1" width="2.6640625" style="71" customWidth="1"/>
    <col min="2" max="2" width="10" style="71" customWidth="1"/>
    <col min="3" max="3" width="39.1640625" style="71" customWidth="1"/>
    <col min="4" max="4" width="4.33203125" style="71" customWidth="1"/>
    <col min="5" max="5" width="6.1640625" style="71" customWidth="1"/>
    <col min="6" max="6" width="25.33203125" style="71" customWidth="1"/>
    <col min="7" max="7" width="2.5" style="71" customWidth="1"/>
    <col min="8" max="8" width="0.6640625" style="73" customWidth="1"/>
    <col min="9" max="16384" width="7" style="71"/>
  </cols>
  <sheetData>
    <row r="1" spans="1:12" s="69" customFormat="1">
      <c r="A1" s="71"/>
      <c r="B1" s="71"/>
      <c r="C1" s="71"/>
      <c r="D1" s="71"/>
      <c r="E1" s="71"/>
      <c r="F1" s="71"/>
      <c r="H1" s="74"/>
    </row>
    <row r="2" spans="1:12" s="69" customFormat="1" ht="18">
      <c r="A2" s="911" t="s">
        <v>2198</v>
      </c>
      <c r="B2" s="911"/>
      <c r="C2" s="911"/>
      <c r="D2" s="911"/>
      <c r="E2" s="911"/>
      <c r="F2" s="911"/>
      <c r="H2" s="74"/>
    </row>
    <row r="3" spans="1:12" s="69" customFormat="1" ht="14.25" customHeight="1">
      <c r="A3" s="909" t="s">
        <v>4052</v>
      </c>
      <c r="B3" s="909"/>
      <c r="C3" s="909"/>
      <c r="D3" s="909"/>
      <c r="E3" s="909"/>
      <c r="F3" s="909"/>
      <c r="H3" s="74"/>
    </row>
    <row r="4" spans="1:12" s="69" customFormat="1" ht="14.25" customHeight="1">
      <c r="A4" s="71"/>
      <c r="B4" s="71"/>
      <c r="C4" s="71"/>
      <c r="D4" s="75"/>
      <c r="E4" s="75"/>
      <c r="F4" s="76"/>
      <c r="H4" s="74"/>
    </row>
    <row r="5" spans="1:12" s="69" customFormat="1" ht="14.25" customHeight="1">
      <c r="A5" s="71"/>
      <c r="B5" s="71"/>
      <c r="C5" s="71"/>
      <c r="D5" s="71"/>
      <c r="E5" s="71"/>
      <c r="F5" s="71"/>
      <c r="H5" s="74"/>
      <c r="K5" s="71"/>
      <c r="L5" s="71"/>
    </row>
    <row r="6" spans="1:12" s="69" customFormat="1">
      <c r="A6" s="77" t="s">
        <v>4053</v>
      </c>
      <c r="B6" s="77"/>
      <c r="C6" s="71" t="s">
        <v>4054</v>
      </c>
      <c r="D6" s="71"/>
      <c r="E6" s="77" t="s">
        <v>2202</v>
      </c>
      <c r="F6" s="78" t="str">
        <f>No_proyek</f>
        <v>RZ0458</v>
      </c>
      <c r="H6" s="74"/>
      <c r="K6" s="71"/>
      <c r="L6" s="71"/>
    </row>
    <row r="7" spans="1:12" s="69" customFormat="1" ht="14">
      <c r="A7" s="77" t="s">
        <v>2203</v>
      </c>
      <c r="B7" s="77"/>
      <c r="C7" s="79" t="str">
        <f>no_kontrak</f>
        <v>127/RK-RL-PI/PAP-LL/XII/2025</v>
      </c>
      <c r="D7" s="71"/>
      <c r="E7" s="71"/>
      <c r="F7" s="77"/>
      <c r="H7" s="74"/>
      <c r="K7" s="78"/>
      <c r="L7" s="78"/>
    </row>
    <row r="8" spans="1:12" s="69" customFormat="1" ht="14">
      <c r="A8" s="80" t="s">
        <v>1508</v>
      </c>
      <c r="B8" s="80"/>
      <c r="C8" s="81" t="str">
        <f>nip</f>
        <v>25LL017MPC</v>
      </c>
      <c r="D8" s="71"/>
      <c r="E8" s="71"/>
      <c r="F8" s="77"/>
      <c r="H8" s="74"/>
      <c r="K8" s="78"/>
      <c r="L8" s="78"/>
    </row>
    <row r="9" spans="1:12" s="69" customFormat="1" ht="14">
      <c r="A9" s="77" t="s">
        <v>2204</v>
      </c>
      <c r="B9" s="77"/>
      <c r="C9" s="8" t="str">
        <f>nama_proyek</f>
        <v>PT Malindo Feedmill Tbk-Dry Pantry</v>
      </c>
      <c r="D9" s="71"/>
      <c r="E9" s="75" t="s">
        <v>2205</v>
      </c>
      <c r="F9" s="881">
        <f>tgl</f>
        <v>46163</v>
      </c>
      <c r="G9" s="882"/>
      <c r="H9" s="881"/>
      <c r="K9" s="78"/>
      <c r="L9" s="78"/>
    </row>
    <row r="10" spans="1:12" s="69" customFormat="1" ht="15.75" customHeight="1">
      <c r="A10" s="907" t="s">
        <v>2206</v>
      </c>
      <c r="B10" s="907"/>
      <c r="C10" s="8" t="str">
        <f>Estimator</f>
        <v>Fahrudin</v>
      </c>
      <c r="D10" s="908" t="s">
        <v>2838</v>
      </c>
      <c r="E10" s="908"/>
      <c r="F10" s="71" t="s">
        <v>2895</v>
      </c>
      <c r="H10" s="74"/>
      <c r="K10" s="78"/>
      <c r="L10" s="78"/>
    </row>
    <row r="11" spans="1:12" s="69" customFormat="1" ht="6" customHeight="1" thickBot="1">
      <c r="A11" s="71"/>
      <c r="B11" s="71"/>
      <c r="C11" s="71"/>
      <c r="D11" s="71"/>
      <c r="E11" s="71"/>
      <c r="F11" s="71"/>
      <c r="H11" s="74"/>
      <c r="K11" s="78"/>
      <c r="L11" s="78"/>
    </row>
    <row r="12" spans="1:12" s="69" customFormat="1" ht="30" customHeight="1" thickBot="1">
      <c r="A12" s="134" t="s">
        <v>327</v>
      </c>
      <c r="B12" s="134" t="s">
        <v>329</v>
      </c>
      <c r="C12" s="82" t="s">
        <v>330</v>
      </c>
      <c r="D12" s="134" t="s">
        <v>331</v>
      </c>
      <c r="E12" s="82" t="s">
        <v>332</v>
      </c>
      <c r="F12" s="745" t="s">
        <v>4051</v>
      </c>
      <c r="H12" s="74"/>
      <c r="K12" s="78"/>
      <c r="L12" s="78"/>
    </row>
    <row r="13" spans="1:12" s="69" customFormat="1" ht="14.25" customHeight="1" thickTop="1">
      <c r="A13" s="86">
        <v>1</v>
      </c>
      <c r="B13" s="86" t="str">
        <f>IFERROR(INDEX((ID),MATCH(C13,BARANG,0)),"…")</f>
        <v>205526</v>
      </c>
      <c r="C13" s="84" t="str">
        <f>minifix_hettich</f>
        <v>MINIFIX HETTICH</v>
      </c>
      <c r="D13" s="135">
        <f>ROUNDUP((SUMIF(minifix,C13,jumlah_minifix)*1.05),0)</f>
        <v>68</v>
      </c>
      <c r="E13" s="83" t="s">
        <v>337</v>
      </c>
      <c r="F13" s="87"/>
      <c r="H13" s="74"/>
      <c r="K13" s="78"/>
      <c r="L13" s="78"/>
    </row>
    <row r="14" spans="1:12" s="69" customFormat="1" ht="14.25" customHeight="1">
      <c r="A14" s="86">
        <v>2</v>
      </c>
      <c r="B14" s="86" t="str">
        <f>IFERROR(INDEX((ID),MATCH(C14,BARANG,0)),"…")</f>
        <v>205554</v>
      </c>
      <c r="C14" s="136" t="str">
        <f>dowelØ8</f>
        <v>DOWEL KAYU 4X8</v>
      </c>
      <c r="D14" s="135">
        <f>ROUNDUP((SUMIF(dowel,C14,jumlah_dowel)*1.05),0)</f>
        <v>87</v>
      </c>
      <c r="E14" s="86" t="s">
        <v>341</v>
      </c>
      <c r="F14" s="87"/>
      <c r="H14" s="74"/>
      <c r="K14" s="71"/>
      <c r="L14" s="71"/>
    </row>
    <row r="15" spans="1:12" s="69" customFormat="1" ht="14.25" customHeight="1">
      <c r="A15" s="86"/>
      <c r="B15" s="86"/>
      <c r="C15" s="136"/>
      <c r="D15" s="135"/>
      <c r="E15" s="86"/>
      <c r="F15" s="87"/>
      <c r="H15" s="74"/>
      <c r="K15" s="71"/>
      <c r="L15" s="71"/>
    </row>
    <row r="16" spans="1:12" s="69" customFormat="1" ht="14.25" customHeight="1">
      <c r="A16" s="86">
        <v>3</v>
      </c>
      <c r="B16" s="86" t="str">
        <f>IFERROR(INDEX((ID),MATCH(C16,BARANG,0)),"…")</f>
        <v>205568</v>
      </c>
      <c r="C16" s="137" t="s">
        <v>648</v>
      </c>
      <c r="D16" s="495">
        <f>+ROUNDUP(D17+D18,0)</f>
        <v>2</v>
      </c>
      <c r="E16" s="86" t="s">
        <v>645</v>
      </c>
      <c r="F16" s="87"/>
      <c r="H16" s="74"/>
      <c r="I16" s="102" t="s">
        <v>2207</v>
      </c>
      <c r="J16" s="71"/>
      <c r="K16" s="71"/>
      <c r="L16" s="71"/>
    </row>
    <row r="17" spans="1:12" s="69" customFormat="1" ht="14.25" customHeight="1">
      <c r="A17" s="86"/>
      <c r="B17" s="86" t="str">
        <f>IFERROR(INDEX((ID),MATCH(C17,BARANG,0)),"…")</f>
        <v>205783</v>
      </c>
      <c r="C17" s="137" t="s">
        <v>660</v>
      </c>
      <c r="D17" s="443">
        <f>ROUNDUP((SUMIF(profil_3,C17,_2PL)/tube_meter)+(SUMIF(profil_2,C17,P)/tube_meter),0)</f>
        <v>2</v>
      </c>
      <c r="E17" s="86" t="s">
        <v>651</v>
      </c>
      <c r="F17" s="87"/>
      <c r="H17" s="74"/>
      <c r="I17" s="102">
        <v>307490</v>
      </c>
      <c r="J17" s="71" t="s">
        <v>381</v>
      </c>
      <c r="K17" s="71"/>
      <c r="L17" s="71"/>
    </row>
    <row r="18" spans="1:12" s="69" customFormat="1" ht="14.25" customHeight="1">
      <c r="A18" s="86"/>
      <c r="B18" s="470">
        <v>206603</v>
      </c>
      <c r="C18" s="471" t="s">
        <v>650</v>
      </c>
      <c r="D18" s="443">
        <f>ROUNDUP((SUMIF(profil_3,C18,_2PL)/tube_meter)+(SUMIF(profil_2,C18,P)/tube_meter),0)</f>
        <v>0</v>
      </c>
      <c r="E18" s="86" t="s">
        <v>651</v>
      </c>
      <c r="F18" s="87"/>
      <c r="H18" s="74"/>
      <c r="I18" s="102"/>
      <c r="J18" s="71"/>
      <c r="K18" s="71"/>
      <c r="L18" s="71"/>
    </row>
    <row r="19" spans="1:12" s="69" customFormat="1" ht="14.25" customHeight="1">
      <c r="A19" s="86"/>
      <c r="B19" s="86"/>
      <c r="C19" s="137"/>
      <c r="D19" s="86"/>
      <c r="E19" s="86"/>
      <c r="F19" s="87"/>
      <c r="H19" s="74"/>
      <c r="I19" s="102"/>
      <c r="J19" s="71"/>
      <c r="K19" s="71"/>
      <c r="L19" s="71"/>
    </row>
    <row r="20" spans="1:12" s="69" customFormat="1" ht="14.25" customHeight="1">
      <c r="A20" s="86"/>
      <c r="B20" s="86"/>
      <c r="C20" s="137"/>
      <c r="D20" s="86"/>
      <c r="E20" s="86"/>
      <c r="F20" s="87"/>
      <c r="H20" s="74"/>
      <c r="I20" s="102"/>
      <c r="J20" s="71"/>
      <c r="K20" s="71"/>
      <c r="L20" s="71"/>
    </row>
    <row r="21" spans="1:12" s="69" customFormat="1" ht="14.25" customHeight="1">
      <c r="A21" s="86"/>
      <c r="B21" s="86">
        <f t="shared" ref="B21:B27" si="0">IFERROR(INDEX((ID),MATCH(C21,BARANG,0)),"…")</f>
        <v>3065067</v>
      </c>
      <c r="C21" s="136" t="str">
        <f>_rel1</f>
        <v>LEGRA S1 ORION GREY (OG</v>
      </c>
      <c r="D21" s="135">
        <f t="shared" ref="D21:D27" si="1">SUMIF(RelI,C21,Rel)</f>
        <v>0</v>
      </c>
      <c r="E21" s="86" t="s">
        <v>345</v>
      </c>
      <c r="F21" s="87"/>
      <c r="H21" s="74"/>
      <c r="I21" s="103">
        <v>307054</v>
      </c>
      <c r="J21" s="104" t="s">
        <v>377</v>
      </c>
      <c r="K21" s="71"/>
      <c r="L21" s="71"/>
    </row>
    <row r="22" spans="1:12" s="69" customFormat="1" ht="14.25" customHeight="1">
      <c r="A22" s="86"/>
      <c r="B22" s="86">
        <f t="shared" si="0"/>
        <v>3065146</v>
      </c>
      <c r="C22" s="136" t="str">
        <f>_rel2</f>
        <v>LEGRABOX S4 OG (ORION GREY)</v>
      </c>
      <c r="D22" s="135">
        <f t="shared" si="1"/>
        <v>0</v>
      </c>
      <c r="E22" s="86" t="s">
        <v>345</v>
      </c>
      <c r="F22" s="87"/>
      <c r="H22" s="74"/>
      <c r="I22" s="103">
        <v>307054</v>
      </c>
      <c r="J22" s="104" t="s">
        <v>377</v>
      </c>
      <c r="K22" s="71"/>
      <c r="L22" s="71"/>
    </row>
    <row r="23" spans="1:12" s="69" customFormat="1" ht="14.25" customHeight="1">
      <c r="A23" s="86"/>
      <c r="B23" s="86" t="str">
        <f t="shared" si="0"/>
        <v>307051</v>
      </c>
      <c r="C23" s="136" t="str">
        <f>_rel3</f>
        <v>REL TANDEM BLUM SINGLE EXT INTG P.500</v>
      </c>
      <c r="D23" s="135">
        <f t="shared" si="1"/>
        <v>0</v>
      </c>
      <c r="E23" s="86" t="s">
        <v>345</v>
      </c>
      <c r="F23" s="87"/>
      <c r="H23" s="74"/>
      <c r="I23" s="103">
        <v>307054</v>
      </c>
      <c r="J23" s="104" t="s">
        <v>377</v>
      </c>
      <c r="K23" s="71"/>
      <c r="L23" s="71"/>
    </row>
    <row r="24" spans="1:12" s="69" customFormat="1" ht="14.25" customHeight="1">
      <c r="A24" s="86">
        <v>4</v>
      </c>
      <c r="B24" s="86" t="str">
        <f t="shared" si="0"/>
        <v>307056</v>
      </c>
      <c r="C24" s="136" t="str">
        <f>_rel4</f>
        <v>REL TANDEM BLUM FULL EXT INTG P.500</v>
      </c>
      <c r="D24" s="135">
        <f t="shared" si="1"/>
        <v>4</v>
      </c>
      <c r="E24" s="86" t="s">
        <v>345</v>
      </c>
      <c r="F24" s="87"/>
      <c r="H24" s="74"/>
      <c r="I24" s="103">
        <v>307054</v>
      </c>
      <c r="J24" s="104" t="s">
        <v>377</v>
      </c>
      <c r="K24" s="71"/>
      <c r="L24" s="71"/>
    </row>
    <row r="25" spans="1:12" s="69" customFormat="1" ht="14.25" customHeight="1">
      <c r="A25" s="86"/>
      <c r="B25" s="86" t="str">
        <f t="shared" si="0"/>
        <v>307061</v>
      </c>
      <c r="C25" s="136" t="str">
        <f>_rel5</f>
        <v>REL TANDEM BLUM FULL EXT INTG P.400</v>
      </c>
      <c r="D25" s="135">
        <f t="shared" si="1"/>
        <v>0</v>
      </c>
      <c r="E25" s="86" t="s">
        <v>345</v>
      </c>
      <c r="F25" s="87"/>
      <c r="H25" s="74"/>
      <c r="I25" s="103"/>
      <c r="J25" s="104"/>
      <c r="K25" s="71"/>
      <c r="L25" s="71"/>
    </row>
    <row r="26" spans="1:12" s="69" customFormat="1" ht="14.25" customHeight="1">
      <c r="A26" s="86"/>
      <c r="B26" s="86" t="str">
        <f>IFERROR(INDEX((ID),MATCH(C26,BARANG,0)),"…")</f>
        <v>307124</v>
      </c>
      <c r="C26" s="136" t="str">
        <f>_rel6</f>
        <v>LACI B1S1 INTE BLUMO</v>
      </c>
      <c r="D26" s="135">
        <f>SUMIF(RelI,C26,Rel)</f>
        <v>0</v>
      </c>
      <c r="E26" s="86" t="s">
        <v>345</v>
      </c>
      <c r="F26" s="87"/>
      <c r="H26" s="74"/>
      <c r="I26" s="103"/>
      <c r="J26" s="104"/>
      <c r="K26" s="71"/>
      <c r="L26" s="71"/>
    </row>
    <row r="27" spans="1:12" s="69" customFormat="1" ht="14.25" customHeight="1">
      <c r="A27" s="86"/>
      <c r="B27" s="86" t="str">
        <f t="shared" si="0"/>
        <v>307132</v>
      </c>
      <c r="C27" s="136" t="str">
        <f>_rel7</f>
        <v>B1S2 GREY INTEG.BM</v>
      </c>
      <c r="D27" s="135">
        <f t="shared" si="1"/>
        <v>0</v>
      </c>
      <c r="E27" s="86" t="s">
        <v>345</v>
      </c>
      <c r="F27" s="87"/>
      <c r="H27" s="74"/>
      <c r="I27" s="103"/>
      <c r="J27" s="104"/>
      <c r="K27" s="71"/>
      <c r="L27" s="71"/>
    </row>
    <row r="28" spans="1:12" s="69" customFormat="1" ht="14.25" customHeight="1">
      <c r="A28" s="86"/>
      <c r="B28" s="86" t="str">
        <f>IFERROR(INDEX((ID),MATCH(C28,BARANG,0)),"…")</f>
        <v>307057</v>
      </c>
      <c r="C28" s="136" t="str">
        <f>_rel8</f>
        <v>REL TANDEM BLUM SINGLE EXT INTG P.450</v>
      </c>
      <c r="D28" s="135">
        <f>SUMIF(RelI,C28,Rel)</f>
        <v>0</v>
      </c>
      <c r="E28" s="86" t="s">
        <v>345</v>
      </c>
      <c r="F28" s="87"/>
      <c r="H28" s="74"/>
      <c r="I28" s="103"/>
      <c r="J28" s="104"/>
      <c r="K28" s="71"/>
      <c r="L28" s="71"/>
    </row>
    <row r="29" spans="1:12" s="69" customFormat="1" ht="14.25" customHeight="1">
      <c r="A29" s="86"/>
      <c r="B29" s="86">
        <f>IFERROR(INDEX((ID),MATCH(C29,BARANG,0)),"…")</f>
        <v>318142</v>
      </c>
      <c r="C29" s="136" t="str">
        <f>_rel9</f>
        <v>MERIVOBOX MVX S1 SW 500 40 BM</v>
      </c>
      <c r="D29" s="135">
        <f>SUMIF(RelI,C29,Rel)</f>
        <v>0</v>
      </c>
      <c r="E29" s="86" t="s">
        <v>345</v>
      </c>
      <c r="F29" s="87"/>
      <c r="H29" s="74"/>
      <c r="I29" s="103"/>
      <c r="J29" s="104"/>
      <c r="K29" s="71"/>
      <c r="L29" s="71"/>
    </row>
    <row r="30" spans="1:12" s="69" customFormat="1" ht="14.25" customHeight="1">
      <c r="A30" s="86"/>
      <c r="B30" s="86">
        <f>IFERROR(INDEX((ID),MATCH(C30,BARANG,0)),"…")</f>
        <v>318134</v>
      </c>
      <c r="C30" s="136" t="str">
        <f>_rel10</f>
        <v>MERIVOBOX MVX S4 SW 500 70 BM</v>
      </c>
      <c r="D30" s="135">
        <f>SUMIF(RelI,C30,Rel)</f>
        <v>0</v>
      </c>
      <c r="E30" s="86" t="s">
        <v>345</v>
      </c>
      <c r="F30" s="87"/>
      <c r="H30" s="74"/>
      <c r="I30" s="103"/>
      <c r="J30" s="104"/>
      <c r="K30" s="71"/>
      <c r="L30" s="71"/>
    </row>
    <row r="31" spans="1:12" s="69" customFormat="1" ht="25" customHeight="1">
      <c r="A31" s="411"/>
      <c r="B31" s="411" t="str">
        <f>IFERROR(INDEX((ID),MATCH(C31,BARANG,0)),"…")</f>
        <v>…</v>
      </c>
      <c r="C31" s="468" t="e">
        <f>bb_full_50</f>
        <v>#NAME?</v>
      </c>
      <c r="D31" s="61"/>
      <c r="E31" s="411" t="s">
        <v>2230</v>
      </c>
      <c r="F31" s="467"/>
      <c r="H31" s="74"/>
      <c r="I31" s="103"/>
      <c r="J31" s="104"/>
      <c r="K31" s="71"/>
      <c r="L31" s="71"/>
    </row>
    <row r="32" spans="1:12" s="69" customFormat="1" ht="14.25" customHeight="1">
      <c r="A32" s="86"/>
      <c r="B32" s="86"/>
      <c r="C32" s="136"/>
      <c r="D32" s="135"/>
      <c r="E32" s="86"/>
      <c r="F32" s="87"/>
      <c r="H32" s="74"/>
      <c r="I32" s="103"/>
      <c r="J32" s="104"/>
      <c r="K32" s="71"/>
      <c r="L32" s="71"/>
    </row>
    <row r="33" spans="1:12" s="69" customFormat="1" ht="14.25" customHeight="1">
      <c r="A33" s="86"/>
      <c r="B33" s="86"/>
      <c r="C33" s="136"/>
      <c r="D33" s="135"/>
      <c r="E33" s="86"/>
      <c r="F33" s="87"/>
      <c r="H33" s="74"/>
      <c r="I33" s="103"/>
      <c r="J33" s="104"/>
      <c r="K33" s="71"/>
      <c r="L33" s="71"/>
    </row>
    <row r="34" spans="1:12" s="69" customFormat="1" ht="28">
      <c r="A34" s="86"/>
      <c r="B34" s="411">
        <f>IFERROR(INDEX((ID),MATCH(C34,BARANG,0)),"…")</f>
        <v>301103</v>
      </c>
      <c r="C34" s="468" t="str">
        <f>tip_on_1</f>
        <v>SEMI CIRCULAR SHAFT T 55.889 W (T 55 000R Tip On Pinion/Syncrh</v>
      </c>
      <c r="D34" s="135" t="s">
        <v>1787</v>
      </c>
      <c r="E34" s="411" t="s">
        <v>345</v>
      </c>
      <c r="F34" s="87"/>
      <c r="H34" s="74"/>
      <c r="I34" s="103"/>
      <c r="J34" s="104"/>
      <c r="K34" s="71"/>
      <c r="L34" s="71"/>
    </row>
    <row r="35" spans="1:12" s="69" customFormat="1" ht="14.25" customHeight="1">
      <c r="A35" s="86"/>
      <c r="B35" s="86">
        <f>IFERROR(INDEX((ID),MATCH(C35,BARANG,0)),"…")</f>
        <v>307484</v>
      </c>
      <c r="C35" s="136" t="str">
        <f>tip_on_2</f>
        <v xml:space="preserve">T 55 . 1151 TIP ON for tandem single </v>
      </c>
      <c r="D35" s="135" t="s">
        <v>1787</v>
      </c>
      <c r="E35" s="86" t="s">
        <v>345</v>
      </c>
      <c r="F35" s="87"/>
      <c r="H35" s="74"/>
      <c r="I35" s="103"/>
      <c r="J35" s="104"/>
      <c r="K35" s="71"/>
      <c r="L35" s="71"/>
    </row>
    <row r="36" spans="1:12" s="69" customFormat="1" ht="14.25" customHeight="1">
      <c r="A36" s="86"/>
      <c r="B36" s="86">
        <f>IFERROR(INDEX((ID),MATCH(C36,BARANG,0)),"…")</f>
        <v>307486</v>
      </c>
      <c r="C36" s="136" t="str">
        <f>tip_on_3</f>
        <v xml:space="preserve">T 55 . 7151 TIP ON for tandem double </v>
      </c>
      <c r="D36" s="135" t="s">
        <v>1787</v>
      </c>
      <c r="E36" s="86" t="s">
        <v>345</v>
      </c>
      <c r="F36" s="87"/>
      <c r="H36" s="74"/>
      <c r="I36" s="103"/>
      <c r="J36" s="104"/>
      <c r="K36" s="71"/>
      <c r="L36" s="71"/>
    </row>
    <row r="37" spans="1:12" s="69" customFormat="1" ht="14.25" customHeight="1">
      <c r="A37" s="86"/>
      <c r="B37" s="86"/>
      <c r="C37" s="136"/>
      <c r="D37" s="135"/>
      <c r="E37" s="86"/>
      <c r="F37" s="87"/>
      <c r="H37" s="74"/>
      <c r="I37" s="103"/>
      <c r="J37" s="104"/>
      <c r="K37" s="71"/>
      <c r="L37" s="71"/>
    </row>
    <row r="38" spans="1:12" s="69" customFormat="1" ht="14.25" customHeight="1">
      <c r="A38" s="86"/>
      <c r="B38" s="86"/>
      <c r="C38" s="136"/>
      <c r="D38" s="135"/>
      <c r="E38" s="86"/>
      <c r="F38" s="87"/>
      <c r="H38" s="74"/>
      <c r="I38" s="103"/>
      <c r="J38" s="104"/>
      <c r="K38" s="71"/>
      <c r="L38" s="71"/>
    </row>
    <row r="39" spans="1:12" s="69" customFormat="1" ht="25" customHeight="1">
      <c r="A39" s="411">
        <v>5</v>
      </c>
      <c r="B39" s="411">
        <f t="shared" ref="B39:B52" si="2">IFERROR(INDEX((ID),MATCH(C39,BARANG,0)),"…")</f>
        <v>317210</v>
      </c>
      <c r="C39" s="469" t="str">
        <f>engsel1</f>
        <v>ENGSEL CLIP TOP  107 DEG INTEGRATED 75 B 1550 + 173 L 6100</v>
      </c>
      <c r="D39" s="135">
        <f t="shared" ref="D39:D48" si="3">SUMIF(EI,C39,E)</f>
        <v>8</v>
      </c>
      <c r="E39" s="411" t="s">
        <v>2230</v>
      </c>
      <c r="F39" s="87"/>
      <c r="H39" s="74"/>
      <c r="I39" s="103">
        <v>301103</v>
      </c>
      <c r="J39" s="104" t="s">
        <v>2208</v>
      </c>
      <c r="K39" s="71"/>
      <c r="L39" s="71"/>
    </row>
    <row r="40" spans="1:12" s="69" customFormat="1" ht="14.25" customHeight="1">
      <c r="A40" s="86"/>
      <c r="B40" s="86" t="str">
        <f t="shared" si="2"/>
        <v>307237</v>
      </c>
      <c r="C40" s="138" t="str">
        <f>engsel2</f>
        <v>ENGSEL SALICE PUSH.TIP ON FOR DOOR</v>
      </c>
      <c r="D40" s="135">
        <f t="shared" si="3"/>
        <v>0</v>
      </c>
      <c r="E40" s="86" t="s">
        <v>2230</v>
      </c>
      <c r="F40" s="87"/>
      <c r="H40" s="74"/>
      <c r="I40" s="103">
        <v>301103</v>
      </c>
      <c r="J40" s="104" t="s">
        <v>2208</v>
      </c>
      <c r="K40" s="71"/>
      <c r="L40" s="71"/>
    </row>
    <row r="41" spans="1:12" s="69" customFormat="1" ht="14.25" customHeight="1">
      <c r="A41" s="86"/>
      <c r="B41" s="86">
        <f t="shared" si="2"/>
        <v>317778</v>
      </c>
      <c r="C41" s="138" t="str">
        <f>engsel3</f>
        <v xml:space="preserve">ENGSEL 155 DRAJAT  71 B 7550   </v>
      </c>
      <c r="D41" s="135">
        <f t="shared" si="3"/>
        <v>0</v>
      </c>
      <c r="E41" s="86" t="s">
        <v>2230</v>
      </c>
      <c r="F41" s="87"/>
      <c r="H41" s="74"/>
      <c r="I41" s="103">
        <v>301103</v>
      </c>
      <c r="J41" s="104" t="s">
        <v>2208</v>
      </c>
      <c r="K41" s="71"/>
      <c r="L41" s="71"/>
    </row>
    <row r="42" spans="1:12" s="69" customFormat="1" ht="14.25" customHeight="1">
      <c r="A42" s="86"/>
      <c r="B42" s="86" t="str">
        <f t="shared" si="2"/>
        <v>307088</v>
      </c>
      <c r="C42" s="138" t="str">
        <f>engsel4</f>
        <v>ENGSEL BIFOLD</v>
      </c>
      <c r="D42" s="135">
        <f t="shared" si="3"/>
        <v>0</v>
      </c>
      <c r="E42" s="86" t="s">
        <v>2230</v>
      </c>
      <c r="F42" s="87"/>
      <c r="H42" s="74"/>
      <c r="I42" s="103">
        <v>301103</v>
      </c>
      <c r="J42" s="104" t="s">
        <v>2208</v>
      </c>
      <c r="K42" s="71"/>
      <c r="L42" s="71"/>
    </row>
    <row r="43" spans="1:12" s="69" customFormat="1" ht="14.25" customHeight="1">
      <c r="A43" s="86"/>
      <c r="B43" s="86">
        <f t="shared" si="2"/>
        <v>307288</v>
      </c>
      <c r="C43" s="138" t="str">
        <f>engsel5</f>
        <v>ENGSEL 79M9550 BLIND CORNER</v>
      </c>
      <c r="D43" s="135">
        <f t="shared" si="3"/>
        <v>0</v>
      </c>
      <c r="E43" s="86" t="s">
        <v>2230</v>
      </c>
      <c r="F43" s="87"/>
      <c r="H43" s="74"/>
      <c r="I43" s="103">
        <v>301103</v>
      </c>
      <c r="J43" s="104" t="s">
        <v>2208</v>
      </c>
      <c r="K43" s="71"/>
      <c r="L43" s="71"/>
    </row>
    <row r="44" spans="1:12" s="69" customFormat="1" ht="14.25" customHeight="1">
      <c r="A44" s="86"/>
      <c r="B44" s="86">
        <f t="shared" si="2"/>
        <v>317177</v>
      </c>
      <c r="C44" s="138" t="str">
        <f>engsel6</f>
        <v>ENGSEL  S 8657i B12 TH52</v>
      </c>
      <c r="D44" s="135">
        <f t="shared" si="3"/>
        <v>0</v>
      </c>
      <c r="E44" s="86" t="s">
        <v>2230</v>
      </c>
      <c r="F44" s="87"/>
      <c r="H44" s="74"/>
      <c r="I44" s="103"/>
      <c r="J44" s="104"/>
      <c r="K44" s="71"/>
      <c r="L44" s="71"/>
    </row>
    <row r="45" spans="1:12" s="69" customFormat="1" ht="14.25" customHeight="1">
      <c r="A45" s="86"/>
      <c r="B45" s="86">
        <f t="shared" si="2"/>
        <v>307092</v>
      </c>
      <c r="C45" s="138" t="str">
        <f>engsel7</f>
        <v>ENGSEL 9936 W45 C6</v>
      </c>
      <c r="D45" s="135">
        <f t="shared" si="3"/>
        <v>0</v>
      </c>
      <c r="E45" s="86" t="s">
        <v>2230</v>
      </c>
      <c r="F45" s="87"/>
      <c r="H45" s="74"/>
      <c r="I45" s="103"/>
      <c r="J45" s="104"/>
      <c r="K45" s="71"/>
      <c r="L45" s="71"/>
    </row>
    <row r="46" spans="1:12" s="69" customFormat="1" ht="26">
      <c r="A46" s="86"/>
      <c r="B46" s="411">
        <f t="shared" si="2"/>
        <v>317117</v>
      </c>
      <c r="C46" s="469" t="str">
        <f>engsel8</f>
        <v>Engsel Sensys Full Bengkok C 16-110 DERAJAT 907 1207</v>
      </c>
      <c r="D46" s="135">
        <f t="shared" si="3"/>
        <v>0</v>
      </c>
      <c r="E46" s="411" t="s">
        <v>2230</v>
      </c>
      <c r="F46" s="87"/>
      <c r="H46" s="74"/>
      <c r="I46" s="103"/>
      <c r="J46" s="104"/>
      <c r="K46" s="71"/>
      <c r="L46" s="71"/>
    </row>
    <row r="47" spans="1:12" s="69" customFormat="1" ht="14.25" customHeight="1">
      <c r="A47" s="86"/>
      <c r="B47" s="86">
        <f t="shared" si="2"/>
        <v>307086</v>
      </c>
      <c r="C47" s="138" t="str">
        <f>engsel9</f>
        <v>ENGSEL MEPLA FLAP DOOR</v>
      </c>
      <c r="D47" s="135">
        <f t="shared" si="3"/>
        <v>0</v>
      </c>
      <c r="E47" s="86" t="s">
        <v>2230</v>
      </c>
      <c r="F47" s="87"/>
      <c r="H47" s="74"/>
      <c r="I47" s="103"/>
      <c r="J47" s="104"/>
      <c r="K47" s="71"/>
      <c r="L47" s="71"/>
    </row>
    <row r="48" spans="1:12" s="69" customFormat="1" ht="14.25" customHeight="1">
      <c r="A48" s="86"/>
      <c r="B48" s="86">
        <f t="shared" si="2"/>
        <v>307367</v>
      </c>
      <c r="C48" s="138" t="str">
        <f>engsel10</f>
        <v>RDK-52A FOLDING HINGE</v>
      </c>
      <c r="D48" s="135">
        <f t="shared" si="3"/>
        <v>0</v>
      </c>
      <c r="E48" s="86" t="s">
        <v>2230</v>
      </c>
      <c r="F48" s="87"/>
      <c r="H48" s="74"/>
      <c r="I48" s="103"/>
      <c r="J48" s="104"/>
      <c r="K48" s="71"/>
      <c r="L48" s="71"/>
    </row>
    <row r="49" spans="1:12" s="69" customFormat="1" ht="14.25" customHeight="1">
      <c r="A49" s="86"/>
      <c r="B49" s="86"/>
      <c r="C49" s="136"/>
      <c r="D49" s="135"/>
      <c r="E49" s="86"/>
      <c r="F49" s="87"/>
      <c r="H49" s="74"/>
      <c r="I49" s="103"/>
      <c r="J49" s="104"/>
      <c r="K49" s="71"/>
      <c r="L49" s="71"/>
    </row>
    <row r="50" spans="1:12" s="69" customFormat="1" ht="14.25" customHeight="1">
      <c r="A50" s="86"/>
      <c r="B50" s="86" t="str">
        <f t="shared" si="2"/>
        <v>307098</v>
      </c>
      <c r="C50" s="136" t="str">
        <f>wl77_2pintu</f>
        <v>WING LINE 77,2 PNT</v>
      </c>
      <c r="D50" s="135">
        <f>SUMIF(EI,C50,jumlah_pemakaian)</f>
        <v>0</v>
      </c>
      <c r="E50" s="86" t="s">
        <v>3091</v>
      </c>
      <c r="F50" s="87"/>
      <c r="H50" s="74"/>
      <c r="I50" s="103"/>
      <c r="J50" s="104"/>
      <c r="K50" s="71"/>
      <c r="L50" s="71"/>
    </row>
    <row r="51" spans="1:12" s="69" customFormat="1" ht="14.25" customHeight="1">
      <c r="A51" s="86"/>
      <c r="B51" s="86" t="str">
        <f t="shared" si="2"/>
        <v>…</v>
      </c>
      <c r="C51" s="136" t="str">
        <f>wl77_ra</f>
        <v>RUNNER PROFLE 072918</v>
      </c>
      <c r="D51" s="135">
        <f>+D50/2</f>
        <v>0</v>
      </c>
      <c r="E51" s="86" t="s">
        <v>2392</v>
      </c>
      <c r="F51" s="87"/>
      <c r="H51" s="74"/>
      <c r="I51" s="103"/>
      <c r="J51" s="104"/>
      <c r="K51" s="71"/>
      <c r="L51" s="71"/>
    </row>
    <row r="52" spans="1:12" s="69" customFormat="1" ht="14.25" customHeight="1">
      <c r="A52" s="86"/>
      <c r="B52" s="86" t="str">
        <f t="shared" si="2"/>
        <v>…</v>
      </c>
      <c r="C52" s="136" t="str">
        <f>wl77_rb</f>
        <v>GUIDE PROFILE 072919</v>
      </c>
      <c r="D52" s="135">
        <f>+D50/2</f>
        <v>0</v>
      </c>
      <c r="E52" s="86" t="s">
        <v>2392</v>
      </c>
      <c r="F52" s="87"/>
      <c r="H52" s="74"/>
      <c r="I52" s="103"/>
      <c r="J52" s="104"/>
      <c r="K52" s="71"/>
      <c r="L52" s="71"/>
    </row>
    <row r="53" spans="1:12" s="69" customFormat="1" ht="14.25" customHeight="1">
      <c r="A53" s="86"/>
      <c r="B53" s="86"/>
      <c r="C53" s="136"/>
      <c r="D53" s="135"/>
      <c r="E53" s="86"/>
      <c r="F53" s="87"/>
      <c r="H53" s="74"/>
      <c r="I53" s="103"/>
      <c r="J53" s="104"/>
      <c r="K53" s="71"/>
      <c r="L53" s="71"/>
    </row>
    <row r="54" spans="1:12" s="69" customFormat="1" ht="14.25" customHeight="1">
      <c r="A54" s="86"/>
      <c r="B54" s="86" t="str">
        <f>IFERROR(INDEX((ID),MATCH(C54,BARANG,0)),"…")</f>
        <v>307095</v>
      </c>
      <c r="C54" s="136" t="str">
        <f>wl230_4pintu</f>
        <v>WING LINE 230SET,4PINTU</v>
      </c>
      <c r="D54" s="135"/>
      <c r="E54" s="86" t="s">
        <v>2306</v>
      </c>
      <c r="F54" s="87"/>
      <c r="H54" s="74"/>
      <c r="I54" s="103"/>
      <c r="J54" s="104"/>
      <c r="K54" s="71"/>
      <c r="L54" s="71"/>
    </row>
    <row r="55" spans="1:12" s="69" customFormat="1" ht="14.25" customHeight="1">
      <c r="A55" s="86"/>
      <c r="B55" s="86" t="str">
        <f>IFERROR(INDEX((ID),MATCH(C55,BARANG,0)),"…")</f>
        <v>…</v>
      </c>
      <c r="C55" s="136" t="str">
        <f>wl230_ra</f>
        <v xml:space="preserve">RUNNER PROFILE 079013, </v>
      </c>
      <c r="D55" s="135"/>
      <c r="E55" s="86" t="s">
        <v>2931</v>
      </c>
      <c r="F55" s="87"/>
      <c r="H55" s="74"/>
      <c r="I55" s="103"/>
      <c r="J55" s="104"/>
      <c r="K55" s="71"/>
      <c r="L55" s="71"/>
    </row>
    <row r="56" spans="1:12" s="69" customFormat="1" ht="14.25" customHeight="1">
      <c r="A56" s="86"/>
      <c r="B56" s="86"/>
      <c r="C56" s="138"/>
      <c r="D56" s="135"/>
      <c r="E56" s="86"/>
      <c r="F56" s="87"/>
      <c r="H56" s="74"/>
      <c r="I56" s="103"/>
      <c r="J56" s="104"/>
      <c r="K56" s="71"/>
      <c r="L56" s="71"/>
    </row>
    <row r="57" spans="1:12" s="69" customFormat="1" ht="14.25" customHeight="1">
      <c r="A57" s="86"/>
      <c r="B57" s="86">
        <f>IFERROR(INDEX((ID),MATCH(C57,BARANG,0)),"…")</f>
        <v>307367</v>
      </c>
      <c r="C57" s="138" t="str">
        <f>engsel10</f>
        <v>RDK-52A FOLDING HINGE</v>
      </c>
      <c r="D57" s="135">
        <f>SUMIF(EI,C57,E)</f>
        <v>0</v>
      </c>
      <c r="E57" s="86" t="s">
        <v>2230</v>
      </c>
      <c r="F57" s="87"/>
      <c r="H57" s="74"/>
      <c r="I57" s="103">
        <v>301103</v>
      </c>
      <c r="J57" s="104" t="s">
        <v>2208</v>
      </c>
      <c r="K57" s="71"/>
      <c r="L57" s="71"/>
    </row>
    <row r="58" spans="1:12" s="69" customFormat="1" ht="26">
      <c r="A58" s="86"/>
      <c r="B58" s="411">
        <f>IFERROR(INDEX((ID),MATCH(C58,BARANG,0)),"…")</f>
        <v>317948</v>
      </c>
      <c r="C58" s="469" t="str">
        <f>roda_atas_fold_formwell</f>
        <v>TOP ADJUSTABLE ART 869 SLIDE WITH 6 BERINGS</v>
      </c>
      <c r="D58" s="61">
        <v>2</v>
      </c>
      <c r="E58" s="411" t="s">
        <v>2306</v>
      </c>
      <c r="F58" s="87"/>
      <c r="H58" s="74"/>
      <c r="I58" s="103"/>
      <c r="J58" s="104"/>
      <c r="K58" s="71"/>
      <c r="L58" s="71"/>
    </row>
    <row r="59" spans="1:12" s="69" customFormat="1" ht="14.25" customHeight="1">
      <c r="A59" s="86"/>
      <c r="B59" s="86">
        <f>IFERROR(INDEX((ID),MATCH(C59,BARANG,0)),"…")</f>
        <v>307193</v>
      </c>
      <c r="C59" s="138" t="str">
        <f>rel_atas_fold_formwell</f>
        <v>1080A TRACK IN 2000</v>
      </c>
      <c r="D59" s="61">
        <v>1</v>
      </c>
      <c r="E59" s="86" t="s">
        <v>2230</v>
      </c>
      <c r="F59" s="87"/>
      <c r="H59" s="74"/>
      <c r="I59" s="103"/>
      <c r="J59" s="104"/>
      <c r="K59" s="71"/>
      <c r="L59" s="71"/>
    </row>
    <row r="60" spans="1:12" s="69" customFormat="1" ht="14.25" customHeight="1">
      <c r="A60" s="86"/>
      <c r="B60" s="86"/>
      <c r="C60" s="138"/>
      <c r="D60" s="135"/>
      <c r="E60" s="86"/>
      <c r="F60" s="87"/>
      <c r="H60" s="74"/>
      <c r="I60" s="103"/>
      <c r="J60" s="104"/>
      <c r="K60" s="71"/>
      <c r="L60" s="71"/>
    </row>
    <row r="61" spans="1:12" s="69" customFormat="1" ht="14.25" customHeight="1">
      <c r="A61" s="86"/>
      <c r="B61" s="86" t="str">
        <f>IFERROR(INDEX((ID),MATCH(C61,BARANG,0)),"…")</f>
        <v>307371</v>
      </c>
      <c r="C61" s="138" t="str">
        <f>sl_56_kit</f>
        <v>SLIDE LINE 56-2 PINTU</v>
      </c>
      <c r="D61" s="135"/>
      <c r="E61" s="86" t="s">
        <v>2306</v>
      </c>
      <c r="F61" s="87"/>
      <c r="H61" s="74"/>
      <c r="I61" s="103"/>
      <c r="J61" s="104"/>
      <c r="K61" s="71"/>
      <c r="L61" s="71"/>
    </row>
    <row r="62" spans="1:12" s="69" customFormat="1" ht="14.25" customHeight="1">
      <c r="A62" s="86"/>
      <c r="B62" s="86" t="str">
        <f>IFERROR(INDEX((ID),MATCH(C62,BARANG,0)),"…")</f>
        <v>307373</v>
      </c>
      <c r="C62" s="138" t="str">
        <f>sl_56_track</f>
        <v>REL SLIDE LINE 56 P.3 MTR</v>
      </c>
      <c r="D62" s="135"/>
      <c r="E62" s="86" t="s">
        <v>2224</v>
      </c>
      <c r="F62" s="87"/>
      <c r="H62" s="74"/>
      <c r="I62" s="103"/>
      <c r="J62" s="104"/>
      <c r="K62" s="71"/>
      <c r="L62" s="71"/>
    </row>
    <row r="63" spans="1:12" s="69" customFormat="1" ht="14.25" customHeight="1">
      <c r="A63" s="86"/>
      <c r="B63" s="86"/>
      <c r="C63" s="138"/>
      <c r="D63" s="135"/>
      <c r="E63" s="86"/>
      <c r="F63" s="87"/>
      <c r="H63" s="74"/>
      <c r="I63" s="103"/>
      <c r="J63" s="104"/>
      <c r="K63" s="71"/>
      <c r="L63" s="71"/>
    </row>
    <row r="64" spans="1:12" s="69" customFormat="1" ht="14.25" customHeight="1">
      <c r="A64" s="86"/>
      <c r="B64" s="86"/>
      <c r="C64" s="138"/>
      <c r="D64" s="135"/>
      <c r="E64" s="86"/>
      <c r="F64" s="87"/>
      <c r="H64" s="74"/>
      <c r="I64" s="103"/>
      <c r="J64" s="104"/>
      <c r="K64" s="71"/>
      <c r="L64" s="71"/>
    </row>
    <row r="65" spans="1:12" s="69" customFormat="1" ht="14.25" customHeight="1">
      <c r="A65" s="86"/>
      <c r="B65" s="86"/>
      <c r="C65" s="138"/>
      <c r="D65" s="135"/>
      <c r="E65" s="86"/>
      <c r="F65" s="87"/>
      <c r="H65" s="74"/>
      <c r="I65" s="103"/>
      <c r="J65" s="104"/>
      <c r="K65" s="71"/>
      <c r="L65" s="71"/>
    </row>
    <row r="66" spans="1:12" s="69" customFormat="1" ht="14.25" customHeight="1">
      <c r="A66" s="86"/>
      <c r="B66" s="86" t="str">
        <f>IFERROR(INDEX((ID),MATCH(C66,BARANG,0)),"…")</f>
        <v>307252</v>
      </c>
      <c r="C66" s="138" t="str">
        <f>PD_blum_55</f>
        <v>POCKET DOOR 55 CM</v>
      </c>
      <c r="D66" s="61">
        <v>1</v>
      </c>
      <c r="E66" s="86" t="s">
        <v>2306</v>
      </c>
      <c r="F66" s="87"/>
      <c r="H66" s="74"/>
      <c r="I66" s="103"/>
      <c r="J66" s="104"/>
      <c r="K66" s="71"/>
      <c r="L66" s="71"/>
    </row>
    <row r="67" spans="1:12" s="69" customFormat="1" ht="14.25" customHeight="1">
      <c r="A67" s="86"/>
      <c r="B67" s="86"/>
      <c r="C67" s="138"/>
      <c r="D67" s="61"/>
      <c r="E67" s="86"/>
      <c r="F67" s="87"/>
      <c r="H67" s="74"/>
      <c r="I67" s="103"/>
      <c r="J67" s="104"/>
      <c r="K67" s="71"/>
      <c r="L67" s="71"/>
    </row>
    <row r="68" spans="1:12" s="69" customFormat="1" ht="26">
      <c r="A68" s="86"/>
      <c r="B68" s="411" t="str">
        <f>IFERROR(INDEX((ID),MATCH(C68,BARANG,0)),"…")</f>
        <v>306821</v>
      </c>
      <c r="C68" s="469" t="str">
        <f>camar_807</f>
        <v>FIT HANGING SYSTEM FOR BASE CABINET 807 02 Z1 IN</v>
      </c>
      <c r="D68" s="61">
        <v>1</v>
      </c>
      <c r="E68" s="411" t="s">
        <v>2306</v>
      </c>
      <c r="F68" s="87"/>
      <c r="H68" s="74"/>
      <c r="I68" s="103"/>
      <c r="J68" s="104"/>
      <c r="K68" s="71"/>
      <c r="L68" s="71"/>
    </row>
    <row r="69" spans="1:12" s="69" customFormat="1" ht="14.25" customHeight="1">
      <c r="A69" s="86"/>
      <c r="B69" s="86">
        <f>IFERROR(INDEX((ID),MATCH(C69,BARANG,0)),"…")</f>
        <v>207098</v>
      </c>
      <c r="C69" s="138" t="str">
        <f>libra_h6</f>
        <v>LIBRA H 6</v>
      </c>
      <c r="D69" s="61">
        <v>1</v>
      </c>
      <c r="E69" s="86" t="s">
        <v>2306</v>
      </c>
      <c r="F69" s="87"/>
      <c r="H69" s="74"/>
      <c r="I69" s="103"/>
      <c r="J69" s="104"/>
      <c r="K69" s="71"/>
      <c r="L69" s="71"/>
    </row>
    <row r="70" spans="1:12" s="69" customFormat="1" ht="14.25" customHeight="1">
      <c r="A70" s="86"/>
      <c r="B70" s="86">
        <f>IFERROR(INDEX((ID),MATCH(C70,BARANG,0)),"…")</f>
        <v>207099</v>
      </c>
      <c r="C70" s="138" t="str">
        <f>libra_Ch</f>
        <v>LIBRA CH</v>
      </c>
      <c r="D70" s="61">
        <v>1</v>
      </c>
      <c r="E70" s="86" t="s">
        <v>2230</v>
      </c>
      <c r="F70" s="87"/>
      <c r="H70" s="74"/>
      <c r="I70" s="103"/>
      <c r="J70" s="104"/>
      <c r="K70" s="71"/>
      <c r="L70" s="71"/>
    </row>
    <row r="71" spans="1:12" s="69" customFormat="1" ht="14.25" customHeight="1">
      <c r="A71" s="86"/>
      <c r="B71" s="86"/>
      <c r="C71" s="138"/>
      <c r="D71" s="61"/>
      <c r="E71" s="86"/>
      <c r="F71" s="87"/>
      <c r="H71" s="74"/>
      <c r="I71" s="103"/>
      <c r="J71" s="104"/>
      <c r="K71" s="71"/>
      <c r="L71" s="71"/>
    </row>
    <row r="72" spans="1:12" s="69" customFormat="1" ht="14.25" customHeight="1">
      <c r="A72" s="86"/>
      <c r="B72" s="86"/>
      <c r="C72" s="138"/>
      <c r="D72" s="61"/>
      <c r="E72" s="86"/>
      <c r="F72" s="87"/>
      <c r="H72" s="74"/>
      <c r="I72" s="103"/>
      <c r="J72" s="104"/>
      <c r="K72" s="71"/>
      <c r="L72" s="71"/>
    </row>
    <row r="73" spans="1:12" s="69" customFormat="1" ht="14.25" customHeight="1">
      <c r="A73" s="86"/>
      <c r="B73" s="86">
        <f>IFERROR(INDEX((ID),MATCH(C73,BARANG,0)),"…")</f>
        <v>110088</v>
      </c>
      <c r="C73" s="138" t="str">
        <f>lapisan1</f>
        <v>WY_5216_D(V)</v>
      </c>
      <c r="D73" s="61">
        <v>1</v>
      </c>
      <c r="E73" s="86" t="s">
        <v>2361</v>
      </c>
      <c r="F73" s="90" t="s">
        <v>3477</v>
      </c>
      <c r="H73" s="74"/>
      <c r="I73" s="103"/>
      <c r="J73" s="104"/>
      <c r="K73" s="71"/>
      <c r="L73" s="71"/>
    </row>
    <row r="74" spans="1:12" s="69" customFormat="1" ht="14.25" customHeight="1">
      <c r="A74" s="86"/>
      <c r="B74" s="86">
        <f>IFERROR(INDEX((ID),MATCH(C74,BARANG,0)),"…")</f>
        <v>122655</v>
      </c>
      <c r="C74" s="138" t="str">
        <f>lapisan3</f>
        <v>L-FA_0206_AP</v>
      </c>
      <c r="D74" s="61">
        <v>1</v>
      </c>
      <c r="E74" s="86" t="s">
        <v>2361</v>
      </c>
      <c r="F74" s="90" t="s">
        <v>2930</v>
      </c>
      <c r="H74" s="74"/>
      <c r="I74" s="103"/>
      <c r="J74" s="104"/>
      <c r="K74" s="71"/>
      <c r="L74" s="71"/>
    </row>
    <row r="75" spans="1:12" s="69" customFormat="1" ht="14.25" customHeight="1">
      <c r="A75" s="86"/>
      <c r="B75" s="86">
        <f>IFERROR(INDEX((ID),MATCH(C75,BARANG,0)),"…")</f>
        <v>121261</v>
      </c>
      <c r="C75" s="138" t="str">
        <f>lapisan5</f>
        <v>DXO_1338_D</v>
      </c>
      <c r="D75" s="61">
        <v>1</v>
      </c>
      <c r="E75" s="86" t="s">
        <v>2361</v>
      </c>
      <c r="F75" s="90" t="s">
        <v>2930</v>
      </c>
      <c r="H75" s="74"/>
      <c r="I75" s="103"/>
      <c r="J75" s="104"/>
      <c r="K75" s="71"/>
      <c r="L75" s="71"/>
    </row>
    <row r="76" spans="1:12" s="69" customFormat="1" ht="14.25" customHeight="1">
      <c r="A76" s="86"/>
      <c r="B76" s="86" t="str">
        <f>IFERROR(INDEX((ID),MATCH(C76,BARANG,0)),"…")</f>
        <v>…</v>
      </c>
      <c r="C76" s="138">
        <f>lapisan6</f>
        <v>0</v>
      </c>
      <c r="D76" s="61">
        <v>1</v>
      </c>
      <c r="E76" s="86" t="s">
        <v>2361</v>
      </c>
      <c r="F76" s="90" t="s">
        <v>2930</v>
      </c>
      <c r="H76" s="74"/>
      <c r="I76" s="103"/>
      <c r="J76" s="104"/>
      <c r="K76" s="71"/>
      <c r="L76" s="71"/>
    </row>
    <row r="77" spans="1:12" s="69" customFormat="1" ht="14.25" customHeight="1">
      <c r="A77" s="86"/>
      <c r="B77" s="86" t="str">
        <f>IFERROR(INDEX((ID),MATCH(C77,BARANG,0)),"…")</f>
        <v>…</v>
      </c>
      <c r="C77" s="138">
        <f>lapisan6</f>
        <v>0</v>
      </c>
      <c r="D77" s="61">
        <v>1</v>
      </c>
      <c r="E77" s="86" t="s">
        <v>2361</v>
      </c>
      <c r="F77" s="90" t="s">
        <v>2930</v>
      </c>
      <c r="H77" s="74"/>
      <c r="I77" s="103"/>
      <c r="J77" s="104"/>
      <c r="K77" s="71"/>
      <c r="L77" s="71"/>
    </row>
    <row r="78" spans="1:12" s="69" customFormat="1" ht="14.25" customHeight="1">
      <c r="A78" s="86"/>
      <c r="B78" s="86"/>
      <c r="C78" s="138"/>
      <c r="D78" s="135"/>
      <c r="E78" s="86"/>
      <c r="F78" s="87"/>
      <c r="H78" s="74"/>
      <c r="I78" s="103"/>
      <c r="J78" s="104"/>
      <c r="K78" s="71"/>
      <c r="L78" s="71"/>
    </row>
    <row r="79" spans="1:12" s="69" customFormat="1" ht="14.25" customHeight="1">
      <c r="A79" s="86"/>
      <c r="B79" s="86">
        <f t="shared" ref="B79:B84" si="4">IFERROR(INDEX((ID),MATCH(C79,BARANG,0)),"…")</f>
        <v>210481</v>
      </c>
      <c r="C79" s="95" t="str">
        <f>edgingkab1</f>
        <v>Edg_Décor_1723_B</v>
      </c>
      <c r="D79" s="443">
        <f t="shared" ref="D79:D84" si="5">ROUNDUP((SUMIF(anodizeh,C79,_2PL)/1),0)</f>
        <v>0</v>
      </c>
      <c r="E79" s="89" t="s">
        <v>2209</v>
      </c>
      <c r="F79" s="442" t="s">
        <v>2383</v>
      </c>
      <c r="H79" s="74"/>
      <c r="K79" s="78"/>
      <c r="L79" s="78"/>
    </row>
    <row r="80" spans="1:12" s="69" customFormat="1" ht="14.25" customHeight="1">
      <c r="A80" s="86"/>
      <c r="B80" s="86" t="str">
        <f t="shared" si="4"/>
        <v>…</v>
      </c>
      <c r="C80" s="95" t="str">
        <f>edgingkab2</f>
        <v>Edg_Decor_1723_B_(55x1)</v>
      </c>
      <c r="D80" s="443">
        <f t="shared" si="5"/>
        <v>0</v>
      </c>
      <c r="E80" s="89" t="s">
        <v>2209</v>
      </c>
      <c r="F80" s="442" t="s">
        <v>3835</v>
      </c>
      <c r="H80" s="74"/>
      <c r="K80" s="78"/>
      <c r="L80" s="78"/>
    </row>
    <row r="81" spans="1:12" s="69" customFormat="1" ht="14.25" customHeight="1">
      <c r="A81" s="86"/>
      <c r="B81" s="86" t="str">
        <f t="shared" si="4"/>
        <v>…</v>
      </c>
      <c r="C81" s="95" t="str">
        <f>edging1</f>
        <v>Edg_EAW_5216D1</v>
      </c>
      <c r="D81" s="443">
        <f t="shared" si="5"/>
        <v>61</v>
      </c>
      <c r="E81" s="89" t="s">
        <v>2209</v>
      </c>
      <c r="F81" s="442" t="s">
        <v>2383</v>
      </c>
      <c r="H81" s="74"/>
      <c r="K81" s="78"/>
      <c r="L81" s="78"/>
    </row>
    <row r="82" spans="1:12" s="69" customFormat="1" ht="14.25" customHeight="1">
      <c r="A82" s="86"/>
      <c r="B82" s="86">
        <f t="shared" si="4"/>
        <v>220577</v>
      </c>
      <c r="C82" s="95" t="str">
        <f>edging2</f>
        <v>Edg_EAW_5216_D1(44x1)</v>
      </c>
      <c r="D82" s="443">
        <f t="shared" si="5"/>
        <v>0</v>
      </c>
      <c r="E82" s="89" t="s">
        <v>2209</v>
      </c>
      <c r="F82" s="442" t="s">
        <v>3835</v>
      </c>
      <c r="H82" s="74"/>
      <c r="K82" s="78"/>
      <c r="L82" s="78"/>
    </row>
    <row r="83" spans="1:12" s="69" customFormat="1" ht="14.25" customHeight="1">
      <c r="A83" s="86"/>
      <c r="B83" s="86">
        <f t="shared" si="4"/>
        <v>220861</v>
      </c>
      <c r="C83" s="95" t="str">
        <f>edging3</f>
        <v>Edg_DSS_00206_SM</v>
      </c>
      <c r="D83" s="443">
        <f t="shared" si="5"/>
        <v>0</v>
      </c>
      <c r="E83" s="89" t="s">
        <v>2209</v>
      </c>
      <c r="F83" s="442" t="s">
        <v>2383</v>
      </c>
      <c r="H83" s="74"/>
      <c r="K83" s="78"/>
      <c r="L83" s="78"/>
    </row>
    <row r="84" spans="1:12" s="69" customFormat="1" ht="14.25" customHeight="1">
      <c r="A84" s="86"/>
      <c r="B84" s="86">
        <f t="shared" si="4"/>
        <v>221110</v>
      </c>
      <c r="C84" s="95" t="str">
        <f>edging4</f>
        <v>Edg_DSS_00206_SM(45X1)</v>
      </c>
      <c r="D84" s="443">
        <f t="shared" si="5"/>
        <v>0</v>
      </c>
      <c r="E84" s="89" t="s">
        <v>2209</v>
      </c>
      <c r="F84" s="442" t="s">
        <v>3835</v>
      </c>
      <c r="H84" s="74"/>
      <c r="K84" s="78"/>
      <c r="L84" s="78"/>
    </row>
    <row r="85" spans="1:12" s="69" customFormat="1" ht="14.25" customHeight="1">
      <c r="A85" s="86"/>
      <c r="B85" s="86"/>
      <c r="C85" s="95"/>
      <c r="D85" s="443"/>
      <c r="E85" s="89"/>
      <c r="F85" s="442"/>
      <c r="H85" s="74"/>
      <c r="K85" s="78"/>
      <c r="L85" s="78"/>
    </row>
    <row r="86" spans="1:12" s="69" customFormat="1" ht="14.25" customHeight="1">
      <c r="A86" s="86"/>
      <c r="B86" s="86">
        <f t="shared" ref="B86:B91" si="6">IFERROR(INDEX((ID),MATCH(C86,BARANG,0)),"…")</f>
        <v>210481</v>
      </c>
      <c r="C86" s="95" t="str">
        <f>edgingkab1</f>
        <v>Edg_Décor_1723_B</v>
      </c>
      <c r="D86" s="443">
        <f t="shared" ref="D86:D91" si="7">ROUNDUP((SUMIF(anodizev,C86,_2PL)/1),0)</f>
        <v>0</v>
      </c>
      <c r="E86" s="89" t="s">
        <v>2209</v>
      </c>
      <c r="F86" s="442" t="s">
        <v>2382</v>
      </c>
      <c r="H86" s="74"/>
      <c r="K86" s="78"/>
      <c r="L86" s="78"/>
    </row>
    <row r="87" spans="1:12" s="69" customFormat="1" ht="14.25" customHeight="1">
      <c r="A87" s="86"/>
      <c r="B87" s="86" t="str">
        <f t="shared" si="6"/>
        <v>…</v>
      </c>
      <c r="C87" s="95" t="str">
        <f>edgingkab2</f>
        <v>Edg_Decor_1723_B_(55x1)</v>
      </c>
      <c r="D87" s="443">
        <f t="shared" si="7"/>
        <v>0</v>
      </c>
      <c r="E87" s="89" t="s">
        <v>2209</v>
      </c>
      <c r="F87" s="442" t="s">
        <v>3833</v>
      </c>
      <c r="H87" s="74"/>
      <c r="K87" s="78"/>
      <c r="L87" s="78"/>
    </row>
    <row r="88" spans="1:12" s="69" customFormat="1" ht="14.25" customHeight="1">
      <c r="A88" s="86"/>
      <c r="B88" s="86" t="str">
        <f t="shared" si="6"/>
        <v>…</v>
      </c>
      <c r="C88" s="95" t="str">
        <f>edging1</f>
        <v>Edg_EAW_5216D1</v>
      </c>
      <c r="D88" s="443">
        <f t="shared" si="7"/>
        <v>0</v>
      </c>
      <c r="E88" s="89" t="s">
        <v>2209</v>
      </c>
      <c r="F88" s="442" t="s">
        <v>2382</v>
      </c>
      <c r="H88" s="74"/>
      <c r="K88" s="78"/>
      <c r="L88" s="78"/>
    </row>
    <row r="89" spans="1:12" s="69" customFormat="1" ht="14.25" customHeight="1">
      <c r="A89" s="86"/>
      <c r="B89" s="86">
        <f t="shared" si="6"/>
        <v>220577</v>
      </c>
      <c r="C89" s="95" t="str">
        <f>edging2</f>
        <v>Edg_EAW_5216_D1(44x1)</v>
      </c>
      <c r="D89" s="443">
        <f t="shared" si="7"/>
        <v>0</v>
      </c>
      <c r="E89" s="89" t="s">
        <v>2209</v>
      </c>
      <c r="F89" s="442" t="s">
        <v>3834</v>
      </c>
      <c r="H89" s="74"/>
      <c r="K89" s="78"/>
      <c r="L89" s="78"/>
    </row>
    <row r="90" spans="1:12" s="69" customFormat="1" ht="14.25" customHeight="1">
      <c r="A90" s="86"/>
      <c r="B90" s="86">
        <f t="shared" si="6"/>
        <v>220861</v>
      </c>
      <c r="C90" s="95" t="str">
        <f>edging3</f>
        <v>Edg_DSS_00206_SM</v>
      </c>
      <c r="D90" s="443">
        <f t="shared" si="7"/>
        <v>0</v>
      </c>
      <c r="E90" s="89" t="s">
        <v>2209</v>
      </c>
      <c r="F90" s="442" t="s">
        <v>2382</v>
      </c>
      <c r="H90" s="74"/>
      <c r="K90" s="78"/>
      <c r="L90" s="78"/>
    </row>
    <row r="91" spans="1:12" s="69" customFormat="1" ht="14.25" customHeight="1">
      <c r="A91" s="86"/>
      <c r="B91" s="86">
        <f t="shared" si="6"/>
        <v>221110</v>
      </c>
      <c r="C91" s="95" t="str">
        <f>edging4</f>
        <v>Edg_DSS_00206_SM(45X1)</v>
      </c>
      <c r="D91" s="443">
        <f t="shared" si="7"/>
        <v>0</v>
      </c>
      <c r="E91" s="89" t="s">
        <v>2209</v>
      </c>
      <c r="F91" s="442" t="s">
        <v>3833</v>
      </c>
      <c r="H91" s="74"/>
      <c r="K91" s="78"/>
      <c r="L91" s="78"/>
    </row>
    <row r="92" spans="1:12" s="69" customFormat="1" ht="14.25" customHeight="1">
      <c r="A92" s="86"/>
      <c r="B92" s="86"/>
      <c r="C92" s="95"/>
      <c r="D92" s="444"/>
      <c r="E92" s="89"/>
      <c r="F92" s="90"/>
      <c r="H92" s="74"/>
      <c r="K92" s="78"/>
      <c r="L92" s="78"/>
    </row>
    <row r="93" spans="1:12" s="69" customFormat="1" ht="14.25" customHeight="1">
      <c r="A93" s="86"/>
      <c r="B93" s="86"/>
      <c r="C93" s="95"/>
      <c r="D93" s="444"/>
      <c r="E93" s="89"/>
      <c r="F93" s="90"/>
      <c r="H93" s="74"/>
      <c r="K93" s="78"/>
      <c r="L93" s="78"/>
    </row>
    <row r="94" spans="1:12" s="69" customFormat="1" ht="14.25" customHeight="1">
      <c r="A94" s="86"/>
      <c r="B94" s="86"/>
      <c r="C94" s="95"/>
      <c r="D94" s="88"/>
      <c r="E94" s="89"/>
      <c r="F94" s="90"/>
      <c r="H94" s="74"/>
      <c r="K94" s="78"/>
      <c r="L94" s="78"/>
    </row>
    <row r="95" spans="1:12" s="69" customFormat="1" ht="14.25" customHeight="1">
      <c r="A95" s="86"/>
      <c r="B95" s="86">
        <f>IFERROR(INDEX((ID),MATCH(C95,BARANG,0)),"…")</f>
        <v>114611</v>
      </c>
      <c r="C95" s="136" t="str">
        <f>acrylic_mled</f>
        <v>ACRYLIC SUSU 2 MM 12X1220</v>
      </c>
      <c r="D95" s="88">
        <f>ROUNDUP(jumlah_mled*3000/1220,0)+10%</f>
        <v>5.0999999999999996</v>
      </c>
      <c r="E95" s="86" t="s">
        <v>2224</v>
      </c>
      <c r="F95" s="87"/>
      <c r="H95" s="74"/>
      <c r="K95" s="78"/>
      <c r="L95" s="78"/>
    </row>
    <row r="96" spans="1:12" s="69" customFormat="1" ht="14.25" customHeight="1">
      <c r="A96" s="86"/>
      <c r="B96" s="86"/>
      <c r="C96" s="95"/>
      <c r="D96" s="88"/>
      <c r="E96" s="89"/>
      <c r="F96" s="90"/>
      <c r="H96" s="74"/>
      <c r="K96" s="78"/>
      <c r="L96" s="78"/>
    </row>
    <row r="97" spans="1:12" s="69" customFormat="1" ht="14.25" customHeight="1">
      <c r="A97" s="86"/>
      <c r="B97" s="86" t="str">
        <f>IFERROR(INDEX((ID),MATCH(C97,BARANG,0)),"…")</f>
        <v>205713</v>
      </c>
      <c r="C97" s="95" t="str">
        <f>plat_join</f>
        <v>PLAT JOIN 50X50X0.5</v>
      </c>
      <c r="D97" s="61">
        <v>4</v>
      </c>
      <c r="E97" s="89" t="s">
        <v>2230</v>
      </c>
      <c r="F97" s="90"/>
      <c r="H97" s="74"/>
      <c r="K97" s="78"/>
      <c r="L97" s="78"/>
    </row>
    <row r="98" spans="1:12" s="69" customFormat="1" ht="14.25" customHeight="1">
      <c r="A98" s="86"/>
      <c r="B98" s="86"/>
      <c r="C98" s="95"/>
      <c r="D98" s="444"/>
      <c r="E98" s="89"/>
      <c r="F98" s="90"/>
      <c r="H98" s="74"/>
      <c r="K98" s="78"/>
      <c r="L98" s="78"/>
    </row>
    <row r="99" spans="1:12" s="69" customFormat="1" ht="14.25" customHeight="1">
      <c r="A99" s="86"/>
      <c r="B99" s="86"/>
      <c r="C99" s="95"/>
      <c r="D99" s="444"/>
      <c r="E99" s="89"/>
      <c r="F99" s="90"/>
      <c r="H99" s="74"/>
      <c r="K99" s="78"/>
      <c r="L99" s="78"/>
    </row>
    <row r="100" spans="1:12" s="69" customFormat="1" ht="14.25" customHeight="1">
      <c r="A100" s="86"/>
      <c r="B100" s="86"/>
      <c r="C100" s="95"/>
      <c r="D100" s="444"/>
      <c r="E100" s="89"/>
      <c r="F100" s="90"/>
      <c r="H100" s="74"/>
      <c r="K100" s="78"/>
      <c r="L100" s="78"/>
    </row>
    <row r="101" spans="1:12" s="69" customFormat="1" ht="14.25" customHeight="1">
      <c r="A101" s="86"/>
      <c r="B101" s="86"/>
      <c r="C101" s="95"/>
      <c r="D101" s="444"/>
      <c r="E101" s="89"/>
      <c r="F101" s="90"/>
      <c r="H101" s="74"/>
      <c r="K101" s="78"/>
      <c r="L101" s="78"/>
    </row>
    <row r="102" spans="1:12" s="69" customFormat="1" ht="14.25" customHeight="1">
      <c r="A102" s="86"/>
      <c r="B102" s="86">
        <f>IFERROR(INDEX((ID),MATCH(C102,BARANG,0)),"…")</f>
        <v>206029</v>
      </c>
      <c r="C102" s="95" t="str">
        <f>sikubr</f>
        <v>SIKU BR 012</v>
      </c>
      <c r="D102" s="135">
        <f>ROUNDUP((SUMIF(siku_joint,C102,jumlah_pemakaian)*3),0)</f>
        <v>3</v>
      </c>
      <c r="E102" s="89" t="s">
        <v>2230</v>
      </c>
      <c r="F102" s="90"/>
      <c r="H102" s="74"/>
      <c r="K102" s="78"/>
      <c r="L102" s="78"/>
    </row>
    <row r="103" spans="1:12" s="69" customFormat="1" ht="14.25" customHeight="1">
      <c r="A103" s="89"/>
      <c r="B103" s="86"/>
      <c r="C103" s="95"/>
      <c r="D103" s="89"/>
      <c r="E103" s="89"/>
      <c r="F103" s="90"/>
      <c r="H103" s="74"/>
      <c r="K103" s="78"/>
      <c r="L103" s="78"/>
    </row>
    <row r="104" spans="1:12" s="69" customFormat="1" ht="39">
      <c r="A104" s="89"/>
      <c r="B104" s="411">
        <f>IFERROR(INDEX((ID),MATCH(C104,BARANG,0)),"…")</f>
        <v>3065886</v>
      </c>
      <c r="C104" s="622" t="str">
        <f>m_grill_01</f>
        <v>M-GRILL 01 COKLAT DOFF</v>
      </c>
      <c r="D104" s="135">
        <f>ROUNDUP((SUMIF(siku_joint,C104,jumlah_pemakaian)),0)</f>
        <v>0</v>
      </c>
      <c r="E104" s="412" t="s">
        <v>2230</v>
      </c>
      <c r="F104" s="621" t="s">
        <v>3508</v>
      </c>
      <c r="H104" s="74"/>
      <c r="K104" s="78"/>
      <c r="L104" s="78"/>
    </row>
    <row r="105" spans="1:12" s="69" customFormat="1" ht="14.25" customHeight="1">
      <c r="A105" s="86"/>
      <c r="B105" s="86"/>
      <c r="C105" s="95"/>
      <c r="D105" s="89"/>
      <c r="E105" s="89"/>
      <c r="F105" s="90"/>
      <c r="H105" s="74"/>
      <c r="K105" s="78"/>
      <c r="L105" s="78"/>
    </row>
    <row r="106" spans="1:12" s="69" customFormat="1" ht="26">
      <c r="A106" s="89"/>
      <c r="B106" s="411" t="str">
        <f>IFERROR(INDEX((ID),MATCH(C106,BARANG,0)),"…")</f>
        <v>306821</v>
      </c>
      <c r="C106" s="469" t="str">
        <f>camar_807</f>
        <v>FIT HANGING SYSTEM FOR BASE CABINET 807 02 Z1 IN</v>
      </c>
      <c r="D106" s="135">
        <f>ROUNDUP((SUMIF(siku_joint,C106,jumlah_pemakaian)),0)</f>
        <v>0</v>
      </c>
      <c r="E106" s="411" t="s">
        <v>2306</v>
      </c>
      <c r="F106" s="90"/>
      <c r="H106" s="74"/>
      <c r="K106" s="78"/>
      <c r="L106" s="78"/>
    </row>
    <row r="107" spans="1:12" s="69" customFormat="1" ht="14.25" customHeight="1">
      <c r="A107" s="89"/>
      <c r="B107" s="86">
        <f>IFERROR(INDEX((ID),MATCH(C107,BARANG,0)),"…")</f>
        <v>207098</v>
      </c>
      <c r="C107" s="138" t="str">
        <f>libra_h6</f>
        <v>LIBRA H 6</v>
      </c>
      <c r="D107" s="135">
        <f>ROUNDUP((SUMIF(siku_joint,C107,jumlah_pemakaian)),0)</f>
        <v>0</v>
      </c>
      <c r="E107" s="86" t="s">
        <v>2306</v>
      </c>
      <c r="F107" s="90"/>
      <c r="H107" s="74"/>
      <c r="K107" s="78"/>
      <c r="L107" s="78"/>
    </row>
    <row r="108" spans="1:12" s="69" customFormat="1" ht="14.25" customHeight="1">
      <c r="A108" s="89"/>
      <c r="B108" s="86">
        <f>IFERROR(INDEX((ID),MATCH(C108,BARANG,0)),"…")</f>
        <v>207099</v>
      </c>
      <c r="C108" s="138" t="str">
        <f>libra_Ch</f>
        <v>LIBRA CH</v>
      </c>
      <c r="D108" s="135">
        <f>ROUNDUP((SUMIF(siku_joint,C108,jumlah_pemakaian)),0)</f>
        <v>0</v>
      </c>
      <c r="E108" s="86" t="s">
        <v>2230</v>
      </c>
      <c r="F108" s="90"/>
      <c r="H108" s="74"/>
      <c r="K108" s="78"/>
      <c r="L108" s="78"/>
    </row>
    <row r="109" spans="1:12" s="69" customFormat="1" ht="14.25" customHeight="1">
      <c r="A109" s="89"/>
      <c r="B109" s="86"/>
      <c r="C109" s="95"/>
      <c r="D109" s="89"/>
      <c r="E109" s="89"/>
      <c r="F109" s="90"/>
      <c r="H109" s="74"/>
      <c r="K109" s="78"/>
      <c r="L109" s="78"/>
    </row>
    <row r="110" spans="1:12" s="69" customFormat="1" ht="14.25" customHeight="1">
      <c r="A110" s="89"/>
      <c r="B110" s="86"/>
      <c r="C110" s="95"/>
      <c r="D110" s="89"/>
      <c r="E110" s="89"/>
      <c r="F110" s="90"/>
      <c r="H110" s="74"/>
      <c r="K110" s="78"/>
      <c r="L110" s="78"/>
    </row>
    <row r="111" spans="1:12" s="69" customFormat="1" ht="14.25" customHeight="1">
      <c r="A111" s="89"/>
      <c r="B111" s="86"/>
      <c r="C111" s="95"/>
      <c r="D111" s="89"/>
      <c r="E111" s="89"/>
      <c r="F111" s="90"/>
      <c r="H111" s="74"/>
      <c r="K111" s="78"/>
      <c r="L111" s="78"/>
    </row>
    <row r="112" spans="1:12" s="69" customFormat="1" ht="14.25" customHeight="1">
      <c r="A112" s="89"/>
      <c r="B112" s="86"/>
      <c r="C112" s="95"/>
      <c r="D112" s="89"/>
      <c r="E112" s="89"/>
      <c r="F112" s="90"/>
      <c r="H112" s="74"/>
      <c r="K112" s="78"/>
      <c r="L112" s="78"/>
    </row>
    <row r="113" spans="1:12" s="69" customFormat="1" ht="14.25" customHeight="1">
      <c r="A113" s="89"/>
      <c r="B113" s="86" t="str">
        <f>IFERROR(INDEX((ID),MATCH(C113,BARANG,0)),"…")</f>
        <v>…</v>
      </c>
      <c r="C113" s="95" t="s">
        <v>2376</v>
      </c>
      <c r="D113" s="89">
        <v>4</v>
      </c>
      <c r="E113" s="89" t="s">
        <v>2230</v>
      </c>
      <c r="F113" s="90" t="s">
        <v>2377</v>
      </c>
      <c r="H113" s="74"/>
      <c r="K113" s="78"/>
      <c r="L113" s="78"/>
    </row>
    <row r="114" spans="1:12" s="69" customFormat="1" ht="14.25" customHeight="1">
      <c r="A114" s="89"/>
      <c r="B114" s="86"/>
      <c r="C114" s="95"/>
      <c r="D114" s="89"/>
      <c r="E114" s="89"/>
      <c r="F114" s="90"/>
      <c r="H114" s="74"/>
      <c r="K114" s="78"/>
      <c r="L114" s="78"/>
    </row>
    <row r="115" spans="1:12" s="69" customFormat="1" ht="14.25" customHeight="1">
      <c r="A115" s="89"/>
      <c r="B115" s="86"/>
      <c r="C115" s="95"/>
      <c r="D115" s="89"/>
      <c r="E115" s="89"/>
      <c r="F115" s="90"/>
      <c r="H115" s="74"/>
      <c r="K115" s="78"/>
      <c r="L115" s="78"/>
    </row>
    <row r="116" spans="1:12" s="69" customFormat="1" ht="14.25" customHeight="1">
      <c r="A116" s="89"/>
      <c r="B116" s="86"/>
      <c r="C116" s="316" t="s">
        <v>2519</v>
      </c>
      <c r="D116" s="135">
        <f>ROUNDUP((SUMIF(anodizev,C116,jumlah_pemakaian)),0)</f>
        <v>0</v>
      </c>
      <c r="E116" s="89" t="s">
        <v>2230</v>
      </c>
      <c r="F116" s="90"/>
      <c r="H116" s="74"/>
      <c r="K116" s="78"/>
      <c r="L116" s="78"/>
    </row>
    <row r="117" spans="1:12" s="69" customFormat="1" ht="14.25" customHeight="1">
      <c r="A117" s="89"/>
      <c r="B117" s="86"/>
      <c r="C117" s="95"/>
      <c r="D117" s="89"/>
      <c r="E117" s="89"/>
      <c r="F117" s="90"/>
      <c r="H117" s="74"/>
      <c r="K117" s="78"/>
      <c r="L117" s="78"/>
    </row>
    <row r="118" spans="1:12" s="69" customFormat="1" ht="14.25" customHeight="1">
      <c r="A118" s="412"/>
      <c r="B118" s="411" t="str">
        <f>IFERROR(INDEX((ID),MATCH(C118,BARANG,0)),"…")</f>
        <v>…</v>
      </c>
      <c r="C118" s="410">
        <f>prof_pintu_1</f>
        <v>0</v>
      </c>
      <c r="D118" s="135">
        <f>ROUNDUP((SUMIF(profil,C118,_2PL)/2.2),0)</f>
        <v>332</v>
      </c>
      <c r="E118" s="412" t="s">
        <v>2392</v>
      </c>
      <c r="F118" s="90" t="s">
        <v>2733</v>
      </c>
      <c r="H118" s="74"/>
      <c r="K118" s="78"/>
      <c r="L118" s="78"/>
    </row>
    <row r="119" spans="1:12" s="69" customFormat="1" ht="16">
      <c r="A119" s="412"/>
      <c r="B119" s="411">
        <f>IFERROR(INDEX((ID),MATCH(C119,BARANG,0)),"…")</f>
        <v>1115918</v>
      </c>
      <c r="C119" s="410" t="str">
        <f>prof_pintu_2</f>
        <v>PROFIL MLP 04 MDF HIJAU UK 2350X14X14</v>
      </c>
      <c r="D119" s="135">
        <f>ROUNDUP((SUMIF(profil_2,C119,_2PL)/2.2),0)</f>
        <v>0</v>
      </c>
      <c r="E119" s="412" t="s">
        <v>2392</v>
      </c>
      <c r="F119" s="90" t="s">
        <v>2733</v>
      </c>
      <c r="H119" s="74"/>
      <c r="K119" s="78"/>
      <c r="L119" s="78"/>
    </row>
    <row r="120" spans="1:12" s="69" customFormat="1" ht="14.25" customHeight="1">
      <c r="A120" s="89"/>
      <c r="B120" s="86" t="str">
        <f>IFERROR(INDEX((ID),MATCH(C120,BARANG,0)),"…")</f>
        <v>…</v>
      </c>
      <c r="C120" s="95">
        <f>Prof_pintu_3</f>
        <v>0</v>
      </c>
      <c r="D120" s="135">
        <f>ROUNDUP((SUMIF(profil_3,C120,_2PL)/2.2),0)</f>
        <v>327</v>
      </c>
      <c r="E120" s="89" t="s">
        <v>2392</v>
      </c>
      <c r="F120" s="90" t="s">
        <v>2733</v>
      </c>
      <c r="H120" s="74"/>
      <c r="K120" s="78"/>
      <c r="L120" s="78"/>
    </row>
    <row r="121" spans="1:12" s="69" customFormat="1" ht="14.25" customHeight="1">
      <c r="A121" s="89"/>
      <c r="B121" s="86" t="str">
        <f>IFERROR(INDEX((ID),MATCH(C121,BARANG,0)),"…")</f>
        <v>…</v>
      </c>
      <c r="C121" s="95">
        <f>Prof_pintu_3</f>
        <v>0</v>
      </c>
      <c r="D121" s="135">
        <f>ROUNDUP((SUMIF(profil_3,C121,jumlah_pemakaian)*4),0)</f>
        <v>724</v>
      </c>
      <c r="E121" s="89" t="s">
        <v>2230</v>
      </c>
      <c r="F121" s="90" t="s">
        <v>2733</v>
      </c>
      <c r="H121" s="74"/>
      <c r="K121" s="78"/>
      <c r="L121" s="78"/>
    </row>
    <row r="122" spans="1:12" s="69" customFormat="1" ht="25" customHeight="1">
      <c r="A122" s="412"/>
      <c r="B122" s="411" t="s">
        <v>1787</v>
      </c>
      <c r="C122" s="410" t="s">
        <v>2746</v>
      </c>
      <c r="D122" s="135">
        <f>+D121</f>
        <v>724</v>
      </c>
      <c r="E122" s="412" t="s">
        <v>2230</v>
      </c>
      <c r="F122" s="446" t="s">
        <v>2733</v>
      </c>
      <c r="H122" s="74"/>
      <c r="K122" s="78"/>
      <c r="L122" s="78"/>
    </row>
    <row r="123" spans="1:12" s="69" customFormat="1" ht="14.25" customHeight="1">
      <c r="A123" s="89"/>
      <c r="B123" s="86"/>
      <c r="C123" s="95"/>
      <c r="D123" s="135"/>
      <c r="E123" s="89"/>
      <c r="F123" s="90"/>
      <c r="H123" s="74"/>
      <c r="K123" s="78"/>
      <c r="L123" s="78"/>
    </row>
    <row r="124" spans="1:12" s="69" customFormat="1" ht="14.25" customHeight="1">
      <c r="A124" s="89"/>
      <c r="B124" s="86">
        <f>IFERROR(INDEX((ID),MATCH(C124,BARANG,0)),"…")</f>
        <v>1115908</v>
      </c>
      <c r="C124" s="95" t="str">
        <f>prof_cor_3</f>
        <v>PROFIL R5 MDF hijau 10X15X2350 (MR 02)</v>
      </c>
      <c r="D124" s="135">
        <f>ROUNDUP((SUMIF(profil_3,C124,P)/2.2),0)*2</f>
        <v>0</v>
      </c>
      <c r="E124" s="89" t="s">
        <v>2392</v>
      </c>
      <c r="F124" s="90" t="s">
        <v>2732</v>
      </c>
      <c r="H124" s="74"/>
      <c r="K124" s="78"/>
      <c r="L124" s="78"/>
    </row>
    <row r="125" spans="1:12" s="69" customFormat="1" ht="14.25" customHeight="1">
      <c r="A125" s="89"/>
      <c r="B125" s="86">
        <f>IFERROR(INDEX((ID),MATCH(C125,BARANG,0)),"…")</f>
        <v>1115908</v>
      </c>
      <c r="C125" s="95" t="str">
        <f>prof_cor_2</f>
        <v>PROFIL R5 MDF hijau 10X15X2350 (MR 02)</v>
      </c>
      <c r="D125" s="135">
        <f>ROUNDUP((SUMIF(profil_2,C125,P)/2.2),0)</f>
        <v>0</v>
      </c>
      <c r="E125" s="89" t="s">
        <v>2392</v>
      </c>
      <c r="F125" s="90" t="s">
        <v>2732</v>
      </c>
      <c r="H125" s="74"/>
      <c r="K125" s="78"/>
      <c r="L125" s="78"/>
    </row>
    <row r="126" spans="1:12" s="69" customFormat="1" ht="14.25" customHeight="1">
      <c r="A126" s="89"/>
      <c r="B126" s="86">
        <f>IFERROR(INDEX((ID),MATCH(C126,BARANG,0)),"…")</f>
        <v>1115302</v>
      </c>
      <c r="C126" s="95" t="str">
        <f>prof_cor_1</f>
        <v>PROFIL MLT 01 MDF + PLY 2440X128X24</v>
      </c>
      <c r="D126" s="135">
        <f>ROUNDUP((SUMIF(profil,C126,P)/2.2),0)</f>
        <v>0</v>
      </c>
      <c r="E126" s="89" t="s">
        <v>2392</v>
      </c>
      <c r="F126" s="90" t="s">
        <v>2732</v>
      </c>
      <c r="H126" s="74"/>
      <c r="K126" s="78"/>
      <c r="L126" s="78"/>
    </row>
    <row r="127" spans="1:12" s="69" customFormat="1" ht="14.25" customHeight="1">
      <c r="A127" s="89"/>
      <c r="B127" s="86"/>
      <c r="C127" s="95"/>
      <c r="D127" s="135"/>
      <c r="E127" s="89"/>
      <c r="F127" s="91"/>
      <c r="H127" s="74"/>
      <c r="K127" s="78"/>
      <c r="L127" s="78"/>
    </row>
    <row r="128" spans="1:12" s="69" customFormat="1" ht="14.25" customHeight="1">
      <c r="A128" s="89"/>
      <c r="B128" s="86">
        <f>IFERROR(INDEX((ID),MATCH(C128,BARANG,0)),"…")</f>
        <v>1115953</v>
      </c>
      <c r="C128" s="95" t="str">
        <f>prof_panel_3</f>
        <v>PROFIL MLP 02 MDF HIJAU UK 2350X16X17( Tidak coak)</v>
      </c>
      <c r="D128" s="135">
        <f>ROUNDUP((SUMIF(profil,C128,P)/2.2),0)</f>
        <v>0</v>
      </c>
      <c r="E128" s="89" t="s">
        <v>2230</v>
      </c>
      <c r="F128" s="91"/>
      <c r="H128" s="74"/>
      <c r="K128" s="78"/>
      <c r="L128" s="78"/>
    </row>
    <row r="129" spans="1:12" s="69" customFormat="1" ht="14.25" customHeight="1">
      <c r="A129" s="89"/>
      <c r="B129" s="86">
        <f>IFERROR(INDEX((ID),MATCH(C129,BARANG,0)),"…")</f>
        <v>1115251</v>
      </c>
      <c r="C129" s="95" t="str">
        <f>prof_panel_2</f>
        <v>PROFIL KOTAK PIRAMID 4X4</v>
      </c>
      <c r="D129" s="135">
        <f>ROUNDUP((SUMIF(profil_2,C129,P)/2.2),0)</f>
        <v>0</v>
      </c>
      <c r="E129" s="89" t="s">
        <v>2230</v>
      </c>
      <c r="F129" s="91"/>
      <c r="H129" s="74"/>
      <c r="K129" s="78"/>
      <c r="L129" s="78"/>
    </row>
    <row r="130" spans="1:12" s="69" customFormat="1" ht="14.25" customHeight="1">
      <c r="A130" s="89"/>
      <c r="B130" s="86">
        <f>IFERROR(INDEX((ID),MATCH(C130,BARANG,0)),"…")</f>
        <v>1115922</v>
      </c>
      <c r="C130" s="95" t="str">
        <f>prof_panel_1</f>
        <v>PROFIL  PT-04 MDF HIJAU P.2440</v>
      </c>
      <c r="D130" s="135">
        <f>ROUNDUP((SUMIF(profil_3,C130,P)/2.2),0)</f>
        <v>0</v>
      </c>
      <c r="E130" s="89" t="s">
        <v>2230</v>
      </c>
      <c r="F130" s="91"/>
      <c r="H130" s="74"/>
      <c r="K130" s="78"/>
      <c r="L130" s="78"/>
    </row>
    <row r="131" spans="1:12" s="69" customFormat="1" ht="14.25" customHeight="1">
      <c r="A131" s="89"/>
      <c r="B131" s="86"/>
      <c r="C131" s="95"/>
      <c r="D131" s="135"/>
      <c r="E131" s="89"/>
      <c r="F131" s="91"/>
      <c r="H131" s="74"/>
      <c r="K131" s="78"/>
      <c r="L131" s="78"/>
    </row>
    <row r="132" spans="1:12" s="69" customFormat="1" ht="25" customHeight="1">
      <c r="A132" s="412"/>
      <c r="B132" s="411">
        <f>IFERROR(INDEX((ID),MATCH(C132,BARANG,0)),"…")</f>
        <v>1115985</v>
      </c>
      <c r="C132" s="410" t="str">
        <f>prof_pl_1</f>
        <v>PROFIL PLINT MPP-01 T.100  MDF HIJAU UK:2350x100x45</v>
      </c>
      <c r="D132" s="135">
        <f>ROUNDUP((SUMIF(profil,C132,P)/2.35),0)</f>
        <v>0</v>
      </c>
      <c r="E132" s="412" t="s">
        <v>2392</v>
      </c>
      <c r="F132" s="90"/>
      <c r="H132" s="74"/>
      <c r="K132" s="78"/>
      <c r="L132" s="78"/>
    </row>
    <row r="133" spans="1:12" s="69" customFormat="1" ht="25" customHeight="1">
      <c r="A133" s="412"/>
      <c r="B133" s="411">
        <f>IFERROR(INDEX((ID),MATCH(C133,BARANG,0)),"…")</f>
        <v>1115931</v>
      </c>
      <c r="C133" s="410" t="str">
        <f>prof_pl_2</f>
        <v>PROFIL PLINT MPP-01 T.100  MDF HIJAU</v>
      </c>
      <c r="D133" s="135">
        <f>ROUNDUP((SUMIF(profil_2,C133,P)/2.35),0)</f>
        <v>0</v>
      </c>
      <c r="E133" s="412" t="s">
        <v>2392</v>
      </c>
      <c r="F133" s="463" t="s">
        <v>2893</v>
      </c>
      <c r="H133" s="74"/>
      <c r="K133" s="78"/>
      <c r="L133" s="78"/>
    </row>
    <row r="134" spans="1:12" s="69" customFormat="1" ht="14.25" customHeight="1">
      <c r="A134" s="89"/>
      <c r="B134" s="86">
        <f>IFERROR(INDEX((ID),MATCH(C134,BARANG,0)),"…")</f>
        <v>1115931</v>
      </c>
      <c r="C134" s="95" t="str">
        <f>prof_pl_3</f>
        <v>PROFIL PLINT MPP-01 T.100  MDF HIJAU</v>
      </c>
      <c r="D134" s="135">
        <f>ROUNDUP((SUMIF(profil_3,C134,_2PL)/2.2),0)</f>
        <v>0</v>
      </c>
      <c r="E134" s="89" t="s">
        <v>2392</v>
      </c>
      <c r="F134" s="91"/>
      <c r="H134" s="74"/>
      <c r="K134" s="78"/>
      <c r="L134" s="78"/>
    </row>
    <row r="135" spans="1:12" s="69" customFormat="1" ht="14.25" customHeight="1">
      <c r="A135" s="89"/>
      <c r="B135" s="86"/>
      <c r="C135" s="95"/>
      <c r="D135" s="135"/>
      <c r="E135" s="89"/>
      <c r="F135" s="91"/>
      <c r="H135" s="74"/>
      <c r="K135" s="78"/>
      <c r="L135" s="78"/>
    </row>
    <row r="136" spans="1:12" s="69" customFormat="1" ht="34">
      <c r="A136" s="412"/>
      <c r="B136" s="411">
        <f>IFERROR(INDEX((ID),MATCH(C136,BARANG,0)),"…")</f>
        <v>1115985</v>
      </c>
      <c r="C136" s="604" t="str">
        <f>prof_pl_1</f>
        <v>PROFIL PLINT MPP-01 T.100  MDF HIJAU UK:2350x100x45</v>
      </c>
      <c r="D136" s="61">
        <v>7</v>
      </c>
      <c r="E136" s="412" t="s">
        <v>2392</v>
      </c>
      <c r="F136" s="463" t="s">
        <v>2893</v>
      </c>
      <c r="G136" s="135"/>
      <c r="H136" s="74"/>
      <c r="I136" s="135">
        <f>(562+517+1141+570+20+600+1122+479+1004+1004+654+20+602+20+620+904+904+602+990)/2200</f>
        <v>5.6068181818181815</v>
      </c>
      <c r="K136" s="78"/>
      <c r="L136" s="78"/>
    </row>
    <row r="137" spans="1:12" s="69" customFormat="1" ht="14.25" customHeight="1">
      <c r="A137" s="89"/>
      <c r="B137" s="86" t="str">
        <f>IFERROR(INDEX((ID),MATCH(C137,BARANG,0)),"…")</f>
        <v>…</v>
      </c>
      <c r="C137" s="95"/>
      <c r="D137" s="135"/>
      <c r="E137" s="89"/>
      <c r="F137" s="91"/>
      <c r="H137" s="74"/>
      <c r="K137" s="78"/>
      <c r="L137" s="78"/>
    </row>
    <row r="138" spans="1:12" s="69" customFormat="1" ht="14.25" customHeight="1">
      <c r="A138" s="89"/>
      <c r="B138" s="86"/>
      <c r="C138" s="95"/>
      <c r="D138" s="89"/>
      <c r="E138" s="89"/>
      <c r="F138" s="90"/>
      <c r="H138" s="74"/>
      <c r="K138" s="78"/>
      <c r="L138" s="78"/>
    </row>
    <row r="139" spans="1:12" s="69" customFormat="1" ht="14.25" customHeight="1">
      <c r="A139" s="89"/>
      <c r="B139" s="86"/>
      <c r="C139" s="95"/>
      <c r="D139" s="89"/>
      <c r="E139" s="89"/>
      <c r="F139" s="90"/>
      <c r="H139" s="74"/>
      <c r="K139" s="78"/>
      <c r="L139" s="78"/>
    </row>
    <row r="140" spans="1:12" s="69" customFormat="1" ht="14.25" customHeight="1">
      <c r="A140" s="121"/>
      <c r="B140" s="701"/>
      <c r="C140" s="78"/>
      <c r="D140" s="121"/>
      <c r="E140" s="121"/>
      <c r="F140" s="747"/>
      <c r="H140" s="74"/>
      <c r="K140" s="78"/>
      <c r="L140" s="78"/>
    </row>
    <row r="141" spans="1:12" s="69" customFormat="1" ht="16" customHeight="1">
      <c r="A141" s="746" t="s">
        <v>4056</v>
      </c>
      <c r="B141" s="71"/>
      <c r="C141" s="71"/>
      <c r="D141" s="71"/>
      <c r="E141" s="71"/>
      <c r="F141" s="71"/>
      <c r="H141" s="74"/>
      <c r="I141" s="71"/>
      <c r="J141" s="71"/>
    </row>
    <row r="142" spans="1:12" s="69" customFormat="1" ht="16" customHeight="1">
      <c r="A142" s="746"/>
      <c r="B142" s="71"/>
      <c r="C142" s="71"/>
      <c r="D142" s="71"/>
      <c r="E142" s="71"/>
      <c r="F142" s="71"/>
      <c r="H142" s="74"/>
      <c r="I142" s="71"/>
      <c r="J142" s="71"/>
    </row>
    <row r="143" spans="1:12" s="69" customFormat="1" ht="16" customHeight="1">
      <c r="A143" s="746"/>
      <c r="B143" s="71"/>
      <c r="C143" s="71"/>
      <c r="D143" s="71"/>
      <c r="E143" s="71"/>
      <c r="F143" s="71"/>
      <c r="H143" s="74"/>
      <c r="I143" s="71"/>
      <c r="J143" s="71"/>
    </row>
    <row r="144" spans="1:12" s="69" customFormat="1" ht="16" customHeight="1">
      <c r="A144" s="746"/>
      <c r="B144" s="71"/>
      <c r="C144" s="71"/>
      <c r="D144" s="71"/>
      <c r="E144" s="71"/>
      <c r="F144" s="71"/>
      <c r="H144" s="74"/>
      <c r="I144" s="71"/>
      <c r="J144" s="71"/>
    </row>
    <row r="145" spans="1:10" s="69" customFormat="1" ht="16" customHeight="1">
      <c r="A145" s="746" t="s">
        <v>4057</v>
      </c>
      <c r="B145" s="71"/>
      <c r="C145" s="71"/>
      <c r="D145" s="71"/>
      <c r="E145" s="71"/>
      <c r="F145" s="71"/>
      <c r="H145" s="74"/>
      <c r="I145" s="71"/>
      <c r="J145" s="71"/>
    </row>
    <row r="146" spans="1:10" s="69" customFormat="1" ht="16" customHeight="1">
      <c r="A146" s="746" t="s">
        <v>4058</v>
      </c>
      <c r="B146" s="71"/>
      <c r="C146" s="71"/>
      <c r="D146" s="71"/>
      <c r="E146" s="71"/>
      <c r="F146" s="71"/>
      <c r="H146" s="74"/>
      <c r="I146" s="102"/>
      <c r="J146" s="71"/>
    </row>
    <row r="147" spans="1:10" s="69" customFormat="1" ht="16" customHeight="1">
      <c r="A147" s="71"/>
      <c r="B147" s="71"/>
      <c r="C147" s="71"/>
      <c r="D147" s="71"/>
      <c r="E147" s="71"/>
      <c r="F147" s="71"/>
      <c r="H147" s="74"/>
    </row>
    <row r="148" spans="1:10" s="69" customFormat="1" ht="17" customHeight="1">
      <c r="A148" s="910" t="s">
        <v>4055</v>
      </c>
      <c r="B148" s="910"/>
      <c r="C148" s="910"/>
      <c r="D148" s="910"/>
      <c r="E148" s="910"/>
      <c r="F148" s="910"/>
      <c r="H148" s="74"/>
    </row>
    <row r="149" spans="1:10" s="69" customFormat="1" ht="17" customHeight="1">
      <c r="A149" s="96"/>
      <c r="B149" s="96"/>
      <c r="C149" s="96"/>
      <c r="D149" s="96"/>
      <c r="E149" s="96"/>
      <c r="F149" s="96"/>
      <c r="H149" s="74"/>
    </row>
    <row r="152" spans="1:10" ht="16">
      <c r="C152" s="746"/>
    </row>
    <row r="153" spans="1:10" ht="16">
      <c r="C153" s="746"/>
    </row>
    <row r="154" spans="1:10" ht="16">
      <c r="C154" s="746"/>
    </row>
    <row r="155" spans="1:10" ht="16">
      <c r="C155" s="746"/>
    </row>
    <row r="156" spans="1:10" ht="16">
      <c r="C156" s="746"/>
    </row>
    <row r="157" spans="1:10" ht="16">
      <c r="C157" s="746"/>
    </row>
    <row r="158" spans="1:10" ht="16">
      <c r="C158" s="746"/>
    </row>
    <row r="159" spans="1:10" ht="16">
      <c r="C159" s="746"/>
    </row>
  </sheetData>
  <autoFilter ref="A12:F141" xr:uid="{00000000-0009-0000-0000-000013000000}"/>
  <mergeCells count="6">
    <mergeCell ref="A3:F3"/>
    <mergeCell ref="A148:F148"/>
    <mergeCell ref="A2:F2"/>
    <mergeCell ref="F9:H9"/>
    <mergeCell ref="A10:B10"/>
    <mergeCell ref="D10:E10"/>
  </mergeCells>
  <dataValidations disablePrompts="1" count="1">
    <dataValidation type="list" allowBlank="1" showInputMessage="1" showErrorMessage="1" sqref="C104" xr:uid="{00000000-0002-0000-1300-000000000000}">
      <formula1>m_grill</formula1>
    </dataValidation>
  </dataValidations>
  <printOptions horizontalCentered="1"/>
  <pageMargins left="0.1" right="0.1" top="0.3" bottom="0.1" header="0.51111111111111096" footer="0.51111111111111096"/>
  <pageSetup orientation="portrait" horizontalDpi="240" verticalDpi="144" r:id="rId1"/>
  <headerFooter scaleWithDoc="0" alignWithMargins="0"/>
  <colBreaks count="1" manualBreakCount="1">
    <brk id="6" max="1048575" man="1"/>
  </colBreaks>
  <drawing r:id="rId2"/>
  <legacyDrawing r:id="rId3"/>
  <oleObjects>
    <mc:AlternateContent xmlns:mc="http://schemas.openxmlformats.org/markup-compatibility/2006">
      <mc:Choice Requires="x14">
        <oleObject progId="MSPhotoEd.3" shapeId="685057" r:id="rId4">
          <objectPr defaultSize="0" autoPict="0" altText="" r:id="rId5">
            <anchor moveWithCells="1">
              <from>
                <xdr:col>0</xdr:col>
                <xdr:colOff>114300</xdr:colOff>
                <xdr:row>0</xdr:row>
                <xdr:rowOff>0</xdr:rowOff>
              </from>
              <to>
                <xdr:col>1</xdr:col>
                <xdr:colOff>787400</xdr:colOff>
                <xdr:row>4</xdr:row>
                <xdr:rowOff>25400</xdr:rowOff>
              </to>
            </anchor>
          </objectPr>
        </oleObject>
      </mc:Choice>
      <mc:Fallback>
        <oleObject progId="MSPhotoEd.3" shapeId="685057" r:id="rId4"/>
      </mc:Fallback>
    </mc:AlternateContent>
  </oleObjec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IS38"/>
  <sheetViews>
    <sheetView view="pageBreakPreview" zoomScale="60" zoomScaleNormal="85" workbookViewId="0">
      <pane ySplit="14" topLeftCell="A15" activePane="bottomLeft" state="frozen"/>
      <selection pane="bottomLeft" activeCell="B35" sqref="B35"/>
    </sheetView>
  </sheetViews>
  <sheetFormatPr baseColWidth="10" defaultColWidth="8.83203125" defaultRowHeight="16"/>
  <cols>
    <col min="1" max="1" width="4" customWidth="1"/>
    <col min="2" max="2" width="39.1640625" customWidth="1"/>
    <col min="3" max="3" width="16.6640625" customWidth="1"/>
    <col min="4" max="7" width="4.6640625" customWidth="1"/>
    <col min="8" max="8" width="16.6640625" customWidth="1"/>
  </cols>
  <sheetData>
    <row r="1" spans="1:253" ht="20">
      <c r="A1" s="866" t="s">
        <v>2231</v>
      </c>
      <c r="B1" s="866"/>
      <c r="C1" s="866"/>
      <c r="D1" s="866"/>
      <c r="E1" s="866"/>
      <c r="F1" s="866"/>
      <c r="G1" s="866"/>
      <c r="H1" s="866"/>
      <c r="I1" s="41"/>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c r="II1" s="42"/>
      <c r="IJ1" s="42"/>
      <c r="IK1" s="42"/>
      <c r="IL1" s="42"/>
      <c r="IM1" s="42"/>
      <c r="IN1" s="42"/>
      <c r="IO1" s="42"/>
      <c r="IP1" s="42"/>
      <c r="IQ1" s="42"/>
      <c r="IR1" s="42"/>
      <c r="IS1" s="42"/>
    </row>
    <row r="2" spans="1:253" ht="18">
      <c r="A2" s="3"/>
      <c r="B2" s="53" t="s">
        <v>1658</v>
      </c>
      <c r="C2" s="5"/>
      <c r="D2" s="5"/>
      <c r="E2" s="5"/>
      <c r="F2" s="5"/>
      <c r="G2" s="5"/>
      <c r="H2" s="6"/>
      <c r="I2" s="43"/>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row>
    <row r="3" spans="1:253">
      <c r="A3" s="7" t="s">
        <v>327</v>
      </c>
      <c r="B3" s="18"/>
      <c r="C3" s="8" t="str">
        <f>No_proyek</f>
        <v>RZ0458</v>
      </c>
      <c r="D3" s="9"/>
      <c r="E3" s="9"/>
      <c r="F3" s="10"/>
      <c r="G3" s="11"/>
      <c r="H3" s="12"/>
      <c r="I3" s="16"/>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c r="II3" s="42"/>
      <c r="IJ3" s="42"/>
      <c r="IK3" s="42"/>
      <c r="IL3" s="42"/>
      <c r="IM3" s="42"/>
      <c r="IN3" s="42"/>
      <c r="IO3" s="42"/>
      <c r="IP3" s="42"/>
      <c r="IQ3" s="42"/>
      <c r="IR3" s="42"/>
      <c r="IS3" s="42"/>
    </row>
    <row r="4" spans="1:253">
      <c r="A4" s="7" t="s">
        <v>2174</v>
      </c>
      <c r="B4" s="18"/>
      <c r="C4" s="8" t="str">
        <f>no_kontrak</f>
        <v>127/RK-RL-PI/PAP-LL/XII/2025</v>
      </c>
      <c r="D4" s="9"/>
      <c r="E4" s="9"/>
      <c r="F4" s="389"/>
      <c r="G4" s="9"/>
      <c r="H4" s="65"/>
      <c r="I4" s="16"/>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row>
    <row r="5" spans="1:253">
      <c r="A5" s="14" t="s">
        <v>1508</v>
      </c>
      <c r="B5" s="66"/>
      <c r="C5" s="8" t="str">
        <f>nip</f>
        <v>25LL017MPC</v>
      </c>
      <c r="D5" s="9"/>
      <c r="E5" s="9"/>
      <c r="F5" s="9"/>
      <c r="G5" s="9"/>
      <c r="H5" s="67"/>
      <c r="I5" s="17" t="s">
        <v>2175</v>
      </c>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c r="II5" s="42"/>
      <c r="IJ5" s="42"/>
      <c r="IK5" s="42"/>
      <c r="IL5" s="42"/>
      <c r="IM5" s="42"/>
      <c r="IN5" s="42"/>
      <c r="IO5" s="42"/>
      <c r="IP5" s="42"/>
      <c r="IQ5" s="42"/>
      <c r="IR5" s="42"/>
      <c r="IS5" s="42"/>
    </row>
    <row r="6" spans="1:253">
      <c r="A6" s="7" t="s">
        <v>2176</v>
      </c>
      <c r="B6" s="18"/>
      <c r="C6" s="8" t="str">
        <f>nama_proyek</f>
        <v>PT Malindo Feedmill Tbk-Dry Pantry</v>
      </c>
      <c r="D6" s="9"/>
      <c r="E6" s="9"/>
      <c r="F6" s="16"/>
      <c r="G6" s="17"/>
      <c r="H6" s="18"/>
      <c r="I6" s="17" t="s">
        <v>2177</v>
      </c>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42"/>
      <c r="IS6" s="42"/>
    </row>
    <row r="7" spans="1:253">
      <c r="A7" s="7" t="s">
        <v>2178</v>
      </c>
      <c r="B7" s="18"/>
      <c r="C7" s="19">
        <f>tgl</f>
        <v>46163</v>
      </c>
      <c r="D7" s="20"/>
      <c r="E7" s="21"/>
      <c r="F7" s="22"/>
      <c r="G7" s="30" t="s">
        <v>2476</v>
      </c>
      <c r="H7" s="388"/>
      <c r="I7" s="17"/>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2"/>
      <c r="EH7" s="42"/>
      <c r="EI7" s="42"/>
      <c r="EJ7" s="42"/>
      <c r="EK7" s="42"/>
      <c r="EL7" s="42"/>
      <c r="EM7" s="42"/>
      <c r="EN7" s="42"/>
      <c r="EO7" s="42"/>
      <c r="EP7" s="42"/>
      <c r="EQ7" s="42"/>
      <c r="ER7" s="42"/>
      <c r="ES7" s="42"/>
      <c r="ET7" s="42"/>
      <c r="EU7" s="42"/>
      <c r="EV7" s="42"/>
      <c r="EW7" s="42"/>
      <c r="EX7" s="42"/>
      <c r="EY7" s="42"/>
      <c r="EZ7" s="42"/>
      <c r="FA7" s="42"/>
      <c r="FB7" s="42"/>
      <c r="FC7" s="42"/>
      <c r="FD7" s="42"/>
      <c r="FE7" s="42"/>
      <c r="FF7" s="42"/>
      <c r="FG7" s="42"/>
      <c r="FH7" s="42"/>
      <c r="FI7" s="42"/>
      <c r="FJ7" s="42"/>
      <c r="FK7" s="42"/>
      <c r="FL7" s="42"/>
      <c r="FM7" s="42"/>
      <c r="FN7" s="42"/>
      <c r="FO7" s="42"/>
      <c r="FP7" s="42"/>
      <c r="FQ7" s="42"/>
      <c r="FR7" s="42"/>
      <c r="FS7" s="42"/>
      <c r="FT7" s="42"/>
      <c r="FU7" s="42"/>
      <c r="FV7" s="42"/>
      <c r="FW7" s="42"/>
      <c r="FX7" s="42"/>
      <c r="FY7" s="42"/>
      <c r="FZ7" s="42"/>
      <c r="GA7" s="42"/>
      <c r="GB7" s="42"/>
      <c r="GC7" s="42"/>
      <c r="GD7" s="42"/>
      <c r="GE7" s="42"/>
      <c r="GF7" s="42"/>
      <c r="GG7" s="42"/>
      <c r="GH7" s="42"/>
      <c r="GI7" s="42"/>
      <c r="GJ7" s="42"/>
      <c r="GK7" s="42"/>
      <c r="GL7" s="42"/>
      <c r="GM7" s="42"/>
      <c r="GN7" s="42"/>
      <c r="GO7" s="42"/>
      <c r="GP7" s="42"/>
      <c r="GQ7" s="42"/>
      <c r="GR7" s="42"/>
      <c r="GS7" s="42"/>
      <c r="GT7" s="42"/>
      <c r="GU7" s="42"/>
      <c r="GV7" s="42"/>
      <c r="GW7" s="42"/>
      <c r="GX7" s="42"/>
      <c r="GY7" s="42"/>
      <c r="GZ7" s="42"/>
      <c r="HA7" s="42"/>
      <c r="HB7" s="42"/>
      <c r="HC7" s="42"/>
      <c r="HD7" s="42"/>
      <c r="HE7" s="42"/>
      <c r="HF7" s="42"/>
      <c r="HG7" s="42"/>
      <c r="HH7" s="42"/>
      <c r="HI7" s="42"/>
      <c r="HJ7" s="42"/>
      <c r="HK7" s="42"/>
      <c r="HL7" s="42"/>
      <c r="HM7" s="42"/>
      <c r="HN7" s="42"/>
      <c r="HO7" s="42"/>
      <c r="HP7" s="42"/>
      <c r="HQ7" s="42"/>
      <c r="HR7" s="42"/>
      <c r="HS7" s="42"/>
      <c r="HT7" s="42"/>
      <c r="HU7" s="42"/>
      <c r="HV7" s="42"/>
      <c r="HW7" s="42"/>
      <c r="HX7" s="42"/>
      <c r="HY7" s="42"/>
      <c r="HZ7" s="42"/>
      <c r="IA7" s="42"/>
      <c r="IB7" s="42"/>
      <c r="IC7" s="42"/>
      <c r="ID7" s="42"/>
      <c r="IE7" s="42"/>
      <c r="IF7" s="42"/>
      <c r="IG7" s="42"/>
      <c r="IH7" s="42"/>
      <c r="II7" s="42"/>
      <c r="IJ7" s="42"/>
      <c r="IK7" s="42"/>
      <c r="IL7" s="42"/>
      <c r="IM7" s="42"/>
      <c r="IN7" s="42"/>
      <c r="IO7" s="42"/>
      <c r="IP7" s="42"/>
      <c r="IQ7" s="42"/>
      <c r="IR7" s="42"/>
      <c r="IS7" s="42"/>
    </row>
    <row r="8" spans="1:253">
      <c r="A8" s="7" t="s">
        <v>2179</v>
      </c>
      <c r="B8" s="18"/>
      <c r="C8" s="24"/>
      <c r="D8" s="25"/>
      <c r="E8" s="26"/>
      <c r="F8" s="391"/>
      <c r="G8" s="392"/>
      <c r="H8" s="390"/>
      <c r="I8" s="17"/>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c r="HP8" s="42"/>
      <c r="HQ8" s="42"/>
      <c r="HR8" s="42"/>
      <c r="HS8" s="42"/>
      <c r="HT8" s="42"/>
      <c r="HU8" s="42"/>
      <c r="HV8" s="42"/>
      <c r="HW8" s="42"/>
      <c r="HX8" s="42"/>
      <c r="HY8" s="42"/>
      <c r="HZ8" s="42"/>
      <c r="IA8" s="42"/>
      <c r="IB8" s="42"/>
      <c r="IC8" s="42"/>
      <c r="ID8" s="42"/>
      <c r="IE8" s="42"/>
      <c r="IF8" s="42"/>
      <c r="IG8" s="42"/>
      <c r="IH8" s="42"/>
      <c r="II8" s="42"/>
      <c r="IJ8" s="42"/>
      <c r="IK8" s="42"/>
      <c r="IL8" s="42"/>
      <c r="IM8" s="42"/>
      <c r="IN8" s="42"/>
      <c r="IO8" s="42"/>
      <c r="IP8" s="42"/>
      <c r="IQ8" s="42"/>
      <c r="IR8" s="42"/>
      <c r="IS8" s="42"/>
    </row>
    <row r="9" spans="1:253">
      <c r="A9" s="28" t="s">
        <v>2180</v>
      </c>
      <c r="B9" s="32"/>
      <c r="C9" s="8" t="str">
        <f>Estimator</f>
        <v>Fahrudin</v>
      </c>
      <c r="D9" s="9"/>
      <c r="E9" s="9"/>
      <c r="F9" s="16"/>
      <c r="G9" s="17"/>
      <c r="H9" s="18"/>
      <c r="I9" s="461" t="str">
        <f>CONCATENATE(,"(",koordinator,")","               ","(",ka_rakit,")","                 ","(",ka_panel,")","                 ","(",ka_QC,")","         ","(",koordinator,")")</f>
        <v>(Reza Pahlevi)               (Dedi Cahyadi)                 (Muchson Adie S)                 (Sukamto)         (Reza Pahlevi)</v>
      </c>
      <c r="J9" s="42"/>
      <c r="K9" s="42"/>
      <c r="L9" s="44"/>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2"/>
      <c r="DZ9" s="42"/>
      <c r="EA9" s="42"/>
      <c r="EB9" s="42"/>
      <c r="EC9" s="42"/>
      <c r="ED9" s="42"/>
      <c r="EE9" s="42"/>
      <c r="EF9" s="42"/>
      <c r="EG9" s="42"/>
      <c r="EH9" s="42"/>
      <c r="EI9" s="42"/>
      <c r="EJ9" s="42"/>
      <c r="EK9" s="42"/>
      <c r="EL9" s="42"/>
      <c r="EM9" s="42"/>
      <c r="EN9" s="42"/>
      <c r="EO9" s="42"/>
      <c r="EP9" s="42"/>
      <c r="EQ9" s="42"/>
      <c r="ER9" s="42"/>
      <c r="ES9" s="42"/>
      <c r="ET9" s="42"/>
      <c r="EU9" s="42"/>
      <c r="EV9" s="42"/>
      <c r="EW9" s="42"/>
      <c r="EX9" s="42"/>
      <c r="EY9" s="42"/>
      <c r="EZ9" s="42"/>
      <c r="FA9" s="42"/>
      <c r="FB9" s="42"/>
      <c r="FC9" s="42"/>
      <c r="FD9" s="42"/>
      <c r="FE9" s="42"/>
      <c r="FF9" s="42"/>
      <c r="FG9" s="42"/>
      <c r="FH9" s="42"/>
      <c r="FI9" s="42"/>
      <c r="FJ9" s="42"/>
      <c r="FK9" s="42"/>
      <c r="FL9" s="42"/>
      <c r="FM9" s="42"/>
      <c r="FN9" s="42"/>
      <c r="FO9" s="42"/>
      <c r="FP9" s="42"/>
      <c r="FQ9" s="42"/>
      <c r="FR9" s="42"/>
      <c r="FS9" s="42"/>
      <c r="FT9" s="42"/>
      <c r="FU9" s="42"/>
      <c r="FV9" s="42"/>
      <c r="FW9" s="42"/>
      <c r="FX9" s="42"/>
      <c r="FY9" s="42"/>
      <c r="FZ9" s="42"/>
      <c r="GA9" s="42"/>
      <c r="GB9" s="42"/>
      <c r="GC9" s="42"/>
      <c r="GD9" s="42"/>
      <c r="GE9" s="42"/>
      <c r="GF9" s="42"/>
      <c r="GG9" s="42"/>
      <c r="GH9" s="42"/>
      <c r="GI9" s="42"/>
      <c r="GJ9" s="42"/>
      <c r="GK9" s="42"/>
      <c r="GL9" s="42"/>
      <c r="GM9" s="42"/>
      <c r="GN9" s="42"/>
      <c r="GO9" s="42"/>
      <c r="GP9" s="42"/>
      <c r="GQ9" s="42"/>
      <c r="GR9" s="42"/>
      <c r="GS9" s="42"/>
      <c r="GT9" s="42"/>
      <c r="GU9" s="42"/>
      <c r="GV9" s="42"/>
      <c r="GW9" s="42"/>
      <c r="GX9" s="42"/>
      <c r="GY9" s="42"/>
      <c r="GZ9" s="42"/>
      <c r="HA9" s="42"/>
      <c r="HB9" s="42"/>
      <c r="HC9" s="42"/>
      <c r="HD9" s="42"/>
      <c r="HE9" s="42"/>
      <c r="HF9" s="42"/>
      <c r="HG9" s="42"/>
      <c r="HH9" s="42"/>
      <c r="HI9" s="42"/>
      <c r="HJ9" s="42"/>
      <c r="HK9" s="42"/>
      <c r="HL9" s="42"/>
      <c r="HM9" s="42"/>
      <c r="HN9" s="42"/>
      <c r="HO9" s="42"/>
      <c r="HP9" s="42"/>
      <c r="HQ9" s="42"/>
      <c r="HR9" s="42"/>
      <c r="HS9" s="42"/>
      <c r="HT9" s="42"/>
      <c r="HU9" s="42"/>
      <c r="HV9" s="42"/>
      <c r="HW9" s="42"/>
      <c r="HX9" s="42"/>
      <c r="HY9" s="42"/>
      <c r="HZ9" s="42"/>
      <c r="IA9" s="42"/>
      <c r="IB9" s="42"/>
      <c r="IC9" s="42"/>
      <c r="ID9" s="42"/>
      <c r="IE9" s="42"/>
      <c r="IF9" s="42"/>
      <c r="IG9" s="42"/>
      <c r="IH9" s="42"/>
      <c r="II9" s="42"/>
      <c r="IJ9" s="42"/>
      <c r="IK9" s="42"/>
      <c r="IL9" s="42"/>
      <c r="IM9" s="42"/>
      <c r="IN9" s="42"/>
      <c r="IO9" s="42"/>
      <c r="IP9" s="42"/>
      <c r="IQ9" s="42"/>
      <c r="IR9" s="42"/>
      <c r="IS9" s="42"/>
    </row>
    <row r="10" spans="1:253">
      <c r="A10" s="29" t="s">
        <v>2182</v>
      </c>
      <c r="B10" s="68"/>
      <c r="C10" s="30" t="str">
        <f>CONCATENATE("Kabinet"," ",bahan1," ",kabinet1," ",edgingkab1)</f>
        <v>Kabinet Ply HB_41130 Edg_Décor_1723_B</v>
      </c>
      <c r="D10" s="9"/>
      <c r="E10" s="9"/>
      <c r="F10" s="16"/>
      <c r="G10" s="17"/>
      <c r="H10" s="18"/>
      <c r="I10" s="17"/>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42"/>
      <c r="IS10" s="42"/>
    </row>
    <row r="11" spans="1:253">
      <c r="A11" s="31"/>
      <c r="B11" s="66"/>
      <c r="C11" s="30" t="str">
        <f>CONCATENATE("Pintu"," ",bahan5)</f>
        <v>Pintu Ply</v>
      </c>
      <c r="D11" s="9"/>
      <c r="E11" s="10"/>
      <c r="F11" s="16"/>
      <c r="G11" s="17"/>
      <c r="H11" s="32"/>
      <c r="I11" s="44"/>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c r="FJ11" s="42"/>
      <c r="FK11" s="42"/>
      <c r="FL11" s="42"/>
      <c r="FM11" s="42"/>
      <c r="FN11" s="42"/>
      <c r="FO11" s="42"/>
      <c r="FP11" s="42"/>
      <c r="FQ11" s="42"/>
      <c r="FR11" s="42"/>
      <c r="FS11" s="42"/>
      <c r="FT11" s="42"/>
      <c r="FU11" s="42"/>
      <c r="FV11" s="42"/>
      <c r="FW11" s="42"/>
      <c r="FX11" s="42"/>
      <c r="FY11" s="42"/>
      <c r="FZ11" s="42"/>
      <c r="GA11" s="42"/>
      <c r="GB11" s="42"/>
      <c r="GC11" s="42"/>
      <c r="GD11" s="42"/>
      <c r="GE11" s="42"/>
      <c r="GF11" s="42"/>
      <c r="GG11" s="42"/>
      <c r="GH11" s="42"/>
      <c r="GI11" s="42"/>
      <c r="GJ11" s="42"/>
      <c r="GK11" s="42"/>
      <c r="GL11" s="42"/>
      <c r="GM11" s="42"/>
      <c r="GN11" s="42"/>
      <c r="GO11" s="42"/>
      <c r="GP11" s="42"/>
      <c r="GQ11" s="42"/>
      <c r="GR11" s="42"/>
      <c r="GS11" s="42"/>
      <c r="GT11" s="42"/>
      <c r="GU11" s="42"/>
      <c r="GV11" s="42"/>
      <c r="GW11" s="42"/>
      <c r="GX11" s="42"/>
      <c r="GY11" s="42"/>
      <c r="GZ11" s="42"/>
      <c r="HA11" s="42"/>
      <c r="HB11" s="42"/>
      <c r="HC11" s="42"/>
      <c r="HD11" s="42"/>
      <c r="HE11" s="42"/>
      <c r="HF11" s="42"/>
      <c r="HG11" s="42"/>
      <c r="HH11" s="42"/>
      <c r="HI11" s="42"/>
      <c r="HJ11" s="42"/>
      <c r="HK11" s="42"/>
      <c r="HL11" s="42"/>
      <c r="HM11" s="42"/>
      <c r="HN11" s="42"/>
      <c r="HO11" s="42"/>
      <c r="HP11" s="42"/>
      <c r="HQ11" s="42"/>
      <c r="HR11" s="42"/>
      <c r="HS11" s="42"/>
      <c r="HT11" s="42"/>
      <c r="HU11" s="42"/>
      <c r="HV11" s="42"/>
      <c r="HW11" s="42"/>
      <c r="HX11" s="42"/>
      <c r="HY11" s="42"/>
      <c r="HZ11" s="42"/>
      <c r="IA11" s="42"/>
      <c r="IB11" s="42"/>
      <c r="IC11" s="42"/>
      <c r="ID11" s="42"/>
      <c r="IE11" s="42"/>
      <c r="IF11" s="42"/>
      <c r="IG11" s="42"/>
      <c r="IH11" s="42"/>
      <c r="II11" s="42"/>
      <c r="IJ11" s="42"/>
      <c r="IK11" s="42"/>
      <c r="IL11" s="42"/>
      <c r="IM11" s="42"/>
      <c r="IN11" s="42"/>
      <c r="IO11" s="42"/>
      <c r="IP11" s="42"/>
      <c r="IQ11" s="42"/>
      <c r="IR11" s="42"/>
      <c r="IS11" s="42"/>
    </row>
    <row r="12" spans="1:253" ht="12" customHeight="1">
      <c r="A12" s="33"/>
      <c r="B12" s="354"/>
      <c r="C12" s="34"/>
      <c r="D12" s="1"/>
      <c r="E12" s="1"/>
      <c r="F12" s="1"/>
      <c r="H12" s="35"/>
    </row>
    <row r="13" spans="1:253">
      <c r="A13" s="36"/>
      <c r="B13" s="413"/>
      <c r="C13" s="414"/>
      <c r="D13" s="414"/>
      <c r="E13" s="414"/>
      <c r="F13" s="415"/>
      <c r="G13" s="355" t="s">
        <v>1506</v>
      </c>
      <c r="H13" s="37"/>
    </row>
    <row r="14" spans="1:253" ht="17">
      <c r="A14" s="36" t="s">
        <v>2135</v>
      </c>
      <c r="B14" s="416" t="s">
        <v>2157</v>
      </c>
      <c r="C14" s="417" t="s">
        <v>2138</v>
      </c>
      <c r="D14" s="417" t="s">
        <v>2134</v>
      </c>
      <c r="E14" s="417" t="s">
        <v>2133</v>
      </c>
      <c r="F14" s="418" t="s">
        <v>2220</v>
      </c>
      <c r="G14" s="38" t="s">
        <v>2184</v>
      </c>
      <c r="H14" s="39" t="s">
        <v>333</v>
      </c>
    </row>
    <row r="15" spans="1:253">
      <c r="A15" s="36"/>
      <c r="B15" s="36"/>
      <c r="C15" s="36"/>
      <c r="D15" s="36"/>
      <c r="E15" s="36"/>
      <c r="F15" s="36"/>
      <c r="G15" s="36"/>
      <c r="H15" s="36"/>
    </row>
    <row r="16" spans="1:253">
      <c r="A16" s="36"/>
      <c r="B16" s="36"/>
      <c r="C16" s="36"/>
      <c r="D16" s="36"/>
      <c r="E16" s="36"/>
      <c r="F16" s="36"/>
      <c r="G16" s="36"/>
      <c r="H16" s="36"/>
    </row>
    <row r="17" spans="1:8">
      <c r="A17" s="36"/>
      <c r="B17" s="36"/>
      <c r="C17" s="36"/>
      <c r="D17" s="36"/>
      <c r="E17" s="36"/>
      <c r="F17" s="36"/>
      <c r="G17" s="36"/>
      <c r="H17" s="36"/>
    </row>
    <row r="18" spans="1:8">
      <c r="A18" s="36"/>
      <c r="B18" s="36"/>
      <c r="C18" s="36"/>
      <c r="D18" s="36"/>
      <c r="E18" s="36"/>
      <c r="F18" s="36"/>
      <c r="G18" s="36"/>
      <c r="H18" s="36"/>
    </row>
    <row r="19" spans="1:8">
      <c r="A19" s="36"/>
      <c r="B19" s="36"/>
      <c r="C19" s="36"/>
      <c r="D19" s="36"/>
      <c r="E19" s="36"/>
      <c r="F19" s="36"/>
      <c r="G19" s="36"/>
      <c r="H19" s="36"/>
    </row>
    <row r="20" spans="1:8">
      <c r="A20" s="36"/>
      <c r="B20" s="36"/>
      <c r="C20" s="36"/>
      <c r="D20" s="36"/>
      <c r="E20" s="36"/>
      <c r="F20" s="36"/>
      <c r="G20" s="36"/>
      <c r="H20" s="36"/>
    </row>
    <row r="21" spans="1:8">
      <c r="A21" s="36"/>
      <c r="B21" s="36"/>
      <c r="C21" s="36"/>
      <c r="D21" s="36"/>
      <c r="E21" s="36"/>
      <c r="F21" s="36"/>
      <c r="G21" s="36"/>
      <c r="H21" s="36"/>
    </row>
    <row r="22" spans="1:8">
      <c r="A22" s="36"/>
      <c r="B22" s="36"/>
      <c r="C22" s="36"/>
      <c r="D22" s="36"/>
      <c r="E22" s="36"/>
      <c r="F22" s="36"/>
      <c r="G22" s="36"/>
      <c r="H22" s="36"/>
    </row>
    <row r="23" spans="1:8">
      <c r="A23" s="36"/>
      <c r="B23" s="36"/>
      <c r="C23" s="36"/>
      <c r="D23" s="36"/>
      <c r="E23" s="36"/>
      <c r="F23" s="36"/>
      <c r="G23" s="36"/>
      <c r="H23" s="36"/>
    </row>
    <row r="24" spans="1:8">
      <c r="A24" s="36"/>
      <c r="B24" s="36"/>
      <c r="C24" s="36"/>
      <c r="D24" s="36"/>
      <c r="E24" s="36"/>
      <c r="F24" s="36"/>
      <c r="G24" s="36"/>
      <c r="H24" s="36"/>
    </row>
    <row r="25" spans="1:8">
      <c r="A25" s="36"/>
      <c r="B25" s="36"/>
      <c r="C25" s="36"/>
      <c r="D25" s="36"/>
      <c r="E25" s="36"/>
      <c r="F25" s="36"/>
      <c r="G25" s="36"/>
      <c r="H25" s="36"/>
    </row>
    <row r="26" spans="1:8">
      <c r="A26" s="36"/>
      <c r="B26" s="36"/>
      <c r="C26" s="36"/>
      <c r="D26" s="36"/>
      <c r="E26" s="36"/>
      <c r="F26" s="36"/>
      <c r="G26" s="36"/>
      <c r="H26" s="36"/>
    </row>
    <row r="27" spans="1:8">
      <c r="A27" s="36"/>
      <c r="B27" s="36"/>
      <c r="C27" s="36"/>
      <c r="D27" s="36"/>
      <c r="E27" s="36"/>
      <c r="F27" s="36"/>
      <c r="G27" s="36"/>
      <c r="H27" s="36"/>
    </row>
    <row r="28" spans="1:8">
      <c r="A28" s="36"/>
      <c r="B28" s="36"/>
      <c r="C28" s="36"/>
      <c r="D28" s="36"/>
      <c r="E28" s="36"/>
      <c r="F28" s="36"/>
      <c r="G28" s="36"/>
      <c r="H28" s="36"/>
    </row>
    <row r="29" spans="1:8">
      <c r="A29" s="36"/>
      <c r="B29" s="36"/>
      <c r="C29" s="36"/>
      <c r="D29" s="36"/>
      <c r="E29" s="36"/>
      <c r="F29" s="36"/>
      <c r="G29" s="36"/>
      <c r="H29" s="36"/>
    </row>
    <row r="30" spans="1:8">
      <c r="A30" s="36"/>
      <c r="B30" s="36"/>
      <c r="C30" s="36"/>
      <c r="D30" s="36"/>
      <c r="E30" s="36"/>
      <c r="F30" s="36"/>
      <c r="G30" s="36"/>
      <c r="H30" s="36"/>
    </row>
    <row r="31" spans="1:8">
      <c r="A31" s="36"/>
      <c r="B31" s="36"/>
      <c r="C31" s="36"/>
      <c r="D31" s="36"/>
      <c r="E31" s="36"/>
      <c r="F31" s="36"/>
      <c r="G31" s="36"/>
      <c r="H31" s="36"/>
    </row>
    <row r="32" spans="1:8">
      <c r="A32" s="36"/>
      <c r="B32" s="36"/>
      <c r="C32" s="36"/>
      <c r="D32" s="36"/>
      <c r="E32" s="36"/>
      <c r="F32" s="36"/>
      <c r="G32" s="36"/>
      <c r="H32" s="36"/>
    </row>
    <row r="33" spans="1:8">
      <c r="A33" s="36"/>
      <c r="B33" s="36"/>
      <c r="C33" s="36"/>
      <c r="D33" s="36"/>
      <c r="E33" s="36"/>
      <c r="F33" s="36"/>
      <c r="G33" s="36"/>
      <c r="H33" s="36"/>
    </row>
    <row r="34" spans="1:8">
      <c r="A34" s="36"/>
      <c r="B34" s="36"/>
      <c r="C34" s="36"/>
      <c r="D34" s="36"/>
      <c r="E34" s="36"/>
      <c r="F34" s="36"/>
      <c r="G34" s="36"/>
      <c r="H34" s="36"/>
    </row>
    <row r="35" spans="1:8">
      <c r="A35" s="36"/>
      <c r="B35" s="36"/>
      <c r="C35" s="36"/>
      <c r="D35" s="36"/>
      <c r="E35" s="36"/>
      <c r="F35" s="36"/>
      <c r="G35" s="36"/>
      <c r="H35" s="36"/>
    </row>
    <row r="36" spans="1:8">
      <c r="A36" s="36"/>
      <c r="B36" s="36"/>
      <c r="C36" s="36"/>
      <c r="D36" s="36"/>
      <c r="E36" s="36"/>
      <c r="F36" s="36"/>
      <c r="G36" s="36"/>
      <c r="H36" s="36"/>
    </row>
    <row r="37" spans="1:8">
      <c r="A37" s="36"/>
      <c r="B37" s="36"/>
      <c r="C37" s="36"/>
      <c r="D37" s="36"/>
      <c r="E37" s="36"/>
      <c r="F37" s="36"/>
      <c r="G37" s="36"/>
      <c r="H37" s="36"/>
    </row>
    <row r="38" spans="1:8">
      <c r="A38" s="36"/>
      <c r="B38" s="36"/>
      <c r="C38" s="36"/>
      <c r="D38" s="36"/>
      <c r="E38" s="36"/>
      <c r="F38" s="36"/>
      <c r="G38" s="36"/>
      <c r="H38" s="36"/>
    </row>
  </sheetData>
  <mergeCells count="1">
    <mergeCell ref="A1:H1"/>
  </mergeCells>
  <pageMargins left="0.1" right="0.1" top="0.1" bottom="0.1" header="0.25" footer="0.25"/>
  <pageSetup orientation="portrait" horizontalDpi="240" verticalDpi="144"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dimension ref="A1:IS38"/>
  <sheetViews>
    <sheetView view="pageBreakPreview" zoomScale="60" zoomScaleNormal="85" workbookViewId="0">
      <pane ySplit="14" topLeftCell="A15" activePane="bottomLeft" state="frozen"/>
      <selection pane="bottomLeft" activeCell="B19" sqref="B19"/>
    </sheetView>
  </sheetViews>
  <sheetFormatPr baseColWidth="10" defaultColWidth="8.83203125" defaultRowHeight="16"/>
  <cols>
    <col min="1" max="1" width="4" customWidth="1"/>
    <col min="2" max="2" width="39.1640625" customWidth="1"/>
    <col min="3" max="3" width="16.6640625" customWidth="1"/>
    <col min="4" max="7" width="4.6640625" customWidth="1"/>
    <col min="8" max="8" width="16.6640625" customWidth="1"/>
  </cols>
  <sheetData>
    <row r="1" spans="1:253" ht="20">
      <c r="A1" s="866" t="s">
        <v>2543</v>
      </c>
      <c r="B1" s="866"/>
      <c r="C1" s="866"/>
      <c r="D1" s="866"/>
      <c r="E1" s="866"/>
      <c r="F1" s="866"/>
      <c r="G1" s="866"/>
      <c r="H1" s="866"/>
      <c r="I1" s="41"/>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c r="II1" s="42"/>
      <c r="IJ1" s="42"/>
      <c r="IK1" s="42"/>
      <c r="IL1" s="42"/>
      <c r="IM1" s="42"/>
      <c r="IN1" s="42"/>
      <c r="IO1" s="42"/>
      <c r="IP1" s="42"/>
      <c r="IQ1" s="42"/>
      <c r="IR1" s="42"/>
      <c r="IS1" s="42"/>
    </row>
    <row r="2" spans="1:253" ht="18">
      <c r="A2" s="3"/>
      <c r="B2" s="53" t="s">
        <v>1658</v>
      </c>
      <c r="C2" s="5"/>
      <c r="D2" s="5"/>
      <c r="E2" s="5"/>
      <c r="F2" s="5"/>
      <c r="G2" s="5"/>
      <c r="H2" s="6"/>
      <c r="I2" s="43"/>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row>
    <row r="3" spans="1:253">
      <c r="A3" s="7" t="s">
        <v>327</v>
      </c>
      <c r="B3" s="18"/>
      <c r="C3" s="8" t="str">
        <f>No_proyek</f>
        <v>RZ0458</v>
      </c>
      <c r="D3" s="9"/>
      <c r="E3" s="9"/>
      <c r="F3" s="10"/>
      <c r="G3" s="11"/>
      <c r="H3" s="12"/>
      <c r="I3" s="16"/>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c r="II3" s="42"/>
      <c r="IJ3" s="42"/>
      <c r="IK3" s="42"/>
      <c r="IL3" s="42"/>
      <c r="IM3" s="42"/>
      <c r="IN3" s="42"/>
      <c r="IO3" s="42"/>
      <c r="IP3" s="42"/>
      <c r="IQ3" s="42"/>
      <c r="IR3" s="42"/>
      <c r="IS3" s="42"/>
    </row>
    <row r="4" spans="1:253">
      <c r="A4" s="7" t="s">
        <v>2174</v>
      </c>
      <c r="B4" s="18"/>
      <c r="C4" s="8" t="str">
        <f>no_kontrak</f>
        <v>127/RK-RL-PI/PAP-LL/XII/2025</v>
      </c>
      <c r="D4" s="9"/>
      <c r="E4" s="9"/>
      <c r="F4" s="389"/>
      <c r="G4" s="9"/>
      <c r="H4" s="65"/>
      <c r="I4" s="16"/>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row>
    <row r="5" spans="1:253">
      <c r="A5" s="14" t="s">
        <v>1508</v>
      </c>
      <c r="B5" s="66"/>
      <c r="C5" s="8" t="str">
        <f>nip</f>
        <v>25LL017MPC</v>
      </c>
      <c r="D5" s="9"/>
      <c r="E5" s="9"/>
      <c r="F5" s="9"/>
      <c r="G5" s="9"/>
      <c r="H5" s="67"/>
      <c r="I5" s="17" t="s">
        <v>2175</v>
      </c>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c r="II5" s="42"/>
      <c r="IJ5" s="42"/>
      <c r="IK5" s="42"/>
      <c r="IL5" s="42"/>
      <c r="IM5" s="42"/>
      <c r="IN5" s="42"/>
      <c r="IO5" s="42"/>
      <c r="IP5" s="42"/>
      <c r="IQ5" s="42"/>
      <c r="IR5" s="42"/>
      <c r="IS5" s="42"/>
    </row>
    <row r="6" spans="1:253">
      <c r="A6" s="7" t="s">
        <v>2176</v>
      </c>
      <c r="B6" s="18"/>
      <c r="C6" s="8" t="str">
        <f>nama_proyek</f>
        <v>PT Malindo Feedmill Tbk-Dry Pantry</v>
      </c>
      <c r="D6" s="9"/>
      <c r="E6" s="9"/>
      <c r="F6" s="16"/>
      <c r="G6" s="17"/>
      <c r="H6" s="18"/>
      <c r="I6" s="17" t="s">
        <v>2177</v>
      </c>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42"/>
      <c r="IS6" s="42"/>
    </row>
    <row r="7" spans="1:253">
      <c r="A7" s="7" t="s">
        <v>2178</v>
      </c>
      <c r="B7" s="18"/>
      <c r="C7" s="19">
        <f>tgl</f>
        <v>46163</v>
      </c>
      <c r="D7" s="20"/>
      <c r="E7" s="21"/>
      <c r="F7" s="22"/>
      <c r="G7" s="30" t="s">
        <v>2476</v>
      </c>
      <c r="H7" s="388"/>
      <c r="I7" s="17"/>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2"/>
      <c r="EH7" s="42"/>
      <c r="EI7" s="42"/>
      <c r="EJ7" s="42"/>
      <c r="EK7" s="42"/>
      <c r="EL7" s="42"/>
      <c r="EM7" s="42"/>
      <c r="EN7" s="42"/>
      <c r="EO7" s="42"/>
      <c r="EP7" s="42"/>
      <c r="EQ7" s="42"/>
      <c r="ER7" s="42"/>
      <c r="ES7" s="42"/>
      <c r="ET7" s="42"/>
      <c r="EU7" s="42"/>
      <c r="EV7" s="42"/>
      <c r="EW7" s="42"/>
      <c r="EX7" s="42"/>
      <c r="EY7" s="42"/>
      <c r="EZ7" s="42"/>
      <c r="FA7" s="42"/>
      <c r="FB7" s="42"/>
      <c r="FC7" s="42"/>
      <c r="FD7" s="42"/>
      <c r="FE7" s="42"/>
      <c r="FF7" s="42"/>
      <c r="FG7" s="42"/>
      <c r="FH7" s="42"/>
      <c r="FI7" s="42"/>
      <c r="FJ7" s="42"/>
      <c r="FK7" s="42"/>
      <c r="FL7" s="42"/>
      <c r="FM7" s="42"/>
      <c r="FN7" s="42"/>
      <c r="FO7" s="42"/>
      <c r="FP7" s="42"/>
      <c r="FQ7" s="42"/>
      <c r="FR7" s="42"/>
      <c r="FS7" s="42"/>
      <c r="FT7" s="42"/>
      <c r="FU7" s="42"/>
      <c r="FV7" s="42"/>
      <c r="FW7" s="42"/>
      <c r="FX7" s="42"/>
      <c r="FY7" s="42"/>
      <c r="FZ7" s="42"/>
      <c r="GA7" s="42"/>
      <c r="GB7" s="42"/>
      <c r="GC7" s="42"/>
      <c r="GD7" s="42"/>
      <c r="GE7" s="42"/>
      <c r="GF7" s="42"/>
      <c r="GG7" s="42"/>
      <c r="GH7" s="42"/>
      <c r="GI7" s="42"/>
      <c r="GJ7" s="42"/>
      <c r="GK7" s="42"/>
      <c r="GL7" s="42"/>
      <c r="GM7" s="42"/>
      <c r="GN7" s="42"/>
      <c r="GO7" s="42"/>
      <c r="GP7" s="42"/>
      <c r="GQ7" s="42"/>
      <c r="GR7" s="42"/>
      <c r="GS7" s="42"/>
      <c r="GT7" s="42"/>
      <c r="GU7" s="42"/>
      <c r="GV7" s="42"/>
      <c r="GW7" s="42"/>
      <c r="GX7" s="42"/>
      <c r="GY7" s="42"/>
      <c r="GZ7" s="42"/>
      <c r="HA7" s="42"/>
      <c r="HB7" s="42"/>
      <c r="HC7" s="42"/>
      <c r="HD7" s="42"/>
      <c r="HE7" s="42"/>
      <c r="HF7" s="42"/>
      <c r="HG7" s="42"/>
      <c r="HH7" s="42"/>
      <c r="HI7" s="42"/>
      <c r="HJ7" s="42"/>
      <c r="HK7" s="42"/>
      <c r="HL7" s="42"/>
      <c r="HM7" s="42"/>
      <c r="HN7" s="42"/>
      <c r="HO7" s="42"/>
      <c r="HP7" s="42"/>
      <c r="HQ7" s="42"/>
      <c r="HR7" s="42"/>
      <c r="HS7" s="42"/>
      <c r="HT7" s="42"/>
      <c r="HU7" s="42"/>
      <c r="HV7" s="42"/>
      <c r="HW7" s="42"/>
      <c r="HX7" s="42"/>
      <c r="HY7" s="42"/>
      <c r="HZ7" s="42"/>
      <c r="IA7" s="42"/>
      <c r="IB7" s="42"/>
      <c r="IC7" s="42"/>
      <c r="ID7" s="42"/>
      <c r="IE7" s="42"/>
      <c r="IF7" s="42"/>
      <c r="IG7" s="42"/>
      <c r="IH7" s="42"/>
      <c r="II7" s="42"/>
      <c r="IJ7" s="42"/>
      <c r="IK7" s="42"/>
      <c r="IL7" s="42"/>
      <c r="IM7" s="42"/>
      <c r="IN7" s="42"/>
      <c r="IO7" s="42"/>
      <c r="IP7" s="42"/>
      <c r="IQ7" s="42"/>
      <c r="IR7" s="42"/>
      <c r="IS7" s="42"/>
    </row>
    <row r="8" spans="1:253">
      <c r="A8" s="7" t="s">
        <v>2179</v>
      </c>
      <c r="B8" s="18"/>
      <c r="C8" s="24"/>
      <c r="D8" s="25"/>
      <c r="E8" s="26"/>
      <c r="F8" s="391"/>
      <c r="G8" s="392"/>
      <c r="H8" s="390"/>
      <c r="I8" s="17"/>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c r="HP8" s="42"/>
      <c r="HQ8" s="42"/>
      <c r="HR8" s="42"/>
      <c r="HS8" s="42"/>
      <c r="HT8" s="42"/>
      <c r="HU8" s="42"/>
      <c r="HV8" s="42"/>
      <c r="HW8" s="42"/>
      <c r="HX8" s="42"/>
      <c r="HY8" s="42"/>
      <c r="HZ8" s="42"/>
      <c r="IA8" s="42"/>
      <c r="IB8" s="42"/>
      <c r="IC8" s="42"/>
      <c r="ID8" s="42"/>
      <c r="IE8" s="42"/>
      <c r="IF8" s="42"/>
      <c r="IG8" s="42"/>
      <c r="IH8" s="42"/>
      <c r="II8" s="42"/>
      <c r="IJ8" s="42"/>
      <c r="IK8" s="42"/>
      <c r="IL8" s="42"/>
      <c r="IM8" s="42"/>
      <c r="IN8" s="42"/>
      <c r="IO8" s="42"/>
      <c r="IP8" s="42"/>
      <c r="IQ8" s="42"/>
      <c r="IR8" s="42"/>
      <c r="IS8" s="42"/>
    </row>
    <row r="9" spans="1:253">
      <c r="A9" s="28" t="s">
        <v>2180</v>
      </c>
      <c r="B9" s="32"/>
      <c r="C9" s="8" t="str">
        <f>Estimator</f>
        <v>Fahrudin</v>
      </c>
      <c r="D9" s="9"/>
      <c r="E9" s="9"/>
      <c r="F9" s="16"/>
      <c r="G9" s="17"/>
      <c r="H9" s="18"/>
      <c r="I9" s="461" t="str">
        <f>CONCATENATE(,"(",koordinator,")","               ","(",ka_rakit,")","                 ","(",ka_panel,")","                 ","(",ka_QC,")","         ","(",koordinator,")")</f>
        <v>(Reza Pahlevi)               (Dedi Cahyadi)                 (Muchson Adie S)                 (Sukamto)         (Reza Pahlevi)</v>
      </c>
      <c r="J9" s="42"/>
      <c r="K9" s="42"/>
      <c r="L9" s="44"/>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2"/>
      <c r="DZ9" s="42"/>
      <c r="EA9" s="42"/>
      <c r="EB9" s="42"/>
      <c r="EC9" s="42"/>
      <c r="ED9" s="42"/>
      <c r="EE9" s="42"/>
      <c r="EF9" s="42"/>
      <c r="EG9" s="42"/>
      <c r="EH9" s="42"/>
      <c r="EI9" s="42"/>
      <c r="EJ9" s="42"/>
      <c r="EK9" s="42"/>
      <c r="EL9" s="42"/>
      <c r="EM9" s="42"/>
      <c r="EN9" s="42"/>
      <c r="EO9" s="42"/>
      <c r="EP9" s="42"/>
      <c r="EQ9" s="42"/>
      <c r="ER9" s="42"/>
      <c r="ES9" s="42"/>
      <c r="ET9" s="42"/>
      <c r="EU9" s="42"/>
      <c r="EV9" s="42"/>
      <c r="EW9" s="42"/>
      <c r="EX9" s="42"/>
      <c r="EY9" s="42"/>
      <c r="EZ9" s="42"/>
      <c r="FA9" s="42"/>
      <c r="FB9" s="42"/>
      <c r="FC9" s="42"/>
      <c r="FD9" s="42"/>
      <c r="FE9" s="42"/>
      <c r="FF9" s="42"/>
      <c r="FG9" s="42"/>
      <c r="FH9" s="42"/>
      <c r="FI9" s="42"/>
      <c r="FJ9" s="42"/>
      <c r="FK9" s="42"/>
      <c r="FL9" s="42"/>
      <c r="FM9" s="42"/>
      <c r="FN9" s="42"/>
      <c r="FO9" s="42"/>
      <c r="FP9" s="42"/>
      <c r="FQ9" s="42"/>
      <c r="FR9" s="42"/>
      <c r="FS9" s="42"/>
      <c r="FT9" s="42"/>
      <c r="FU9" s="42"/>
      <c r="FV9" s="42"/>
      <c r="FW9" s="42"/>
      <c r="FX9" s="42"/>
      <c r="FY9" s="42"/>
      <c r="FZ9" s="42"/>
      <c r="GA9" s="42"/>
      <c r="GB9" s="42"/>
      <c r="GC9" s="42"/>
      <c r="GD9" s="42"/>
      <c r="GE9" s="42"/>
      <c r="GF9" s="42"/>
      <c r="GG9" s="42"/>
      <c r="GH9" s="42"/>
      <c r="GI9" s="42"/>
      <c r="GJ9" s="42"/>
      <c r="GK9" s="42"/>
      <c r="GL9" s="42"/>
      <c r="GM9" s="42"/>
      <c r="GN9" s="42"/>
      <c r="GO9" s="42"/>
      <c r="GP9" s="42"/>
      <c r="GQ9" s="42"/>
      <c r="GR9" s="42"/>
      <c r="GS9" s="42"/>
      <c r="GT9" s="42"/>
      <c r="GU9" s="42"/>
      <c r="GV9" s="42"/>
      <c r="GW9" s="42"/>
      <c r="GX9" s="42"/>
      <c r="GY9" s="42"/>
      <c r="GZ9" s="42"/>
      <c r="HA9" s="42"/>
      <c r="HB9" s="42"/>
      <c r="HC9" s="42"/>
      <c r="HD9" s="42"/>
      <c r="HE9" s="42"/>
      <c r="HF9" s="42"/>
      <c r="HG9" s="42"/>
      <c r="HH9" s="42"/>
      <c r="HI9" s="42"/>
      <c r="HJ9" s="42"/>
      <c r="HK9" s="42"/>
      <c r="HL9" s="42"/>
      <c r="HM9" s="42"/>
      <c r="HN9" s="42"/>
      <c r="HO9" s="42"/>
      <c r="HP9" s="42"/>
      <c r="HQ9" s="42"/>
      <c r="HR9" s="42"/>
      <c r="HS9" s="42"/>
      <c r="HT9" s="42"/>
      <c r="HU9" s="42"/>
      <c r="HV9" s="42"/>
      <c r="HW9" s="42"/>
      <c r="HX9" s="42"/>
      <c r="HY9" s="42"/>
      <c r="HZ9" s="42"/>
      <c r="IA9" s="42"/>
      <c r="IB9" s="42"/>
      <c r="IC9" s="42"/>
      <c r="ID9" s="42"/>
      <c r="IE9" s="42"/>
      <c r="IF9" s="42"/>
      <c r="IG9" s="42"/>
      <c r="IH9" s="42"/>
      <c r="II9" s="42"/>
      <c r="IJ9" s="42"/>
      <c r="IK9" s="42"/>
      <c r="IL9" s="42"/>
      <c r="IM9" s="42"/>
      <c r="IN9" s="42"/>
      <c r="IO9" s="42"/>
      <c r="IP9" s="42"/>
      <c r="IQ9" s="42"/>
      <c r="IR9" s="42"/>
      <c r="IS9" s="42"/>
    </row>
    <row r="10" spans="1:253" ht="15.75" customHeight="1">
      <c r="A10" s="29" t="s">
        <v>2182</v>
      </c>
      <c r="B10" s="68"/>
      <c r="C10" s="30" t="str">
        <f>CONCATENATE("Kabinet"," ",bahan1," ",kabinet1," ",edgingkab1)</f>
        <v>Kabinet Ply HB_41130 Edg_Décor_1723_B</v>
      </c>
      <c r="D10" s="9"/>
      <c r="E10" s="9"/>
      <c r="F10" s="16"/>
      <c r="G10" s="17"/>
      <c r="H10" s="18"/>
      <c r="I10" s="17"/>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42"/>
      <c r="IS10" s="42"/>
    </row>
    <row r="11" spans="1:253">
      <c r="A11" s="31"/>
      <c r="B11" s="66"/>
      <c r="C11" s="30" t="str">
        <f>CONCATENATE("Pintu"," ",bahan5)</f>
        <v>Pintu Ply</v>
      </c>
      <c r="D11" s="9"/>
      <c r="E11" s="10"/>
      <c r="F11" s="16"/>
      <c r="G11" s="17"/>
      <c r="H11" s="32"/>
      <c r="I11" s="44"/>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c r="FJ11" s="42"/>
      <c r="FK11" s="42"/>
      <c r="FL11" s="42"/>
      <c r="FM11" s="42"/>
      <c r="FN11" s="42"/>
      <c r="FO11" s="42"/>
      <c r="FP11" s="42"/>
      <c r="FQ11" s="42"/>
      <c r="FR11" s="42"/>
      <c r="FS11" s="42"/>
      <c r="FT11" s="42"/>
      <c r="FU11" s="42"/>
      <c r="FV11" s="42"/>
      <c r="FW11" s="42"/>
      <c r="FX11" s="42"/>
      <c r="FY11" s="42"/>
      <c r="FZ11" s="42"/>
      <c r="GA11" s="42"/>
      <c r="GB11" s="42"/>
      <c r="GC11" s="42"/>
      <c r="GD11" s="42"/>
      <c r="GE11" s="42"/>
      <c r="GF11" s="42"/>
      <c r="GG11" s="42"/>
      <c r="GH11" s="42"/>
      <c r="GI11" s="42"/>
      <c r="GJ11" s="42"/>
      <c r="GK11" s="42"/>
      <c r="GL11" s="42"/>
      <c r="GM11" s="42"/>
      <c r="GN11" s="42"/>
      <c r="GO11" s="42"/>
      <c r="GP11" s="42"/>
      <c r="GQ11" s="42"/>
      <c r="GR11" s="42"/>
      <c r="GS11" s="42"/>
      <c r="GT11" s="42"/>
      <c r="GU11" s="42"/>
      <c r="GV11" s="42"/>
      <c r="GW11" s="42"/>
      <c r="GX11" s="42"/>
      <c r="GY11" s="42"/>
      <c r="GZ11" s="42"/>
      <c r="HA11" s="42"/>
      <c r="HB11" s="42"/>
      <c r="HC11" s="42"/>
      <c r="HD11" s="42"/>
      <c r="HE11" s="42"/>
      <c r="HF11" s="42"/>
      <c r="HG11" s="42"/>
      <c r="HH11" s="42"/>
      <c r="HI11" s="42"/>
      <c r="HJ11" s="42"/>
      <c r="HK11" s="42"/>
      <c r="HL11" s="42"/>
      <c r="HM11" s="42"/>
      <c r="HN11" s="42"/>
      <c r="HO11" s="42"/>
      <c r="HP11" s="42"/>
      <c r="HQ11" s="42"/>
      <c r="HR11" s="42"/>
      <c r="HS11" s="42"/>
      <c r="HT11" s="42"/>
      <c r="HU11" s="42"/>
      <c r="HV11" s="42"/>
      <c r="HW11" s="42"/>
      <c r="HX11" s="42"/>
      <c r="HY11" s="42"/>
      <c r="HZ11" s="42"/>
      <c r="IA11" s="42"/>
      <c r="IB11" s="42"/>
      <c r="IC11" s="42"/>
      <c r="ID11" s="42"/>
      <c r="IE11" s="42"/>
      <c r="IF11" s="42"/>
      <c r="IG11" s="42"/>
      <c r="IH11" s="42"/>
      <c r="II11" s="42"/>
      <c r="IJ11" s="42"/>
      <c r="IK11" s="42"/>
      <c r="IL11" s="42"/>
      <c r="IM11" s="42"/>
      <c r="IN11" s="42"/>
      <c r="IO11" s="42"/>
      <c r="IP11" s="42"/>
      <c r="IQ11" s="42"/>
      <c r="IR11" s="42"/>
      <c r="IS11" s="42"/>
    </row>
    <row r="12" spans="1:253" ht="12" customHeight="1">
      <c r="A12" s="33"/>
      <c r="B12" s="354"/>
      <c r="C12" s="34"/>
      <c r="D12" s="1"/>
      <c r="E12" s="1"/>
      <c r="F12" s="1"/>
      <c r="H12" s="35"/>
    </row>
    <row r="13" spans="1:253">
      <c r="A13" s="36"/>
      <c r="B13" s="413"/>
      <c r="C13" s="414"/>
      <c r="D13" s="414"/>
      <c r="E13" s="414"/>
      <c r="F13" s="415"/>
      <c r="G13" s="355" t="s">
        <v>1506</v>
      </c>
      <c r="H13" s="37"/>
    </row>
    <row r="14" spans="1:253" ht="17">
      <c r="A14" s="36" t="s">
        <v>2135</v>
      </c>
      <c r="B14" s="416" t="s">
        <v>2157</v>
      </c>
      <c r="C14" s="417" t="s">
        <v>2138</v>
      </c>
      <c r="D14" s="417" t="s">
        <v>2134</v>
      </c>
      <c r="E14" s="417" t="s">
        <v>2133</v>
      </c>
      <c r="F14" s="418" t="s">
        <v>2220</v>
      </c>
      <c r="G14" s="38" t="s">
        <v>2184</v>
      </c>
      <c r="H14" s="39" t="s">
        <v>333</v>
      </c>
    </row>
    <row r="15" spans="1:253">
      <c r="A15" s="36"/>
      <c r="B15" s="36"/>
      <c r="C15" s="36"/>
      <c r="D15" s="36"/>
      <c r="E15" s="36"/>
      <c r="F15" s="36"/>
      <c r="G15" s="36"/>
      <c r="H15" s="36"/>
    </row>
    <row r="16" spans="1:253">
      <c r="A16" s="36"/>
      <c r="B16" s="36"/>
      <c r="C16" s="36"/>
      <c r="D16" s="36"/>
      <c r="E16" s="36"/>
      <c r="F16" s="36"/>
      <c r="G16" s="36"/>
      <c r="H16" s="36"/>
    </row>
    <row r="17" spans="1:8">
      <c r="A17" s="36"/>
      <c r="B17" s="36"/>
      <c r="C17" s="36"/>
      <c r="D17" s="36"/>
      <c r="E17" s="36"/>
      <c r="F17" s="36"/>
      <c r="G17" s="36"/>
      <c r="H17" s="36"/>
    </row>
    <row r="18" spans="1:8">
      <c r="A18" s="36"/>
      <c r="B18" s="36"/>
      <c r="C18" s="36"/>
      <c r="D18" s="36"/>
      <c r="E18" s="36"/>
      <c r="F18" s="36"/>
      <c r="G18" s="36"/>
      <c r="H18" s="36"/>
    </row>
    <row r="19" spans="1:8">
      <c r="A19" s="36"/>
      <c r="B19" s="36"/>
      <c r="C19" s="36"/>
      <c r="D19" s="36"/>
      <c r="E19" s="36"/>
      <c r="F19" s="36"/>
      <c r="G19" s="36"/>
      <c r="H19" s="36"/>
    </row>
    <row r="20" spans="1:8">
      <c r="A20" s="36"/>
      <c r="B20" s="36"/>
      <c r="C20" s="36"/>
      <c r="D20" s="36"/>
      <c r="E20" s="36"/>
      <c r="F20" s="36"/>
      <c r="G20" s="36"/>
      <c r="H20" s="36"/>
    </row>
    <row r="21" spans="1:8">
      <c r="A21" s="36"/>
      <c r="B21" s="36"/>
      <c r="C21" s="36"/>
      <c r="D21" s="36"/>
      <c r="E21" s="36"/>
      <c r="F21" s="36"/>
      <c r="G21" s="36"/>
      <c r="H21" s="36"/>
    </row>
    <row r="22" spans="1:8">
      <c r="A22" s="36"/>
      <c r="B22" s="36"/>
      <c r="C22" s="36"/>
      <c r="D22" s="36"/>
      <c r="E22" s="36"/>
      <c r="F22" s="36"/>
      <c r="G22" s="36"/>
      <c r="H22" s="36"/>
    </row>
    <row r="23" spans="1:8">
      <c r="A23" s="36"/>
      <c r="B23" s="36"/>
      <c r="C23" s="36"/>
      <c r="D23" s="36"/>
      <c r="E23" s="36"/>
      <c r="F23" s="36"/>
      <c r="G23" s="36"/>
      <c r="H23" s="36"/>
    </row>
    <row r="24" spans="1:8">
      <c r="A24" s="36"/>
      <c r="B24" s="36"/>
      <c r="C24" s="36"/>
      <c r="D24" s="36"/>
      <c r="E24" s="36"/>
      <c r="F24" s="36"/>
      <c r="G24" s="36"/>
      <c r="H24" s="36"/>
    </row>
    <row r="25" spans="1:8">
      <c r="A25" s="36"/>
      <c r="B25" s="36"/>
      <c r="C25" s="36"/>
      <c r="D25" s="36"/>
      <c r="E25" s="36"/>
      <c r="F25" s="36"/>
      <c r="G25" s="36"/>
      <c r="H25" s="36"/>
    </row>
    <row r="26" spans="1:8">
      <c r="A26" s="36"/>
      <c r="B26" s="36"/>
      <c r="C26" s="36"/>
      <c r="D26" s="36"/>
      <c r="E26" s="36"/>
      <c r="F26" s="36"/>
      <c r="G26" s="36"/>
      <c r="H26" s="36"/>
    </row>
    <row r="27" spans="1:8">
      <c r="A27" s="36"/>
      <c r="B27" s="36"/>
      <c r="C27" s="36"/>
      <c r="D27" s="36"/>
      <c r="E27" s="36"/>
      <c r="F27" s="36"/>
      <c r="G27" s="36"/>
      <c r="H27" s="36"/>
    </row>
    <row r="28" spans="1:8">
      <c r="A28" s="36"/>
      <c r="B28" s="36"/>
      <c r="C28" s="36"/>
      <c r="D28" s="36"/>
      <c r="E28" s="36"/>
      <c r="F28" s="36"/>
      <c r="G28" s="36"/>
      <c r="H28" s="36"/>
    </row>
    <row r="29" spans="1:8">
      <c r="A29" s="36"/>
      <c r="B29" s="36"/>
      <c r="C29" s="36"/>
      <c r="D29" s="36"/>
      <c r="E29" s="36"/>
      <c r="F29" s="36"/>
      <c r="G29" s="36"/>
      <c r="H29" s="36"/>
    </row>
    <row r="30" spans="1:8">
      <c r="A30" s="36"/>
      <c r="B30" s="36"/>
      <c r="C30" s="36"/>
      <c r="D30" s="36"/>
      <c r="E30" s="36"/>
      <c r="F30" s="36"/>
      <c r="G30" s="36"/>
      <c r="H30" s="36"/>
    </row>
    <row r="31" spans="1:8">
      <c r="A31" s="36"/>
      <c r="B31" s="36"/>
      <c r="C31" s="36"/>
      <c r="D31" s="36"/>
      <c r="E31" s="36"/>
      <c r="F31" s="36"/>
      <c r="G31" s="36"/>
      <c r="H31" s="36"/>
    </row>
    <row r="32" spans="1:8">
      <c r="A32" s="36"/>
      <c r="B32" s="36"/>
      <c r="C32" s="36"/>
      <c r="D32" s="36"/>
      <c r="E32" s="36"/>
      <c r="F32" s="36"/>
      <c r="G32" s="36"/>
      <c r="H32" s="36"/>
    </row>
    <row r="33" spans="1:8">
      <c r="A33" s="36"/>
      <c r="B33" s="36"/>
      <c r="C33" s="36"/>
      <c r="D33" s="36"/>
      <c r="E33" s="36"/>
      <c r="F33" s="36"/>
      <c r="G33" s="36"/>
      <c r="H33" s="36"/>
    </row>
    <row r="34" spans="1:8">
      <c r="A34" s="36"/>
      <c r="B34" s="36"/>
      <c r="C34" s="36"/>
      <c r="D34" s="36"/>
      <c r="E34" s="36"/>
      <c r="F34" s="36"/>
      <c r="G34" s="36"/>
      <c r="H34" s="36"/>
    </row>
    <row r="35" spans="1:8">
      <c r="A35" s="36"/>
      <c r="B35" s="36"/>
      <c r="C35" s="36"/>
      <c r="D35" s="36"/>
      <c r="E35" s="36"/>
      <c r="F35" s="36"/>
      <c r="G35" s="36"/>
      <c r="H35" s="36"/>
    </row>
    <row r="36" spans="1:8">
      <c r="A36" s="36"/>
      <c r="B36" s="36"/>
      <c r="C36" s="36"/>
      <c r="D36" s="36"/>
      <c r="E36" s="36"/>
      <c r="F36" s="36"/>
      <c r="G36" s="36"/>
      <c r="H36" s="36"/>
    </row>
    <row r="37" spans="1:8">
      <c r="A37" s="36"/>
      <c r="B37" s="36"/>
      <c r="C37" s="36"/>
      <c r="D37" s="36"/>
      <c r="E37" s="36"/>
      <c r="F37" s="36"/>
      <c r="G37" s="36"/>
      <c r="H37" s="36"/>
    </row>
    <row r="38" spans="1:8">
      <c r="A38" s="36"/>
      <c r="B38" s="36"/>
      <c r="C38" s="36"/>
      <c r="D38" s="36"/>
      <c r="E38" s="36"/>
      <c r="F38" s="36"/>
      <c r="G38" s="36"/>
      <c r="H38" s="36"/>
    </row>
  </sheetData>
  <mergeCells count="1">
    <mergeCell ref="A1:H1"/>
  </mergeCells>
  <pageMargins left="0.1" right="0.1" top="0.1" bottom="0.1" header="0.25" footer="0.25"/>
  <pageSetup orientation="portrait" horizontalDpi="240" verticalDpi="144" r:id="rId1"/>
  <colBreaks count="1" manualBreakCount="1">
    <brk id="8" max="1048575" man="1"/>
  </colBreaks>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6"/>
  <dimension ref="A1:H77"/>
  <sheetViews>
    <sheetView view="pageBreakPreview" zoomScale="85" zoomScaleNormal="100" zoomScaleSheetLayoutView="85" workbookViewId="0">
      <pane ySplit="11" topLeftCell="A12" activePane="bottomLeft" state="frozen"/>
      <selection pane="bottomLeft" activeCell="C34" sqref="C34"/>
    </sheetView>
  </sheetViews>
  <sheetFormatPr baseColWidth="10" defaultColWidth="9" defaultRowHeight="16" outlineLevelRow="1"/>
  <cols>
    <col min="1" max="1" width="3.6640625" customWidth="1"/>
    <col min="2" max="2" width="10.6640625" style="1" customWidth="1"/>
    <col min="3" max="3" width="40.6640625" style="34" customWidth="1"/>
    <col min="4" max="4" width="10.83203125" style="1" customWidth="1"/>
    <col min="5" max="5" width="4.83203125" style="1" customWidth="1"/>
    <col min="6" max="6" width="6.1640625" style="1" customWidth="1"/>
    <col min="7" max="7" width="18.6640625" customWidth="1"/>
    <col min="8" max="8" width="31.1640625" customWidth="1"/>
    <col min="9" max="10" width="10.6640625" customWidth="1"/>
  </cols>
  <sheetData>
    <row r="1" spans="1:8" s="69" customFormat="1" ht="13">
      <c r="A1" s="71"/>
      <c r="B1" s="121"/>
      <c r="C1" s="78"/>
      <c r="D1" s="122"/>
      <c r="E1" s="123"/>
      <c r="F1" s="123"/>
      <c r="G1" s="71"/>
      <c r="H1" s="71"/>
    </row>
    <row r="2" spans="1:8" s="69" customFormat="1" ht="18">
      <c r="A2" s="911" t="s">
        <v>2944</v>
      </c>
      <c r="B2" s="911"/>
      <c r="C2" s="911"/>
      <c r="D2" s="911"/>
      <c r="E2" s="911"/>
      <c r="F2" s="911"/>
      <c r="G2" s="911"/>
      <c r="H2" s="71"/>
    </row>
    <row r="3" spans="1:8" s="69" customFormat="1" ht="13">
      <c r="A3" s="71"/>
      <c r="B3" s="121"/>
      <c r="C3" s="78"/>
      <c r="D3" s="122"/>
      <c r="E3" s="123"/>
      <c r="F3" s="123"/>
      <c r="G3" s="71"/>
      <c r="H3" s="71"/>
    </row>
    <row r="4" spans="1:8" s="69" customFormat="1" ht="13">
      <c r="A4" s="71"/>
      <c r="B4" s="121"/>
      <c r="C4" s="78"/>
      <c r="D4" s="122"/>
      <c r="E4" s="123"/>
      <c r="F4" s="123"/>
      <c r="G4" s="71"/>
      <c r="H4" s="71"/>
    </row>
    <row r="5" spans="1:8" s="69" customFormat="1" ht="14">
      <c r="A5" s="77" t="s">
        <v>2200</v>
      </c>
      <c r="B5" s="124"/>
      <c r="C5" s="78" t="s">
        <v>2201</v>
      </c>
      <c r="D5" s="125"/>
      <c r="E5" s="126" t="s">
        <v>2218</v>
      </c>
      <c r="F5" s="8" t="str">
        <f>No_proyek</f>
        <v>RZ0458</v>
      </c>
      <c r="G5" s="77"/>
      <c r="H5" s="78"/>
    </row>
    <row r="6" spans="1:8" s="69" customFormat="1" ht="14">
      <c r="A6" s="77" t="s">
        <v>2203</v>
      </c>
      <c r="B6" s="124"/>
      <c r="C6" s="8" t="str">
        <f>no_kontrak</f>
        <v>127/RK-RL-PI/PAP-LL/XII/2025</v>
      </c>
      <c r="D6" s="122"/>
      <c r="E6" s="123"/>
      <c r="F6" s="123"/>
      <c r="G6" s="71"/>
      <c r="H6" s="77"/>
    </row>
    <row r="7" spans="1:8" s="69" customFormat="1" ht="14">
      <c r="A7" s="80" t="s">
        <v>1508</v>
      </c>
      <c r="B7" s="127"/>
      <c r="C7" s="8" t="str">
        <f>nip</f>
        <v>25LL017MPC</v>
      </c>
      <c r="D7" s="122"/>
      <c r="E7" s="123"/>
      <c r="F7" s="123"/>
      <c r="G7" s="71"/>
      <c r="H7" s="77"/>
    </row>
    <row r="8" spans="1:8" s="69" customFormat="1" ht="14">
      <c r="A8" s="77" t="s">
        <v>2204</v>
      </c>
      <c r="B8" s="124"/>
      <c r="C8" s="8" t="str">
        <f>nama_proyek</f>
        <v>PT Malindo Feedmill Tbk-Dry Pantry</v>
      </c>
      <c r="D8" s="122"/>
      <c r="E8" s="126" t="s">
        <v>2205</v>
      </c>
      <c r="F8" s="912">
        <f>tgl</f>
        <v>46163</v>
      </c>
      <c r="G8" s="912"/>
      <c r="H8" s="128"/>
    </row>
    <row r="9" spans="1:8" s="69" customFormat="1" ht="14">
      <c r="A9" s="907" t="s">
        <v>2206</v>
      </c>
      <c r="B9" s="907"/>
      <c r="C9" s="8" t="str">
        <f>Estimator</f>
        <v>Fahrudin</v>
      </c>
      <c r="D9" s="122"/>
      <c r="E9" s="126"/>
      <c r="F9" s="126"/>
      <c r="G9" s="71"/>
      <c r="H9" s="71"/>
    </row>
    <row r="11" spans="1:8" outlineLevel="1">
      <c r="A11" s="36" t="s">
        <v>327</v>
      </c>
      <c r="B11" s="129" t="s">
        <v>1</v>
      </c>
      <c r="C11" s="140" t="s">
        <v>2219</v>
      </c>
      <c r="D11" s="129" t="s">
        <v>2150</v>
      </c>
      <c r="E11" s="129" t="s">
        <v>2220</v>
      </c>
      <c r="F11" s="129" t="s">
        <v>2221</v>
      </c>
      <c r="G11" s="129" t="s">
        <v>3</v>
      </c>
      <c r="H11" s="130" t="s">
        <v>2222</v>
      </c>
    </row>
    <row r="12" spans="1:8" outlineLevel="1">
      <c r="A12" s="36"/>
      <c r="B12" s="129">
        <f>IFERROR(INDEX((ID),MATCH(C12,BARANG,0)),"…")</f>
        <v>205345</v>
      </c>
      <c r="C12" s="775" t="str">
        <f>edging8</f>
        <v>Trim 22 S2/S4 Brown Doff ( Alm. 75270 ) P3</v>
      </c>
      <c r="D12" s="61" t="s">
        <v>2223</v>
      </c>
      <c r="E12" s="131">
        <f>ROUNDUP(((SUMIF(PI,C12,P)+SUMIF(PII,C12,P)+SUMIF(LI,C12,L)+SUMIF(LII,C12,L))/2.8),0)</f>
        <v>0</v>
      </c>
      <c r="F12" s="129" t="s">
        <v>2224</v>
      </c>
      <c r="G12" s="36" t="s">
        <v>2505</v>
      </c>
    </row>
    <row r="13" spans="1:8" outlineLevel="1">
      <c r="A13" s="36"/>
      <c r="B13" s="129">
        <f>IFERROR(INDEX((ID),MATCH(C13,BARANG,0)),"…")</f>
        <v>205406</v>
      </c>
      <c r="C13" s="775" t="str">
        <f>edging9</f>
        <v>ST-36 Brown Doff ( Alm. 2351 ) P3 P3</v>
      </c>
      <c r="D13" s="61" t="s">
        <v>2223</v>
      </c>
      <c r="E13" s="131">
        <f>ROUNDUP(((SUMIF(PI,C13,P)+SUMIF(PII,C13,P)+SUMIF(LI,C13,L)+SUMIF(LII,C13,L))/2.8),0)</f>
        <v>0</v>
      </c>
      <c r="F13" s="129" t="s">
        <v>2224</v>
      </c>
      <c r="G13" s="36" t="s">
        <v>2504</v>
      </c>
    </row>
    <row r="14" spans="1:8" outlineLevel="1">
      <c r="A14" s="36"/>
      <c r="B14" s="129">
        <f>IFERROR(INDEX((ID),MATCH(C14,BARANG,0)),"…")</f>
        <v>205356</v>
      </c>
      <c r="C14" s="775" t="str">
        <f>edging7</f>
        <v>Trim 21 S2/S4 Brown Doff ( Alm. 75181 ) P3</v>
      </c>
      <c r="D14" s="61" t="s">
        <v>2223</v>
      </c>
      <c r="E14" s="131">
        <f>ROUNDUP(((SUMIF(PI,C14,P)+SUMIF(PII,C14,P)+SUMIF(LI,C14,L)+SUMIF(LII,C14,L))/2.8),0)</f>
        <v>0</v>
      </c>
      <c r="F14" s="129" t="s">
        <v>2224</v>
      </c>
      <c r="G14" s="36"/>
    </row>
    <row r="15" spans="1:8" outlineLevel="1">
      <c r="A15" s="36"/>
      <c r="B15" s="129">
        <f>IFERROR(INDEX((ID),MATCH(C15,BARANG,0)),"…")</f>
        <v>2060898</v>
      </c>
      <c r="C15" s="775" t="str">
        <f>liskaca</f>
        <v>List Kaca Black Doff ( Alm. 6600/6599 ) P2.8</v>
      </c>
      <c r="D15" s="61" t="s">
        <v>2223</v>
      </c>
      <c r="E15" s="132">
        <f>ROUNDUP((SUMIF(anodizev,C15,_2PL)/2.8),0)</f>
        <v>0</v>
      </c>
      <c r="F15" s="129" t="s">
        <v>2224</v>
      </c>
      <c r="G15" s="36"/>
    </row>
    <row r="16" spans="1:8" outlineLevel="1">
      <c r="A16" s="36"/>
      <c r="B16" s="129"/>
      <c r="C16" s="604"/>
      <c r="D16" s="61"/>
      <c r="E16" s="614"/>
      <c r="F16" s="129"/>
      <c r="G16" s="36"/>
    </row>
    <row r="17" spans="1:8" ht="34" outlineLevel="1">
      <c r="A17" s="36"/>
      <c r="B17" s="129">
        <f t="shared" ref="B17:B27" si="0">IFERROR(INDEX((ID),MATCH(C17,BARANG,0)),"…")</f>
        <v>205191</v>
      </c>
      <c r="C17" s="604" t="str">
        <f>fr_0</f>
        <v>M-FRM Tutup Belakang Brown Doff ( Alm. 75225 ) P3</v>
      </c>
      <c r="D17" s="61" t="s">
        <v>2223</v>
      </c>
      <c r="E17" s="490">
        <f>ROUNDUP((SUMIF(profil_3,C17,_2PL)/2.8),0)</f>
        <v>0</v>
      </c>
      <c r="F17" s="129" t="s">
        <v>2224</v>
      </c>
      <c r="G17" s="36"/>
    </row>
    <row r="18" spans="1:8" ht="17" outlineLevel="1">
      <c r="A18" s="36"/>
      <c r="B18" s="129">
        <f t="shared" si="0"/>
        <v>205193</v>
      </c>
      <c r="C18" s="604" t="str">
        <f>fr_1</f>
        <v>M-FRM Body Brown Doff ( Alm. 75226 ) P3</v>
      </c>
      <c r="D18" s="61" t="s">
        <v>2223</v>
      </c>
      <c r="E18" s="131">
        <f t="shared" ref="E18:E27" si="1">ROUNDUP(((SUMIF(PI,C18,P)+SUMIF(PII,C18,P)+SUMIF(LI,C18,L)+SUMIF(LII,C18,L))/2.8),0)</f>
        <v>0</v>
      </c>
      <c r="F18" s="129" t="s">
        <v>2224</v>
      </c>
      <c r="G18" s="36"/>
    </row>
    <row r="19" spans="1:8" ht="17" outlineLevel="1">
      <c r="A19" s="36"/>
      <c r="B19" s="129">
        <f t="shared" si="0"/>
        <v>2050021</v>
      </c>
      <c r="C19" s="604" t="str">
        <f>fr_2</f>
        <v>M-FRM-07 Brown Doff ( Alm. 75355 ) P3</v>
      </c>
      <c r="D19" s="61" t="s">
        <v>2223</v>
      </c>
      <c r="E19" s="131">
        <f t="shared" si="1"/>
        <v>0</v>
      </c>
      <c r="F19" s="129" t="s">
        <v>2224</v>
      </c>
      <c r="G19" s="36"/>
    </row>
    <row r="20" spans="1:8" ht="17" outlineLevel="1">
      <c r="A20" s="36"/>
      <c r="B20" s="129">
        <f t="shared" si="0"/>
        <v>205194</v>
      </c>
      <c r="C20" s="604" t="str">
        <f>fr_3</f>
        <v>M-FRM-02 Black Doff ( Alm. 75227 ) P3</v>
      </c>
      <c r="D20" s="61" t="s">
        <v>2223</v>
      </c>
      <c r="E20" s="131">
        <f t="shared" si="1"/>
        <v>0</v>
      </c>
      <c r="F20" s="129" t="s">
        <v>2224</v>
      </c>
      <c r="G20" s="36"/>
    </row>
    <row r="21" spans="1:8" ht="17" outlineLevel="1">
      <c r="A21" s="36"/>
      <c r="B21" s="129">
        <f t="shared" si="0"/>
        <v>205198</v>
      </c>
      <c r="C21" s="604" t="str">
        <f>fr_4</f>
        <v>M-FRM-03 Black Doff ( Alm. 75229 ) P3</v>
      </c>
      <c r="D21" s="61" t="s">
        <v>2223</v>
      </c>
      <c r="E21" s="131">
        <f t="shared" si="1"/>
        <v>0</v>
      </c>
      <c r="F21" s="129" t="s">
        <v>2224</v>
      </c>
      <c r="G21" s="36"/>
    </row>
    <row r="22" spans="1:8" ht="17" outlineLevel="1">
      <c r="A22" s="36"/>
      <c r="B22" s="129">
        <f t="shared" si="0"/>
        <v>205446</v>
      </c>
      <c r="C22" s="604" t="str">
        <f>fr_5</f>
        <v>M-SHF-01/02 Brown Doff ( Alm. 75109 ) P3</v>
      </c>
      <c r="D22" s="61" t="s">
        <v>2223</v>
      </c>
      <c r="E22" s="131">
        <f t="shared" si="1"/>
        <v>0</v>
      </c>
      <c r="F22" s="129" t="s">
        <v>2224</v>
      </c>
      <c r="G22" s="36"/>
    </row>
    <row r="23" spans="1:8" ht="17" outlineLevel="1">
      <c r="A23" s="36"/>
      <c r="B23" s="129">
        <f t="shared" si="0"/>
        <v>205438</v>
      </c>
      <c r="C23" s="604" t="str">
        <f>fr_6</f>
        <v>LS-01 Brown Doff ( Alm. 86599 ) P3</v>
      </c>
      <c r="D23" s="61" t="s">
        <v>2223</v>
      </c>
      <c r="E23" s="131">
        <f t="shared" si="1"/>
        <v>0</v>
      </c>
      <c r="F23" s="129" t="s">
        <v>2224</v>
      </c>
      <c r="G23" s="36"/>
    </row>
    <row r="24" spans="1:8" ht="17" outlineLevel="1">
      <c r="A24" s="36"/>
      <c r="B24" s="129">
        <f t="shared" si="0"/>
        <v>205296</v>
      </c>
      <c r="C24" s="604" t="str">
        <f>fr_7</f>
        <v>Alm. 75283 ( M-FRM-05 ) MENTAH P6</v>
      </c>
      <c r="D24" s="61" t="s">
        <v>2223</v>
      </c>
      <c r="E24" s="131">
        <f t="shared" si="1"/>
        <v>0</v>
      </c>
      <c r="F24" s="129" t="s">
        <v>2224</v>
      </c>
      <c r="G24" s="36"/>
    </row>
    <row r="25" spans="1:8" ht="17" outlineLevel="1">
      <c r="A25" s="36"/>
      <c r="B25" s="129">
        <f t="shared" si="0"/>
        <v>205297</v>
      </c>
      <c r="C25" s="604" t="str">
        <f>fr_8</f>
        <v>Alm. 75284 ( M-FRM-05 ) MENTAH P6</v>
      </c>
      <c r="D25" s="61" t="s">
        <v>2223</v>
      </c>
      <c r="E25" s="131">
        <f t="shared" si="1"/>
        <v>0</v>
      </c>
      <c r="F25" s="129" t="s">
        <v>2224</v>
      </c>
      <c r="G25" s="36"/>
    </row>
    <row r="26" spans="1:8" ht="17" outlineLevel="1">
      <c r="A26" s="36"/>
      <c r="B26" s="129">
        <f t="shared" si="0"/>
        <v>205208</v>
      </c>
      <c r="C26" s="604" t="str">
        <f>fr_9</f>
        <v>Mullion Luar Black Doff ( Alm. 75114 ) P3</v>
      </c>
      <c r="D26" s="61" t="s">
        <v>2223</v>
      </c>
      <c r="E26" s="131">
        <f t="shared" si="1"/>
        <v>0</v>
      </c>
      <c r="F26" s="129" t="s">
        <v>2224</v>
      </c>
      <c r="G26" s="36"/>
    </row>
    <row r="27" spans="1:8" ht="17" outlineLevel="1">
      <c r="A27" s="36"/>
      <c r="B27" s="129">
        <f t="shared" si="0"/>
        <v>205205</v>
      </c>
      <c r="C27" s="604" t="str">
        <f>fr_10</f>
        <v>Mullion Dalam Black Doff ( Alm. 41316 ) P3</v>
      </c>
      <c r="D27" s="61" t="s">
        <v>2223</v>
      </c>
      <c r="E27" s="131">
        <f t="shared" si="1"/>
        <v>0</v>
      </c>
      <c r="F27" s="129" t="s">
        <v>2224</v>
      </c>
      <c r="G27" s="36"/>
    </row>
    <row r="28" spans="1:8" outlineLevel="1">
      <c r="A28" s="36"/>
      <c r="B28" s="129"/>
      <c r="C28" s="775"/>
      <c r="D28" s="61"/>
      <c r="E28" s="131"/>
      <c r="F28" s="129"/>
      <c r="G28" s="36"/>
    </row>
    <row r="29" spans="1:8">
      <c r="C29" s="776"/>
      <c r="D29" s="62"/>
      <c r="E29" s="62"/>
    </row>
    <row r="30" spans="1:8" outlineLevel="1">
      <c r="A30" s="36" t="s">
        <v>327</v>
      </c>
      <c r="B30" s="129" t="s">
        <v>1</v>
      </c>
      <c r="C30" s="775" t="s">
        <v>2219</v>
      </c>
      <c r="D30" s="61" t="s">
        <v>2150</v>
      </c>
      <c r="E30" s="61" t="s">
        <v>2220</v>
      </c>
      <c r="F30" s="129" t="s">
        <v>2221</v>
      </c>
      <c r="G30" s="129" t="s">
        <v>3</v>
      </c>
      <c r="H30" s="130" t="s">
        <v>2225</v>
      </c>
    </row>
    <row r="31" spans="1:8" ht="34" hidden="1" outlineLevel="1">
      <c r="A31" s="36"/>
      <c r="B31" s="129">
        <f>IFERROR(INDEX((ID),MATCH(C31,BARANG,0)),"…")</f>
        <v>205412</v>
      </c>
      <c r="C31" s="775" t="str">
        <f>mled02</f>
        <v>M-LED-02 Brown Doff ( Alm. 75111 ) P3</v>
      </c>
      <c r="D31" s="61" t="s">
        <v>2223</v>
      </c>
      <c r="E31" s="61">
        <v>4</v>
      </c>
      <c r="F31" s="129" t="s">
        <v>2224</v>
      </c>
      <c r="G31" s="620" t="s">
        <v>3507</v>
      </c>
    </row>
    <row r="32" spans="1:8" outlineLevel="1">
      <c r="A32" s="36"/>
      <c r="B32" s="634" t="s">
        <v>1787</v>
      </c>
      <c r="C32" s="774" t="str">
        <f>mled02</f>
        <v>M-LED-02 Brown Doff ( Alm. 75111 ) P3</v>
      </c>
      <c r="D32" s="61" t="s">
        <v>2223</v>
      </c>
      <c r="E32" s="490">
        <v>0</v>
      </c>
      <c r="F32" s="129" t="s">
        <v>2224</v>
      </c>
      <c r="G32" s="36" t="s">
        <v>4142</v>
      </c>
    </row>
    <row r="33" spans="1:8" outlineLevel="1">
      <c r="A33" s="36"/>
      <c r="B33" s="129"/>
      <c r="C33" s="775"/>
      <c r="D33" s="61"/>
      <c r="E33" s="61"/>
      <c r="F33" s="129"/>
      <c r="G33" s="36"/>
    </row>
    <row r="34" spans="1:8" outlineLevel="1">
      <c r="A34" s="36"/>
      <c r="B34" s="129"/>
      <c r="C34" s="775"/>
      <c r="D34" s="61"/>
      <c r="E34" s="61"/>
      <c r="F34" s="129"/>
      <c r="G34" s="36"/>
    </row>
    <row r="35" spans="1:8">
      <c r="C35" s="776"/>
      <c r="D35" s="62"/>
      <c r="E35" s="62"/>
    </row>
    <row r="36" spans="1:8" outlineLevel="1">
      <c r="A36" s="36" t="s">
        <v>327</v>
      </c>
      <c r="B36" s="129" t="s">
        <v>1</v>
      </c>
      <c r="C36" s="775" t="s">
        <v>2219</v>
      </c>
      <c r="D36" s="61" t="s">
        <v>2150</v>
      </c>
      <c r="E36" s="61" t="s">
        <v>2220</v>
      </c>
      <c r="F36" s="129" t="s">
        <v>2221</v>
      </c>
      <c r="G36" s="129" t="s">
        <v>3</v>
      </c>
      <c r="H36" s="130" t="s">
        <v>2226</v>
      </c>
    </row>
    <row r="37" spans="1:8" outlineLevel="1">
      <c r="A37" s="36"/>
      <c r="B37" s="129">
        <f>IFERROR(INDEX((ID),MATCH(C37,BARANG,0)),"…")</f>
        <v>205416</v>
      </c>
      <c r="C37" s="140" t="str">
        <f>mprf1</f>
        <v>M-PRF-01 Brown Doff ( Alm. 75110 ) P3</v>
      </c>
      <c r="D37" s="61" t="s">
        <v>2223</v>
      </c>
      <c r="E37" s="132">
        <f>ROUNDUP(((SUMIF(anodizev,C37,P)+(SUMIF(anodizev2,C37,P)+SUMIF(anodizeh,C37,L)))/2.8),0)</f>
        <v>0</v>
      </c>
      <c r="F37" s="129" t="s">
        <v>2224</v>
      </c>
      <c r="G37" s="36"/>
    </row>
    <row r="38" spans="1:8" outlineLevel="1">
      <c r="A38" s="36"/>
      <c r="B38" s="129">
        <f>IFERROR(INDEX((ID),MATCH(C38,BARANG,0)),"…")</f>
        <v>205412</v>
      </c>
      <c r="C38" s="140" t="str">
        <f>mled02</f>
        <v>M-LED-02 Brown Doff ( Alm. 75111 ) P3</v>
      </c>
      <c r="D38" s="61" t="s">
        <v>2223</v>
      </c>
      <c r="E38" s="490">
        <f>ROUNDUP(((SUMIF(anodizev,C38,P)+(SUMIF(anodizev2,C38,P)+SUMIF(anodizeh,C38,L)))/2.8),0)</f>
        <v>2</v>
      </c>
      <c r="F38" s="129" t="s">
        <v>2224</v>
      </c>
      <c r="G38" s="36"/>
    </row>
    <row r="39" spans="1:8" hidden="1" outlineLevel="1">
      <c r="A39" s="36"/>
      <c r="B39" s="129">
        <f>IFERROR(INDEX((ID),MATCH(C39,BARANG,0)),"…")</f>
        <v>205439</v>
      </c>
      <c r="C39" s="140" t="str">
        <f>mlis1</f>
        <v>M-LIST-01 Brown Doff ( Alm. 75112 ) P3</v>
      </c>
      <c r="D39" s="61" t="s">
        <v>2223</v>
      </c>
      <c r="E39" s="132">
        <f>ROUNDUP(((SUMIF(anodizev,C39,P)+(SUMIF(anodizev2,C39,P)+SUMIF(anodizeh,C39,L)))/2.8),0)</f>
        <v>0</v>
      </c>
      <c r="F39" s="129" t="s">
        <v>2224</v>
      </c>
      <c r="G39" s="36"/>
      <c r="H39">
        <f>1152+260+452+620+1228+1228+422+620</f>
        <v>5982</v>
      </c>
    </row>
    <row r="41" spans="1:8">
      <c r="C41" s="780" t="s">
        <v>2923</v>
      </c>
      <c r="D41" s="783"/>
      <c r="E41" s="839"/>
      <c r="F41" s="399"/>
      <c r="G41" s="130"/>
      <c r="H41" s="130" t="s">
        <v>2227</v>
      </c>
    </row>
    <row r="42" spans="1:8">
      <c r="A42" s="36" t="s">
        <v>327</v>
      </c>
      <c r="B42" s="129" t="s">
        <v>1</v>
      </c>
      <c r="C42" s="840" t="s">
        <v>2149</v>
      </c>
      <c r="D42" s="837" t="s">
        <v>2150</v>
      </c>
      <c r="E42" s="838" t="s">
        <v>2220</v>
      </c>
      <c r="F42" s="396" t="s">
        <v>2221</v>
      </c>
      <c r="G42" s="129" t="s">
        <v>3</v>
      </c>
    </row>
    <row r="43" spans="1:8">
      <c r="A43" s="36"/>
      <c r="B43" s="129" t="str">
        <f>IFERROR(INDEX((ID),MATCH(C43,BARANG,0)),"…")</f>
        <v>…</v>
      </c>
      <c r="C43" s="841" t="s">
        <v>2185</v>
      </c>
      <c r="D43" s="841" t="s">
        <v>2185</v>
      </c>
      <c r="E43" s="921">
        <v>0</v>
      </c>
      <c r="F43" s="129" t="s">
        <v>2224</v>
      </c>
      <c r="G43" s="129"/>
    </row>
    <row r="44" spans="1:8">
      <c r="A44" s="36"/>
      <c r="B44" s="129" t="str">
        <f>IFERROR(INDEX((ID),MATCH(C44,BARANG,0)),"…")</f>
        <v>…</v>
      </c>
      <c r="C44" s="841"/>
      <c r="D44" s="841"/>
      <c r="E44" s="921">
        <v>0</v>
      </c>
      <c r="F44" s="129" t="s">
        <v>2224</v>
      </c>
      <c r="G44" s="129"/>
    </row>
    <row r="45" spans="1:8">
      <c r="A45" s="36"/>
      <c r="B45" s="129" t="str">
        <f>IFERROR(INDEX((ID),MATCH(C45,BARANG,0)),"…")</f>
        <v>…</v>
      </c>
      <c r="C45" s="841">
        <v>0</v>
      </c>
      <c r="D45" s="841"/>
      <c r="E45" s="921">
        <v>0</v>
      </c>
      <c r="F45" s="129" t="s">
        <v>2224</v>
      </c>
      <c r="G45" s="129"/>
    </row>
    <row r="46" spans="1:8">
      <c r="A46" s="487"/>
      <c r="B46" s="485">
        <f>IFERROR(INDEX((ID),MATCH(C46,BARANG,0)),"…")</f>
        <v>205345</v>
      </c>
      <c r="C46" s="864" t="s">
        <v>1126</v>
      </c>
      <c r="D46" s="841">
        <v>902</v>
      </c>
      <c r="E46" s="921">
        <v>6</v>
      </c>
      <c r="F46" s="485" t="s">
        <v>2224</v>
      </c>
      <c r="G46" s="485"/>
    </row>
    <row r="47" spans="1:8">
      <c r="A47" s="404"/>
      <c r="B47" s="129"/>
      <c r="C47" s="913"/>
      <c r="D47" s="852">
        <v>600</v>
      </c>
      <c r="E47" s="922">
        <v>2</v>
      </c>
      <c r="F47" s="129" t="s">
        <v>2224</v>
      </c>
      <c r="G47" s="129"/>
    </row>
    <row r="48" spans="1:8">
      <c r="A48" s="404"/>
      <c r="B48" s="129" t="str">
        <f>IFERROR(INDEX((ID),MATCH(C48,BARANG,0)),"…")</f>
        <v>…</v>
      </c>
      <c r="C48" s="913"/>
      <c r="D48" s="852">
        <v>408</v>
      </c>
      <c r="E48" s="922">
        <v>2</v>
      </c>
      <c r="F48" s="129" t="s">
        <v>2224</v>
      </c>
      <c r="G48" s="36"/>
    </row>
    <row r="49" spans="1:7">
      <c r="A49" s="404"/>
      <c r="B49" s="129"/>
      <c r="C49" s="914"/>
      <c r="D49" s="853">
        <v>190</v>
      </c>
      <c r="E49" s="923">
        <v>2</v>
      </c>
      <c r="F49" s="129" t="s">
        <v>2224</v>
      </c>
      <c r="G49" s="36"/>
    </row>
    <row r="50" spans="1:7">
      <c r="A50" s="404"/>
      <c r="B50" s="129"/>
      <c r="C50"/>
      <c r="D50"/>
      <c r="E50"/>
      <c r="F50" s="129" t="s">
        <v>2224</v>
      </c>
      <c r="G50" s="36"/>
    </row>
    <row r="51" spans="1:7">
      <c r="A51" s="36"/>
      <c r="B51" s="129" t="str">
        <f>IFERROR(INDEX((ID),MATCH(C51,BARANG,0)),"…")</f>
        <v>…</v>
      </c>
      <c r="C51"/>
      <c r="D51"/>
      <c r="E51"/>
      <c r="F51" s="129" t="s">
        <v>2224</v>
      </c>
      <c r="G51" s="36"/>
    </row>
    <row r="52" spans="1:7">
      <c r="A52" s="488"/>
      <c r="B52" s="489"/>
      <c r="C52"/>
      <c r="D52"/>
      <c r="E52"/>
      <c r="F52" s="485" t="s">
        <v>2224</v>
      </c>
      <c r="G52" s="432"/>
    </row>
    <row r="53" spans="1:7">
      <c r="A53" s="36"/>
      <c r="B53" s="129" t="str">
        <f>IFERROR(INDEX((ID),MATCH(C53,BARANG,0)),"…")</f>
        <v>…</v>
      </c>
      <c r="C53"/>
      <c r="D53"/>
      <c r="E53"/>
      <c r="F53" s="129" t="s">
        <v>2224</v>
      </c>
      <c r="G53" s="129"/>
    </row>
    <row r="54" spans="1:7">
      <c r="A54" s="404"/>
      <c r="B54" s="129"/>
      <c r="C54"/>
      <c r="D54"/>
      <c r="E54"/>
      <c r="F54" s="129" t="s">
        <v>2224</v>
      </c>
      <c r="G54" s="36"/>
    </row>
    <row r="55" spans="1:7">
      <c r="A55" s="404"/>
      <c r="B55" s="129"/>
      <c r="C55"/>
      <c r="D55"/>
      <c r="E55"/>
      <c r="F55" s="129" t="s">
        <v>2224</v>
      </c>
      <c r="G55" s="36"/>
    </row>
    <row r="56" spans="1:7">
      <c r="A56" s="404"/>
      <c r="B56" s="129"/>
      <c r="C56"/>
      <c r="D56"/>
      <c r="E56"/>
      <c r="F56" s="129" t="s">
        <v>2224</v>
      </c>
      <c r="G56" s="36"/>
    </row>
    <row r="57" spans="1:7">
      <c r="A57" s="404"/>
      <c r="B57" s="129"/>
      <c r="D57"/>
      <c r="E57"/>
      <c r="F57" s="129" t="s">
        <v>2224</v>
      </c>
      <c r="G57" s="36"/>
    </row>
    <row r="58" spans="1:7">
      <c r="A58" s="404"/>
      <c r="B58" s="129"/>
      <c r="D58"/>
      <c r="E58"/>
      <c r="F58" s="129" t="s">
        <v>2224</v>
      </c>
      <c r="G58" s="36"/>
    </row>
    <row r="59" spans="1:7">
      <c r="A59" s="17"/>
      <c r="D59"/>
      <c r="E59"/>
    </row>
    <row r="60" spans="1:7">
      <c r="A60" s="17" t="s">
        <v>2228</v>
      </c>
      <c r="D60"/>
      <c r="E60"/>
    </row>
    <row r="61" spans="1:7">
      <c r="A61" s="17" t="s">
        <v>2229</v>
      </c>
      <c r="D61"/>
      <c r="E61"/>
    </row>
    <row r="62" spans="1:7">
      <c r="A62" s="17"/>
      <c r="D62"/>
      <c r="E62"/>
      <c r="F62"/>
    </row>
    <row r="63" spans="1:7">
      <c r="A63" s="17"/>
      <c r="D63"/>
      <c r="E63"/>
      <c r="F63"/>
    </row>
    <row r="64" spans="1:7">
      <c r="A64" s="79" t="str">
        <f>CONCATENATE(,"(",koordinator,")","                     ","(",ka_rakit,")","                    ","(","                 ",")","                 ","(",ka_QC,")","         ","(",koordinator,")")</f>
        <v>(Reza Pahlevi)                     (Dedi Cahyadi)                    (                 )                 (Sukamto)         (Reza Pahlevi)</v>
      </c>
      <c r="D64"/>
      <c r="E64"/>
      <c r="F64"/>
    </row>
    <row r="65" spans="1:6">
      <c r="D65"/>
      <c r="E65"/>
      <c r="F65"/>
    </row>
    <row r="66" spans="1:6">
      <c r="A66" s="133" t="s">
        <v>2197</v>
      </c>
      <c r="D66"/>
      <c r="E66"/>
      <c r="F66"/>
    </row>
    <row r="67" spans="1:6">
      <c r="D67"/>
      <c r="E67"/>
      <c r="F67"/>
    </row>
    <row r="68" spans="1:6">
      <c r="A68" s="133"/>
      <c r="D68"/>
      <c r="E68"/>
      <c r="F68"/>
    </row>
    <row r="69" spans="1:6">
      <c r="D69"/>
      <c r="E69"/>
      <c r="F69"/>
    </row>
    <row r="70" spans="1:6">
      <c r="D70"/>
      <c r="E70"/>
      <c r="F70"/>
    </row>
    <row r="71" spans="1:6">
      <c r="D71"/>
      <c r="E71"/>
      <c r="F71"/>
    </row>
    <row r="72" spans="1:6">
      <c r="D72"/>
      <c r="E72"/>
      <c r="F72"/>
    </row>
    <row r="73" spans="1:6">
      <c r="A73" s="17" t="s">
        <v>2228</v>
      </c>
      <c r="D73"/>
      <c r="E73"/>
      <c r="F73"/>
    </row>
    <row r="74" spans="1:6">
      <c r="A74" s="17" t="s">
        <v>2229</v>
      </c>
      <c r="F74"/>
    </row>
    <row r="75" spans="1:6">
      <c r="A75" s="17"/>
      <c r="F75"/>
    </row>
    <row r="76" spans="1:6">
      <c r="A76" s="17"/>
      <c r="F76"/>
    </row>
    <row r="77" spans="1:6">
      <c r="A77" s="461" t="str">
        <f>CONCATENATE(,"(",koordinator,")","                     ","(",ka_rakit,")","                    ","(","                 ",")","                 ","(",ka_QC,")","         ","(",koordinator,")")</f>
        <v>(Reza Pahlevi)                     (Dedi Cahyadi)                    (                 )                 (Sukamto)         (Reza Pahlevi)</v>
      </c>
      <c r="F77"/>
    </row>
  </sheetData>
  <mergeCells count="4">
    <mergeCell ref="A2:G2"/>
    <mergeCell ref="F8:G8"/>
    <mergeCell ref="A9:B9"/>
    <mergeCell ref="C46:C49"/>
  </mergeCells>
  <pageMargins left="0.1" right="0.1" top="0.5" bottom="0.5" header="0.51111111111111096" footer="0.51111111111111096"/>
  <pageSetup orientation="portrait" horizontalDpi="240" verticalDpi="144" r:id="rId2"/>
  <headerFooter scaleWithDoc="0" alignWithMargins="0"/>
  <drawing r:id="rId3"/>
  <legacyDrawing r:id="rId4"/>
  <oleObjects>
    <mc:AlternateContent xmlns:mc="http://schemas.openxmlformats.org/markup-compatibility/2006">
      <mc:Choice Requires="x14">
        <oleObject progId="MSPhotoEd.3" shapeId="166913" r:id="rId5">
          <objectPr defaultSize="0" autoPict="0" altText="" r:id="rId6">
            <anchor moveWithCells="1">
              <from>
                <xdr:col>0</xdr:col>
                <xdr:colOff>76200</xdr:colOff>
                <xdr:row>0</xdr:row>
                <xdr:rowOff>0</xdr:rowOff>
              </from>
              <to>
                <xdr:col>1</xdr:col>
                <xdr:colOff>508000</xdr:colOff>
                <xdr:row>4</xdr:row>
                <xdr:rowOff>38100</xdr:rowOff>
              </to>
            </anchor>
          </objectPr>
        </oleObject>
      </mc:Choice>
      <mc:Fallback>
        <oleObject progId="MSPhotoEd.3" shapeId="166913" r:id="rId5"/>
      </mc:Fallback>
    </mc:AlternateContent>
  </oleObjec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35"/>
  <sheetViews>
    <sheetView view="pageBreakPreview" zoomScale="85" zoomScaleNormal="85" zoomScaleSheetLayoutView="85" workbookViewId="0">
      <selection activeCell="C12" sqref="C12"/>
    </sheetView>
  </sheetViews>
  <sheetFormatPr baseColWidth="10" defaultColWidth="9" defaultRowHeight="16" outlineLevelRow="1"/>
  <cols>
    <col min="1" max="1" width="3.6640625" customWidth="1"/>
    <col min="2" max="2" width="10.6640625" style="1" customWidth="1"/>
    <col min="3" max="3" width="40.6640625" style="1" customWidth="1"/>
    <col min="4" max="4" width="10.83203125" style="1" customWidth="1"/>
    <col min="5" max="5" width="4.83203125" style="1" customWidth="1"/>
    <col min="6" max="6" width="6.1640625" style="1" customWidth="1"/>
    <col min="7" max="7" width="18.6640625" customWidth="1"/>
    <col min="8" max="8" width="31.1640625" customWidth="1"/>
    <col min="9" max="10" width="10.6640625" customWidth="1"/>
  </cols>
  <sheetData>
    <row r="1" spans="1:8" s="69" customFormat="1" ht="13">
      <c r="A1" s="71"/>
      <c r="B1" s="121"/>
      <c r="C1" s="71"/>
      <c r="D1" s="122"/>
      <c r="E1" s="123"/>
      <c r="F1" s="123"/>
      <c r="G1" s="71"/>
      <c r="H1" s="71"/>
    </row>
    <row r="2" spans="1:8" s="69" customFormat="1" ht="18">
      <c r="A2" s="911" t="s">
        <v>3087</v>
      </c>
      <c r="B2" s="911"/>
      <c r="C2" s="911"/>
      <c r="D2" s="911"/>
      <c r="E2" s="911"/>
      <c r="F2" s="911"/>
      <c r="G2" s="911"/>
      <c r="H2" s="71"/>
    </row>
    <row r="3" spans="1:8" s="69" customFormat="1" ht="13">
      <c r="A3" s="71"/>
      <c r="B3" s="121"/>
      <c r="C3" s="71"/>
      <c r="D3" s="122"/>
      <c r="E3" s="123"/>
      <c r="F3" s="123"/>
      <c r="G3" s="71"/>
      <c r="H3" s="71"/>
    </row>
    <row r="4" spans="1:8" s="69" customFormat="1" ht="13">
      <c r="A4" s="71"/>
      <c r="B4" s="121"/>
      <c r="C4" s="71"/>
      <c r="D4" s="122"/>
      <c r="E4" s="123"/>
      <c r="F4" s="123"/>
      <c r="G4" s="71"/>
      <c r="H4" s="71"/>
    </row>
    <row r="5" spans="1:8" s="69" customFormat="1" ht="14">
      <c r="A5" s="77" t="s">
        <v>2200</v>
      </c>
      <c r="B5" s="124"/>
      <c r="C5" s="71" t="s">
        <v>2201</v>
      </c>
      <c r="D5" s="125"/>
      <c r="E5" s="126" t="s">
        <v>2218</v>
      </c>
      <c r="F5" s="8" t="str">
        <f>No_proyek</f>
        <v>RZ0458</v>
      </c>
      <c r="G5" s="77"/>
      <c r="H5" s="78"/>
    </row>
    <row r="6" spans="1:8" s="69" customFormat="1" ht="14">
      <c r="A6" s="77" t="s">
        <v>2203</v>
      </c>
      <c r="B6" s="124"/>
      <c r="C6" s="8" t="str">
        <f>no_kontrak</f>
        <v>127/RK-RL-PI/PAP-LL/XII/2025</v>
      </c>
      <c r="D6" s="122"/>
      <c r="E6" s="123"/>
      <c r="F6" s="123"/>
      <c r="G6" s="71"/>
      <c r="H6" s="77"/>
    </row>
    <row r="7" spans="1:8" s="69" customFormat="1" ht="14">
      <c r="A7" s="80" t="s">
        <v>1508</v>
      </c>
      <c r="B7" s="127"/>
      <c r="C7" s="8" t="str">
        <f>nip</f>
        <v>25LL017MPC</v>
      </c>
      <c r="D7" s="122"/>
      <c r="E7" s="123"/>
      <c r="F7" s="123"/>
      <c r="G7" s="71"/>
      <c r="H7" s="77"/>
    </row>
    <row r="8" spans="1:8" s="69" customFormat="1" ht="14">
      <c r="A8" s="77" t="s">
        <v>2204</v>
      </c>
      <c r="B8" s="124"/>
      <c r="C8" s="8" t="str">
        <f>nama_proyek</f>
        <v>PT Malindo Feedmill Tbk-Dry Pantry</v>
      </c>
      <c r="D8" s="122"/>
      <c r="E8" s="126" t="s">
        <v>2205</v>
      </c>
      <c r="F8" s="912"/>
      <c r="G8" s="912"/>
      <c r="H8" s="128"/>
    </row>
    <row r="9" spans="1:8" s="69" customFormat="1" ht="14">
      <c r="A9" s="907" t="s">
        <v>2206</v>
      </c>
      <c r="B9" s="907"/>
      <c r="C9" s="8" t="str">
        <f>Estimator</f>
        <v>Fahrudin</v>
      </c>
      <c r="D9" s="122"/>
      <c r="E9" s="126"/>
      <c r="F9" s="126"/>
      <c r="G9" s="71"/>
      <c r="H9" s="71"/>
    </row>
    <row r="10" spans="1:8">
      <c r="C10"/>
    </row>
    <row r="11" spans="1:8" outlineLevel="1">
      <c r="A11" s="36" t="s">
        <v>327</v>
      </c>
      <c r="B11" s="129" t="s">
        <v>1</v>
      </c>
      <c r="C11" s="129" t="s">
        <v>2219</v>
      </c>
      <c r="D11" s="129" t="s">
        <v>2150</v>
      </c>
      <c r="E11" s="129" t="s">
        <v>2220</v>
      </c>
      <c r="F11" s="129" t="s">
        <v>2221</v>
      </c>
      <c r="G11" s="129" t="s">
        <v>3</v>
      </c>
      <c r="H11" s="130" t="s">
        <v>2222</v>
      </c>
    </row>
    <row r="12" spans="1:8" outlineLevel="1">
      <c r="A12" s="36"/>
      <c r="B12" s="129">
        <f>IFERROR(INDEX((ID),MATCH(C12,BARANG,0)),"…")</f>
        <v>205345</v>
      </c>
      <c r="C12" s="59" t="str">
        <f>edging8</f>
        <v>Trim 22 S2/S4 Brown Doff ( Alm. 75270 ) P3</v>
      </c>
      <c r="D12" s="61" t="s">
        <v>2223</v>
      </c>
      <c r="E12" s="131"/>
      <c r="F12" s="129" t="s">
        <v>2224</v>
      </c>
      <c r="G12" s="36" t="s">
        <v>2505</v>
      </c>
    </row>
    <row r="13" spans="1:8" outlineLevel="1">
      <c r="A13" s="36"/>
      <c r="B13" s="129">
        <f>IFERROR(INDEX((ID),MATCH(C13,BARANG,0)),"…")</f>
        <v>205406</v>
      </c>
      <c r="C13" s="59" t="str">
        <f>edging9</f>
        <v>ST-36 Brown Doff ( Alm. 2351 ) P3 P3</v>
      </c>
      <c r="D13" s="61" t="s">
        <v>2223</v>
      </c>
      <c r="E13" s="131"/>
      <c r="F13" s="129" t="s">
        <v>2224</v>
      </c>
      <c r="G13" s="36" t="s">
        <v>2504</v>
      </c>
    </row>
    <row r="14" spans="1:8" outlineLevel="1">
      <c r="A14" s="36"/>
      <c r="B14" s="129">
        <f>IFERROR(INDEX((ID),MATCH(C14,BARANG,0)),"…")</f>
        <v>205356</v>
      </c>
      <c r="C14" s="59" t="str">
        <f>edging7</f>
        <v>Trim 21 S2/S4 Brown Doff ( Alm. 75181 ) P3</v>
      </c>
      <c r="D14" s="61" t="s">
        <v>2223</v>
      </c>
      <c r="E14" s="131"/>
      <c r="F14" s="129" t="s">
        <v>2224</v>
      </c>
      <c r="G14" s="36"/>
    </row>
    <row r="15" spans="1:8" outlineLevel="1">
      <c r="A15" s="36"/>
      <c r="B15" s="129" t="str">
        <f>IFERROR(INDEX((ID),MATCH(C15,BARANG,0)),"…")</f>
        <v>…</v>
      </c>
      <c r="C15" s="59"/>
      <c r="D15" s="61"/>
      <c r="E15" s="131"/>
      <c r="F15" s="129"/>
      <c r="G15" s="36"/>
    </row>
    <row r="16" spans="1:8">
      <c r="C16" s="58"/>
      <c r="D16" s="62"/>
      <c r="E16" s="62"/>
    </row>
    <row r="17" spans="1:6">
      <c r="A17" s="17"/>
      <c r="C17"/>
      <c r="D17"/>
      <c r="E17"/>
    </row>
    <row r="18" spans="1:6">
      <c r="A18" s="17" t="s">
        <v>2228</v>
      </c>
      <c r="C18"/>
      <c r="D18"/>
      <c r="E18"/>
    </row>
    <row r="19" spans="1:6">
      <c r="A19" s="17" t="s">
        <v>2229</v>
      </c>
      <c r="C19"/>
      <c r="D19"/>
      <c r="E19"/>
    </row>
    <row r="20" spans="1:6">
      <c r="A20" s="17"/>
      <c r="C20"/>
      <c r="D20"/>
      <c r="E20"/>
      <c r="F20"/>
    </row>
    <row r="21" spans="1:6">
      <c r="A21" s="17"/>
      <c r="C21"/>
      <c r="D21"/>
      <c r="E21"/>
      <c r="F21"/>
    </row>
    <row r="22" spans="1:6">
      <c r="A22" s="79" t="str">
        <f>CONCATENATE(,"(",koordinator,")","                     ","(",ka_rakit,")","                    ","(","                 ",")","                 ","(",ka_QC,")","         ","(",koordinator,")")</f>
        <v>(Reza Pahlevi)                     (Dedi Cahyadi)                    (                 )                 (Sukamto)         (Reza Pahlevi)</v>
      </c>
      <c r="C22"/>
      <c r="D22"/>
      <c r="E22"/>
      <c r="F22"/>
    </row>
    <row r="23" spans="1:6">
      <c r="C23"/>
      <c r="D23"/>
      <c r="E23"/>
      <c r="F23"/>
    </row>
    <row r="24" spans="1:6">
      <c r="A24" s="133" t="s">
        <v>2197</v>
      </c>
      <c r="C24"/>
      <c r="D24"/>
      <c r="E24"/>
      <c r="F24"/>
    </row>
    <row r="25" spans="1:6">
      <c r="C25"/>
      <c r="D25"/>
      <c r="E25"/>
      <c r="F25"/>
    </row>
    <row r="26" spans="1:6">
      <c r="A26" s="133"/>
      <c r="C26"/>
      <c r="D26"/>
      <c r="E26"/>
      <c r="F26"/>
    </row>
    <row r="27" spans="1:6">
      <c r="C27"/>
      <c r="D27"/>
      <c r="E27"/>
      <c r="F27"/>
    </row>
    <row r="28" spans="1:6">
      <c r="C28"/>
      <c r="D28"/>
      <c r="E28"/>
      <c r="F28"/>
    </row>
    <row r="29" spans="1:6">
      <c r="C29"/>
      <c r="D29"/>
      <c r="E29"/>
      <c r="F29"/>
    </row>
    <row r="30" spans="1:6">
      <c r="C30"/>
      <c r="D30"/>
      <c r="E30"/>
      <c r="F30"/>
    </row>
    <row r="31" spans="1:6">
      <c r="A31" s="17"/>
      <c r="C31"/>
      <c r="D31"/>
      <c r="E31"/>
      <c r="F31"/>
    </row>
    <row r="32" spans="1:6">
      <c r="A32" s="17"/>
      <c r="F32"/>
    </row>
    <row r="33" spans="1:6">
      <c r="A33" s="17"/>
      <c r="F33"/>
    </row>
    <row r="34" spans="1:6">
      <c r="A34" s="17"/>
      <c r="F34"/>
    </row>
    <row r="35" spans="1:6">
      <c r="A35" s="79"/>
      <c r="F35"/>
    </row>
  </sheetData>
  <mergeCells count="3">
    <mergeCell ref="A2:G2"/>
    <mergeCell ref="F8:G8"/>
    <mergeCell ref="A9:B9"/>
  </mergeCells>
  <pageMargins left="0.1" right="0.1" top="0.5" bottom="0.1" header="0.3" footer="0.5"/>
  <pageSetup orientation="portrait" horizontalDpi="4294967293" verticalDpi="180" r:id="rId1"/>
  <drawing r:id="rId2"/>
  <legacyDrawing r:id="rId3"/>
  <oleObjects>
    <mc:AlternateContent xmlns:mc="http://schemas.openxmlformats.org/markup-compatibility/2006">
      <mc:Choice Requires="x14">
        <oleObject progId="MSPhotoEd.3" shapeId="395271" r:id="rId4">
          <objectPr defaultSize="0" autoPict="0" altText="" r:id="rId5">
            <anchor moveWithCells="1">
              <from>
                <xdr:col>0</xdr:col>
                <xdr:colOff>76200</xdr:colOff>
                <xdr:row>0</xdr:row>
                <xdr:rowOff>0</xdr:rowOff>
              </from>
              <to>
                <xdr:col>1</xdr:col>
                <xdr:colOff>508000</xdr:colOff>
                <xdr:row>4</xdr:row>
                <xdr:rowOff>38100</xdr:rowOff>
              </to>
            </anchor>
          </objectPr>
        </oleObject>
      </mc:Choice>
      <mc:Fallback>
        <oleObject progId="MSPhotoEd.3" shapeId="395271" r:id="rId4"/>
      </mc:Fallback>
    </mc:AlternateContent>
  </oleObjec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1"/>
  <dimension ref="A1:IS389"/>
  <sheetViews>
    <sheetView view="pageBreakPreview" topLeftCell="B1" zoomScale="75" zoomScaleNormal="100" zoomScaleSheetLayoutView="75" workbookViewId="0">
      <pane ySplit="15" topLeftCell="A16" activePane="bottomLeft" state="frozen"/>
      <selection pane="bottomLeft" activeCell="B8" sqref="B8"/>
    </sheetView>
  </sheetViews>
  <sheetFormatPr baseColWidth="10" defaultColWidth="9" defaultRowHeight="16" outlineLevelCol="1"/>
  <cols>
    <col min="1" max="1" width="3.6640625" hidden="1" customWidth="1"/>
    <col min="2" max="2" width="31.6640625" customWidth="1"/>
    <col min="3" max="3" width="19.5" customWidth="1"/>
    <col min="4" max="4" width="6.6640625" customWidth="1"/>
    <col min="5" max="5" width="6.6640625" style="1" customWidth="1"/>
    <col min="6" max="7" width="4.6640625" customWidth="1"/>
    <col min="8" max="8" width="4.6640625" hidden="1" customWidth="1" outlineLevel="1"/>
    <col min="9" max="9" width="6.6640625" style="1" customWidth="1" collapsed="1"/>
  </cols>
  <sheetData>
    <row r="1" spans="1:253" ht="20">
      <c r="A1" s="915" t="s">
        <v>3823</v>
      </c>
      <c r="B1" s="915"/>
      <c r="C1" s="915"/>
      <c r="D1" s="915"/>
      <c r="E1" s="915"/>
      <c r="F1" s="915"/>
      <c r="G1" s="915"/>
      <c r="H1" s="915"/>
      <c r="I1" s="360"/>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c r="II1" s="42"/>
      <c r="IJ1" s="42"/>
      <c r="IK1" s="42"/>
      <c r="IL1" s="42"/>
      <c r="IM1" s="42"/>
      <c r="IN1" s="42"/>
      <c r="IO1" s="42"/>
      <c r="IP1" s="42"/>
      <c r="IQ1" s="42"/>
      <c r="IR1" s="42"/>
      <c r="IS1" s="42"/>
    </row>
    <row r="2" spans="1:253" ht="18">
      <c r="A2" s="3"/>
      <c r="B2" s="53" t="s">
        <v>1658</v>
      </c>
      <c r="C2" s="515"/>
      <c r="D2" s="5"/>
      <c r="E2" s="5"/>
      <c r="F2" s="5"/>
      <c r="G2" s="5"/>
      <c r="H2" s="6"/>
      <c r="I2" s="43"/>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row>
    <row r="3" spans="1:253">
      <c r="A3" s="7"/>
      <c r="B3" s="7" t="s">
        <v>327</v>
      </c>
      <c r="C3" s="8" t="str">
        <f>No_proyek</f>
        <v>RZ0458</v>
      </c>
      <c r="D3" s="8"/>
      <c r="E3" s="8"/>
      <c r="F3" s="11"/>
      <c r="G3" s="11"/>
      <c r="H3" s="12"/>
      <c r="I3" s="16"/>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c r="II3" s="42"/>
      <c r="IJ3" s="42"/>
      <c r="IK3" s="42"/>
      <c r="IL3" s="42"/>
      <c r="IM3" s="42"/>
      <c r="IN3" s="42"/>
      <c r="IO3" s="42"/>
      <c r="IP3" s="42"/>
      <c r="IQ3" s="42"/>
      <c r="IR3" s="42"/>
      <c r="IS3" s="42"/>
    </row>
    <row r="4" spans="1:253">
      <c r="A4" s="7"/>
      <c r="B4" s="7" t="s">
        <v>2174</v>
      </c>
      <c r="C4" s="8" t="str">
        <f>no_kontrak</f>
        <v>127/RK-RL-PI/PAP-LL/XII/2025</v>
      </c>
      <c r="D4" s="8"/>
      <c r="E4" s="8"/>
      <c r="F4" s="9"/>
      <c r="G4" s="9"/>
      <c r="H4" s="65"/>
      <c r="I4" s="16"/>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row>
    <row r="5" spans="1:253">
      <c r="A5" s="14"/>
      <c r="B5" s="14" t="s">
        <v>1508</v>
      </c>
      <c r="C5" s="8" t="str">
        <f>nip</f>
        <v>25LL017MPC</v>
      </c>
      <c r="D5" s="8"/>
      <c r="E5" s="8"/>
      <c r="F5" s="9"/>
      <c r="G5" s="9"/>
      <c r="H5" s="67"/>
      <c r="I5" s="16"/>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c r="II5" s="42"/>
      <c r="IJ5" s="42"/>
      <c r="IK5" s="42"/>
      <c r="IL5" s="42"/>
      <c r="IM5" s="42"/>
      <c r="IN5" s="42"/>
      <c r="IO5" s="42"/>
      <c r="IP5" s="42"/>
      <c r="IQ5" s="42"/>
      <c r="IR5" s="42"/>
      <c r="IS5" s="42"/>
    </row>
    <row r="6" spans="1:253">
      <c r="A6" s="7"/>
      <c r="B6" s="7" t="s">
        <v>2176</v>
      </c>
      <c r="C6" s="8" t="str">
        <f>nama_proyek</f>
        <v>PT Malindo Feedmill Tbk-Dry Pantry</v>
      </c>
      <c r="D6" s="8"/>
      <c r="E6" s="8"/>
      <c r="F6" s="17"/>
      <c r="G6" s="17"/>
      <c r="H6" s="18"/>
      <c r="I6" s="16"/>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42"/>
      <c r="IS6" s="42"/>
    </row>
    <row r="7" spans="1:253">
      <c r="A7" s="7"/>
      <c r="B7" s="7" t="s">
        <v>2178</v>
      </c>
      <c r="C7" s="733">
        <f>tgl</f>
        <v>46163</v>
      </c>
      <c r="D7" s="733"/>
      <c r="E7" s="733"/>
      <c r="F7" s="733"/>
      <c r="G7" s="23"/>
      <c r="H7" s="18"/>
      <c r="I7" s="16"/>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2"/>
      <c r="EH7" s="42"/>
      <c r="EI7" s="42"/>
      <c r="EJ7" s="42"/>
      <c r="EK7" s="42"/>
      <c r="EL7" s="42"/>
      <c r="EM7" s="42"/>
      <c r="EN7" s="42"/>
      <c r="EO7" s="42"/>
      <c r="EP7" s="42"/>
      <c r="EQ7" s="42"/>
      <c r="ER7" s="42"/>
      <c r="ES7" s="42"/>
      <c r="ET7" s="42"/>
      <c r="EU7" s="42"/>
      <c r="EV7" s="42"/>
      <c r="EW7" s="42"/>
      <c r="EX7" s="42"/>
      <c r="EY7" s="42"/>
      <c r="EZ7" s="42"/>
      <c r="FA7" s="42"/>
      <c r="FB7" s="42"/>
      <c r="FC7" s="42"/>
      <c r="FD7" s="42"/>
      <c r="FE7" s="42"/>
      <c r="FF7" s="42"/>
      <c r="FG7" s="42"/>
      <c r="FH7" s="42"/>
      <c r="FI7" s="42"/>
      <c r="FJ7" s="42"/>
      <c r="FK7" s="42"/>
      <c r="FL7" s="42"/>
      <c r="FM7" s="42"/>
      <c r="FN7" s="42"/>
      <c r="FO7" s="42"/>
      <c r="FP7" s="42"/>
      <c r="FQ7" s="42"/>
      <c r="FR7" s="42"/>
      <c r="FS7" s="42"/>
      <c r="FT7" s="42"/>
      <c r="FU7" s="42"/>
      <c r="FV7" s="42"/>
      <c r="FW7" s="42"/>
      <c r="FX7" s="42"/>
      <c r="FY7" s="42"/>
      <c r="FZ7" s="42"/>
      <c r="GA7" s="42"/>
      <c r="GB7" s="42"/>
      <c r="GC7" s="42"/>
      <c r="GD7" s="42"/>
      <c r="GE7" s="42"/>
      <c r="GF7" s="42"/>
      <c r="GG7" s="42"/>
      <c r="GH7" s="42"/>
      <c r="GI7" s="42"/>
      <c r="GJ7" s="42"/>
      <c r="GK7" s="42"/>
      <c r="GL7" s="42"/>
      <c r="GM7" s="42"/>
      <c r="GN7" s="42"/>
      <c r="GO7" s="42"/>
      <c r="GP7" s="42"/>
      <c r="GQ7" s="42"/>
      <c r="GR7" s="42"/>
      <c r="GS7" s="42"/>
      <c r="GT7" s="42"/>
      <c r="GU7" s="42"/>
      <c r="GV7" s="42"/>
      <c r="GW7" s="42"/>
      <c r="GX7" s="42"/>
      <c r="GY7" s="42"/>
      <c r="GZ7" s="42"/>
      <c r="HA7" s="42"/>
      <c r="HB7" s="42"/>
      <c r="HC7" s="42"/>
      <c r="HD7" s="42"/>
      <c r="HE7" s="42"/>
      <c r="HF7" s="42"/>
      <c r="HG7" s="42"/>
      <c r="HH7" s="42"/>
      <c r="HI7" s="42"/>
      <c r="HJ7" s="42"/>
      <c r="HK7" s="42"/>
      <c r="HL7" s="42"/>
      <c r="HM7" s="42"/>
      <c r="HN7" s="42"/>
      <c r="HO7" s="42"/>
      <c r="HP7" s="42"/>
      <c r="HQ7" s="42"/>
      <c r="HR7" s="42"/>
      <c r="HS7" s="42"/>
      <c r="HT7" s="42"/>
      <c r="HU7" s="42"/>
      <c r="HV7" s="42"/>
      <c r="HW7" s="42"/>
      <c r="HX7" s="42"/>
      <c r="HY7" s="42"/>
      <c r="HZ7" s="42"/>
      <c r="IA7" s="42"/>
      <c r="IB7" s="42"/>
      <c r="IC7" s="42"/>
      <c r="ID7" s="42"/>
      <c r="IE7" s="42"/>
      <c r="IF7" s="42"/>
      <c r="IG7" s="42"/>
      <c r="IH7" s="42"/>
      <c r="II7" s="42"/>
      <c r="IJ7" s="42"/>
      <c r="IK7" s="42"/>
      <c r="IL7" s="42"/>
      <c r="IM7" s="42"/>
      <c r="IN7" s="42"/>
      <c r="IO7" s="42"/>
      <c r="IP7" s="42"/>
      <c r="IQ7" s="42"/>
      <c r="IR7" s="42"/>
      <c r="IS7" s="42"/>
    </row>
    <row r="8" spans="1:253">
      <c r="A8" s="7"/>
      <c r="B8" s="7" t="s">
        <v>2179</v>
      </c>
      <c r="C8" s="24"/>
      <c r="D8" s="24"/>
      <c r="E8" s="24"/>
      <c r="F8" s="357"/>
      <c r="G8" s="357"/>
      <c r="H8" s="357"/>
      <c r="I8" s="16"/>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c r="HP8" s="42"/>
      <c r="HQ8" s="42"/>
      <c r="HR8" s="42"/>
      <c r="HS8" s="42"/>
      <c r="HT8" s="42"/>
      <c r="HU8" s="42"/>
      <c r="HV8" s="42"/>
      <c r="HW8" s="42"/>
      <c r="HX8" s="42"/>
      <c r="HY8" s="42"/>
      <c r="HZ8" s="42"/>
      <c r="IA8" s="42"/>
      <c r="IB8" s="42"/>
      <c r="IC8" s="42"/>
      <c r="ID8" s="42"/>
      <c r="IE8" s="42"/>
      <c r="IF8" s="42"/>
      <c r="IG8" s="42"/>
      <c r="IH8" s="42"/>
      <c r="II8" s="42"/>
      <c r="IJ8" s="42"/>
      <c r="IK8" s="42"/>
      <c r="IL8" s="42"/>
      <c r="IM8" s="42"/>
      <c r="IN8" s="42"/>
      <c r="IO8" s="42"/>
      <c r="IP8" s="42"/>
      <c r="IQ8" s="42"/>
      <c r="IR8" s="42"/>
      <c r="IS8" s="42"/>
    </row>
    <row r="9" spans="1:253">
      <c r="A9" s="28"/>
      <c r="B9" s="28" t="s">
        <v>2180</v>
      </c>
      <c r="C9" s="8" t="str">
        <f>Estimator</f>
        <v>Fahrudin</v>
      </c>
      <c r="D9" s="8"/>
      <c r="E9" s="8"/>
      <c r="F9" s="16"/>
      <c r="G9" s="17"/>
      <c r="H9" s="18"/>
      <c r="I9" s="16"/>
      <c r="J9" s="42"/>
      <c r="K9" s="42"/>
      <c r="L9" s="44"/>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2"/>
      <c r="DZ9" s="42"/>
      <c r="EA9" s="42"/>
      <c r="EB9" s="42"/>
      <c r="EC9" s="42"/>
      <c r="ED9" s="42"/>
      <c r="EE9" s="42"/>
      <c r="EF9" s="42"/>
      <c r="EG9" s="42"/>
      <c r="EH9" s="42"/>
      <c r="EI9" s="42"/>
      <c r="EJ9" s="42"/>
      <c r="EK9" s="42"/>
      <c r="EL9" s="42"/>
      <c r="EM9" s="42"/>
      <c r="EN9" s="42"/>
      <c r="EO9" s="42"/>
      <c r="EP9" s="42"/>
      <c r="EQ9" s="42"/>
      <c r="ER9" s="42"/>
      <c r="ES9" s="42"/>
      <c r="ET9" s="42"/>
      <c r="EU9" s="42"/>
      <c r="EV9" s="42"/>
      <c r="EW9" s="42"/>
      <c r="EX9" s="42"/>
      <c r="EY9" s="42"/>
      <c r="EZ9" s="42"/>
      <c r="FA9" s="42"/>
      <c r="FB9" s="42"/>
      <c r="FC9" s="42"/>
      <c r="FD9" s="42"/>
      <c r="FE9" s="42"/>
      <c r="FF9" s="42"/>
      <c r="FG9" s="42"/>
      <c r="FH9" s="42"/>
      <c r="FI9" s="42"/>
      <c r="FJ9" s="42"/>
      <c r="FK9" s="42"/>
      <c r="FL9" s="42"/>
      <c r="FM9" s="42"/>
      <c r="FN9" s="42"/>
      <c r="FO9" s="42"/>
      <c r="FP9" s="42"/>
      <c r="FQ9" s="42"/>
      <c r="FR9" s="42"/>
      <c r="FS9" s="42"/>
      <c r="FT9" s="42"/>
      <c r="FU9" s="42"/>
      <c r="FV9" s="42"/>
      <c r="FW9" s="42"/>
      <c r="FX9" s="42"/>
      <c r="FY9" s="42"/>
      <c r="FZ9" s="42"/>
      <c r="GA9" s="42"/>
      <c r="GB9" s="42"/>
      <c r="GC9" s="42"/>
      <c r="GD9" s="42"/>
      <c r="GE9" s="42"/>
      <c r="GF9" s="42"/>
      <c r="GG9" s="42"/>
      <c r="GH9" s="42"/>
      <c r="GI9" s="42"/>
      <c r="GJ9" s="42"/>
      <c r="GK9" s="42"/>
      <c r="GL9" s="42"/>
      <c r="GM9" s="42"/>
      <c r="GN9" s="42"/>
      <c r="GO9" s="42"/>
      <c r="GP9" s="42"/>
      <c r="GQ9" s="42"/>
      <c r="GR9" s="42"/>
      <c r="GS9" s="42"/>
      <c r="GT9" s="42"/>
      <c r="GU9" s="42"/>
      <c r="GV9" s="42"/>
      <c r="GW9" s="42"/>
      <c r="GX9" s="42"/>
      <c r="GY9" s="42"/>
      <c r="GZ9" s="42"/>
      <c r="HA9" s="42"/>
      <c r="HB9" s="42"/>
      <c r="HC9" s="42"/>
      <c r="HD9" s="42"/>
      <c r="HE9" s="42"/>
      <c r="HF9" s="42"/>
      <c r="HG9" s="42"/>
      <c r="HH9" s="42"/>
      <c r="HI9" s="42"/>
      <c r="HJ9" s="42"/>
      <c r="HK9" s="42"/>
      <c r="HL9" s="42"/>
      <c r="HM9" s="42"/>
      <c r="HN9" s="42"/>
      <c r="HO9" s="42"/>
      <c r="HP9" s="42"/>
      <c r="HQ9" s="42"/>
      <c r="HR9" s="42"/>
      <c r="HS9" s="42"/>
      <c r="HT9" s="42"/>
      <c r="HU9" s="42"/>
      <c r="HV9" s="42"/>
      <c r="HW9" s="42"/>
      <c r="HX9" s="42"/>
      <c r="HY9" s="42"/>
      <c r="HZ9" s="42"/>
      <c r="IA9" s="42"/>
      <c r="IB9" s="42"/>
      <c r="IC9" s="42"/>
      <c r="ID9" s="42"/>
      <c r="IE9" s="42"/>
      <c r="IF9" s="42"/>
      <c r="IG9" s="42"/>
      <c r="IH9" s="42"/>
      <c r="II9" s="42"/>
      <c r="IJ9" s="42"/>
      <c r="IK9" s="42"/>
      <c r="IL9" s="42"/>
      <c r="IM9" s="42"/>
      <c r="IN9" s="42"/>
      <c r="IO9" s="42"/>
      <c r="IP9" s="42"/>
      <c r="IQ9" s="42"/>
      <c r="IR9" s="42"/>
      <c r="IS9" s="42"/>
    </row>
    <row r="10" spans="1:253">
      <c r="A10" s="28"/>
      <c r="B10" s="29" t="s">
        <v>2182</v>
      </c>
      <c r="C10" s="30" t="str">
        <f>CONCATENATE("Kabinet"," ",bahan1," ",kabinet1," ",edgingkab1)</f>
        <v>Kabinet Ply HB_41130 Edg_Décor_1723_B</v>
      </c>
      <c r="D10" s="30"/>
      <c r="E10" s="30"/>
      <c r="F10" s="16"/>
      <c r="G10" s="17"/>
      <c r="H10" s="18"/>
      <c r="I10" s="16"/>
      <c r="J10" s="42"/>
      <c r="K10" s="42"/>
      <c r="L10" s="44"/>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42"/>
      <c r="IS10" s="42"/>
    </row>
    <row r="11" spans="1:253">
      <c r="A11" s="29"/>
      <c r="B11" s="29"/>
      <c r="C11" s="30" t="str">
        <f>CONCATENATE("Pintu"," ",bahan5)</f>
        <v>Pintu Ply</v>
      </c>
      <c r="D11" s="30"/>
      <c r="E11" s="30"/>
      <c r="F11" s="16"/>
      <c r="G11" s="17"/>
      <c r="H11" s="18"/>
      <c r="I11" s="16"/>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c r="FJ11" s="42"/>
      <c r="FK11" s="42"/>
      <c r="FL11" s="42"/>
      <c r="FM11" s="42"/>
      <c r="FN11" s="42"/>
      <c r="FO11" s="42"/>
      <c r="FP11" s="42"/>
      <c r="FQ11" s="42"/>
      <c r="FR11" s="42"/>
      <c r="FS11" s="42"/>
      <c r="FT11" s="42"/>
      <c r="FU11" s="42"/>
      <c r="FV11" s="42"/>
      <c r="FW11" s="42"/>
      <c r="FX11" s="42"/>
      <c r="FY11" s="42"/>
      <c r="FZ11" s="42"/>
      <c r="GA11" s="42"/>
      <c r="GB11" s="42"/>
      <c r="GC11" s="42"/>
      <c r="GD11" s="42"/>
      <c r="GE11" s="42"/>
      <c r="GF11" s="42"/>
      <c r="GG11" s="42"/>
      <c r="GH11" s="42"/>
      <c r="GI11" s="42"/>
      <c r="GJ11" s="42"/>
      <c r="GK11" s="42"/>
      <c r="GL11" s="42"/>
      <c r="GM11" s="42"/>
      <c r="GN11" s="42"/>
      <c r="GO11" s="42"/>
      <c r="GP11" s="42"/>
      <c r="GQ11" s="42"/>
      <c r="GR11" s="42"/>
      <c r="GS11" s="42"/>
      <c r="GT11" s="42"/>
      <c r="GU11" s="42"/>
      <c r="GV11" s="42"/>
      <c r="GW11" s="42"/>
      <c r="GX11" s="42"/>
      <c r="GY11" s="42"/>
      <c r="GZ11" s="42"/>
      <c r="HA11" s="42"/>
      <c r="HB11" s="42"/>
      <c r="HC11" s="42"/>
      <c r="HD11" s="42"/>
      <c r="HE11" s="42"/>
      <c r="HF11" s="42"/>
      <c r="HG11" s="42"/>
      <c r="HH11" s="42"/>
      <c r="HI11" s="42"/>
      <c r="HJ11" s="42"/>
      <c r="HK11" s="42"/>
      <c r="HL11" s="42"/>
      <c r="HM11" s="42"/>
      <c r="HN11" s="42"/>
      <c r="HO11" s="42"/>
      <c r="HP11" s="42"/>
      <c r="HQ11" s="42"/>
      <c r="HR11" s="42"/>
      <c r="HS11" s="42"/>
      <c r="HT11" s="42"/>
      <c r="HU11" s="42"/>
      <c r="HV11" s="42"/>
      <c r="HW11" s="42"/>
      <c r="HX11" s="42"/>
      <c r="HY11" s="42"/>
      <c r="HZ11" s="42"/>
      <c r="IA11" s="42"/>
      <c r="IB11" s="42"/>
      <c r="IC11" s="42"/>
      <c r="ID11" s="42"/>
      <c r="IE11" s="42"/>
      <c r="IF11" s="42"/>
      <c r="IG11" s="42"/>
      <c r="IH11" s="42"/>
      <c r="II11" s="42"/>
      <c r="IJ11" s="42"/>
      <c r="IK11" s="42"/>
      <c r="IL11" s="42"/>
      <c r="IM11" s="42"/>
      <c r="IN11" s="42"/>
      <c r="IO11" s="42"/>
      <c r="IP11" s="42"/>
      <c r="IQ11" s="42"/>
      <c r="IR11" s="42"/>
      <c r="IS11" s="42"/>
    </row>
    <row r="12" spans="1:253">
      <c r="A12" s="31"/>
      <c r="B12" s="848" t="s">
        <v>2135</v>
      </c>
      <c r="C12" s="849" t="s">
        <v>4575</v>
      </c>
      <c r="D12" s="30"/>
      <c r="E12" s="30"/>
      <c r="F12" s="16"/>
      <c r="G12" s="17"/>
      <c r="H12" s="32"/>
      <c r="I12" s="2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c r="BT12" s="42"/>
      <c r="BU12" s="42"/>
      <c r="BV12" s="42"/>
      <c r="BW12" s="42"/>
      <c r="BX12" s="42"/>
      <c r="BY12" s="42"/>
      <c r="BZ12" s="42"/>
      <c r="CA12" s="42"/>
      <c r="CB12" s="42"/>
      <c r="CC12" s="42"/>
      <c r="CD12" s="42"/>
      <c r="CE12" s="42"/>
      <c r="CF12" s="42"/>
      <c r="CG12" s="42"/>
      <c r="CH12" s="42"/>
      <c r="CI12" s="42"/>
      <c r="CJ12" s="42"/>
      <c r="CK12" s="42"/>
      <c r="CL12" s="42"/>
      <c r="CM12" s="42"/>
      <c r="CN12" s="42"/>
      <c r="CO12" s="42"/>
      <c r="CP12" s="42"/>
      <c r="CQ12" s="42"/>
      <c r="CR12" s="42"/>
      <c r="CS12" s="42"/>
      <c r="CT12" s="42"/>
      <c r="CU12" s="42"/>
      <c r="CV12" s="42"/>
      <c r="CW12" s="42"/>
      <c r="CX12" s="42"/>
      <c r="CY12" s="42"/>
      <c r="CZ12" s="42"/>
      <c r="DA12" s="42"/>
      <c r="DB12" s="42"/>
      <c r="DC12" s="42"/>
      <c r="DD12" s="42"/>
      <c r="DE12" s="42"/>
      <c r="DF12" s="42"/>
      <c r="DG12" s="42"/>
      <c r="DH12" s="42"/>
      <c r="DI12" s="42"/>
      <c r="DJ12" s="42"/>
      <c r="DK12" s="42"/>
      <c r="DL12" s="42"/>
      <c r="DM12" s="42"/>
      <c r="DN12" s="42"/>
      <c r="DO12" s="42"/>
      <c r="DP12" s="42"/>
      <c r="DQ12" s="42"/>
      <c r="DR12" s="42"/>
      <c r="DS12" s="42"/>
      <c r="DT12" s="42"/>
      <c r="DU12" s="42"/>
      <c r="DV12" s="42"/>
      <c r="DW12" s="42"/>
      <c r="DX12" s="42"/>
      <c r="DY12" s="42"/>
      <c r="DZ12" s="42"/>
      <c r="EA12" s="42"/>
      <c r="EB12" s="42"/>
      <c r="EC12" s="42"/>
      <c r="ED12" s="42"/>
      <c r="EE12" s="42"/>
      <c r="EF12" s="42"/>
      <c r="EG12" s="42"/>
      <c r="EH12" s="42"/>
      <c r="EI12" s="42"/>
      <c r="EJ12" s="42"/>
      <c r="EK12" s="42"/>
      <c r="EL12" s="42"/>
      <c r="EM12" s="42"/>
      <c r="EN12" s="42"/>
      <c r="EO12" s="42"/>
      <c r="EP12" s="42"/>
      <c r="EQ12" s="42"/>
      <c r="ER12" s="42"/>
      <c r="ES12" s="42"/>
      <c r="ET12" s="42"/>
      <c r="EU12" s="42"/>
      <c r="EV12" s="42"/>
      <c r="EW12" s="42"/>
      <c r="EX12" s="42"/>
      <c r="EY12" s="42"/>
      <c r="EZ12" s="42"/>
      <c r="FA12" s="42"/>
      <c r="FB12" s="42"/>
      <c r="FC12" s="42"/>
      <c r="FD12" s="42"/>
      <c r="FE12" s="42"/>
      <c r="FF12" s="42"/>
      <c r="FG12" s="42"/>
      <c r="FH12" s="42"/>
      <c r="FI12" s="42"/>
      <c r="FJ12" s="42"/>
      <c r="FK12" s="42"/>
      <c r="FL12" s="42"/>
      <c r="FM12" s="42"/>
      <c r="FN12" s="42"/>
      <c r="FO12" s="42"/>
      <c r="FP12" s="42"/>
      <c r="FQ12" s="42"/>
      <c r="FR12" s="42"/>
      <c r="FS12" s="42"/>
      <c r="FT12" s="42"/>
      <c r="FU12" s="42"/>
      <c r="FV12" s="42"/>
      <c r="FW12" s="42"/>
      <c r="FX12" s="42"/>
      <c r="FY12" s="42"/>
      <c r="FZ12" s="42"/>
      <c r="GA12" s="42"/>
      <c r="GB12" s="42"/>
      <c r="GC12" s="42"/>
      <c r="GD12" s="42"/>
      <c r="GE12" s="42"/>
      <c r="GF12" s="42"/>
      <c r="GG12" s="42"/>
      <c r="GH12" s="42"/>
      <c r="GI12" s="42"/>
      <c r="GJ12" s="42"/>
      <c r="GK12" s="42"/>
      <c r="GL12" s="42"/>
      <c r="GM12" s="42"/>
      <c r="GN12" s="42"/>
      <c r="GO12" s="42"/>
      <c r="GP12" s="42"/>
      <c r="GQ12" s="42"/>
      <c r="GR12" s="42"/>
      <c r="GS12" s="42"/>
      <c r="GT12" s="42"/>
      <c r="GU12" s="42"/>
      <c r="GV12" s="42"/>
      <c r="GW12" s="42"/>
      <c r="GX12" s="42"/>
      <c r="GY12" s="42"/>
      <c r="GZ12" s="42"/>
      <c r="HA12" s="42"/>
      <c r="HB12" s="42"/>
      <c r="HC12" s="42"/>
      <c r="HD12" s="42"/>
      <c r="HE12" s="42"/>
      <c r="HF12" s="42"/>
      <c r="HG12" s="42"/>
      <c r="HH12" s="42"/>
      <c r="HI12" s="42"/>
      <c r="HJ12" s="42"/>
      <c r="HK12" s="42"/>
      <c r="HL12" s="42"/>
      <c r="HM12" s="42"/>
      <c r="HN12" s="42"/>
      <c r="HO12" s="42"/>
      <c r="HP12" s="42"/>
      <c r="HQ12" s="42"/>
      <c r="HR12" s="42"/>
      <c r="HS12" s="42"/>
      <c r="HT12" s="42"/>
      <c r="HU12" s="42"/>
      <c r="HV12" s="42"/>
      <c r="HW12" s="42"/>
      <c r="HX12" s="42"/>
      <c r="HY12" s="42"/>
      <c r="HZ12" s="42"/>
      <c r="IA12" s="42"/>
      <c r="IB12" s="42"/>
      <c r="IC12" s="42"/>
      <c r="ID12" s="42"/>
      <c r="IE12" s="42"/>
      <c r="IF12" s="42"/>
      <c r="IG12" s="42"/>
      <c r="IH12" s="42"/>
      <c r="II12" s="42"/>
      <c r="IJ12" s="42"/>
      <c r="IK12" s="42"/>
      <c r="IL12" s="42"/>
      <c r="IM12" s="42"/>
      <c r="IN12" s="42"/>
      <c r="IO12" s="42"/>
      <c r="IP12" s="42"/>
      <c r="IQ12" s="42"/>
      <c r="IR12" s="42"/>
      <c r="IS12" s="42"/>
    </row>
    <row r="13" spans="1:253">
      <c r="A13" s="33"/>
      <c r="B13" s="354"/>
      <c r="D13" s="1"/>
      <c r="E13" s="230"/>
      <c r="F13" s="1"/>
      <c r="H13" s="35"/>
    </row>
    <row r="14" spans="1:253">
      <c r="A14" s="36"/>
      <c r="B14" s="941" t="s">
        <v>4234</v>
      </c>
      <c r="C14" s="942"/>
      <c r="D14" s="942"/>
      <c r="E14" s="942"/>
      <c r="F14" s="942"/>
      <c r="G14" s="942"/>
      <c r="H14" s="942"/>
      <c r="I14" s="129"/>
    </row>
    <row r="15" spans="1:253">
      <c r="A15" s="36" t="s">
        <v>2135</v>
      </c>
      <c r="B15" s="941" t="s">
        <v>2164</v>
      </c>
      <c r="C15" s="780" t="s">
        <v>2136</v>
      </c>
      <c r="D15" s="843" t="s">
        <v>1766</v>
      </c>
      <c r="E15" s="843" t="s">
        <v>1756</v>
      </c>
      <c r="F15" s="843" t="s">
        <v>2140</v>
      </c>
      <c r="G15" s="843" t="s">
        <v>2134</v>
      </c>
      <c r="H15" s="843" t="s">
        <v>4016</v>
      </c>
      <c r="I15" s="850" t="s">
        <v>2220</v>
      </c>
    </row>
    <row r="16" spans="1:253">
      <c r="A16" s="435"/>
      <c r="B16" s="847" t="s">
        <v>4373</v>
      </c>
      <c r="C16" s="847" t="s">
        <v>1028</v>
      </c>
      <c r="D16" s="847">
        <v>3000</v>
      </c>
      <c r="E16" s="847" t="s">
        <v>2185</v>
      </c>
      <c r="F16" s="847">
        <v>2</v>
      </c>
      <c r="G16" s="847" t="s">
        <v>1787</v>
      </c>
      <c r="H16" s="847" t="s">
        <v>1658</v>
      </c>
      <c r="I16" s="925">
        <v>0.1</v>
      </c>
    </row>
    <row r="17" spans="1:9">
      <c r="A17" s="435"/>
      <c r="B17" s="846" t="s">
        <v>4373</v>
      </c>
      <c r="C17" s="847" t="s">
        <v>2168</v>
      </c>
      <c r="D17" s="847">
        <v>600</v>
      </c>
      <c r="E17" s="847">
        <v>130</v>
      </c>
      <c r="F17" s="847">
        <v>1</v>
      </c>
      <c r="G17" s="847" t="s">
        <v>2166</v>
      </c>
      <c r="H17" s="847" t="s">
        <v>1658</v>
      </c>
      <c r="I17" s="925">
        <v>0.12708333333333333</v>
      </c>
    </row>
    <row r="18" spans="1:9">
      <c r="A18" s="435"/>
      <c r="B18" s="846" t="s">
        <v>4373</v>
      </c>
      <c r="C18" s="846" t="s">
        <v>2168</v>
      </c>
      <c r="D18" s="847">
        <v>2000</v>
      </c>
      <c r="E18" s="847">
        <v>209</v>
      </c>
      <c r="F18" s="847">
        <v>1</v>
      </c>
      <c r="G18" s="847" t="s">
        <v>2166</v>
      </c>
      <c r="H18" s="847" t="s">
        <v>1658</v>
      </c>
      <c r="I18" s="925">
        <v>0.24513888888888891</v>
      </c>
    </row>
    <row r="19" spans="1:9">
      <c r="A19" s="435"/>
      <c r="B19" s="846" t="s">
        <v>4373</v>
      </c>
      <c r="C19" s="846" t="s">
        <v>2168</v>
      </c>
      <c r="D19" s="847">
        <v>1490</v>
      </c>
      <c r="E19" s="847">
        <v>209</v>
      </c>
      <c r="F19" s="847">
        <v>1</v>
      </c>
      <c r="G19" s="847" t="s">
        <v>2166</v>
      </c>
      <c r="H19" s="847" t="s">
        <v>1658</v>
      </c>
      <c r="I19" s="925">
        <v>0.20812847222222222</v>
      </c>
    </row>
    <row r="20" spans="1:9">
      <c r="A20" s="435"/>
      <c r="B20" s="846" t="s">
        <v>4373</v>
      </c>
      <c r="C20" s="846" t="s">
        <v>2168</v>
      </c>
      <c r="D20" s="847">
        <v>1900</v>
      </c>
      <c r="E20" s="847">
        <v>327</v>
      </c>
      <c r="F20" s="847">
        <v>1</v>
      </c>
      <c r="G20" s="847" t="s">
        <v>2166</v>
      </c>
      <c r="H20" s="847" t="s">
        <v>1658</v>
      </c>
      <c r="I20" s="925">
        <v>0.31572916666666667</v>
      </c>
    </row>
    <row r="21" spans="1:9">
      <c r="A21" s="435"/>
      <c r="B21" s="846" t="s">
        <v>4373</v>
      </c>
      <c r="C21" s="846" t="s">
        <v>2168</v>
      </c>
      <c r="D21" s="847">
        <v>1390</v>
      </c>
      <c r="E21" s="847">
        <v>327</v>
      </c>
      <c r="F21" s="847">
        <v>1</v>
      </c>
      <c r="G21" s="847" t="s">
        <v>2166</v>
      </c>
      <c r="H21" s="847" t="s">
        <v>1658</v>
      </c>
      <c r="I21" s="925">
        <v>0.25782291666666668</v>
      </c>
    </row>
    <row r="22" spans="1:9">
      <c r="A22" s="435"/>
      <c r="B22" s="846" t="s">
        <v>4373</v>
      </c>
      <c r="C22" s="846" t="s">
        <v>2168</v>
      </c>
      <c r="D22" s="847">
        <v>2890</v>
      </c>
      <c r="E22" s="847">
        <v>130</v>
      </c>
      <c r="F22" s="847">
        <v>1</v>
      </c>
      <c r="G22" s="847" t="s">
        <v>2166</v>
      </c>
      <c r="H22" s="847" t="s">
        <v>1658</v>
      </c>
      <c r="I22" s="925">
        <v>0.23045138888888889</v>
      </c>
    </row>
    <row r="23" spans="1:9">
      <c r="A23" s="435"/>
      <c r="B23" s="846" t="s">
        <v>4373</v>
      </c>
      <c r="C23" s="847" t="s">
        <v>4703</v>
      </c>
      <c r="D23" s="847">
        <v>2000</v>
      </c>
      <c r="E23" s="847">
        <v>95</v>
      </c>
      <c r="F23" s="847">
        <v>1</v>
      </c>
      <c r="G23" s="847" t="s">
        <v>2166</v>
      </c>
      <c r="H23" s="847" t="s">
        <v>1658</v>
      </c>
      <c r="I23" s="925">
        <v>0.16597222222222224</v>
      </c>
    </row>
    <row r="24" spans="1:9">
      <c r="A24" s="435"/>
      <c r="B24" s="846" t="s">
        <v>4373</v>
      </c>
      <c r="C24" s="846" t="s">
        <v>4703</v>
      </c>
      <c r="D24" s="846">
        <v>2000</v>
      </c>
      <c r="E24" s="847">
        <v>840</v>
      </c>
      <c r="F24" s="847">
        <v>1</v>
      </c>
      <c r="G24" s="847" t="s">
        <v>2166</v>
      </c>
      <c r="H24" s="847" t="s">
        <v>1658</v>
      </c>
      <c r="I24" s="925">
        <v>0.68333333333333335</v>
      </c>
    </row>
    <row r="25" spans="1:9">
      <c r="A25" s="435"/>
      <c r="B25" s="846" t="s">
        <v>4373</v>
      </c>
      <c r="C25" s="846" t="s">
        <v>4703</v>
      </c>
      <c r="D25" s="847">
        <v>1490</v>
      </c>
      <c r="E25" s="847">
        <v>95</v>
      </c>
      <c r="F25" s="847">
        <v>1</v>
      </c>
      <c r="G25" s="847" t="s">
        <v>2166</v>
      </c>
      <c r="H25" s="847" t="s">
        <v>1658</v>
      </c>
      <c r="I25" s="925">
        <v>0.14914930555555556</v>
      </c>
    </row>
    <row r="26" spans="1:9">
      <c r="A26" s="435"/>
      <c r="B26" s="846" t="s">
        <v>4373</v>
      </c>
      <c r="C26" s="846" t="s">
        <v>4703</v>
      </c>
      <c r="D26" s="846">
        <v>1490</v>
      </c>
      <c r="E26" s="847">
        <v>840</v>
      </c>
      <c r="F26" s="847">
        <v>1</v>
      </c>
      <c r="G26" s="847" t="s">
        <v>2166</v>
      </c>
      <c r="H26" s="847" t="s">
        <v>1658</v>
      </c>
      <c r="I26" s="925">
        <v>0.5345833333333333</v>
      </c>
    </row>
    <row r="27" spans="1:9">
      <c r="A27" s="435"/>
      <c r="B27" s="846" t="s">
        <v>4373</v>
      </c>
      <c r="C27" s="847" t="s">
        <v>4704</v>
      </c>
      <c r="D27" s="847">
        <v>1333</v>
      </c>
      <c r="E27" s="847">
        <v>600</v>
      </c>
      <c r="F27" s="847">
        <v>1</v>
      </c>
      <c r="G27" s="847" t="s">
        <v>2166</v>
      </c>
      <c r="H27" s="847" t="s">
        <v>1658</v>
      </c>
      <c r="I27" s="925">
        <v>0.37770833333333331</v>
      </c>
    </row>
    <row r="28" spans="1:9">
      <c r="A28" s="435"/>
      <c r="B28" s="846" t="s">
        <v>4373</v>
      </c>
      <c r="C28" s="847" t="s">
        <v>2348</v>
      </c>
      <c r="D28" s="847">
        <v>1844</v>
      </c>
      <c r="E28" s="847">
        <v>750</v>
      </c>
      <c r="F28" s="847">
        <v>2</v>
      </c>
      <c r="G28" s="847" t="s">
        <v>2166</v>
      </c>
      <c r="H28" s="847" t="s">
        <v>1658</v>
      </c>
      <c r="I28" s="925">
        <v>1.0604166666666668</v>
      </c>
    </row>
    <row r="29" spans="1:9">
      <c r="A29" s="435"/>
      <c r="B29" s="846" t="s">
        <v>4373</v>
      </c>
      <c r="C29" s="847" t="s">
        <v>4705</v>
      </c>
      <c r="D29" s="847">
        <v>600</v>
      </c>
      <c r="E29" s="847">
        <v>960</v>
      </c>
      <c r="F29" s="847">
        <v>1</v>
      </c>
      <c r="G29" s="847" t="s">
        <v>2166</v>
      </c>
      <c r="H29" s="847" t="s">
        <v>1658</v>
      </c>
      <c r="I29" s="925">
        <v>0.30000000000000004</v>
      </c>
    </row>
    <row r="30" spans="1:9">
      <c r="A30" s="435"/>
      <c r="B30" s="846" t="s">
        <v>4373</v>
      </c>
      <c r="C30" s="846" t="s">
        <v>4705</v>
      </c>
      <c r="D30" s="847">
        <v>2880</v>
      </c>
      <c r="E30" s="847">
        <v>954</v>
      </c>
      <c r="F30" s="847">
        <v>1</v>
      </c>
      <c r="G30" s="847" t="s">
        <v>2166</v>
      </c>
      <c r="H30" s="847" t="s">
        <v>1658</v>
      </c>
      <c r="I30" s="925">
        <v>1.054</v>
      </c>
    </row>
    <row r="31" spans="1:9">
      <c r="A31" s="435"/>
      <c r="B31" s="846" t="s">
        <v>4373</v>
      </c>
      <c r="C31" s="847" t="s">
        <v>2859</v>
      </c>
      <c r="D31" s="847">
        <v>904</v>
      </c>
      <c r="E31" s="847">
        <v>560</v>
      </c>
      <c r="F31" s="847">
        <v>1</v>
      </c>
      <c r="G31" s="847" t="s">
        <v>2167</v>
      </c>
      <c r="H31" s="847" t="s">
        <v>1658</v>
      </c>
      <c r="I31" s="925">
        <v>0.27577777777777779</v>
      </c>
    </row>
    <row r="32" spans="1:9">
      <c r="A32" s="435"/>
      <c r="B32" s="846" t="s">
        <v>4373</v>
      </c>
      <c r="C32" s="847" t="s">
        <v>2837</v>
      </c>
      <c r="D32" s="847">
        <v>300</v>
      </c>
      <c r="E32" s="847">
        <v>902</v>
      </c>
      <c r="F32" s="847">
        <v>1</v>
      </c>
      <c r="G32" s="847" t="s">
        <v>2167</v>
      </c>
      <c r="H32" s="847" t="s">
        <v>1658</v>
      </c>
      <c r="I32" s="925">
        <v>0.19395833333333334</v>
      </c>
    </row>
    <row r="33" spans="1:9">
      <c r="A33" s="435"/>
      <c r="B33" s="846" t="s">
        <v>4373</v>
      </c>
      <c r="C33" s="846" t="s">
        <v>2837</v>
      </c>
      <c r="D33" s="847">
        <v>185</v>
      </c>
      <c r="E33" s="847">
        <v>902</v>
      </c>
      <c r="F33" s="847">
        <v>2</v>
      </c>
      <c r="G33" s="847" t="s">
        <v>2167</v>
      </c>
      <c r="H33" s="847" t="s">
        <v>1658</v>
      </c>
      <c r="I33" s="925">
        <v>0.21588194444444445</v>
      </c>
    </row>
    <row r="34" spans="1:9">
      <c r="A34" s="435"/>
      <c r="B34" s="846" t="s">
        <v>4373</v>
      </c>
      <c r="C34" s="847" t="s">
        <v>2349</v>
      </c>
      <c r="D34" s="847">
        <v>851</v>
      </c>
      <c r="E34" s="847">
        <v>490</v>
      </c>
      <c r="F34" s="847">
        <v>1</v>
      </c>
      <c r="G34" s="847" t="s">
        <v>2167</v>
      </c>
      <c r="H34" s="847" t="s">
        <v>1658</v>
      </c>
      <c r="I34" s="925">
        <v>0.24478819444444444</v>
      </c>
    </row>
    <row r="35" spans="1:9">
      <c r="A35" s="435"/>
      <c r="B35" s="846" t="s">
        <v>4373</v>
      </c>
      <c r="C35" s="846" t="s">
        <v>2349</v>
      </c>
      <c r="D35" s="846">
        <v>851</v>
      </c>
      <c r="E35" s="846">
        <v>490</v>
      </c>
      <c r="F35" s="847">
        <v>2</v>
      </c>
      <c r="G35" s="847" t="s">
        <v>2167</v>
      </c>
      <c r="H35" s="847" t="s">
        <v>1658</v>
      </c>
      <c r="I35" s="925">
        <v>0.3895763888888889</v>
      </c>
    </row>
    <row r="36" spans="1:9">
      <c r="A36" s="435"/>
      <c r="B36" s="846" t="s">
        <v>4373</v>
      </c>
      <c r="C36" s="847" t="s">
        <v>2858</v>
      </c>
      <c r="D36" s="847">
        <v>602</v>
      </c>
      <c r="E36" s="847">
        <v>600</v>
      </c>
      <c r="F36" s="847">
        <v>1</v>
      </c>
      <c r="G36" s="847" t="s">
        <v>2167</v>
      </c>
      <c r="H36" s="847" t="s">
        <v>1658</v>
      </c>
      <c r="I36" s="925">
        <v>0.22541666666666668</v>
      </c>
    </row>
    <row r="37" spans="1:9">
      <c r="A37" s="435"/>
      <c r="B37" s="846" t="s">
        <v>4373</v>
      </c>
      <c r="C37" s="847" t="s">
        <v>3894</v>
      </c>
      <c r="D37" s="847">
        <v>360</v>
      </c>
      <c r="E37" s="847">
        <v>490</v>
      </c>
      <c r="F37" s="847">
        <v>1</v>
      </c>
      <c r="G37" s="847" t="s">
        <v>2167</v>
      </c>
      <c r="H37" s="847" t="s">
        <v>1658</v>
      </c>
      <c r="I37" s="925">
        <v>0.16125</v>
      </c>
    </row>
    <row r="38" spans="1:9">
      <c r="A38" s="435"/>
      <c r="B38" s="846" t="s">
        <v>4373</v>
      </c>
      <c r="C38" s="847" t="s">
        <v>2854</v>
      </c>
      <c r="D38" s="847">
        <v>718</v>
      </c>
      <c r="E38" s="847">
        <v>600</v>
      </c>
      <c r="F38" s="847">
        <v>1</v>
      </c>
      <c r="G38" s="847" t="s">
        <v>2167</v>
      </c>
      <c r="H38" s="847" t="s">
        <v>1658</v>
      </c>
      <c r="I38" s="925">
        <v>0.24958333333333335</v>
      </c>
    </row>
    <row r="39" spans="1:9">
      <c r="A39" s="435"/>
      <c r="B39" s="846" t="s">
        <v>4373</v>
      </c>
      <c r="C39" s="846" t="s">
        <v>2854</v>
      </c>
      <c r="D39" s="847">
        <v>1200</v>
      </c>
      <c r="E39" s="847">
        <v>408</v>
      </c>
      <c r="F39" s="847">
        <v>1</v>
      </c>
      <c r="G39" s="847" t="s">
        <v>2167</v>
      </c>
      <c r="H39" s="847" t="s">
        <v>1658</v>
      </c>
      <c r="I39" s="925">
        <v>0.27</v>
      </c>
    </row>
    <row r="40" spans="1:9">
      <c r="A40" s="435"/>
      <c r="B40" s="846" t="s">
        <v>4373</v>
      </c>
      <c r="C40" s="847" t="s">
        <v>2870</v>
      </c>
      <c r="D40" s="847">
        <v>1200</v>
      </c>
      <c r="E40" s="847">
        <v>190</v>
      </c>
      <c r="F40" s="847">
        <v>1</v>
      </c>
      <c r="G40" s="847" t="s">
        <v>2167</v>
      </c>
      <c r="H40" s="847" t="s">
        <v>1658</v>
      </c>
      <c r="I40" s="925">
        <v>0.17916666666666667</v>
      </c>
    </row>
    <row r="41" spans="1:9">
      <c r="A41" s="435"/>
      <c r="B41" s="847"/>
      <c r="C41" s="844"/>
      <c r="D41" s="844"/>
      <c r="E41" s="844"/>
      <c r="F41" s="844"/>
      <c r="G41" s="844"/>
      <c r="H41" s="844"/>
      <c r="I41" s="925"/>
    </row>
    <row r="42" spans="1:9">
      <c r="A42" s="435"/>
      <c r="B42" s="847" t="s">
        <v>4714</v>
      </c>
      <c r="C42" s="847" t="s">
        <v>3065</v>
      </c>
      <c r="D42" s="847">
        <v>2430</v>
      </c>
      <c r="E42" s="847">
        <v>1220</v>
      </c>
      <c r="F42" s="847">
        <v>1</v>
      </c>
      <c r="G42" s="847" t="s">
        <v>2166</v>
      </c>
      <c r="H42" s="847" t="s">
        <v>4715</v>
      </c>
      <c r="I42" s="925">
        <v>1.129375</v>
      </c>
    </row>
    <row r="43" spans="1:9">
      <c r="A43" s="435"/>
      <c r="B43" s="846" t="s">
        <v>4714</v>
      </c>
      <c r="C43" s="846" t="s">
        <v>3065</v>
      </c>
      <c r="D43" s="846">
        <v>2430</v>
      </c>
      <c r="E43" s="846">
        <v>1220</v>
      </c>
      <c r="F43" s="847">
        <v>3</v>
      </c>
      <c r="G43" s="847" t="s">
        <v>2166</v>
      </c>
      <c r="H43" s="847" t="s">
        <v>4716</v>
      </c>
      <c r="I43" s="925">
        <v>3.1881249999999999</v>
      </c>
    </row>
    <row r="44" spans="1:9">
      <c r="A44" s="435"/>
      <c r="B44" s="847"/>
      <c r="C44" s="844"/>
      <c r="D44" s="844"/>
      <c r="E44" s="844"/>
      <c r="F44" s="844"/>
      <c r="G44" s="844"/>
      <c r="H44" s="844"/>
      <c r="I44" s="925"/>
    </row>
    <row r="45" spans="1:9">
      <c r="A45" s="435"/>
      <c r="B45" s="847" t="s">
        <v>4880</v>
      </c>
      <c r="C45" s="847" t="s">
        <v>3490</v>
      </c>
      <c r="D45" s="847">
        <v>295</v>
      </c>
      <c r="E45" s="847">
        <v>901</v>
      </c>
      <c r="F45" s="847">
        <v>1</v>
      </c>
      <c r="G45" s="847" t="s">
        <v>2167</v>
      </c>
      <c r="H45" s="847" t="s">
        <v>4881</v>
      </c>
      <c r="I45" s="925">
        <v>0.19228993055555554</v>
      </c>
    </row>
    <row r="46" spans="1:9">
      <c r="A46" s="435"/>
      <c r="B46" s="846" t="s">
        <v>4880</v>
      </c>
      <c r="C46" s="846" t="s">
        <v>3490</v>
      </c>
      <c r="D46" s="847">
        <v>180</v>
      </c>
      <c r="E46" s="847">
        <v>901</v>
      </c>
      <c r="F46" s="847">
        <v>2</v>
      </c>
      <c r="G46" s="847" t="s">
        <v>2167</v>
      </c>
      <c r="H46" s="847" t="s">
        <v>4882</v>
      </c>
      <c r="I46" s="925">
        <v>0.21262500000000001</v>
      </c>
    </row>
    <row r="47" spans="1:9">
      <c r="A47" s="435"/>
      <c r="B47" s="846" t="s">
        <v>4880</v>
      </c>
      <c r="C47" s="846" t="s">
        <v>3490</v>
      </c>
      <c r="D47" s="847">
        <v>713</v>
      </c>
      <c r="E47" s="847">
        <v>599</v>
      </c>
      <c r="F47" s="847">
        <v>1</v>
      </c>
      <c r="G47" s="847" t="s">
        <v>2167</v>
      </c>
      <c r="H47" s="847" t="s">
        <v>4883</v>
      </c>
      <c r="I47" s="925">
        <v>0.24829409722222223</v>
      </c>
    </row>
    <row r="48" spans="1:9">
      <c r="A48" s="435"/>
      <c r="B48" s="846" t="s">
        <v>4880</v>
      </c>
      <c r="C48" s="846" t="s">
        <v>3490</v>
      </c>
      <c r="D48" s="847">
        <v>1195</v>
      </c>
      <c r="E48" s="847">
        <v>407</v>
      </c>
      <c r="F48" s="847">
        <v>1</v>
      </c>
      <c r="G48" s="847" t="s">
        <v>2167</v>
      </c>
      <c r="H48" s="847" t="s">
        <v>4884</v>
      </c>
      <c r="I48" s="925">
        <v>0.26887673611111113</v>
      </c>
    </row>
    <row r="49" spans="1:9">
      <c r="A49" s="435"/>
      <c r="B49" s="846" t="s">
        <v>4880</v>
      </c>
      <c r="C49" s="846" t="s">
        <v>3490</v>
      </c>
      <c r="D49" s="846">
        <v>1195</v>
      </c>
      <c r="E49" s="847">
        <v>189</v>
      </c>
      <c r="F49" s="847">
        <v>1</v>
      </c>
      <c r="G49" s="847" t="s">
        <v>2167</v>
      </c>
      <c r="H49" s="847" t="s">
        <v>4885</v>
      </c>
      <c r="I49" s="925">
        <v>0.17842187500000001</v>
      </c>
    </row>
    <row r="50" spans="1:9">
      <c r="A50" s="435"/>
      <c r="B50" s="847"/>
      <c r="C50" s="844"/>
      <c r="D50" s="844"/>
      <c r="E50" s="844"/>
      <c r="F50" s="844"/>
      <c r="G50" s="844"/>
      <c r="H50" s="844"/>
      <c r="I50" s="925"/>
    </row>
    <row r="51" spans="1:9">
      <c r="A51" s="435"/>
      <c r="B51" s="847" t="s">
        <v>4717</v>
      </c>
      <c r="C51" s="847" t="s">
        <v>2666</v>
      </c>
      <c r="D51" s="847">
        <v>2430</v>
      </c>
      <c r="E51" s="847">
        <v>50</v>
      </c>
      <c r="F51" s="847">
        <v>6</v>
      </c>
      <c r="G51" s="847" t="s">
        <v>2166</v>
      </c>
      <c r="H51" s="847" t="s">
        <v>4718</v>
      </c>
      <c r="I51" s="925">
        <v>0.35312500000000002</v>
      </c>
    </row>
    <row r="52" spans="1:9">
      <c r="A52" s="435"/>
      <c r="B52" s="846" t="s">
        <v>4717</v>
      </c>
      <c r="C52" s="846" t="s">
        <v>2666</v>
      </c>
      <c r="D52" s="847">
        <v>1844</v>
      </c>
      <c r="E52" s="847">
        <v>750</v>
      </c>
      <c r="F52" s="847">
        <v>2</v>
      </c>
      <c r="G52" s="847" t="s">
        <v>2166</v>
      </c>
      <c r="H52" s="847" t="s">
        <v>4719</v>
      </c>
      <c r="I52" s="925">
        <v>1.0604166666666668</v>
      </c>
    </row>
    <row r="53" spans="1:9">
      <c r="A53" s="435"/>
      <c r="B53" s="847"/>
      <c r="C53" s="844"/>
      <c r="D53" s="844"/>
      <c r="E53" s="844"/>
      <c r="F53" s="844"/>
      <c r="G53" s="844"/>
      <c r="H53" s="844"/>
      <c r="I53" s="925"/>
    </row>
    <row r="54" spans="1:9">
      <c r="A54" s="435"/>
      <c r="B54" s="847" t="s">
        <v>4886</v>
      </c>
      <c r="C54" s="847" t="s">
        <v>1799</v>
      </c>
      <c r="D54" s="847">
        <v>490</v>
      </c>
      <c r="E54" s="847">
        <v>230</v>
      </c>
      <c r="F54" s="847">
        <v>2</v>
      </c>
      <c r="G54" s="847" t="s">
        <v>2167</v>
      </c>
      <c r="H54" s="847" t="s">
        <v>4887</v>
      </c>
      <c r="I54" s="925">
        <v>0.17826388888888889</v>
      </c>
    </row>
    <row r="55" spans="1:9">
      <c r="A55" s="435"/>
      <c r="B55" s="846" t="s">
        <v>4886</v>
      </c>
      <c r="C55" s="846" t="s">
        <v>1799</v>
      </c>
      <c r="D55" s="846">
        <v>490</v>
      </c>
      <c r="E55" s="847">
        <v>135</v>
      </c>
      <c r="F55" s="847">
        <v>4</v>
      </c>
      <c r="G55" s="847" t="s">
        <v>2167</v>
      </c>
      <c r="H55" s="847" t="s">
        <v>4888</v>
      </c>
      <c r="I55" s="925">
        <v>0.19187500000000002</v>
      </c>
    </row>
    <row r="56" spans="1:9">
      <c r="A56" s="435"/>
      <c r="B56" s="846" t="s">
        <v>4886</v>
      </c>
      <c r="C56" s="847" t="s">
        <v>1800</v>
      </c>
      <c r="D56" s="847">
        <v>825</v>
      </c>
      <c r="E56" s="847">
        <v>213</v>
      </c>
      <c r="F56" s="847">
        <v>2</v>
      </c>
      <c r="G56" s="847" t="s">
        <v>2167</v>
      </c>
      <c r="H56" s="847" t="s">
        <v>4889</v>
      </c>
      <c r="I56" s="925">
        <v>0.22203125000000001</v>
      </c>
    </row>
    <row r="57" spans="1:9">
      <c r="A57" s="435"/>
      <c r="B57" s="846" t="s">
        <v>4886</v>
      </c>
      <c r="C57" s="846" t="s">
        <v>1800</v>
      </c>
      <c r="D57" s="846">
        <v>825</v>
      </c>
      <c r="E57" s="847">
        <v>118</v>
      </c>
      <c r="F57" s="847">
        <v>4</v>
      </c>
      <c r="G57" s="847" t="s">
        <v>2167</v>
      </c>
      <c r="H57" s="847" t="s">
        <v>4890</v>
      </c>
      <c r="I57" s="925">
        <v>0.23520833333333335</v>
      </c>
    </row>
    <row r="58" spans="1:9">
      <c r="A58" s="435"/>
      <c r="B58" s="847"/>
      <c r="C58" s="844"/>
      <c r="D58" s="844"/>
      <c r="E58" s="844"/>
      <c r="F58" s="844"/>
      <c r="G58" s="844"/>
      <c r="H58" s="844"/>
      <c r="I58" s="925"/>
    </row>
    <row r="59" spans="1:9">
      <c r="A59" s="435"/>
      <c r="B59" s="847" t="s">
        <v>4720</v>
      </c>
      <c r="C59" s="847" t="s">
        <v>3861</v>
      </c>
      <c r="D59" s="847">
        <v>2430</v>
      </c>
      <c r="E59" s="847">
        <v>954</v>
      </c>
      <c r="F59" s="847">
        <v>3</v>
      </c>
      <c r="G59" s="847" t="s">
        <v>2166</v>
      </c>
      <c r="H59" s="847" t="s">
        <v>4721</v>
      </c>
      <c r="I59" s="925">
        <v>2.5148125000000001</v>
      </c>
    </row>
    <row r="60" spans="1:9">
      <c r="A60" s="435"/>
      <c r="B60" s="846" t="s">
        <v>4720</v>
      </c>
      <c r="C60" s="846" t="s">
        <v>3861</v>
      </c>
      <c r="D60" s="846">
        <v>2430</v>
      </c>
      <c r="E60" s="847">
        <v>960</v>
      </c>
      <c r="F60" s="847">
        <v>1</v>
      </c>
      <c r="G60" s="847" t="s">
        <v>2166</v>
      </c>
      <c r="H60" s="847" t="s">
        <v>4722</v>
      </c>
      <c r="I60" s="925">
        <v>0.91</v>
      </c>
    </row>
    <row r="61" spans="1:9">
      <c r="A61" s="435"/>
      <c r="B61" s="847"/>
      <c r="C61" s="844"/>
      <c r="D61" s="844"/>
      <c r="E61" s="844"/>
      <c r="F61" s="844"/>
      <c r="G61" s="844"/>
      <c r="H61" s="844"/>
      <c r="I61" s="925"/>
    </row>
    <row r="62" spans="1:9">
      <c r="A62" s="435"/>
      <c r="B62" s="847" t="s">
        <v>4891</v>
      </c>
      <c r="C62" s="847" t="s">
        <v>1828</v>
      </c>
      <c r="D62" s="847">
        <v>296</v>
      </c>
      <c r="E62" s="847">
        <v>902</v>
      </c>
      <c r="F62" s="847">
        <v>1</v>
      </c>
      <c r="G62" s="847" t="s">
        <v>2167</v>
      </c>
      <c r="H62" s="847" t="s">
        <v>1658</v>
      </c>
      <c r="I62" s="925">
        <v>0.19270555555555557</v>
      </c>
    </row>
    <row r="63" spans="1:9">
      <c r="A63" s="435"/>
      <c r="B63" s="846" t="s">
        <v>4891</v>
      </c>
      <c r="C63" s="846" t="s">
        <v>1828</v>
      </c>
      <c r="D63" s="847">
        <v>181</v>
      </c>
      <c r="E63" s="847">
        <v>902</v>
      </c>
      <c r="F63" s="847">
        <v>2</v>
      </c>
      <c r="G63" s="847" t="s">
        <v>2167</v>
      </c>
      <c r="H63" s="847" t="s">
        <v>1658</v>
      </c>
      <c r="I63" s="925">
        <v>0.21337638888888888</v>
      </c>
    </row>
    <row r="64" spans="1:9">
      <c r="A64" s="435"/>
      <c r="B64" s="846" t="s">
        <v>4891</v>
      </c>
      <c r="C64" s="847" t="s">
        <v>1815</v>
      </c>
      <c r="D64" s="847">
        <v>714</v>
      </c>
      <c r="E64" s="847">
        <v>600</v>
      </c>
      <c r="F64" s="847">
        <v>1</v>
      </c>
      <c r="G64" s="847" t="s">
        <v>2661</v>
      </c>
      <c r="H64" s="847" t="s">
        <v>1658</v>
      </c>
      <c r="I64" s="925">
        <v>0.24875</v>
      </c>
    </row>
    <row r="65" spans="2:9">
      <c r="B65" s="846" t="s">
        <v>4891</v>
      </c>
      <c r="C65" s="846" t="s">
        <v>1815</v>
      </c>
      <c r="D65" s="847">
        <v>1196</v>
      </c>
      <c r="E65" s="847">
        <v>408</v>
      </c>
      <c r="F65" s="847">
        <v>1</v>
      </c>
      <c r="G65" s="847" t="s">
        <v>2661</v>
      </c>
      <c r="H65" s="847" t="s">
        <v>1658</v>
      </c>
      <c r="I65" s="925">
        <v>0.2694333333333333</v>
      </c>
    </row>
    <row r="66" spans="2:9">
      <c r="B66" s="846" t="s">
        <v>4891</v>
      </c>
      <c r="C66" s="846" t="s">
        <v>1815</v>
      </c>
      <c r="D66" s="846">
        <v>1196</v>
      </c>
      <c r="E66" s="847">
        <v>190</v>
      </c>
      <c r="F66" s="847">
        <v>1</v>
      </c>
      <c r="G66" s="847" t="s">
        <v>2661</v>
      </c>
      <c r="H66" s="847" t="s">
        <v>1658</v>
      </c>
      <c r="I66" s="925">
        <v>0.1789027777777778</v>
      </c>
    </row>
    <row r="67" spans="2:9">
      <c r="B67" s="847"/>
      <c r="C67" s="844"/>
      <c r="D67" s="844"/>
      <c r="E67" s="844"/>
      <c r="F67" s="844"/>
      <c r="G67" s="844"/>
      <c r="H67" s="844"/>
      <c r="I67" s="925"/>
    </row>
    <row r="68" spans="2:9">
      <c r="B68" s="847" t="s">
        <v>4627</v>
      </c>
      <c r="C68" s="847" t="s">
        <v>1842</v>
      </c>
      <c r="D68" s="847">
        <v>2430</v>
      </c>
      <c r="E68" s="847">
        <v>60</v>
      </c>
      <c r="F68" s="847">
        <v>1</v>
      </c>
      <c r="G68" s="847" t="s">
        <v>2166</v>
      </c>
      <c r="H68" s="847" t="s">
        <v>4723</v>
      </c>
      <c r="I68" s="925">
        <v>0.15062500000000001</v>
      </c>
    </row>
    <row r="69" spans="2:9">
      <c r="B69" s="846" t="s">
        <v>4627</v>
      </c>
      <c r="C69" s="846" t="s">
        <v>1842</v>
      </c>
      <c r="D69" s="846">
        <v>2430</v>
      </c>
      <c r="E69" s="846">
        <v>60</v>
      </c>
      <c r="F69" s="847">
        <v>3</v>
      </c>
      <c r="G69" s="847" t="s">
        <v>2166</v>
      </c>
      <c r="H69" s="847" t="s">
        <v>4724</v>
      </c>
      <c r="I69" s="925">
        <v>0.25187500000000002</v>
      </c>
    </row>
    <row r="70" spans="2:9">
      <c r="B70" s="846" t="s">
        <v>4627</v>
      </c>
      <c r="C70" s="846" t="s">
        <v>1842</v>
      </c>
      <c r="D70" s="846">
        <v>2430</v>
      </c>
      <c r="E70" s="847">
        <v>55</v>
      </c>
      <c r="F70" s="847">
        <v>3</v>
      </c>
      <c r="G70" s="847" t="s">
        <v>2166</v>
      </c>
      <c r="H70" s="847" t="s">
        <v>4725</v>
      </c>
      <c r="I70" s="925">
        <v>0.23921875000000001</v>
      </c>
    </row>
    <row r="71" spans="2:9">
      <c r="B71" s="846" t="s">
        <v>4627</v>
      </c>
      <c r="C71" s="846" t="s">
        <v>1842</v>
      </c>
      <c r="D71" s="846">
        <v>2430</v>
      </c>
      <c r="E71" s="846">
        <v>55</v>
      </c>
      <c r="F71" s="847">
        <v>2</v>
      </c>
      <c r="G71" s="847" t="s">
        <v>2166</v>
      </c>
      <c r="H71" s="847" t="s">
        <v>4726</v>
      </c>
      <c r="I71" s="925">
        <v>0.57843749999999994</v>
      </c>
    </row>
    <row r="72" spans="2:9">
      <c r="B72" s="847"/>
      <c r="C72" s="844"/>
      <c r="D72" s="844"/>
      <c r="E72" s="844"/>
      <c r="F72" s="844"/>
      <c r="G72" s="844"/>
      <c r="H72" s="844"/>
      <c r="I72" s="925"/>
    </row>
    <row r="73" spans="2:9">
      <c r="B73" s="847" t="s">
        <v>4727</v>
      </c>
      <c r="C73" s="847" t="s">
        <v>1833</v>
      </c>
      <c r="D73" s="847">
        <v>2430</v>
      </c>
      <c r="E73" s="847">
        <v>100</v>
      </c>
      <c r="F73" s="847">
        <v>1</v>
      </c>
      <c r="G73" s="847" t="s">
        <v>2166</v>
      </c>
      <c r="H73" s="847" t="s">
        <v>4728</v>
      </c>
      <c r="I73" s="925">
        <v>0.18437500000000001</v>
      </c>
    </row>
    <row r="74" spans="2:9">
      <c r="B74" s="846" t="s">
        <v>4727</v>
      </c>
      <c r="C74" s="846" t="s">
        <v>1833</v>
      </c>
      <c r="D74" s="846">
        <v>2430</v>
      </c>
      <c r="E74" s="846">
        <v>100</v>
      </c>
      <c r="F74" s="846">
        <v>1</v>
      </c>
      <c r="G74" s="847" t="s">
        <v>2380</v>
      </c>
      <c r="H74" s="847" t="s">
        <v>4728</v>
      </c>
      <c r="I74" s="925">
        <v>0.18437500000000001</v>
      </c>
    </row>
    <row r="75" spans="2:9">
      <c r="B75" s="846" t="s">
        <v>4727</v>
      </c>
      <c r="C75" s="846" t="s">
        <v>1833</v>
      </c>
      <c r="D75" s="846">
        <v>2430</v>
      </c>
      <c r="E75" s="846">
        <v>100</v>
      </c>
      <c r="F75" s="847">
        <v>2</v>
      </c>
      <c r="G75" s="847" t="s">
        <v>2166</v>
      </c>
      <c r="H75" s="847" t="s">
        <v>4729</v>
      </c>
      <c r="I75" s="925">
        <v>0.26875000000000004</v>
      </c>
    </row>
    <row r="76" spans="2:9">
      <c r="B76" s="846" t="s">
        <v>4727</v>
      </c>
      <c r="C76" s="846" t="s">
        <v>1833</v>
      </c>
      <c r="D76" s="846">
        <v>2430</v>
      </c>
      <c r="E76" s="847">
        <v>81</v>
      </c>
      <c r="F76" s="847">
        <v>3</v>
      </c>
      <c r="G76" s="847" t="s">
        <v>2380</v>
      </c>
      <c r="H76" s="847" t="s">
        <v>4730</v>
      </c>
      <c r="I76" s="925">
        <v>0.30503124999999998</v>
      </c>
    </row>
    <row r="77" spans="2:9">
      <c r="B77" s="846" t="s">
        <v>4727</v>
      </c>
      <c r="C77" s="846" t="s">
        <v>1833</v>
      </c>
      <c r="D77" s="846">
        <v>2430</v>
      </c>
      <c r="E77" s="847">
        <v>24</v>
      </c>
      <c r="F77" s="847">
        <v>4</v>
      </c>
      <c r="G77" s="847" t="s">
        <v>2166</v>
      </c>
      <c r="H77" s="847" t="s">
        <v>4731</v>
      </c>
      <c r="I77" s="925">
        <v>0.18099999999999999</v>
      </c>
    </row>
    <row r="78" spans="2:9">
      <c r="B78" s="846" t="s">
        <v>4727</v>
      </c>
      <c r="C78" s="846" t="s">
        <v>1833</v>
      </c>
      <c r="D78" s="846">
        <v>2430</v>
      </c>
      <c r="E78" s="846">
        <v>24</v>
      </c>
      <c r="F78" s="847">
        <v>8</v>
      </c>
      <c r="G78" s="847" t="s">
        <v>2166</v>
      </c>
      <c r="H78" s="847" t="s">
        <v>4732</v>
      </c>
      <c r="I78" s="925">
        <v>0.26200000000000001</v>
      </c>
    </row>
    <row r="79" spans="2:9">
      <c r="B79" s="846" t="s">
        <v>4727</v>
      </c>
      <c r="C79" s="846" t="s">
        <v>1833</v>
      </c>
      <c r="D79" s="847">
        <v>2000</v>
      </c>
      <c r="E79" s="847">
        <v>95</v>
      </c>
      <c r="F79" s="847">
        <v>2</v>
      </c>
      <c r="G79" s="847" t="s">
        <v>2166</v>
      </c>
      <c r="H79" s="847" t="s">
        <v>4733</v>
      </c>
      <c r="I79" s="925">
        <v>0.23194444444444445</v>
      </c>
    </row>
    <row r="80" spans="2:9">
      <c r="B80" s="846" t="s">
        <v>4727</v>
      </c>
      <c r="C80" s="846" t="s">
        <v>1833</v>
      </c>
      <c r="D80" s="846">
        <v>2000</v>
      </c>
      <c r="E80" s="847">
        <v>840</v>
      </c>
      <c r="F80" s="847">
        <v>2</v>
      </c>
      <c r="G80" s="847" t="s">
        <v>2166</v>
      </c>
      <c r="H80" s="847" t="s">
        <v>4734</v>
      </c>
      <c r="I80" s="925">
        <v>1.2666666666666668</v>
      </c>
    </row>
    <row r="81" spans="2:9">
      <c r="B81" s="846" t="s">
        <v>4727</v>
      </c>
      <c r="C81" s="846" t="s">
        <v>1833</v>
      </c>
      <c r="D81" s="847">
        <v>1490</v>
      </c>
      <c r="E81" s="847">
        <v>95</v>
      </c>
      <c r="F81" s="847">
        <v>2</v>
      </c>
      <c r="G81" s="847" t="s">
        <v>2166</v>
      </c>
      <c r="H81" s="847" t="s">
        <v>4735</v>
      </c>
      <c r="I81" s="925">
        <v>0.19829861111111113</v>
      </c>
    </row>
    <row r="82" spans="2:9">
      <c r="B82" s="846" t="s">
        <v>4727</v>
      </c>
      <c r="C82" s="846" t="s">
        <v>1833</v>
      </c>
      <c r="D82" s="846">
        <v>1490</v>
      </c>
      <c r="E82" s="847">
        <v>840</v>
      </c>
      <c r="F82" s="847">
        <v>2</v>
      </c>
      <c r="G82" s="847" t="s">
        <v>2166</v>
      </c>
      <c r="H82" s="847" t="s">
        <v>4736</v>
      </c>
      <c r="I82" s="925">
        <v>0.96916666666666662</v>
      </c>
    </row>
    <row r="83" spans="2:9">
      <c r="B83" s="846" t="s">
        <v>4727</v>
      </c>
      <c r="C83" s="846" t="s">
        <v>1833</v>
      </c>
      <c r="D83" s="847">
        <v>1026</v>
      </c>
      <c r="E83" s="847">
        <v>581</v>
      </c>
      <c r="F83" s="847">
        <v>1</v>
      </c>
      <c r="G83" s="847" t="s">
        <v>2380</v>
      </c>
      <c r="H83" s="847" t="s">
        <v>4737</v>
      </c>
      <c r="I83" s="925">
        <v>0.30698124999999998</v>
      </c>
    </row>
    <row r="84" spans="2:9">
      <c r="B84" s="847"/>
      <c r="C84" s="844"/>
      <c r="D84" s="844"/>
      <c r="E84" s="844"/>
      <c r="F84" s="844"/>
      <c r="G84" s="844"/>
      <c r="H84" s="844"/>
      <c r="I84" s="925"/>
    </row>
    <row r="85" spans="2:9">
      <c r="B85" s="847" t="s">
        <v>4738</v>
      </c>
      <c r="C85" s="847" t="s">
        <v>3097</v>
      </c>
      <c r="D85" s="847">
        <v>600</v>
      </c>
      <c r="E85" s="847">
        <v>130</v>
      </c>
      <c r="F85" s="847">
        <v>1</v>
      </c>
      <c r="G85" s="847" t="s">
        <v>2166</v>
      </c>
      <c r="H85" s="847" t="s">
        <v>1658</v>
      </c>
      <c r="I85" s="925">
        <v>0.12708333333333333</v>
      </c>
    </row>
    <row r="86" spans="2:9">
      <c r="B86" s="846" t="s">
        <v>4738</v>
      </c>
      <c r="C86" s="846" t="s">
        <v>3097</v>
      </c>
      <c r="D86" s="847">
        <v>900</v>
      </c>
      <c r="E86" s="847">
        <v>130</v>
      </c>
      <c r="F86" s="847">
        <v>1</v>
      </c>
      <c r="G86" s="847" t="s">
        <v>2391</v>
      </c>
      <c r="H86" s="847" t="s">
        <v>1658</v>
      </c>
      <c r="I86" s="925">
        <v>0.140625</v>
      </c>
    </row>
    <row r="87" spans="2:9">
      <c r="B87" s="846" t="s">
        <v>4738</v>
      </c>
      <c r="C87" s="846" t="s">
        <v>3097</v>
      </c>
      <c r="D87" s="847">
        <v>1990</v>
      </c>
      <c r="E87" s="847">
        <v>130</v>
      </c>
      <c r="F87" s="847">
        <v>1</v>
      </c>
      <c r="G87" s="847" t="s">
        <v>2391</v>
      </c>
      <c r="H87" s="847" t="s">
        <v>1658</v>
      </c>
      <c r="I87" s="925">
        <v>0.18982638888888889</v>
      </c>
    </row>
    <row r="88" spans="2:9">
      <c r="B88" s="847"/>
      <c r="C88" s="844"/>
      <c r="D88" s="844"/>
      <c r="E88" s="844"/>
      <c r="F88" s="844"/>
      <c r="G88" s="844"/>
      <c r="H88" s="844"/>
      <c r="I88" s="925"/>
    </row>
    <row r="89" spans="2:9">
      <c r="B89" s="847" t="s">
        <v>4892</v>
      </c>
      <c r="C89" s="847" t="s">
        <v>1769</v>
      </c>
      <c r="D89" s="847">
        <v>732</v>
      </c>
      <c r="E89" s="847">
        <v>560</v>
      </c>
      <c r="F89" s="847">
        <v>1</v>
      </c>
      <c r="G89" s="847" t="s">
        <v>2167</v>
      </c>
      <c r="H89" s="847" t="s">
        <v>4893</v>
      </c>
      <c r="I89" s="925">
        <v>0.48466666666666669</v>
      </c>
    </row>
    <row r="90" spans="2:9">
      <c r="B90" s="846" t="s">
        <v>4892</v>
      </c>
      <c r="C90" s="846" t="s">
        <v>1769</v>
      </c>
      <c r="D90" s="847">
        <v>2404</v>
      </c>
      <c r="E90" s="847">
        <v>600</v>
      </c>
      <c r="F90" s="847">
        <v>1</v>
      </c>
      <c r="G90" s="847" t="s">
        <v>2167</v>
      </c>
      <c r="H90" s="847" t="s">
        <v>4894</v>
      </c>
      <c r="I90" s="925">
        <v>0.60083333333333333</v>
      </c>
    </row>
    <row r="91" spans="2:9">
      <c r="B91" s="846" t="s">
        <v>4892</v>
      </c>
      <c r="C91" s="847" t="s">
        <v>2817</v>
      </c>
      <c r="D91" s="847">
        <v>867</v>
      </c>
      <c r="E91" s="847">
        <v>560</v>
      </c>
      <c r="F91" s="847">
        <v>1</v>
      </c>
      <c r="G91" s="847" t="s">
        <v>2167</v>
      </c>
      <c r="H91" s="847" t="s">
        <v>4895</v>
      </c>
      <c r="I91" s="925">
        <v>0.26858333333333334</v>
      </c>
    </row>
    <row r="92" spans="2:9">
      <c r="B92" s="847"/>
      <c r="C92" s="844"/>
      <c r="D92" s="844"/>
      <c r="E92" s="844"/>
      <c r="F92" s="844"/>
      <c r="G92" s="844"/>
      <c r="H92" s="844"/>
      <c r="I92" s="925"/>
    </row>
    <row r="93" spans="2:9">
      <c r="B93" s="847" t="s">
        <v>4896</v>
      </c>
      <c r="C93" s="847" t="s">
        <v>1776</v>
      </c>
      <c r="D93" s="847">
        <v>564</v>
      </c>
      <c r="E93" s="847">
        <v>550</v>
      </c>
      <c r="F93" s="847">
        <v>1</v>
      </c>
      <c r="G93" s="847" t="s">
        <v>2167</v>
      </c>
      <c r="H93" s="847" t="s">
        <v>4897</v>
      </c>
      <c r="I93" s="925">
        <v>0.20770833333333333</v>
      </c>
    </row>
    <row r="94" spans="2:9">
      <c r="B94" s="846" t="s">
        <v>4896</v>
      </c>
      <c r="C94" s="847" t="s">
        <v>1790</v>
      </c>
      <c r="D94" s="847">
        <v>564</v>
      </c>
      <c r="E94" s="847">
        <v>582</v>
      </c>
      <c r="F94" s="847">
        <v>1</v>
      </c>
      <c r="G94" s="847" t="s">
        <v>2167</v>
      </c>
      <c r="H94" s="847" t="s">
        <v>4898</v>
      </c>
      <c r="I94" s="925">
        <v>0.21397500000000003</v>
      </c>
    </row>
    <row r="95" spans="2:9">
      <c r="B95" s="846" t="s">
        <v>4896</v>
      </c>
      <c r="C95" s="846" t="s">
        <v>1790</v>
      </c>
      <c r="D95" s="846">
        <v>564</v>
      </c>
      <c r="E95" s="847">
        <v>526</v>
      </c>
      <c r="F95" s="847">
        <v>1</v>
      </c>
      <c r="G95" s="847" t="s">
        <v>2167</v>
      </c>
      <c r="H95" s="847" t="s">
        <v>4899</v>
      </c>
      <c r="I95" s="925">
        <v>0.20300833333333335</v>
      </c>
    </row>
    <row r="96" spans="2:9">
      <c r="B96" s="846" t="s">
        <v>4896</v>
      </c>
      <c r="C96" s="847" t="s">
        <v>1786</v>
      </c>
      <c r="D96" s="847">
        <v>563</v>
      </c>
      <c r="E96" s="847">
        <v>575</v>
      </c>
      <c r="F96" s="847">
        <v>1</v>
      </c>
      <c r="G96" s="847" t="s">
        <v>2167</v>
      </c>
      <c r="H96" s="847" t="s">
        <v>4900</v>
      </c>
      <c r="I96" s="925">
        <v>0.2124045138888889</v>
      </c>
    </row>
    <row r="97" spans="2:9">
      <c r="B97" s="846" t="s">
        <v>4896</v>
      </c>
      <c r="C97" s="846" t="s">
        <v>1786</v>
      </c>
      <c r="D97" s="847">
        <v>506</v>
      </c>
      <c r="E97" s="847">
        <v>50</v>
      </c>
      <c r="F97" s="847">
        <v>1</v>
      </c>
      <c r="G97" s="847" t="s">
        <v>2167</v>
      </c>
      <c r="H97" s="847" t="s">
        <v>4901</v>
      </c>
      <c r="I97" s="925">
        <v>0.10878472222222223</v>
      </c>
    </row>
    <row r="98" spans="2:9">
      <c r="B98" s="846" t="s">
        <v>4896</v>
      </c>
      <c r="C98" s="847" t="s">
        <v>1831</v>
      </c>
      <c r="D98" s="847">
        <v>65</v>
      </c>
      <c r="E98" s="847">
        <v>370</v>
      </c>
      <c r="F98" s="847">
        <v>1</v>
      </c>
      <c r="G98" s="847" t="s">
        <v>2167</v>
      </c>
      <c r="H98" s="847" t="s">
        <v>4902</v>
      </c>
      <c r="I98" s="925">
        <v>0.10835069444444445</v>
      </c>
    </row>
    <row r="99" spans="2:9">
      <c r="B99" s="846" t="s">
        <v>4896</v>
      </c>
      <c r="C99" s="847" t="s">
        <v>1804</v>
      </c>
      <c r="D99" s="847">
        <v>360</v>
      </c>
      <c r="E99" s="847">
        <v>490</v>
      </c>
      <c r="F99" s="847">
        <v>1</v>
      </c>
      <c r="G99" s="847" t="s">
        <v>2167</v>
      </c>
      <c r="H99" s="847" t="s">
        <v>4903</v>
      </c>
      <c r="I99" s="925">
        <v>0.16125</v>
      </c>
    </row>
    <row r="100" spans="2:9">
      <c r="B100" s="847"/>
      <c r="C100" s="844"/>
      <c r="D100" s="844"/>
      <c r="E100" s="844"/>
      <c r="F100" s="844"/>
      <c r="G100" s="844"/>
      <c r="H100" s="844"/>
      <c r="I100" s="925"/>
    </row>
    <row r="101" spans="2:9">
      <c r="B101" s="847" t="s">
        <v>4904</v>
      </c>
      <c r="C101" s="847" t="s">
        <v>1781</v>
      </c>
      <c r="D101" s="847">
        <v>867</v>
      </c>
      <c r="E101" s="847">
        <v>80</v>
      </c>
      <c r="F101" s="847">
        <v>2</v>
      </c>
      <c r="G101" s="847" t="s">
        <v>2167</v>
      </c>
      <c r="H101" s="847" t="s">
        <v>4905</v>
      </c>
      <c r="I101" s="925">
        <v>0.14816666666666667</v>
      </c>
    </row>
    <row r="102" spans="2:9">
      <c r="B102" s="846" t="s">
        <v>4904</v>
      </c>
      <c r="C102" s="847" t="s">
        <v>1775</v>
      </c>
      <c r="D102" s="847">
        <v>564</v>
      </c>
      <c r="E102" s="847">
        <v>600</v>
      </c>
      <c r="F102" s="847">
        <v>1</v>
      </c>
      <c r="G102" s="847" t="s">
        <v>2661</v>
      </c>
      <c r="H102" s="847" t="s">
        <v>4906</v>
      </c>
      <c r="I102" s="925">
        <v>0.2175</v>
      </c>
    </row>
    <row r="103" spans="2:9">
      <c r="B103" s="846" t="s">
        <v>4904</v>
      </c>
      <c r="C103" s="846" t="s">
        <v>1775</v>
      </c>
      <c r="D103" s="846">
        <v>564</v>
      </c>
      <c r="E103" s="847">
        <v>550</v>
      </c>
      <c r="F103" s="847">
        <v>1</v>
      </c>
      <c r="G103" s="847" t="s">
        <v>2167</v>
      </c>
      <c r="H103" s="847" t="s">
        <v>4907</v>
      </c>
      <c r="I103" s="925">
        <v>0.20770833333333333</v>
      </c>
    </row>
    <row r="104" spans="2:9">
      <c r="B104" s="847"/>
      <c r="C104" s="844"/>
      <c r="D104" s="844"/>
      <c r="E104" s="844"/>
      <c r="F104" s="844"/>
      <c r="G104" s="844"/>
      <c r="H104" s="844"/>
      <c r="I104" s="925"/>
    </row>
    <row r="105" spans="2:9">
      <c r="B105" s="847" t="s">
        <v>4698</v>
      </c>
      <c r="C105" s="847" t="s">
        <v>3074</v>
      </c>
      <c r="D105" s="847">
        <v>1025</v>
      </c>
      <c r="E105" s="847">
        <v>400</v>
      </c>
      <c r="F105" s="847">
        <v>1</v>
      </c>
      <c r="G105" s="847" t="s">
        <v>2166</v>
      </c>
      <c r="H105" s="847" t="s">
        <v>1658</v>
      </c>
      <c r="I105" s="925">
        <v>0.24236111111111111</v>
      </c>
    </row>
    <row r="106" spans="2:9">
      <c r="B106" s="846" t="s">
        <v>4698</v>
      </c>
      <c r="C106" s="846" t="s">
        <v>3074</v>
      </c>
      <c r="D106" s="847">
        <v>1721</v>
      </c>
      <c r="E106" s="847">
        <v>400</v>
      </c>
      <c r="F106" s="847">
        <v>1</v>
      </c>
      <c r="G106" s="847" t="s">
        <v>2166</v>
      </c>
      <c r="H106" s="847" t="s">
        <v>1658</v>
      </c>
      <c r="I106" s="925">
        <v>0.33902777777777782</v>
      </c>
    </row>
    <row r="107" spans="2:9">
      <c r="B107" s="846" t="s">
        <v>4698</v>
      </c>
      <c r="C107" s="846" t="s">
        <v>3074</v>
      </c>
      <c r="D107" s="847">
        <v>2440</v>
      </c>
      <c r="E107" s="847">
        <v>400</v>
      </c>
      <c r="F107" s="847">
        <v>1</v>
      </c>
      <c r="G107" s="847" t="s">
        <v>2167</v>
      </c>
      <c r="H107" s="847" t="s">
        <v>1658</v>
      </c>
      <c r="I107" s="925">
        <v>0.43888888888888888</v>
      </c>
    </row>
    <row r="108" spans="2:9">
      <c r="B108" s="847"/>
      <c r="C108" s="844"/>
      <c r="D108" s="844"/>
      <c r="E108" s="844"/>
      <c r="F108" s="844"/>
      <c r="G108" s="844"/>
      <c r="H108" s="844"/>
      <c r="I108" s="925"/>
    </row>
    <row r="109" spans="2:9">
      <c r="B109" s="847" t="s">
        <v>4628</v>
      </c>
      <c r="C109" s="847" t="s">
        <v>1844</v>
      </c>
      <c r="D109" s="847">
        <v>172</v>
      </c>
      <c r="E109" s="847">
        <v>100</v>
      </c>
      <c r="F109" s="847">
        <v>4</v>
      </c>
      <c r="G109" s="847" t="s">
        <v>2166</v>
      </c>
      <c r="H109" s="847" t="s">
        <v>1658</v>
      </c>
      <c r="I109" s="925">
        <v>0.24777777777777779</v>
      </c>
    </row>
    <row r="110" spans="2:9">
      <c r="B110" s="846" t="s">
        <v>4628</v>
      </c>
      <c r="C110" s="846" t="s">
        <v>1844</v>
      </c>
      <c r="D110" s="847">
        <v>290</v>
      </c>
      <c r="E110" s="847">
        <v>100</v>
      </c>
      <c r="F110" s="847">
        <v>4</v>
      </c>
      <c r="G110" s="847" t="s">
        <v>2166</v>
      </c>
      <c r="H110" s="847" t="s">
        <v>1658</v>
      </c>
      <c r="I110" s="925">
        <v>0.28055555555555556</v>
      </c>
    </row>
    <row r="111" spans="2:9">
      <c r="B111" s="847"/>
      <c r="C111" s="844"/>
      <c r="D111" s="844"/>
      <c r="E111" s="844"/>
      <c r="F111" s="844"/>
      <c r="G111" s="844"/>
      <c r="H111" s="844"/>
      <c r="I111" s="925"/>
    </row>
    <row r="112" spans="2:9">
      <c r="B112" s="847" t="s">
        <v>4699</v>
      </c>
      <c r="C112" s="847" t="s">
        <v>3059</v>
      </c>
      <c r="D112" s="847">
        <v>2430</v>
      </c>
      <c r="E112" s="847">
        <v>50</v>
      </c>
      <c r="F112" s="847">
        <v>1</v>
      </c>
      <c r="G112" s="847" t="s">
        <v>2167</v>
      </c>
      <c r="H112" s="847" t="s">
        <v>1658</v>
      </c>
      <c r="I112" s="925">
        <v>0.14218750000000002</v>
      </c>
    </row>
    <row r="113" spans="2:9">
      <c r="B113" s="846" t="s">
        <v>4699</v>
      </c>
      <c r="C113" s="846" t="s">
        <v>3059</v>
      </c>
      <c r="D113" s="846">
        <v>2430</v>
      </c>
      <c r="E113" s="846">
        <v>50</v>
      </c>
      <c r="F113" s="847">
        <v>3</v>
      </c>
      <c r="G113" s="847" t="s">
        <v>2166</v>
      </c>
      <c r="H113" s="847" t="s">
        <v>1658</v>
      </c>
      <c r="I113" s="925">
        <v>0.2265625</v>
      </c>
    </row>
    <row r="114" spans="2:9">
      <c r="B114" s="846" t="s">
        <v>4699</v>
      </c>
      <c r="C114" s="846" t="s">
        <v>3059</v>
      </c>
      <c r="D114" s="847">
        <v>602</v>
      </c>
      <c r="E114" s="847">
        <v>50</v>
      </c>
      <c r="F114" s="847">
        <v>2</v>
      </c>
      <c r="G114" s="847" t="s">
        <v>2166</v>
      </c>
      <c r="H114" s="847" t="s">
        <v>1658</v>
      </c>
      <c r="I114" s="925">
        <v>0.12090277777777778</v>
      </c>
    </row>
    <row r="115" spans="2:9">
      <c r="B115" s="846" t="s">
        <v>4699</v>
      </c>
      <c r="C115" s="846" t="s">
        <v>3059</v>
      </c>
      <c r="D115" s="847">
        <v>1908</v>
      </c>
      <c r="E115" s="847">
        <v>70</v>
      </c>
      <c r="F115" s="847">
        <v>1</v>
      </c>
      <c r="G115" s="847" t="s">
        <v>2166</v>
      </c>
      <c r="H115" s="847" t="s">
        <v>1658</v>
      </c>
      <c r="I115" s="925">
        <v>0.14637500000000001</v>
      </c>
    </row>
    <row r="116" spans="2:9">
      <c r="B116" s="846" t="s">
        <v>4699</v>
      </c>
      <c r="C116" s="847" t="s">
        <v>1770</v>
      </c>
      <c r="D116" s="847">
        <v>2404</v>
      </c>
      <c r="E116" s="847">
        <v>600</v>
      </c>
      <c r="F116" s="847">
        <v>1</v>
      </c>
      <c r="G116" s="847" t="s">
        <v>2167</v>
      </c>
      <c r="H116" s="847" t="s">
        <v>4908</v>
      </c>
      <c r="I116" s="925">
        <v>0.60083333333333333</v>
      </c>
    </row>
    <row r="117" spans="2:9">
      <c r="B117" s="846" t="s">
        <v>4699</v>
      </c>
      <c r="C117" s="847" t="s">
        <v>1793</v>
      </c>
      <c r="D117" s="847">
        <v>1149</v>
      </c>
      <c r="E117" s="847">
        <v>582</v>
      </c>
      <c r="F117" s="847">
        <v>1</v>
      </c>
      <c r="G117" s="847" t="s">
        <v>2167</v>
      </c>
      <c r="H117" s="847" t="s">
        <v>4909</v>
      </c>
      <c r="I117" s="925">
        <v>0.33219375000000001</v>
      </c>
    </row>
    <row r="118" spans="2:9">
      <c r="B118" s="847"/>
      <c r="C118" s="844"/>
      <c r="D118" s="844"/>
      <c r="E118" s="844"/>
      <c r="F118" s="844"/>
      <c r="G118" s="844"/>
      <c r="H118" s="844"/>
      <c r="I118" s="925"/>
    </row>
    <row r="119" spans="2:9">
      <c r="B119" s="847" t="s">
        <v>4700</v>
      </c>
      <c r="C119" s="847" t="s">
        <v>1617</v>
      </c>
      <c r="D119" s="847">
        <v>2430</v>
      </c>
      <c r="E119" s="847">
        <v>30</v>
      </c>
      <c r="F119" s="847">
        <v>4</v>
      </c>
      <c r="G119" s="847" t="s">
        <v>2166</v>
      </c>
      <c r="H119" s="847" t="s">
        <v>1658</v>
      </c>
      <c r="I119" s="925">
        <v>0.20125000000000001</v>
      </c>
    </row>
    <row r="120" spans="2:9">
      <c r="B120" s="846" t="s">
        <v>4700</v>
      </c>
      <c r="C120" s="846" t="s">
        <v>1617</v>
      </c>
      <c r="D120" s="846">
        <v>2430</v>
      </c>
      <c r="E120" s="847">
        <v>70</v>
      </c>
      <c r="F120" s="847">
        <v>2</v>
      </c>
      <c r="G120" s="847" t="s">
        <v>2167</v>
      </c>
      <c r="H120" s="847" t="s">
        <v>1658</v>
      </c>
      <c r="I120" s="925">
        <v>0.21812500000000001</v>
      </c>
    </row>
    <row r="121" spans="2:9">
      <c r="B121" s="846" t="s">
        <v>4700</v>
      </c>
      <c r="C121" s="846" t="s">
        <v>1617</v>
      </c>
      <c r="D121" s="846">
        <v>2430</v>
      </c>
      <c r="E121" s="846">
        <v>70</v>
      </c>
      <c r="F121" s="847">
        <v>4</v>
      </c>
      <c r="G121" s="847" t="s">
        <v>2166</v>
      </c>
      <c r="H121" s="847" t="s">
        <v>1658</v>
      </c>
      <c r="I121" s="925">
        <v>0.67249999999999999</v>
      </c>
    </row>
    <row r="122" spans="2:9">
      <c r="B122" s="846" t="s">
        <v>4700</v>
      </c>
      <c r="C122" s="846" t="s">
        <v>1617</v>
      </c>
      <c r="D122" s="847">
        <v>2420</v>
      </c>
      <c r="E122" s="847">
        <v>30</v>
      </c>
      <c r="F122" s="847">
        <v>1</v>
      </c>
      <c r="G122" s="847" t="s">
        <v>2167</v>
      </c>
      <c r="H122" s="847" t="s">
        <v>1658</v>
      </c>
      <c r="I122" s="925">
        <v>0.12520833333333334</v>
      </c>
    </row>
    <row r="123" spans="2:9">
      <c r="B123" s="846" t="s">
        <v>4700</v>
      </c>
      <c r="C123" s="847" t="s">
        <v>1606</v>
      </c>
      <c r="D123" s="847">
        <v>1004</v>
      </c>
      <c r="E123" s="847">
        <v>550</v>
      </c>
      <c r="F123" s="847">
        <v>1</v>
      </c>
      <c r="G123" s="847" t="s">
        <v>2166</v>
      </c>
      <c r="H123" s="847" t="s">
        <v>1658</v>
      </c>
      <c r="I123" s="925">
        <v>0.29173611111111108</v>
      </c>
    </row>
    <row r="124" spans="2:9">
      <c r="B124" s="846" t="s">
        <v>4700</v>
      </c>
      <c r="C124" s="846" t="s">
        <v>1606</v>
      </c>
      <c r="D124" s="847">
        <v>1948</v>
      </c>
      <c r="E124" s="847">
        <v>210</v>
      </c>
      <c r="F124" s="847">
        <v>1</v>
      </c>
      <c r="G124" s="847" t="s">
        <v>3093</v>
      </c>
      <c r="H124" s="847" t="s">
        <v>1658</v>
      </c>
      <c r="I124" s="925">
        <v>0.24204166666666668</v>
      </c>
    </row>
    <row r="125" spans="2:9">
      <c r="B125" s="846" t="s">
        <v>4700</v>
      </c>
      <c r="C125" s="846" t="s">
        <v>1606</v>
      </c>
      <c r="D125" s="847">
        <v>1790</v>
      </c>
      <c r="E125" s="847">
        <v>210</v>
      </c>
      <c r="F125" s="847">
        <v>1</v>
      </c>
      <c r="G125" s="847" t="s">
        <v>2813</v>
      </c>
      <c r="H125" s="847" t="s">
        <v>1658</v>
      </c>
      <c r="I125" s="925">
        <v>0.23052083333333334</v>
      </c>
    </row>
    <row r="126" spans="2:9">
      <c r="B126" s="846" t="s">
        <v>4700</v>
      </c>
      <c r="C126" s="846" t="s">
        <v>1606</v>
      </c>
      <c r="D126" s="847">
        <v>2440</v>
      </c>
      <c r="E126" s="847">
        <v>310</v>
      </c>
      <c r="F126" s="847">
        <v>1</v>
      </c>
      <c r="G126" s="847" t="s">
        <v>2167</v>
      </c>
      <c r="H126" s="847" t="s">
        <v>1658</v>
      </c>
      <c r="I126" s="925">
        <v>0.36263888888888884</v>
      </c>
    </row>
    <row r="127" spans="2:9">
      <c r="B127" s="846" t="s">
        <v>4700</v>
      </c>
      <c r="C127" s="847" t="s">
        <v>1838</v>
      </c>
      <c r="D127" s="847">
        <v>2000</v>
      </c>
      <c r="E127" s="847">
        <v>209</v>
      </c>
      <c r="F127" s="847">
        <v>1</v>
      </c>
      <c r="G127" s="847" t="s">
        <v>3093</v>
      </c>
      <c r="H127" s="847" t="s">
        <v>1658</v>
      </c>
      <c r="I127" s="925">
        <v>0.24513888888888891</v>
      </c>
    </row>
    <row r="128" spans="2:9">
      <c r="B128" s="846" t="s">
        <v>4700</v>
      </c>
      <c r="C128" s="846" t="s">
        <v>1838</v>
      </c>
      <c r="D128" s="847">
        <v>1490</v>
      </c>
      <c r="E128" s="847">
        <v>209</v>
      </c>
      <c r="F128" s="847">
        <v>1</v>
      </c>
      <c r="G128" s="847" t="s">
        <v>3093</v>
      </c>
      <c r="H128" s="847" t="s">
        <v>1658</v>
      </c>
      <c r="I128" s="925">
        <v>0.20812847222222222</v>
      </c>
    </row>
    <row r="129" spans="2:9">
      <c r="B129" s="846" t="s">
        <v>4700</v>
      </c>
      <c r="C129" s="846" t="s">
        <v>1838</v>
      </c>
      <c r="D129" s="847">
        <v>1900</v>
      </c>
      <c r="E129" s="847">
        <v>327</v>
      </c>
      <c r="F129" s="847">
        <v>1</v>
      </c>
      <c r="G129" s="847" t="s">
        <v>2813</v>
      </c>
      <c r="H129" s="847" t="s">
        <v>1658</v>
      </c>
      <c r="I129" s="925">
        <v>0.31572916666666667</v>
      </c>
    </row>
    <row r="130" spans="2:9">
      <c r="B130" s="846" t="s">
        <v>4700</v>
      </c>
      <c r="C130" s="846" t="s">
        <v>1838</v>
      </c>
      <c r="D130" s="847">
        <v>1390</v>
      </c>
      <c r="E130" s="847">
        <v>327</v>
      </c>
      <c r="F130" s="847">
        <v>1</v>
      </c>
      <c r="G130" s="847" t="s">
        <v>2813</v>
      </c>
      <c r="H130" s="847" t="s">
        <v>1658</v>
      </c>
      <c r="I130" s="925">
        <v>0.25782291666666668</v>
      </c>
    </row>
    <row r="131" spans="2:9">
      <c r="B131" s="846" t="s">
        <v>4700</v>
      </c>
      <c r="C131" s="847" t="s">
        <v>2535</v>
      </c>
      <c r="D131" s="847">
        <v>2430</v>
      </c>
      <c r="E131" s="847">
        <v>100</v>
      </c>
      <c r="F131" s="847">
        <v>3</v>
      </c>
      <c r="G131" s="847" t="s">
        <v>2166</v>
      </c>
      <c r="H131" s="847" t="s">
        <v>1658</v>
      </c>
      <c r="I131" s="925">
        <v>0.35312500000000002</v>
      </c>
    </row>
    <row r="132" spans="2:9">
      <c r="B132" s="846" t="s">
        <v>4700</v>
      </c>
      <c r="C132" s="846" t="s">
        <v>2535</v>
      </c>
      <c r="D132" s="846">
        <v>2430</v>
      </c>
      <c r="E132" s="846">
        <v>100</v>
      </c>
      <c r="F132" s="847">
        <v>2</v>
      </c>
      <c r="G132" s="847" t="s">
        <v>2167</v>
      </c>
      <c r="H132" s="847" t="s">
        <v>1658</v>
      </c>
      <c r="I132" s="925">
        <v>0.26875000000000004</v>
      </c>
    </row>
    <row r="133" spans="2:9">
      <c r="B133" s="846" t="s">
        <v>4700</v>
      </c>
      <c r="C133" s="846" t="s">
        <v>2535</v>
      </c>
      <c r="D133" s="846">
        <v>2430</v>
      </c>
      <c r="E133" s="846">
        <v>100</v>
      </c>
      <c r="F133" s="846">
        <v>2</v>
      </c>
      <c r="G133" s="847" t="s">
        <v>2166</v>
      </c>
      <c r="H133" s="847" t="s">
        <v>1658</v>
      </c>
      <c r="I133" s="925">
        <v>0.26875000000000004</v>
      </c>
    </row>
    <row r="134" spans="2:9">
      <c r="B134" s="847"/>
      <c r="C134" s="844"/>
      <c r="D134" s="844"/>
      <c r="E134" s="844"/>
      <c r="F134" s="844"/>
      <c r="G134" s="844"/>
      <c r="H134" s="844"/>
      <c r="I134" s="925"/>
    </row>
    <row r="135" spans="2:9">
      <c r="B135" s="847" t="s">
        <v>4701</v>
      </c>
      <c r="C135" s="847" t="s">
        <v>3825</v>
      </c>
      <c r="D135" s="847">
        <v>1740</v>
      </c>
      <c r="E135" s="847">
        <v>705</v>
      </c>
      <c r="F135" s="847">
        <v>2</v>
      </c>
      <c r="G135" s="847" t="s">
        <v>2661</v>
      </c>
      <c r="H135" s="847" t="s">
        <v>1658</v>
      </c>
      <c r="I135" s="925">
        <v>0.95187500000000003</v>
      </c>
    </row>
    <row r="136" spans="2:9">
      <c r="B136" s="846" t="s">
        <v>4701</v>
      </c>
      <c r="C136" s="847" t="s">
        <v>1791</v>
      </c>
      <c r="D136" s="847">
        <v>154</v>
      </c>
      <c r="E136" s="847">
        <v>579</v>
      </c>
      <c r="F136" s="847">
        <v>3</v>
      </c>
      <c r="G136" s="847" t="s">
        <v>2167</v>
      </c>
      <c r="H136" s="847" t="s">
        <v>1658</v>
      </c>
      <c r="I136" s="925">
        <v>0.19288125</v>
      </c>
    </row>
    <row r="137" spans="2:9">
      <c r="B137" s="847"/>
      <c r="C137" s="844"/>
      <c r="D137" s="844"/>
      <c r="E137" s="844"/>
      <c r="F137" s="844"/>
      <c r="G137" s="844"/>
      <c r="H137" s="844"/>
      <c r="I137" s="925"/>
    </row>
    <row r="138" spans="2:9">
      <c r="B138" s="847" t="s">
        <v>4739</v>
      </c>
      <c r="C138" s="847" t="s">
        <v>1607</v>
      </c>
      <c r="D138" s="847">
        <v>1650</v>
      </c>
      <c r="E138" s="847">
        <v>730</v>
      </c>
      <c r="F138" s="847">
        <v>2</v>
      </c>
      <c r="G138" s="847" t="s">
        <v>2625</v>
      </c>
      <c r="H138" s="847" t="s">
        <v>1658</v>
      </c>
      <c r="I138" s="925">
        <v>0.93645833333333328</v>
      </c>
    </row>
    <row r="139" spans="2:9">
      <c r="B139" s="846" t="s">
        <v>4739</v>
      </c>
      <c r="C139" s="846" t="s">
        <v>1607</v>
      </c>
      <c r="D139" s="847">
        <v>1840</v>
      </c>
      <c r="E139" s="847">
        <v>730</v>
      </c>
      <c r="F139" s="847">
        <v>2</v>
      </c>
      <c r="G139" s="847" t="s">
        <v>2625</v>
      </c>
      <c r="H139" s="847" t="s">
        <v>1658</v>
      </c>
      <c r="I139" s="925">
        <v>1.0327777777777778</v>
      </c>
    </row>
    <row r="140" spans="2:9">
      <c r="B140" s="846" t="s">
        <v>4739</v>
      </c>
      <c r="C140" s="846" t="s">
        <v>1607</v>
      </c>
      <c r="D140" s="847">
        <v>860</v>
      </c>
      <c r="E140" s="847">
        <v>585</v>
      </c>
      <c r="F140" s="847">
        <v>1</v>
      </c>
      <c r="G140" s="847" t="s">
        <v>2167</v>
      </c>
      <c r="H140" s="847" t="s">
        <v>1658</v>
      </c>
      <c r="I140" s="925">
        <v>0.27468749999999997</v>
      </c>
    </row>
    <row r="141" spans="2:9">
      <c r="B141" s="847"/>
      <c r="C141" s="844"/>
      <c r="D141" s="844"/>
      <c r="E141" s="844"/>
      <c r="F141" s="844"/>
      <c r="G141" s="844"/>
      <c r="H141" s="844"/>
      <c r="I141" s="925"/>
    </row>
    <row r="142" spans="2:9">
      <c r="B142" s="847" t="s">
        <v>4740</v>
      </c>
      <c r="C142" s="847" t="s">
        <v>1608</v>
      </c>
      <c r="D142" s="847">
        <v>2000</v>
      </c>
      <c r="E142" s="847">
        <v>1004</v>
      </c>
      <c r="F142" s="847">
        <v>1</v>
      </c>
      <c r="G142" s="847" t="s">
        <v>2166</v>
      </c>
      <c r="H142" s="847" t="s">
        <v>1658</v>
      </c>
      <c r="I142" s="925">
        <v>0.79722222222222217</v>
      </c>
    </row>
    <row r="143" spans="2:9">
      <c r="B143" s="847"/>
      <c r="C143" s="844"/>
      <c r="D143" s="844"/>
      <c r="E143" s="844"/>
      <c r="F143" s="844"/>
      <c r="G143" s="844"/>
      <c r="H143" s="844"/>
      <c r="I143" s="925"/>
    </row>
    <row r="144" spans="2:9">
      <c r="B144" s="847" t="s">
        <v>4702</v>
      </c>
      <c r="C144" s="847" t="s">
        <v>2467</v>
      </c>
      <c r="D144" s="847">
        <v>760</v>
      </c>
      <c r="E144" s="847">
        <v>40</v>
      </c>
      <c r="F144" s="847">
        <v>1</v>
      </c>
      <c r="G144" s="847" t="s">
        <v>2166</v>
      </c>
      <c r="H144" s="847" t="s">
        <v>1658</v>
      </c>
      <c r="I144" s="925">
        <v>0.11055555555555556</v>
      </c>
    </row>
    <row r="145" spans="2:9">
      <c r="B145" s="846" t="s">
        <v>4702</v>
      </c>
      <c r="C145" s="846" t="s">
        <v>2467</v>
      </c>
      <c r="D145" s="847">
        <v>1210</v>
      </c>
      <c r="E145" s="847">
        <v>40</v>
      </c>
      <c r="F145" s="847">
        <v>1</v>
      </c>
      <c r="G145" s="847" t="s">
        <v>2166</v>
      </c>
      <c r="H145" s="847" t="s">
        <v>1658</v>
      </c>
      <c r="I145" s="925">
        <v>0.11680555555555557</v>
      </c>
    </row>
    <row r="146" spans="2:9">
      <c r="B146" s="846" t="s">
        <v>4702</v>
      </c>
      <c r="C146" s="846" t="s">
        <v>2467</v>
      </c>
      <c r="D146" s="847">
        <v>500</v>
      </c>
      <c r="E146" s="847">
        <v>40</v>
      </c>
      <c r="F146" s="847">
        <v>1</v>
      </c>
      <c r="G146" s="847" t="s">
        <v>2166</v>
      </c>
      <c r="H146" s="847" t="s">
        <v>1658</v>
      </c>
      <c r="I146" s="925">
        <v>0.10694444444444445</v>
      </c>
    </row>
    <row r="147" spans="2:9">
      <c r="B147" s="847"/>
      <c r="C147" s="844"/>
      <c r="D147" s="844"/>
      <c r="E147" s="844"/>
      <c r="F147" s="844"/>
      <c r="G147" s="844"/>
      <c r="H147" s="844"/>
      <c r="I147" s="925"/>
    </row>
    <row r="148" spans="2:9">
      <c r="B148" s="847" t="s">
        <v>4623</v>
      </c>
      <c r="C148" s="847" t="s">
        <v>1615</v>
      </c>
      <c r="D148" s="847">
        <v>2370</v>
      </c>
      <c r="E148" s="847">
        <v>588</v>
      </c>
      <c r="F148" s="847">
        <v>1</v>
      </c>
      <c r="G148" s="847" t="s">
        <v>2166</v>
      </c>
      <c r="H148" s="847" t="s">
        <v>4741</v>
      </c>
      <c r="I148" s="925">
        <v>0.58387500000000003</v>
      </c>
    </row>
    <row r="149" spans="2:9">
      <c r="B149" s="846" t="s">
        <v>4623</v>
      </c>
      <c r="C149" s="846" t="s">
        <v>1615</v>
      </c>
      <c r="D149" s="847">
        <v>1318</v>
      </c>
      <c r="E149" s="847">
        <v>588</v>
      </c>
      <c r="F149" s="847">
        <v>1</v>
      </c>
      <c r="G149" s="847" t="s">
        <v>2166</v>
      </c>
      <c r="H149" s="847" t="s">
        <v>4742</v>
      </c>
      <c r="I149" s="925">
        <v>0.36909166666666671</v>
      </c>
    </row>
    <row r="150" spans="2:9">
      <c r="B150" s="846" t="s">
        <v>4623</v>
      </c>
      <c r="C150" s="846" t="s">
        <v>1615</v>
      </c>
      <c r="D150" s="847">
        <v>1852</v>
      </c>
      <c r="E150" s="847">
        <v>688</v>
      </c>
      <c r="F150" s="847">
        <v>1</v>
      </c>
      <c r="G150" s="847" t="s">
        <v>2167</v>
      </c>
      <c r="H150" s="847" t="s">
        <v>4743</v>
      </c>
      <c r="I150" s="925">
        <v>0.54242222222222225</v>
      </c>
    </row>
    <row r="151" spans="2:9">
      <c r="B151" s="847"/>
      <c r="C151" s="844"/>
      <c r="D151" s="844"/>
      <c r="E151" s="844"/>
      <c r="F151" s="844"/>
      <c r="G151" s="844"/>
      <c r="H151" s="844"/>
      <c r="I151" s="925"/>
    </row>
    <row r="152" spans="2:9">
      <c r="B152" s="847" t="s">
        <v>4910</v>
      </c>
      <c r="C152" s="847" t="s">
        <v>1783</v>
      </c>
      <c r="D152" s="847">
        <v>710</v>
      </c>
      <c r="E152" s="847">
        <v>883</v>
      </c>
      <c r="F152" s="847">
        <v>1</v>
      </c>
      <c r="G152" s="847" t="s">
        <v>2167</v>
      </c>
      <c r="H152" s="847" t="s">
        <v>4911</v>
      </c>
      <c r="I152" s="925">
        <v>0.31768402777777782</v>
      </c>
    </row>
    <row r="153" spans="2:9">
      <c r="B153" s="846" t="s">
        <v>4910</v>
      </c>
      <c r="C153" s="846" t="s">
        <v>1783</v>
      </c>
      <c r="D153" s="847">
        <v>2343</v>
      </c>
      <c r="E153" s="847">
        <v>581</v>
      </c>
      <c r="F153" s="847">
        <v>1</v>
      </c>
      <c r="G153" s="847" t="s">
        <v>2167</v>
      </c>
      <c r="H153" s="847" t="s">
        <v>4912</v>
      </c>
      <c r="I153" s="925">
        <v>0.57266770833333336</v>
      </c>
    </row>
    <row r="154" spans="2:9">
      <c r="B154" s="846" t="s">
        <v>4910</v>
      </c>
      <c r="C154" s="846" t="s">
        <v>1783</v>
      </c>
      <c r="D154" s="847">
        <v>683</v>
      </c>
      <c r="E154" s="847">
        <v>581</v>
      </c>
      <c r="F154" s="847">
        <v>1</v>
      </c>
      <c r="G154" s="847" t="s">
        <v>2167</v>
      </c>
      <c r="H154" s="847" t="s">
        <v>4913</v>
      </c>
      <c r="I154" s="925">
        <v>0.23778576388888889</v>
      </c>
    </row>
    <row r="155" spans="2:9">
      <c r="B155" s="846" t="s">
        <v>4910</v>
      </c>
      <c r="C155" s="847" t="s">
        <v>1803</v>
      </c>
      <c r="D155" s="847">
        <v>837</v>
      </c>
      <c r="E155" s="847">
        <v>488</v>
      </c>
      <c r="F155" s="847">
        <v>1</v>
      </c>
      <c r="G155" s="847" t="s">
        <v>2167</v>
      </c>
      <c r="H155" s="847" t="s">
        <v>4914</v>
      </c>
      <c r="I155" s="925">
        <v>0.24182500000000001</v>
      </c>
    </row>
    <row r="156" spans="2:9">
      <c r="B156" s="846" t="s">
        <v>4910</v>
      </c>
      <c r="C156" s="846" t="s">
        <v>1803</v>
      </c>
      <c r="D156" s="846">
        <v>837</v>
      </c>
      <c r="E156" s="846">
        <v>488</v>
      </c>
      <c r="F156" s="847">
        <v>2</v>
      </c>
      <c r="G156" s="847" t="s">
        <v>2167</v>
      </c>
      <c r="H156" s="847" t="s">
        <v>4915</v>
      </c>
      <c r="I156" s="925">
        <v>0.38365000000000005</v>
      </c>
    </row>
    <row r="157" spans="2:9">
      <c r="B157" s="847"/>
      <c r="C157" s="844"/>
      <c r="D157" s="844"/>
      <c r="E157" s="844"/>
      <c r="F157" s="844"/>
      <c r="G157" s="844"/>
      <c r="H157" s="844"/>
      <c r="I157" s="925"/>
    </row>
    <row r="158" spans="2:9">
      <c r="B158" s="847" t="s">
        <v>4744</v>
      </c>
      <c r="C158" s="847" t="s">
        <v>1850</v>
      </c>
      <c r="D158" s="847">
        <v>2000</v>
      </c>
      <c r="E158" s="847">
        <v>95</v>
      </c>
      <c r="F158" s="847">
        <v>2</v>
      </c>
      <c r="G158" s="847" t="s">
        <v>2166</v>
      </c>
      <c r="H158" s="847" t="s">
        <v>4745</v>
      </c>
      <c r="I158" s="925">
        <v>0.23194444444444445</v>
      </c>
    </row>
    <row r="159" spans="2:9">
      <c r="B159" s="846" t="s">
        <v>4744</v>
      </c>
      <c r="C159" s="846" t="s">
        <v>1850</v>
      </c>
      <c r="D159" s="846">
        <v>2000</v>
      </c>
      <c r="E159" s="847">
        <v>840</v>
      </c>
      <c r="F159" s="847">
        <v>2</v>
      </c>
      <c r="G159" s="847" t="s">
        <v>2166</v>
      </c>
      <c r="H159" s="847" t="s">
        <v>4746</v>
      </c>
      <c r="I159" s="925">
        <v>1.2666666666666668</v>
      </c>
    </row>
    <row r="160" spans="2:9">
      <c r="B160" s="846" t="s">
        <v>4744</v>
      </c>
      <c r="C160" s="846" t="s">
        <v>1850</v>
      </c>
      <c r="D160" s="847">
        <v>1490</v>
      </c>
      <c r="E160" s="847">
        <v>95</v>
      </c>
      <c r="F160" s="847">
        <v>2</v>
      </c>
      <c r="G160" s="847" t="s">
        <v>2166</v>
      </c>
      <c r="H160" s="847" t="s">
        <v>4747</v>
      </c>
      <c r="I160" s="925">
        <v>0.19829861111111113</v>
      </c>
    </row>
    <row r="161" spans="2:9">
      <c r="B161" s="846" t="s">
        <v>4744</v>
      </c>
      <c r="C161" s="846" t="s">
        <v>1850</v>
      </c>
      <c r="D161" s="846">
        <v>1490</v>
      </c>
      <c r="E161" s="847">
        <v>840</v>
      </c>
      <c r="F161" s="847">
        <v>2</v>
      </c>
      <c r="G161" s="847" t="s">
        <v>2166</v>
      </c>
      <c r="H161" s="847" t="s">
        <v>4748</v>
      </c>
      <c r="I161" s="925">
        <v>0.96916666666666662</v>
      </c>
    </row>
    <row r="162" spans="2:9">
      <c r="B162" s="847"/>
      <c r="C162" s="844"/>
      <c r="D162" s="844"/>
      <c r="E162" s="844"/>
      <c r="F162" s="844"/>
      <c r="G162" s="844"/>
      <c r="H162" s="844"/>
      <c r="I162" s="925"/>
    </row>
    <row r="163" spans="2:9">
      <c r="B163" s="847" t="s">
        <v>2185</v>
      </c>
      <c r="C163" s="847" t="s">
        <v>2185</v>
      </c>
      <c r="D163" s="847" t="s">
        <v>2185</v>
      </c>
      <c r="E163" s="847" t="s">
        <v>2185</v>
      </c>
      <c r="F163" s="847" t="s">
        <v>2185</v>
      </c>
      <c r="G163" s="847" t="s">
        <v>1787</v>
      </c>
      <c r="H163" s="847" t="s">
        <v>2185</v>
      </c>
      <c r="I163" s="925"/>
    </row>
    <row r="164" spans="2:9">
      <c r="B164" s="846" t="s">
        <v>2185</v>
      </c>
      <c r="C164" s="846" t="s">
        <v>2185</v>
      </c>
      <c r="D164" s="846" t="s">
        <v>2185</v>
      </c>
      <c r="E164" s="846" t="s">
        <v>2185</v>
      </c>
      <c r="F164" s="846" t="s">
        <v>2185</v>
      </c>
      <c r="G164" s="847" t="s">
        <v>2185</v>
      </c>
      <c r="H164" s="847" t="s">
        <v>1658</v>
      </c>
      <c r="I164" s="925">
        <v>0.7</v>
      </c>
    </row>
    <row r="165" spans="2:9">
      <c r="B165" s="846" t="s">
        <v>2185</v>
      </c>
      <c r="C165" s="847" t="s">
        <v>465</v>
      </c>
      <c r="D165" s="847" t="s">
        <v>2185</v>
      </c>
      <c r="E165" s="847" t="s">
        <v>2185</v>
      </c>
      <c r="F165" s="847">
        <v>0</v>
      </c>
      <c r="G165" s="847" t="s">
        <v>1787</v>
      </c>
      <c r="H165" s="847" t="s">
        <v>2185</v>
      </c>
      <c r="I165" s="925"/>
    </row>
    <row r="166" spans="2:9">
      <c r="B166" s="846" t="s">
        <v>2185</v>
      </c>
      <c r="C166" s="847" t="s">
        <v>467</v>
      </c>
      <c r="D166" s="847" t="s">
        <v>2185</v>
      </c>
      <c r="E166" s="847" t="s">
        <v>2185</v>
      </c>
      <c r="F166" s="847">
        <v>0</v>
      </c>
      <c r="G166" s="847" t="s">
        <v>1787</v>
      </c>
      <c r="H166" s="847" t="s">
        <v>2185</v>
      </c>
      <c r="I166" s="925"/>
    </row>
    <row r="167" spans="2:9">
      <c r="B167" s="846" t="s">
        <v>2185</v>
      </c>
      <c r="C167" s="847" t="s">
        <v>446</v>
      </c>
      <c r="D167" s="847" t="s">
        <v>2185</v>
      </c>
      <c r="E167" s="847" t="s">
        <v>2185</v>
      </c>
      <c r="F167" s="847">
        <v>0</v>
      </c>
      <c r="G167" s="847" t="s">
        <v>1787</v>
      </c>
      <c r="H167" s="847" t="s">
        <v>2185</v>
      </c>
      <c r="I167" s="925"/>
    </row>
    <row r="168" spans="2:9">
      <c r="B168" s="846" t="s">
        <v>2185</v>
      </c>
      <c r="C168" s="847" t="s">
        <v>433</v>
      </c>
      <c r="D168" s="847" t="s">
        <v>2185</v>
      </c>
      <c r="E168" s="847" t="s">
        <v>2185</v>
      </c>
      <c r="F168" s="847">
        <v>0</v>
      </c>
      <c r="G168" s="847" t="s">
        <v>1787</v>
      </c>
      <c r="H168" s="847" t="s">
        <v>2185</v>
      </c>
      <c r="I168" s="925"/>
    </row>
    <row r="169" spans="2:9">
      <c r="B169" s="846" t="s">
        <v>2185</v>
      </c>
      <c r="C169" s="847" t="s">
        <v>344</v>
      </c>
      <c r="D169" s="847" t="s">
        <v>2185</v>
      </c>
      <c r="E169" s="847" t="s">
        <v>2185</v>
      </c>
      <c r="F169" s="847">
        <v>0</v>
      </c>
      <c r="G169" s="847" t="s">
        <v>1787</v>
      </c>
      <c r="H169" s="847" t="s">
        <v>2185</v>
      </c>
      <c r="I169" s="925"/>
    </row>
    <row r="170" spans="2:9">
      <c r="B170" s="846" t="s">
        <v>2185</v>
      </c>
      <c r="C170" s="847" t="s">
        <v>487</v>
      </c>
      <c r="D170" s="847" t="s">
        <v>2185</v>
      </c>
      <c r="E170" s="847" t="s">
        <v>2185</v>
      </c>
      <c r="F170" s="847">
        <v>0</v>
      </c>
      <c r="G170" s="847" t="s">
        <v>1787</v>
      </c>
      <c r="H170" s="847" t="s">
        <v>2185</v>
      </c>
      <c r="I170" s="925"/>
    </row>
    <row r="171" spans="2:9">
      <c r="B171" s="846" t="s">
        <v>2185</v>
      </c>
      <c r="C171" s="847" t="s">
        <v>4297</v>
      </c>
      <c r="D171" s="847" t="s">
        <v>2185</v>
      </c>
      <c r="E171" s="847" t="s">
        <v>2185</v>
      </c>
      <c r="F171" s="847">
        <v>0</v>
      </c>
      <c r="G171" s="847" t="s">
        <v>1787</v>
      </c>
      <c r="H171" s="847" t="s">
        <v>2185</v>
      </c>
      <c r="I171" s="925"/>
    </row>
    <row r="172" spans="2:9">
      <c r="B172" s="846" t="s">
        <v>2185</v>
      </c>
      <c r="C172" s="847" t="s">
        <v>4300</v>
      </c>
      <c r="D172" s="847" t="s">
        <v>2185</v>
      </c>
      <c r="E172" s="847" t="s">
        <v>2185</v>
      </c>
      <c r="F172" s="847">
        <v>0</v>
      </c>
      <c r="G172" s="847" t="s">
        <v>1787</v>
      </c>
      <c r="H172" s="847" t="s">
        <v>2185</v>
      </c>
      <c r="I172" s="925"/>
    </row>
    <row r="173" spans="2:9">
      <c r="B173" s="846" t="s">
        <v>2185</v>
      </c>
      <c r="C173" s="847" t="s">
        <v>523</v>
      </c>
      <c r="D173" s="847" t="s">
        <v>2185</v>
      </c>
      <c r="E173" s="847" t="s">
        <v>2185</v>
      </c>
      <c r="F173" s="847">
        <v>0</v>
      </c>
      <c r="G173" s="847" t="s">
        <v>1787</v>
      </c>
      <c r="H173" s="847" t="s">
        <v>2185</v>
      </c>
      <c r="I173" s="925"/>
    </row>
    <row r="174" spans="2:9">
      <c r="B174" s="846" t="s">
        <v>2185</v>
      </c>
      <c r="C174" s="847" t="s">
        <v>525</v>
      </c>
      <c r="D174" s="847" t="s">
        <v>2185</v>
      </c>
      <c r="E174" s="847" t="s">
        <v>2185</v>
      </c>
      <c r="F174" s="847">
        <v>0</v>
      </c>
      <c r="G174" s="847" t="s">
        <v>1787</v>
      </c>
      <c r="H174" s="847" t="s">
        <v>2185</v>
      </c>
      <c r="I174" s="925"/>
    </row>
    <row r="175" spans="2:9">
      <c r="B175" s="846" t="s">
        <v>2185</v>
      </c>
      <c r="C175" s="847" t="s">
        <v>518</v>
      </c>
      <c r="D175" s="847" t="s">
        <v>2185</v>
      </c>
      <c r="E175" s="847" t="s">
        <v>2185</v>
      </c>
      <c r="F175" s="847">
        <v>0</v>
      </c>
      <c r="G175" s="847" t="s">
        <v>1787</v>
      </c>
      <c r="H175" s="847" t="s">
        <v>2185</v>
      </c>
      <c r="I175" s="925"/>
    </row>
    <row r="176" spans="2:9">
      <c r="B176" s="846" t="s">
        <v>2185</v>
      </c>
      <c r="C176" s="847" t="s">
        <v>538</v>
      </c>
      <c r="D176" s="847" t="s">
        <v>2185</v>
      </c>
      <c r="E176" s="847" t="s">
        <v>2185</v>
      </c>
      <c r="F176" s="847">
        <v>0</v>
      </c>
      <c r="G176" s="847" t="s">
        <v>1787</v>
      </c>
      <c r="H176" s="847" t="s">
        <v>2185</v>
      </c>
      <c r="I176" s="925"/>
    </row>
    <row r="177" spans="2:9">
      <c r="B177" s="846" t="s">
        <v>2185</v>
      </c>
      <c r="C177" s="847" t="s">
        <v>3049</v>
      </c>
      <c r="D177" s="847" t="s">
        <v>2185</v>
      </c>
      <c r="E177" s="847" t="s">
        <v>2185</v>
      </c>
      <c r="F177" s="847">
        <v>0</v>
      </c>
      <c r="G177" s="847" t="s">
        <v>1787</v>
      </c>
      <c r="H177" s="847" t="s">
        <v>2185</v>
      </c>
      <c r="I177" s="925"/>
    </row>
    <row r="178" spans="2:9">
      <c r="B178" s="846" t="s">
        <v>2185</v>
      </c>
      <c r="C178" s="847" t="s">
        <v>2971</v>
      </c>
      <c r="D178" s="847" t="s">
        <v>2185</v>
      </c>
      <c r="E178" s="847" t="s">
        <v>2185</v>
      </c>
      <c r="F178" s="847">
        <v>0</v>
      </c>
      <c r="G178" s="847" t="s">
        <v>1787</v>
      </c>
      <c r="H178" s="847" t="s">
        <v>2185</v>
      </c>
      <c r="I178" s="925"/>
    </row>
    <row r="179" spans="2:9">
      <c r="B179" s="846" t="s">
        <v>2185</v>
      </c>
      <c r="C179" s="847" t="s">
        <v>4112</v>
      </c>
      <c r="D179" s="847" t="s">
        <v>2185</v>
      </c>
      <c r="E179" s="847" t="s">
        <v>2185</v>
      </c>
      <c r="F179" s="847">
        <v>0</v>
      </c>
      <c r="G179" s="847" t="s">
        <v>1787</v>
      </c>
      <c r="H179" s="847" t="s">
        <v>2185</v>
      </c>
      <c r="I179" s="925"/>
    </row>
    <row r="180" spans="2:9">
      <c r="B180" s="846" t="s">
        <v>2185</v>
      </c>
      <c r="C180" s="847" t="s">
        <v>2522</v>
      </c>
      <c r="D180" s="847" t="s">
        <v>2185</v>
      </c>
      <c r="E180" s="847" t="s">
        <v>2185</v>
      </c>
      <c r="F180" s="847">
        <v>0</v>
      </c>
      <c r="G180" s="847" t="s">
        <v>1787</v>
      </c>
      <c r="H180" s="847" t="s">
        <v>2185</v>
      </c>
      <c r="I180" s="925"/>
    </row>
    <row r="181" spans="2:9">
      <c r="B181" s="846" t="s">
        <v>2185</v>
      </c>
      <c r="C181" s="847" t="s">
        <v>373</v>
      </c>
      <c r="D181" s="847" t="s">
        <v>2185</v>
      </c>
      <c r="E181" s="847" t="s">
        <v>2185</v>
      </c>
      <c r="F181" s="847">
        <v>0</v>
      </c>
      <c r="G181" s="847" t="s">
        <v>1787</v>
      </c>
      <c r="H181" s="847" t="s">
        <v>2185</v>
      </c>
      <c r="I181" s="925"/>
    </row>
    <row r="182" spans="2:9">
      <c r="B182" s="846" t="s">
        <v>2185</v>
      </c>
      <c r="C182" s="847" t="s">
        <v>375</v>
      </c>
      <c r="D182" s="847" t="s">
        <v>2185</v>
      </c>
      <c r="E182" s="847" t="s">
        <v>2185</v>
      </c>
      <c r="F182" s="847">
        <v>4</v>
      </c>
      <c r="G182" s="847" t="s">
        <v>1787</v>
      </c>
      <c r="H182" s="847" t="s">
        <v>2185</v>
      </c>
      <c r="I182" s="925"/>
    </row>
    <row r="183" spans="2:9">
      <c r="B183" s="846" t="s">
        <v>2185</v>
      </c>
      <c r="C183" s="847" t="s">
        <v>353</v>
      </c>
      <c r="D183" s="847" t="s">
        <v>2185</v>
      </c>
      <c r="E183" s="847" t="s">
        <v>2185</v>
      </c>
      <c r="F183" s="847">
        <v>0</v>
      </c>
      <c r="G183" s="847" t="s">
        <v>1787</v>
      </c>
      <c r="H183" s="847" t="s">
        <v>2185</v>
      </c>
      <c r="I183" s="925"/>
    </row>
    <row r="184" spans="2:9">
      <c r="B184" s="846" t="s">
        <v>2185</v>
      </c>
      <c r="C184" s="847" t="s">
        <v>3898</v>
      </c>
      <c r="D184" s="847" t="s">
        <v>2185</v>
      </c>
      <c r="E184" s="847" t="s">
        <v>2185</v>
      </c>
      <c r="F184" s="847">
        <v>0</v>
      </c>
      <c r="G184" s="847" t="s">
        <v>1787</v>
      </c>
      <c r="H184" s="847" t="s">
        <v>2185</v>
      </c>
      <c r="I184" s="925"/>
    </row>
    <row r="185" spans="2:9">
      <c r="B185" s="846" t="s">
        <v>2185</v>
      </c>
      <c r="C185" s="847" t="s">
        <v>3900</v>
      </c>
      <c r="D185" s="847" t="s">
        <v>2185</v>
      </c>
      <c r="E185" s="847" t="s">
        <v>2185</v>
      </c>
      <c r="F185" s="847">
        <v>0</v>
      </c>
      <c r="G185" s="847" t="s">
        <v>1787</v>
      </c>
      <c r="H185" s="847" t="s">
        <v>2185</v>
      </c>
      <c r="I185" s="925"/>
    </row>
    <row r="186" spans="2:9">
      <c r="B186" s="846" t="s">
        <v>2185</v>
      </c>
      <c r="C186" s="847" t="s">
        <v>4610</v>
      </c>
      <c r="D186" s="847" t="s">
        <v>2185</v>
      </c>
      <c r="E186" s="847" t="s">
        <v>2185</v>
      </c>
      <c r="F186" s="847">
        <v>0</v>
      </c>
      <c r="G186" s="847" t="s">
        <v>1787</v>
      </c>
      <c r="H186" s="847" t="s">
        <v>2185</v>
      </c>
      <c r="I186" s="925"/>
    </row>
    <row r="187" spans="2:9">
      <c r="B187" s="846" t="s">
        <v>2185</v>
      </c>
      <c r="C187" s="847" t="s">
        <v>515</v>
      </c>
      <c r="D187" s="847" t="s">
        <v>2185</v>
      </c>
      <c r="E187" s="847" t="s">
        <v>2185</v>
      </c>
      <c r="F187" s="847">
        <v>8</v>
      </c>
      <c r="G187" s="847" t="s">
        <v>1787</v>
      </c>
      <c r="H187" s="847" t="s">
        <v>2185</v>
      </c>
      <c r="I187" s="925"/>
    </row>
    <row r="188" spans="2:9">
      <c r="B188" s="846" t="s">
        <v>2185</v>
      </c>
      <c r="C188" s="847" t="s">
        <v>528</v>
      </c>
      <c r="D188" s="847" t="s">
        <v>2185</v>
      </c>
      <c r="E188" s="847" t="s">
        <v>2185</v>
      </c>
      <c r="F188" s="847">
        <v>0</v>
      </c>
      <c r="G188" s="847" t="s">
        <v>1787</v>
      </c>
      <c r="H188" s="847" t="s">
        <v>2185</v>
      </c>
      <c r="I188" s="925"/>
    </row>
    <row r="189" spans="2:9">
      <c r="B189" s="847"/>
      <c r="C189" s="844"/>
      <c r="D189" s="844"/>
      <c r="E189" s="844"/>
      <c r="F189" s="844"/>
      <c r="G189" s="844"/>
      <c r="H189" s="844"/>
      <c r="I189" s="925"/>
    </row>
    <row r="190" spans="2:9">
      <c r="B190" s="942" t="s">
        <v>2183</v>
      </c>
      <c r="C190" s="942"/>
      <c r="D190" s="942"/>
      <c r="E190" s="942"/>
      <c r="F190" s="942"/>
      <c r="G190" s="942"/>
      <c r="H190" s="942"/>
      <c r="I190" s="925">
        <v>48.09546145833334</v>
      </c>
    </row>
    <row r="191" spans="2:9">
      <c r="E191"/>
      <c r="I191"/>
    </row>
    <row r="192" spans="2:9">
      <c r="E192"/>
      <c r="I192"/>
    </row>
    <row r="193" spans="5:9">
      <c r="E193"/>
      <c r="I193"/>
    </row>
    <row r="194" spans="5:9">
      <c r="E194"/>
      <c r="I194"/>
    </row>
    <row r="195" spans="5:9">
      <c r="E195"/>
      <c r="I195"/>
    </row>
    <row r="196" spans="5:9">
      <c r="E196"/>
      <c r="I196"/>
    </row>
    <row r="197" spans="5:9">
      <c r="E197"/>
      <c r="I197"/>
    </row>
    <row r="198" spans="5:9">
      <c r="E198"/>
      <c r="I198"/>
    </row>
    <row r="199" spans="5:9">
      <c r="E199"/>
      <c r="I199"/>
    </row>
    <row r="200" spans="5:9">
      <c r="E200"/>
      <c r="I200"/>
    </row>
    <row r="201" spans="5:9">
      <c r="E201"/>
      <c r="I201"/>
    </row>
    <row r="202" spans="5:9">
      <c r="E202"/>
      <c r="I202"/>
    </row>
    <row r="203" spans="5:9">
      <c r="E203"/>
      <c r="I203"/>
    </row>
    <row r="204" spans="5:9">
      <c r="E204"/>
      <c r="I204"/>
    </row>
    <row r="205" spans="5:9">
      <c r="E205"/>
      <c r="I205"/>
    </row>
    <row r="206" spans="5:9">
      <c r="E206"/>
      <c r="I206"/>
    </row>
    <row r="207" spans="5:9">
      <c r="E207"/>
      <c r="I207"/>
    </row>
    <row r="208" spans="5:9">
      <c r="E208"/>
      <c r="I208"/>
    </row>
    <row r="209" spans="5:9">
      <c r="E209"/>
      <c r="I209"/>
    </row>
    <row r="210" spans="5:9">
      <c r="E210"/>
      <c r="I210"/>
    </row>
    <row r="211" spans="5:9">
      <c r="E211"/>
      <c r="I211"/>
    </row>
    <row r="212" spans="5:9">
      <c r="E212"/>
      <c r="I212"/>
    </row>
    <row r="213" spans="5:9">
      <c r="E213"/>
      <c r="I213"/>
    </row>
    <row r="214" spans="5:9">
      <c r="E214"/>
      <c r="I214"/>
    </row>
    <row r="215" spans="5:9">
      <c r="E215"/>
      <c r="I215"/>
    </row>
    <row r="216" spans="5:9">
      <c r="E216"/>
      <c r="I216"/>
    </row>
    <row r="217" spans="5:9">
      <c r="E217"/>
      <c r="I217"/>
    </row>
    <row r="218" spans="5:9">
      <c r="E218"/>
      <c r="I218"/>
    </row>
    <row r="219" spans="5:9">
      <c r="E219"/>
      <c r="I219"/>
    </row>
    <row r="220" spans="5:9">
      <c r="E220"/>
      <c r="I220"/>
    </row>
    <row r="221" spans="5:9">
      <c r="E221"/>
      <c r="I221"/>
    </row>
    <row r="222" spans="5:9">
      <c r="E222"/>
      <c r="I222"/>
    </row>
    <row r="223" spans="5:9">
      <c r="E223"/>
      <c r="I223"/>
    </row>
    <row r="224" spans="5:9">
      <c r="E224"/>
      <c r="I224"/>
    </row>
    <row r="225" spans="5:9">
      <c r="E225"/>
      <c r="I225"/>
    </row>
    <row r="226" spans="5:9">
      <c r="E226"/>
      <c r="I226"/>
    </row>
    <row r="227" spans="5:9">
      <c r="E227"/>
      <c r="I227"/>
    </row>
    <row r="228" spans="5:9">
      <c r="E228"/>
      <c r="I228"/>
    </row>
    <row r="229" spans="5:9">
      <c r="E229"/>
      <c r="I229"/>
    </row>
    <row r="230" spans="5:9">
      <c r="E230"/>
      <c r="I230"/>
    </row>
    <row r="231" spans="5:9">
      <c r="E231"/>
      <c r="I231"/>
    </row>
    <row r="232" spans="5:9">
      <c r="E232"/>
      <c r="I232"/>
    </row>
    <row r="233" spans="5:9">
      <c r="E233"/>
      <c r="I233"/>
    </row>
    <row r="234" spans="5:9">
      <c r="E234"/>
      <c r="I234"/>
    </row>
    <row r="235" spans="5:9">
      <c r="E235"/>
      <c r="I235"/>
    </row>
    <row r="236" spans="5:9">
      <c r="E236"/>
      <c r="I236"/>
    </row>
    <row r="237" spans="5:9">
      <c r="E237"/>
      <c r="I237"/>
    </row>
    <row r="238" spans="5:9">
      <c r="E238"/>
      <c r="I238"/>
    </row>
    <row r="239" spans="5:9">
      <c r="E239"/>
      <c r="I239"/>
    </row>
    <row r="240" spans="5:9">
      <c r="E240"/>
      <c r="I240"/>
    </row>
    <row r="241" spans="5:9">
      <c r="E241"/>
      <c r="I241"/>
    </row>
    <row r="242" spans="5:9">
      <c r="E242"/>
      <c r="I242"/>
    </row>
    <row r="243" spans="5:9">
      <c r="E243"/>
      <c r="I243"/>
    </row>
    <row r="244" spans="5:9">
      <c r="E244"/>
      <c r="I244"/>
    </row>
    <row r="245" spans="5:9">
      <c r="E245"/>
      <c r="I245"/>
    </row>
    <row r="246" spans="5:9">
      <c r="E246"/>
      <c r="I246"/>
    </row>
    <row r="247" spans="5:9">
      <c r="E247"/>
      <c r="I247"/>
    </row>
    <row r="248" spans="5:9">
      <c r="E248"/>
      <c r="I248"/>
    </row>
    <row r="249" spans="5:9">
      <c r="E249"/>
      <c r="I249"/>
    </row>
    <row r="250" spans="5:9">
      <c r="E250"/>
      <c r="I250"/>
    </row>
    <row r="251" spans="5:9">
      <c r="E251"/>
      <c r="I251"/>
    </row>
    <row r="252" spans="5:9">
      <c r="E252"/>
      <c r="I252"/>
    </row>
    <row r="253" spans="5:9">
      <c r="E253"/>
      <c r="I253"/>
    </row>
    <row r="254" spans="5:9">
      <c r="E254"/>
      <c r="I254"/>
    </row>
    <row r="255" spans="5:9">
      <c r="E255"/>
      <c r="I255"/>
    </row>
    <row r="256" spans="5:9">
      <c r="E256"/>
      <c r="I256"/>
    </row>
    <row r="257" spans="5:9">
      <c r="E257"/>
      <c r="I257"/>
    </row>
    <row r="258" spans="5:9">
      <c r="E258"/>
      <c r="I258"/>
    </row>
    <row r="259" spans="5:9">
      <c r="E259"/>
      <c r="I259"/>
    </row>
    <row r="260" spans="5:9">
      <c r="E260"/>
      <c r="I260"/>
    </row>
    <row r="261" spans="5:9">
      <c r="E261"/>
      <c r="I261"/>
    </row>
    <row r="262" spans="5:9">
      <c r="E262"/>
      <c r="I262"/>
    </row>
    <row r="263" spans="5:9">
      <c r="E263"/>
      <c r="I263"/>
    </row>
    <row r="264" spans="5:9">
      <c r="E264"/>
      <c r="I264"/>
    </row>
    <row r="265" spans="5:9">
      <c r="E265"/>
      <c r="I265"/>
    </row>
    <row r="266" spans="5:9">
      <c r="E266"/>
      <c r="I266"/>
    </row>
    <row r="267" spans="5:9">
      <c r="E267"/>
      <c r="I267"/>
    </row>
    <row r="268" spans="5:9">
      <c r="E268"/>
      <c r="I268"/>
    </row>
    <row r="269" spans="5:9">
      <c r="E269"/>
      <c r="I269"/>
    </row>
    <row r="270" spans="5:9">
      <c r="E270"/>
      <c r="I270"/>
    </row>
    <row r="271" spans="5:9">
      <c r="E271"/>
      <c r="I271"/>
    </row>
    <row r="272" spans="5:9">
      <c r="E272"/>
      <c r="I272"/>
    </row>
    <row r="273" spans="5:9">
      <c r="E273"/>
      <c r="I273"/>
    </row>
    <row r="274" spans="5:9">
      <c r="E274"/>
      <c r="I274"/>
    </row>
    <row r="275" spans="5:9">
      <c r="E275"/>
      <c r="I275"/>
    </row>
    <row r="276" spans="5:9">
      <c r="E276"/>
      <c r="I276"/>
    </row>
    <row r="277" spans="5:9">
      <c r="E277"/>
      <c r="I277"/>
    </row>
    <row r="278" spans="5:9">
      <c r="E278"/>
      <c r="I278"/>
    </row>
    <row r="279" spans="5:9">
      <c r="E279"/>
      <c r="I279"/>
    </row>
    <row r="280" spans="5:9">
      <c r="E280"/>
      <c r="I280"/>
    </row>
    <row r="281" spans="5:9">
      <c r="E281"/>
      <c r="I281"/>
    </row>
    <row r="282" spans="5:9">
      <c r="E282"/>
      <c r="I282"/>
    </row>
    <row r="283" spans="5:9">
      <c r="E283"/>
      <c r="I283"/>
    </row>
    <row r="284" spans="5:9">
      <c r="E284"/>
      <c r="I284"/>
    </row>
    <row r="285" spans="5:9">
      <c r="E285"/>
      <c r="I285"/>
    </row>
    <row r="286" spans="5:9">
      <c r="E286"/>
      <c r="I286"/>
    </row>
    <row r="287" spans="5:9">
      <c r="E287"/>
      <c r="I287"/>
    </row>
    <row r="288" spans="5:9">
      <c r="E288"/>
      <c r="I288"/>
    </row>
    <row r="289" spans="5:9">
      <c r="E289"/>
      <c r="I289"/>
    </row>
    <row r="290" spans="5:9">
      <c r="E290"/>
      <c r="I290"/>
    </row>
    <row r="291" spans="5:9">
      <c r="E291"/>
      <c r="I291"/>
    </row>
    <row r="292" spans="5:9">
      <c r="E292"/>
      <c r="I292"/>
    </row>
    <row r="293" spans="5:9">
      <c r="E293"/>
      <c r="I293"/>
    </row>
    <row r="294" spans="5:9">
      <c r="E294"/>
      <c r="I294"/>
    </row>
    <row r="295" spans="5:9">
      <c r="E295"/>
      <c r="I295"/>
    </row>
    <row r="296" spans="5:9">
      <c r="E296"/>
      <c r="I296"/>
    </row>
    <row r="297" spans="5:9">
      <c r="E297"/>
      <c r="I297"/>
    </row>
    <row r="298" spans="5:9">
      <c r="E298"/>
      <c r="I298"/>
    </row>
    <row r="299" spans="5:9">
      <c r="E299"/>
      <c r="I299"/>
    </row>
    <row r="300" spans="5:9">
      <c r="E300"/>
      <c r="I300"/>
    </row>
    <row r="301" spans="5:9">
      <c r="E301"/>
      <c r="I301"/>
    </row>
    <row r="302" spans="5:9">
      <c r="E302"/>
      <c r="I302"/>
    </row>
    <row r="303" spans="5:9">
      <c r="E303"/>
      <c r="I303"/>
    </row>
    <row r="304" spans="5:9">
      <c r="E304"/>
      <c r="I304"/>
    </row>
    <row r="305" spans="5:9">
      <c r="E305"/>
      <c r="I305"/>
    </row>
    <row r="306" spans="5:9">
      <c r="E306"/>
      <c r="I306"/>
    </row>
    <row r="307" spans="5:9">
      <c r="E307"/>
      <c r="I307"/>
    </row>
    <row r="308" spans="5:9">
      <c r="E308"/>
      <c r="I308"/>
    </row>
    <row r="309" spans="5:9">
      <c r="E309"/>
      <c r="I309"/>
    </row>
    <row r="310" spans="5:9">
      <c r="E310"/>
      <c r="I310"/>
    </row>
    <row r="311" spans="5:9">
      <c r="E311"/>
      <c r="I311"/>
    </row>
    <row r="312" spans="5:9">
      <c r="E312"/>
      <c r="I312"/>
    </row>
    <row r="313" spans="5:9">
      <c r="E313"/>
      <c r="I313"/>
    </row>
    <row r="314" spans="5:9">
      <c r="E314"/>
      <c r="I314"/>
    </row>
    <row r="315" spans="5:9">
      <c r="E315"/>
      <c r="I315"/>
    </row>
    <row r="316" spans="5:9">
      <c r="E316"/>
      <c r="I316"/>
    </row>
    <row r="317" spans="5:9">
      <c r="E317"/>
      <c r="I317"/>
    </row>
    <row r="318" spans="5:9">
      <c r="E318"/>
      <c r="I318"/>
    </row>
    <row r="319" spans="5:9">
      <c r="E319"/>
      <c r="I319"/>
    </row>
    <row r="320" spans="5:9">
      <c r="E320"/>
      <c r="I320"/>
    </row>
    <row r="321" spans="5:9">
      <c r="E321"/>
      <c r="I321"/>
    </row>
    <row r="322" spans="5:9">
      <c r="E322"/>
      <c r="I322"/>
    </row>
    <row r="323" spans="5:9">
      <c r="E323"/>
      <c r="I323"/>
    </row>
    <row r="324" spans="5:9">
      <c r="E324"/>
      <c r="I324"/>
    </row>
    <row r="325" spans="5:9">
      <c r="E325"/>
      <c r="I325"/>
    </row>
    <row r="326" spans="5:9">
      <c r="E326"/>
      <c r="I326"/>
    </row>
    <row r="327" spans="5:9">
      <c r="E327"/>
      <c r="I327"/>
    </row>
    <row r="328" spans="5:9">
      <c r="E328"/>
      <c r="I328"/>
    </row>
    <row r="329" spans="5:9">
      <c r="E329"/>
      <c r="I329"/>
    </row>
    <row r="330" spans="5:9">
      <c r="E330"/>
      <c r="I330"/>
    </row>
    <row r="331" spans="5:9">
      <c r="E331"/>
    </row>
    <row r="332" spans="5:9">
      <c r="E332"/>
    </row>
    <row r="333" spans="5:9">
      <c r="E333"/>
    </row>
    <row r="334" spans="5:9">
      <c r="E334"/>
    </row>
    <row r="335" spans="5:9">
      <c r="E335"/>
    </row>
    <row r="336" spans="5:9">
      <c r="E336"/>
    </row>
    <row r="337" spans="5:5">
      <c r="E337"/>
    </row>
    <row r="338" spans="5:5">
      <c r="E338"/>
    </row>
    <row r="339" spans="5:5">
      <c r="E339"/>
    </row>
    <row r="340" spans="5:5">
      <c r="E340"/>
    </row>
    <row r="341" spans="5:5">
      <c r="E341"/>
    </row>
    <row r="342" spans="5:5">
      <c r="E342"/>
    </row>
    <row r="343" spans="5:5">
      <c r="E343"/>
    </row>
    <row r="344" spans="5:5">
      <c r="E344"/>
    </row>
    <row r="345" spans="5:5">
      <c r="E345"/>
    </row>
    <row r="346" spans="5:5">
      <c r="E346"/>
    </row>
    <row r="347" spans="5:5">
      <c r="E347"/>
    </row>
    <row r="348" spans="5:5">
      <c r="E348"/>
    </row>
    <row r="349" spans="5:5">
      <c r="E349"/>
    </row>
    <row r="350" spans="5:5">
      <c r="E350"/>
    </row>
    <row r="351" spans="5:5">
      <c r="E351"/>
    </row>
    <row r="352" spans="5:5">
      <c r="E352"/>
    </row>
    <row r="353" spans="5:5">
      <c r="E353"/>
    </row>
    <row r="354" spans="5:5">
      <c r="E354"/>
    </row>
    <row r="355" spans="5:5">
      <c r="E355"/>
    </row>
    <row r="356" spans="5:5">
      <c r="E356"/>
    </row>
    <row r="357" spans="5:5">
      <c r="E357"/>
    </row>
    <row r="358" spans="5:5">
      <c r="E358"/>
    </row>
    <row r="359" spans="5:5">
      <c r="E359"/>
    </row>
    <row r="360" spans="5:5">
      <c r="E360"/>
    </row>
    <row r="361" spans="5:5">
      <c r="E361"/>
    </row>
    <row r="362" spans="5:5">
      <c r="E362"/>
    </row>
    <row r="363" spans="5:5">
      <c r="E363"/>
    </row>
    <row r="364" spans="5:5">
      <c r="E364"/>
    </row>
    <row r="365" spans="5:5">
      <c r="E365"/>
    </row>
    <row r="366" spans="5:5">
      <c r="E366"/>
    </row>
    <row r="367" spans="5:5">
      <c r="E367"/>
    </row>
    <row r="368" spans="5:5">
      <c r="E368"/>
    </row>
    <row r="369" spans="5:5">
      <c r="E369"/>
    </row>
    <row r="370" spans="5:5">
      <c r="E370"/>
    </row>
    <row r="371" spans="5:5">
      <c r="E371"/>
    </row>
    <row r="372" spans="5:5">
      <c r="E372"/>
    </row>
    <row r="373" spans="5:5">
      <c r="E373"/>
    </row>
    <row r="374" spans="5:5">
      <c r="E374"/>
    </row>
    <row r="375" spans="5:5">
      <c r="E375"/>
    </row>
    <row r="376" spans="5:5">
      <c r="E376"/>
    </row>
    <row r="377" spans="5:5">
      <c r="E377"/>
    </row>
    <row r="378" spans="5:5">
      <c r="E378"/>
    </row>
    <row r="379" spans="5:5">
      <c r="E379"/>
    </row>
    <row r="380" spans="5:5">
      <c r="E380"/>
    </row>
    <row r="381" spans="5:5">
      <c r="E381"/>
    </row>
    <row r="382" spans="5:5">
      <c r="E382"/>
    </row>
    <row r="383" spans="5:5">
      <c r="E383"/>
    </row>
    <row r="384" spans="5:5">
      <c r="E384"/>
    </row>
    <row r="385" spans="5:5">
      <c r="E385"/>
    </row>
    <row r="386" spans="5:5">
      <c r="E386"/>
    </row>
    <row r="387" spans="5:5">
      <c r="E387"/>
    </row>
    <row r="388" spans="5:5">
      <c r="E388"/>
    </row>
    <row r="389" spans="5:5">
      <c r="E389"/>
    </row>
  </sheetData>
  <mergeCells count="1">
    <mergeCell ref="A1:H1"/>
  </mergeCells>
  <pageMargins left="0.35" right="0.1" top="0.75" bottom="0.05" header="0.1" footer="0.05"/>
  <pageSetup orientation="portrait" horizontalDpi="360" verticalDpi="180" r:id="rId2"/>
  <headerFooter>
    <oddHeader>&amp;L&amp;F</oddHeader>
  </headerFooter>
  <rowBreaks count="3" manualBreakCount="3">
    <brk id="46" max="8" man="1"/>
    <brk id="82" max="8" man="1"/>
    <brk id="123" max="8" man="1"/>
  </rowBreaks>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8"/>
  <dimension ref="A1:L441"/>
  <sheetViews>
    <sheetView view="pageBreakPreview" zoomScale="125" zoomScaleNormal="100" zoomScaleSheetLayoutView="91" workbookViewId="0">
      <pane ySplit="12" topLeftCell="A167" activePane="bottomLeft" state="frozen"/>
      <selection pane="bottomLeft" activeCell="C206" sqref="C206"/>
    </sheetView>
  </sheetViews>
  <sheetFormatPr baseColWidth="10" defaultColWidth="7" defaultRowHeight="13"/>
  <cols>
    <col min="1" max="1" width="2.6640625" style="71" customWidth="1"/>
    <col min="2" max="2" width="10" style="71" customWidth="1"/>
    <col min="3" max="3" width="39.1640625" style="71" customWidth="1"/>
    <col min="4" max="4" width="4.33203125" style="71" customWidth="1"/>
    <col min="5" max="5" width="6.1640625" style="71" customWidth="1"/>
    <col min="6" max="6" width="25.33203125" style="71" customWidth="1"/>
    <col min="7" max="7" width="2.5" style="71" customWidth="1"/>
    <col min="8" max="8" width="0.6640625" style="73" customWidth="1"/>
    <col min="9" max="16384" width="7" style="71"/>
  </cols>
  <sheetData>
    <row r="1" spans="1:12" s="69" customFormat="1">
      <c r="A1" s="71"/>
      <c r="B1" s="71"/>
      <c r="C1" s="71"/>
      <c r="D1" s="71"/>
      <c r="E1" s="71"/>
      <c r="F1" s="71"/>
      <c r="H1" s="74"/>
    </row>
    <row r="2" spans="1:12" s="69" customFormat="1" ht="18">
      <c r="A2" s="906" t="s">
        <v>4251</v>
      </c>
      <c r="B2" s="906"/>
      <c r="C2" s="906"/>
      <c r="D2" s="906"/>
      <c r="E2" s="906"/>
      <c r="F2" s="906"/>
      <c r="H2" s="74"/>
    </row>
    <row r="3" spans="1:12" s="69" customFormat="1" ht="14.25" customHeight="1">
      <c r="A3" s="71"/>
      <c r="B3" s="71"/>
      <c r="C3" s="71"/>
      <c r="D3" s="71"/>
      <c r="E3" s="71"/>
      <c r="F3" s="71"/>
      <c r="H3" s="74"/>
    </row>
    <row r="4" spans="1:12" s="69" customFormat="1" ht="14.25" customHeight="1">
      <c r="A4" s="71"/>
      <c r="B4" s="71"/>
      <c r="C4" s="71"/>
      <c r="D4" s="75"/>
      <c r="E4" s="75" t="s">
        <v>2199</v>
      </c>
      <c r="F4" s="76" t="e">
        <f>jumlah_komponen</f>
        <v>#REF!</v>
      </c>
      <c r="H4" s="74"/>
    </row>
    <row r="5" spans="1:12" s="69" customFormat="1" ht="14.25" customHeight="1">
      <c r="A5" s="71"/>
      <c r="B5" s="71"/>
      <c r="C5" s="71"/>
      <c r="D5" s="71"/>
      <c r="E5" s="71"/>
      <c r="F5" s="71"/>
      <c r="H5" s="74"/>
      <c r="K5" s="71"/>
      <c r="L5" s="71"/>
    </row>
    <row r="6" spans="1:12" s="69" customFormat="1">
      <c r="A6" s="77" t="s">
        <v>2200</v>
      </c>
      <c r="B6" s="77"/>
      <c r="C6" s="71" t="s">
        <v>2201</v>
      </c>
      <c r="D6" s="71"/>
      <c r="E6" s="77" t="s">
        <v>2202</v>
      </c>
      <c r="F6" s="78" t="str">
        <f>No_proyek</f>
        <v>RZ0458</v>
      </c>
      <c r="H6" s="74"/>
      <c r="K6" s="71"/>
      <c r="L6" s="71"/>
    </row>
    <row r="7" spans="1:12" s="69" customFormat="1" ht="14">
      <c r="A7" s="77" t="s">
        <v>2203</v>
      </c>
      <c r="B7" s="77"/>
      <c r="C7" s="79" t="str">
        <f>no_kontrak</f>
        <v>127/RK-RL-PI/PAP-LL/XII/2025</v>
      </c>
      <c r="D7" s="71"/>
      <c r="E7" s="71"/>
      <c r="F7" s="77"/>
      <c r="H7" s="74"/>
      <c r="K7" s="78"/>
      <c r="L7" s="78"/>
    </row>
    <row r="8" spans="1:12" s="69" customFormat="1" ht="14">
      <c r="A8" s="80" t="s">
        <v>1508</v>
      </c>
      <c r="B8" s="80"/>
      <c r="C8" s="81" t="str">
        <f>nip</f>
        <v>25LL017MPC</v>
      </c>
      <c r="D8" s="71"/>
      <c r="E8" s="71"/>
      <c r="F8" s="77"/>
      <c r="H8" s="74"/>
      <c r="K8" s="78"/>
      <c r="L8" s="78"/>
    </row>
    <row r="9" spans="1:12" s="69" customFormat="1" ht="14">
      <c r="A9" s="77" t="s">
        <v>2204</v>
      </c>
      <c r="B9" s="77"/>
      <c r="C9" s="8" t="str">
        <f>nama_proyek</f>
        <v>PT Malindo Feedmill Tbk-Dry Pantry</v>
      </c>
      <c r="D9" s="71"/>
      <c r="E9" s="75" t="s">
        <v>2205</v>
      </c>
      <c r="F9" s="881">
        <f>tgl</f>
        <v>46163</v>
      </c>
      <c r="G9" s="882"/>
      <c r="H9" s="881"/>
      <c r="K9" s="78"/>
      <c r="L9" s="78"/>
    </row>
    <row r="10" spans="1:12" s="69" customFormat="1" ht="15.75" customHeight="1">
      <c r="A10" s="907" t="s">
        <v>2206</v>
      </c>
      <c r="B10" s="907"/>
      <c r="C10" s="8" t="str">
        <f>Estimator</f>
        <v>Fahrudin</v>
      </c>
      <c r="D10" s="908" t="s">
        <v>2838</v>
      </c>
      <c r="E10" s="908"/>
      <c r="F10" s="71" t="s">
        <v>2895</v>
      </c>
      <c r="H10" s="74"/>
      <c r="K10" s="78"/>
      <c r="L10" s="78"/>
    </row>
    <row r="11" spans="1:12" s="69" customFormat="1" ht="6" customHeight="1" thickBot="1">
      <c r="A11" s="71"/>
      <c r="B11" s="71"/>
      <c r="C11" s="71"/>
      <c r="D11" s="71"/>
      <c r="E11" s="71"/>
      <c r="F11" s="71"/>
      <c r="H11" s="74"/>
      <c r="K11" s="78"/>
      <c r="L11" s="78"/>
    </row>
    <row r="12" spans="1:12" s="69" customFormat="1" ht="30" customHeight="1" thickBot="1">
      <c r="A12" s="134" t="s">
        <v>327</v>
      </c>
      <c r="B12" s="134" t="s">
        <v>329</v>
      </c>
      <c r="C12" s="82" t="s">
        <v>330</v>
      </c>
      <c r="D12" s="134" t="s">
        <v>331</v>
      </c>
      <c r="E12" s="82" t="s">
        <v>332</v>
      </c>
      <c r="F12" s="82" t="s">
        <v>333</v>
      </c>
      <c r="H12" s="74"/>
      <c r="K12" s="78"/>
      <c r="L12" s="78"/>
    </row>
    <row r="13" spans="1:12" s="69" customFormat="1" ht="14.25" customHeight="1" thickTop="1">
      <c r="A13" s="86"/>
      <c r="B13" s="86"/>
      <c r="C13" s="773" t="s">
        <v>4238</v>
      </c>
      <c r="D13" s="135"/>
      <c r="E13" s="83"/>
      <c r="F13" s="87"/>
      <c r="H13" s="74"/>
      <c r="K13" s="78"/>
      <c r="L13" s="78"/>
    </row>
    <row r="14" spans="1:12" s="69" customFormat="1" ht="14.25" customHeight="1">
      <c r="A14" s="86"/>
      <c r="B14" s="86"/>
      <c r="C14" s="773" t="s">
        <v>4236</v>
      </c>
      <c r="D14" s="135"/>
      <c r="E14" s="511"/>
      <c r="F14" s="87"/>
      <c r="H14" s="74"/>
      <c r="K14" s="78"/>
      <c r="L14" s="78"/>
    </row>
    <row r="15" spans="1:12" s="69" customFormat="1" ht="14.25" customHeight="1">
      <c r="A15" s="86"/>
      <c r="B15" s="86">
        <f>IFERROR(INDEX((ID),MATCH(C15,BARANG,0)),"…")</f>
        <v>101075</v>
      </c>
      <c r="C15" s="95" t="s">
        <v>111</v>
      </c>
      <c r="D15" s="786">
        <v>3</v>
      </c>
      <c r="E15" s="511" t="s">
        <v>3147</v>
      </c>
      <c r="F15" s="916" t="s">
        <v>4201</v>
      </c>
      <c r="G15" s="69" t="s">
        <v>3196</v>
      </c>
      <c r="H15" s="74"/>
      <c r="K15" s="78"/>
      <c r="L15" s="78"/>
    </row>
    <row r="16" spans="1:12" s="69" customFormat="1" ht="14.25" customHeight="1">
      <c r="A16" s="86"/>
      <c r="B16" s="86">
        <f>IFERROR(INDEX((ID),MATCH(C16,BARANG,0)),"…")</f>
        <v>1000163</v>
      </c>
      <c r="C16" s="95" t="s">
        <v>4088</v>
      </c>
      <c r="D16" s="786">
        <v>7</v>
      </c>
      <c r="E16" s="511" t="s">
        <v>3147</v>
      </c>
      <c r="F16" s="917"/>
      <c r="G16" s="69" t="s">
        <v>3196</v>
      </c>
      <c r="H16" s="74"/>
      <c r="K16" s="78"/>
      <c r="L16" s="78"/>
    </row>
    <row r="17" spans="1:12" s="69" customFormat="1" ht="14.25" customHeight="1">
      <c r="A17" s="86"/>
      <c r="B17" s="86"/>
      <c r="C17" s="95"/>
      <c r="D17" s="786"/>
      <c r="E17" s="511"/>
      <c r="F17" s="917"/>
      <c r="H17" s="74"/>
      <c r="K17" s="78"/>
      <c r="L17" s="78"/>
    </row>
    <row r="18" spans="1:12" s="69" customFormat="1" ht="14.25" customHeight="1">
      <c r="A18" s="86"/>
      <c r="B18" s="86">
        <f>IFERROR(INDEX((ID),MATCH(C18,BARANG,0)),"…")</f>
        <v>120125</v>
      </c>
      <c r="C18" s="95" t="s">
        <v>158</v>
      </c>
      <c r="D18" s="786">
        <v>3</v>
      </c>
      <c r="E18" s="511" t="s">
        <v>3147</v>
      </c>
      <c r="F18" s="917"/>
      <c r="G18" s="69" t="s">
        <v>3186</v>
      </c>
      <c r="H18" s="74"/>
      <c r="K18" s="78"/>
      <c r="L18" s="78"/>
    </row>
    <row r="19" spans="1:12" s="69" customFormat="1" ht="14.25" customHeight="1">
      <c r="A19" s="86"/>
      <c r="B19" s="86">
        <f>IFERROR(INDEX((ID),MATCH(C19,BARANG,0)),"…")</f>
        <v>110088</v>
      </c>
      <c r="C19" s="95" t="str">
        <f>lapisan1</f>
        <v>WY_5216_D(V)</v>
      </c>
      <c r="D19" s="786">
        <v>3</v>
      </c>
      <c r="E19" s="511" t="s">
        <v>3147</v>
      </c>
      <c r="F19" s="917"/>
      <c r="H19" s="74"/>
      <c r="K19" s="78"/>
      <c r="L19" s="78"/>
    </row>
    <row r="20" spans="1:12" s="69" customFormat="1" ht="14.25" customHeight="1">
      <c r="A20" s="86"/>
      <c r="B20" s="86">
        <f>IFERROR(INDEX((ID),MATCH(C20,BARANG,0)),"…")</f>
        <v>122655</v>
      </c>
      <c r="C20" s="95" t="str">
        <f>lapisan3</f>
        <v>L-FA_0206_AP</v>
      </c>
      <c r="D20" s="786">
        <v>2</v>
      </c>
      <c r="E20" s="511" t="s">
        <v>3147</v>
      </c>
      <c r="F20" s="918"/>
      <c r="H20" s="74"/>
      <c r="K20" s="78"/>
      <c r="L20" s="78"/>
    </row>
    <row r="21" spans="1:12" s="69" customFormat="1" ht="14.25" customHeight="1">
      <c r="A21" s="86"/>
      <c r="B21" s="86"/>
      <c r="C21" s="777"/>
      <c r="D21" s="135"/>
      <c r="E21" s="511"/>
      <c r="F21" s="87"/>
      <c r="H21" s="74"/>
      <c r="K21" s="78"/>
      <c r="L21" s="78"/>
    </row>
    <row r="22" spans="1:12" s="69" customFormat="1" ht="14.25" customHeight="1">
      <c r="A22" s="86"/>
      <c r="B22" s="86"/>
      <c r="C22" s="773" t="s">
        <v>4237</v>
      </c>
      <c r="D22" s="135"/>
      <c r="E22" s="511"/>
      <c r="F22" s="87"/>
      <c r="H22" s="74"/>
      <c r="K22" s="78"/>
      <c r="L22" s="78"/>
    </row>
    <row r="23" spans="1:12" s="69" customFormat="1" ht="14.25" customHeight="1">
      <c r="A23" s="86"/>
      <c r="B23" s="86">
        <f>IFERROR(INDEX((ID),MATCH(C23,BARANG,0)),"…")</f>
        <v>104800</v>
      </c>
      <c r="C23" s="95" t="s">
        <v>4604</v>
      </c>
      <c r="D23" s="786">
        <f>+ROUNDUP(K23,0)</f>
        <v>16</v>
      </c>
      <c r="E23" s="511" t="s">
        <v>3147</v>
      </c>
      <c r="F23" s="87"/>
      <c r="G23" s="69" t="s">
        <v>3183</v>
      </c>
      <c r="H23" s="74"/>
      <c r="K23" s="786">
        <f>0.6+1+1+0.5+0.5+0.35+1+0.1+1+1+1+1+1+1+0.5+0.5+0.1+1+1+0.7+0.7</f>
        <v>15.549999999999999</v>
      </c>
      <c r="L23" s="78"/>
    </row>
    <row r="24" spans="1:12" s="69" customFormat="1" ht="14.25" customHeight="1">
      <c r="A24" s="86"/>
      <c r="B24" s="86">
        <f>IFERROR(INDEX((ID),MATCH(C24,BARANG,0)),"…")</f>
        <v>101068</v>
      </c>
      <c r="C24" s="95" t="s">
        <v>100</v>
      </c>
      <c r="D24" s="786">
        <f>+ROUNDUP(K24,0)</f>
        <v>1</v>
      </c>
      <c r="E24" s="511" t="s">
        <v>3147</v>
      </c>
      <c r="F24" s="87"/>
      <c r="G24" s="69" t="s">
        <v>3196</v>
      </c>
      <c r="H24" s="74"/>
      <c r="K24" s="786">
        <f>0.1+0.5</f>
        <v>0.6</v>
      </c>
      <c r="L24" s="78"/>
    </row>
    <row r="25" spans="1:12" s="69" customFormat="1" ht="14.25" customHeight="1">
      <c r="A25" s="86"/>
      <c r="B25" s="86">
        <f>IFERROR(INDEX((ID),MATCH(C25,BARANG,0)),"…")</f>
        <v>100166</v>
      </c>
      <c r="C25" s="95" t="s">
        <v>102</v>
      </c>
      <c r="D25" s="786">
        <f>+ROUNDUP(K25,0)</f>
        <v>1</v>
      </c>
      <c r="E25" s="511" t="s">
        <v>3147</v>
      </c>
      <c r="F25" s="87"/>
      <c r="G25" s="69" t="s">
        <v>3196</v>
      </c>
      <c r="H25" s="74"/>
      <c r="K25" s="786">
        <v>0.2</v>
      </c>
      <c r="L25" s="78"/>
    </row>
    <row r="26" spans="1:12" s="69" customFormat="1" ht="14.25" customHeight="1">
      <c r="A26" s="86"/>
      <c r="B26" s="86">
        <f>IFERROR(INDEX((ID),MATCH(C26,BARANG,0)),"…")</f>
        <v>101065</v>
      </c>
      <c r="C26" s="95" t="s">
        <v>97</v>
      </c>
      <c r="D26" s="786">
        <f>+ROUNDUP(K26,0)</f>
        <v>1</v>
      </c>
      <c r="E26" s="511" t="s">
        <v>3147</v>
      </c>
      <c r="F26" s="87"/>
      <c r="G26" s="69" t="s">
        <v>3196</v>
      </c>
      <c r="H26" s="74"/>
      <c r="K26" s="786">
        <v>1</v>
      </c>
      <c r="L26" s="78"/>
    </row>
    <row r="27" spans="1:12" s="69" customFormat="1" ht="14.25" customHeight="1">
      <c r="A27" s="86"/>
      <c r="B27" s="86">
        <f>IFERROR(INDEX((ID),MATCH(C27,BARANG,0)),"…")</f>
        <v>101062</v>
      </c>
      <c r="C27" s="95" t="s">
        <v>92</v>
      </c>
      <c r="D27" s="786">
        <f>+ROUNDUP(K27,0)</f>
        <v>5</v>
      </c>
      <c r="E27" s="511" t="s">
        <v>3147</v>
      </c>
      <c r="F27" s="87"/>
      <c r="G27" s="69" t="s">
        <v>3196</v>
      </c>
      <c r="H27" s="74"/>
      <c r="K27" s="786">
        <f>0.15+1+1+1+1</f>
        <v>4.1500000000000004</v>
      </c>
      <c r="L27" s="78"/>
    </row>
    <row r="28" spans="1:12" s="69" customFormat="1" ht="14.25" customHeight="1">
      <c r="A28" s="86"/>
      <c r="B28" s="86"/>
      <c r="C28" s="95"/>
      <c r="D28" s="786"/>
      <c r="E28" s="511"/>
      <c r="F28" s="87"/>
      <c r="H28" s="74"/>
      <c r="K28" s="786"/>
      <c r="L28" s="78"/>
    </row>
    <row r="29" spans="1:12" s="69" customFormat="1" ht="14.25" customHeight="1">
      <c r="A29" s="86"/>
      <c r="B29" s="86" t="str">
        <f>IFERROR(INDEX((ID),MATCH(C29,BARANG,0)),"…")</f>
        <v>…</v>
      </c>
      <c r="C29" s="95" t="str">
        <f>kabinet1</f>
        <v>HB_41130</v>
      </c>
      <c r="D29" s="786">
        <f>+ROUNDUP(K29,0)</f>
        <v>20</v>
      </c>
      <c r="E29" s="511" t="s">
        <v>3147</v>
      </c>
      <c r="F29" s="87"/>
      <c r="H29" s="74"/>
      <c r="K29" s="786">
        <f>1+1+1+1+1+1+1+0.25+1+0.1+1+1+1+1+1+1+0.5+1+2+1.5</f>
        <v>19.350000000000001</v>
      </c>
      <c r="L29" s="78"/>
    </row>
    <row r="30" spans="1:12" s="69" customFormat="1" ht="14.25" customHeight="1">
      <c r="A30" s="86"/>
      <c r="B30" s="86">
        <f>IFERROR(INDEX((ID),MATCH(C30,BARANG,0)),"…")</f>
        <v>120125</v>
      </c>
      <c r="C30" s="95" t="s">
        <v>158</v>
      </c>
      <c r="D30" s="786">
        <f>+ROUNDUP(K30,0)</f>
        <v>8</v>
      </c>
      <c r="E30" s="511" t="s">
        <v>3147</v>
      </c>
      <c r="F30" s="87"/>
      <c r="G30" s="69" t="s">
        <v>3186</v>
      </c>
      <c r="H30" s="74"/>
      <c r="K30" s="786">
        <f>0.15+1+1+1+1+1+0.6+0.5+1+0.1</f>
        <v>7.35</v>
      </c>
      <c r="L30" s="78"/>
    </row>
    <row r="31" spans="1:12" s="69" customFormat="1" ht="14.25" customHeight="1">
      <c r="A31" s="86"/>
      <c r="B31" s="86">
        <f>IFERROR(INDEX((ID),MATCH(C31,BARANG,0)),"…")</f>
        <v>110088</v>
      </c>
      <c r="C31" s="95" t="str">
        <f>lapisan1</f>
        <v>WY_5216_D(V)</v>
      </c>
      <c r="D31" s="786">
        <f>+ROUNDUP(K31,0)</f>
        <v>4</v>
      </c>
      <c r="E31" s="511" t="s">
        <v>3147</v>
      </c>
      <c r="F31" s="87"/>
      <c r="H31" s="74"/>
      <c r="K31" s="786">
        <f>1+1+0.5+0.7</f>
        <v>3.2</v>
      </c>
      <c r="L31" s="78"/>
    </row>
    <row r="32" spans="1:12" s="69" customFormat="1" ht="14.25" customHeight="1">
      <c r="A32" s="86"/>
      <c r="B32" s="86">
        <f>IFERROR(INDEX((ID),MATCH(C32,BARANG,0)),"…")</f>
        <v>122655</v>
      </c>
      <c r="C32" s="95" t="str">
        <f>lapisan3</f>
        <v>L-FA_0206_AP</v>
      </c>
      <c r="D32" s="786">
        <f>+ROUNDUP(K32,0)</f>
        <v>3</v>
      </c>
      <c r="E32" s="511" t="s">
        <v>3147</v>
      </c>
      <c r="F32" s="87"/>
      <c r="H32" s="74"/>
      <c r="K32" s="786">
        <f>1+0.5+0.2+0.7</f>
        <v>2.4</v>
      </c>
      <c r="L32" s="78"/>
    </row>
    <row r="33" spans="1:12" s="69" customFormat="1" ht="14.25" customHeight="1">
      <c r="A33" s="86"/>
      <c r="B33" s="86">
        <f>IFERROR(INDEX((ID),MATCH(C33,BARANG,0)),"…")</f>
        <v>121261</v>
      </c>
      <c r="C33" s="95" t="str">
        <f>lapisan5</f>
        <v>DXO_1338_D</v>
      </c>
      <c r="D33" s="786">
        <f>+ROUNDUP(K33,0)</f>
        <v>1</v>
      </c>
      <c r="E33" s="511" t="s">
        <v>3147</v>
      </c>
      <c r="F33" s="87"/>
      <c r="H33" s="74"/>
      <c r="K33" s="786">
        <f>0.15+0.6</f>
        <v>0.75</v>
      </c>
      <c r="L33" s="78"/>
    </row>
    <row r="34" spans="1:12" s="69" customFormat="1" ht="14.25" customHeight="1">
      <c r="A34" s="86"/>
      <c r="B34" s="86"/>
      <c r="C34" s="777"/>
      <c r="D34" s="135"/>
      <c r="E34" s="511"/>
      <c r="F34" s="87"/>
      <c r="H34" s="74"/>
      <c r="K34" s="78"/>
      <c r="L34" s="78"/>
    </row>
    <row r="35" spans="1:12" s="69" customFormat="1" ht="14.25" customHeight="1">
      <c r="A35" s="86"/>
      <c r="B35" s="86">
        <f t="shared" ref="B35:B43" si="0">IFERROR(INDEX((ID),MATCH(C35,BARANG,0)),"…")</f>
        <v>210481</v>
      </c>
      <c r="C35" s="740" t="str">
        <f>edgingkab1</f>
        <v>Edg_Décor_1723_B</v>
      </c>
      <c r="D35" s="131">
        <f>ROUNDUP(((SUMIF(PI,C35,P)+SUMIF(PII,C35,P)+SUMIF(LI,C35,L)+SUMIF(LII,C35,L))/1),0)</f>
        <v>32</v>
      </c>
      <c r="E35" s="89" t="s">
        <v>2209</v>
      </c>
      <c r="F35" s="87"/>
      <c r="H35" s="74"/>
      <c r="K35" s="78"/>
      <c r="L35" s="78"/>
    </row>
    <row r="36" spans="1:12" s="69" customFormat="1" ht="14.25" hidden="1" customHeight="1">
      <c r="A36" s="86"/>
      <c r="B36" s="86" t="str">
        <f t="shared" si="0"/>
        <v>…</v>
      </c>
      <c r="C36" s="740" t="str">
        <f>edgingkab2</f>
        <v>Edg_Decor_1723_B_(55x1)</v>
      </c>
      <c r="D36" s="131">
        <f t="shared" ref="D35:D43" si="1">ROUNDUP(((SUMIF(PI,C36,P)+SUMIF(PII,C36,P)+SUMIF(LI,C36,L)+SUMIF(LII,C36,L))/1),0)</f>
        <v>0</v>
      </c>
      <c r="E36" s="89" t="s">
        <v>2209</v>
      </c>
      <c r="F36" s="87"/>
      <c r="H36" s="74"/>
      <c r="K36" s="78"/>
      <c r="L36" s="78"/>
    </row>
    <row r="37" spans="1:12" s="69" customFormat="1" ht="14.25" customHeight="1">
      <c r="A37" s="86"/>
      <c r="B37" s="86">
        <f t="shared" si="0"/>
        <v>210017</v>
      </c>
      <c r="C37" s="740" t="str">
        <f>edging0</f>
        <v>Melanor</v>
      </c>
      <c r="D37" s="131">
        <f t="shared" si="1"/>
        <v>45</v>
      </c>
      <c r="E37" s="89" t="s">
        <v>2209</v>
      </c>
      <c r="F37" s="87"/>
      <c r="H37" s="74"/>
      <c r="K37" s="78"/>
      <c r="L37" s="78"/>
    </row>
    <row r="38" spans="1:12" s="69" customFormat="1" ht="14.25" customHeight="1">
      <c r="A38" s="86"/>
      <c r="B38" s="86" t="str">
        <f t="shared" si="0"/>
        <v>…</v>
      </c>
      <c r="C38" s="740" t="str">
        <f>edging1</f>
        <v>Edg_EAW_5216D1</v>
      </c>
      <c r="D38" s="131">
        <f t="shared" si="1"/>
        <v>128</v>
      </c>
      <c r="E38" s="89" t="s">
        <v>2209</v>
      </c>
      <c r="F38" s="87"/>
      <c r="H38" s="74"/>
      <c r="K38" s="78"/>
      <c r="L38" s="78"/>
    </row>
    <row r="39" spans="1:12" s="69" customFormat="1" ht="14.25" hidden="1" customHeight="1">
      <c r="A39" s="86"/>
      <c r="B39" s="86">
        <f t="shared" si="0"/>
        <v>220577</v>
      </c>
      <c r="C39" s="740" t="str">
        <f>edging2</f>
        <v>Edg_EAW_5216_D1(44x1)</v>
      </c>
      <c r="D39" s="131">
        <f t="shared" si="1"/>
        <v>6</v>
      </c>
      <c r="E39" s="89" t="s">
        <v>2209</v>
      </c>
      <c r="F39" s="87"/>
      <c r="H39" s="74"/>
      <c r="K39" s="78"/>
      <c r="L39" s="78"/>
    </row>
    <row r="40" spans="1:12" s="69" customFormat="1" ht="14.25" customHeight="1">
      <c r="A40" s="86"/>
      <c r="B40" s="86">
        <f t="shared" si="0"/>
        <v>220861</v>
      </c>
      <c r="C40" s="740" t="str">
        <f>edging3</f>
        <v>Edg_DSS_00206_SM</v>
      </c>
      <c r="D40" s="131">
        <f t="shared" si="1"/>
        <v>6</v>
      </c>
      <c r="E40" s="89" t="s">
        <v>2209</v>
      </c>
      <c r="F40" s="87"/>
      <c r="H40" s="74"/>
      <c r="K40" s="78"/>
      <c r="L40" s="78"/>
    </row>
    <row r="41" spans="1:12" s="69" customFormat="1" ht="14.25" hidden="1" customHeight="1">
      <c r="A41" s="86"/>
      <c r="B41" s="86">
        <f t="shared" si="0"/>
        <v>221110</v>
      </c>
      <c r="C41" s="740" t="str">
        <f>edging4</f>
        <v>Edg_DSS_00206_SM(45X1)</v>
      </c>
      <c r="D41" s="131">
        <f t="shared" si="1"/>
        <v>0</v>
      </c>
      <c r="E41" s="89" t="s">
        <v>2209</v>
      </c>
      <c r="F41" s="87"/>
      <c r="H41" s="74"/>
      <c r="K41" s="78"/>
      <c r="L41" s="78"/>
    </row>
    <row r="42" spans="1:12" s="69" customFormat="1" ht="14.25" customHeight="1">
      <c r="A42" s="86"/>
      <c r="B42" s="86" t="str">
        <f t="shared" si="0"/>
        <v>…</v>
      </c>
      <c r="C42" s="740" t="str">
        <f>edging5</f>
        <v>Edg_EAP_1338_DO</v>
      </c>
      <c r="D42" s="131">
        <f t="shared" si="1"/>
        <v>9</v>
      </c>
      <c r="E42" s="89" t="s">
        <v>2209</v>
      </c>
      <c r="F42" s="87"/>
      <c r="H42" s="74"/>
      <c r="K42" s="78"/>
      <c r="L42" s="78"/>
    </row>
    <row r="43" spans="1:12" s="69" customFormat="1" ht="14.25" hidden="1" customHeight="1">
      <c r="A43" s="86"/>
      <c r="B43" s="86" t="str">
        <f t="shared" si="0"/>
        <v>…</v>
      </c>
      <c r="C43" s="740" t="str">
        <f>edging6</f>
        <v>Edg_Decor_2023_B</v>
      </c>
      <c r="D43" s="131">
        <f t="shared" si="1"/>
        <v>0</v>
      </c>
      <c r="E43" s="89" t="s">
        <v>2209</v>
      </c>
      <c r="F43" s="87"/>
      <c r="H43" s="74"/>
      <c r="K43" s="78"/>
      <c r="L43" s="78"/>
    </row>
    <row r="44" spans="1:12" s="69" customFormat="1" ht="14.25" customHeight="1">
      <c r="A44" s="86"/>
      <c r="B44" s="86"/>
      <c r="C44" s="740"/>
      <c r="D44" s="131"/>
      <c r="E44" s="89"/>
      <c r="F44" s="87"/>
      <c r="H44" s="74"/>
      <c r="K44" s="78"/>
      <c r="L44" s="78"/>
    </row>
    <row r="45" spans="1:12" s="69" customFormat="1" ht="14.25" hidden="1" customHeight="1">
      <c r="A45" s="86"/>
      <c r="B45" s="86"/>
      <c r="C45" s="740"/>
      <c r="D45" s="131"/>
      <c r="E45" s="89"/>
      <c r="F45" s="87"/>
      <c r="H45" s="74"/>
      <c r="K45" s="78"/>
      <c r="L45" s="78"/>
    </row>
    <row r="46" spans="1:12" s="69" customFormat="1" ht="14.25" customHeight="1">
      <c r="A46" s="86"/>
      <c r="B46" s="86"/>
      <c r="C46" s="773" t="s">
        <v>4239</v>
      </c>
      <c r="D46" s="135"/>
      <c r="E46" s="511"/>
      <c r="F46" s="87"/>
      <c r="H46" s="74"/>
      <c r="K46" s="78"/>
      <c r="L46" s="78"/>
    </row>
    <row r="47" spans="1:12" s="69" customFormat="1" ht="14.25" hidden="1" customHeight="1">
      <c r="A47" s="86"/>
      <c r="B47" s="86"/>
      <c r="C47" s="95" t="str">
        <f>edgingkab1</f>
        <v>Edg_Décor_1723_B</v>
      </c>
      <c r="D47" s="60">
        <f>ROUNDUP(SUMIFS(P,kode,$G47,PI,$C47)+SUMIFS(P,kode,$G47,PII,$C47)+SUMIFS(L,kode,$G47,LI,$C47)+SUMIFS(L,kode,$G47,LII,$C47),0)</f>
        <v>0</v>
      </c>
      <c r="E47" s="89" t="s">
        <v>2209</v>
      </c>
      <c r="F47" s="442" t="s">
        <v>4240</v>
      </c>
      <c r="H47" s="74"/>
      <c r="K47" s="78"/>
      <c r="L47" s="78"/>
    </row>
    <row r="48" spans="1:12" s="69" customFormat="1" ht="14.25" hidden="1" customHeight="1">
      <c r="A48" s="86"/>
      <c r="B48" s="86"/>
      <c r="C48" s="95" t="str">
        <f>edgingkab2</f>
        <v>Edg_Decor_1723_B_(55x1)</v>
      </c>
      <c r="D48" s="443">
        <f>ROUNDUP((SUMIF(anodizeh,C48,L)/1),0)</f>
        <v>0</v>
      </c>
      <c r="E48" s="89" t="s">
        <v>2209</v>
      </c>
      <c r="F48" s="442" t="s">
        <v>4240</v>
      </c>
      <c r="H48" s="74"/>
      <c r="K48" s="78"/>
      <c r="L48" s="78"/>
    </row>
    <row r="49" spans="1:12" s="69" customFormat="1" ht="14.25" hidden="1" customHeight="1">
      <c r="A49" s="86"/>
      <c r="B49" s="86"/>
      <c r="C49" s="95" t="str">
        <f>edging1</f>
        <v>Edg_EAW_5216D1</v>
      </c>
      <c r="D49" s="443">
        <f>ROUNDUP((SUMIF(anodizeh,C49,L)/1),0)</f>
        <v>6</v>
      </c>
      <c r="E49" s="89" t="s">
        <v>2209</v>
      </c>
      <c r="F49" s="442" t="s">
        <v>4240</v>
      </c>
      <c r="H49" s="74"/>
      <c r="K49" s="78"/>
      <c r="L49" s="78"/>
    </row>
    <row r="50" spans="1:12" s="69" customFormat="1" ht="14.25" hidden="1" customHeight="1">
      <c r="A50" s="86"/>
      <c r="B50" s="86"/>
      <c r="C50" s="95" t="str">
        <f>edging2</f>
        <v>Edg_EAW_5216_D1(44x1)</v>
      </c>
      <c r="D50" s="443">
        <f>ROUNDUP((SUMIF(anodizeh,C50,L)/1),0)</f>
        <v>0</v>
      </c>
      <c r="E50" s="89" t="s">
        <v>2209</v>
      </c>
      <c r="F50" s="442" t="s">
        <v>4240</v>
      </c>
      <c r="H50" s="74"/>
      <c r="K50" s="78"/>
      <c r="L50" s="78"/>
    </row>
    <row r="51" spans="1:12" s="69" customFormat="1" ht="14.25" customHeight="1">
      <c r="A51" s="86"/>
      <c r="B51" s="86"/>
      <c r="C51" s="95" t="str">
        <f>edging3</f>
        <v>Edg_DSS_00206_SM</v>
      </c>
      <c r="D51" s="443">
        <f>ROUNDUP((SUMIF(anodizeh,C51,L)/1),0)</f>
        <v>0</v>
      </c>
      <c r="E51" s="89" t="s">
        <v>2209</v>
      </c>
      <c r="F51" s="442" t="s">
        <v>4240</v>
      </c>
      <c r="H51" s="74"/>
      <c r="K51" s="78"/>
      <c r="L51" s="78"/>
    </row>
    <row r="52" spans="1:12" s="69" customFormat="1" ht="14.25" hidden="1" customHeight="1">
      <c r="A52" s="86"/>
      <c r="B52" s="86"/>
      <c r="C52" s="95" t="str">
        <f>edging4</f>
        <v>Edg_DSS_00206_SM(45X1)</v>
      </c>
      <c r="D52" s="443">
        <f>ROUNDUP((SUMIF(anodizeh,C52,L)/1),0)</f>
        <v>0</v>
      </c>
      <c r="E52" s="89" t="s">
        <v>2209</v>
      </c>
      <c r="F52" s="442" t="s">
        <v>4240</v>
      </c>
      <c r="H52" s="74"/>
      <c r="K52" s="78"/>
      <c r="L52" s="78"/>
    </row>
    <row r="53" spans="1:12" s="69" customFormat="1" ht="14.25" hidden="1" customHeight="1">
      <c r="A53" s="86"/>
      <c r="B53" s="86"/>
      <c r="C53" s="773"/>
      <c r="D53" s="135"/>
      <c r="E53" s="511"/>
      <c r="F53" s="87"/>
      <c r="H53" s="74"/>
      <c r="K53" s="78"/>
      <c r="L53" s="78"/>
    </row>
    <row r="54" spans="1:12" s="69" customFormat="1" ht="14.25" hidden="1" customHeight="1">
      <c r="A54" s="86"/>
      <c r="B54" s="86"/>
      <c r="C54" s="773"/>
      <c r="D54" s="135"/>
      <c r="E54" s="511"/>
      <c r="F54" s="87"/>
      <c r="H54" s="74"/>
      <c r="K54" s="78"/>
      <c r="L54" s="78"/>
    </row>
    <row r="55" spans="1:12" s="69" customFormat="1" ht="14.25" hidden="1" customHeight="1">
      <c r="A55" s="86"/>
      <c r="B55" s="86">
        <f t="shared" ref="B55:B60" si="2">IFERROR(INDEX((ID),MATCH(C55,BARANG,0)),"…")</f>
        <v>210481</v>
      </c>
      <c r="C55" s="95" t="str">
        <f>edgingkab1</f>
        <v>Edg_Décor_1723_B</v>
      </c>
      <c r="D55" s="443">
        <f t="shared" ref="D55:D60" si="3">ROUNDUP((SUMIF(anodizeh,C55,_2PL)/1),0)</f>
        <v>0</v>
      </c>
      <c r="E55" s="89" t="s">
        <v>2209</v>
      </c>
      <c r="F55" s="442" t="s">
        <v>2383</v>
      </c>
      <c r="H55" s="74"/>
      <c r="K55" s="78"/>
      <c r="L55" s="78"/>
    </row>
    <row r="56" spans="1:12" s="69" customFormat="1" ht="14.25" hidden="1" customHeight="1">
      <c r="A56" s="86"/>
      <c r="B56" s="86" t="str">
        <f t="shared" si="2"/>
        <v>…</v>
      </c>
      <c r="C56" s="95" t="str">
        <f>edgingkab2</f>
        <v>Edg_Decor_1723_B_(55x1)</v>
      </c>
      <c r="D56" s="443">
        <f t="shared" si="3"/>
        <v>0</v>
      </c>
      <c r="E56" s="89" t="s">
        <v>2209</v>
      </c>
      <c r="F56" s="442" t="s">
        <v>3835</v>
      </c>
      <c r="H56" s="74"/>
      <c r="K56" s="78"/>
      <c r="L56" s="78"/>
    </row>
    <row r="57" spans="1:12" s="69" customFormat="1" ht="14.25" hidden="1" customHeight="1">
      <c r="A57" s="86"/>
      <c r="B57" s="86" t="str">
        <f t="shared" si="2"/>
        <v>…</v>
      </c>
      <c r="C57" s="95" t="str">
        <f>edging1</f>
        <v>Edg_EAW_5216D1</v>
      </c>
      <c r="D57" s="443">
        <f t="shared" si="3"/>
        <v>61</v>
      </c>
      <c r="E57" s="89" t="s">
        <v>2209</v>
      </c>
      <c r="F57" s="442" t="s">
        <v>2383</v>
      </c>
      <c r="H57" s="74"/>
      <c r="K57" s="78"/>
      <c r="L57" s="78"/>
    </row>
    <row r="58" spans="1:12" s="69" customFormat="1" ht="14.25" hidden="1" customHeight="1">
      <c r="A58" s="86"/>
      <c r="B58" s="86">
        <f t="shared" si="2"/>
        <v>220577</v>
      </c>
      <c r="C58" s="95" t="str">
        <f>edging2</f>
        <v>Edg_EAW_5216_D1(44x1)</v>
      </c>
      <c r="D58" s="443">
        <f t="shared" si="3"/>
        <v>0</v>
      </c>
      <c r="E58" s="89" t="s">
        <v>2209</v>
      </c>
      <c r="F58" s="442" t="s">
        <v>3835</v>
      </c>
      <c r="H58" s="74"/>
      <c r="K58" s="78"/>
      <c r="L58" s="78"/>
    </row>
    <row r="59" spans="1:12" s="69" customFormat="1" ht="14.25" hidden="1" customHeight="1">
      <c r="A59" s="86"/>
      <c r="B59" s="86">
        <f t="shared" si="2"/>
        <v>220861</v>
      </c>
      <c r="C59" s="95" t="str">
        <f>edging3</f>
        <v>Edg_DSS_00206_SM</v>
      </c>
      <c r="D59" s="443">
        <f t="shared" si="3"/>
        <v>0</v>
      </c>
      <c r="E59" s="89" t="s">
        <v>2209</v>
      </c>
      <c r="F59" s="442" t="s">
        <v>2383</v>
      </c>
      <c r="H59" s="74"/>
      <c r="K59" s="78"/>
      <c r="L59" s="78"/>
    </row>
    <row r="60" spans="1:12" s="69" customFormat="1" ht="14.25" hidden="1" customHeight="1">
      <c r="A60" s="86"/>
      <c r="B60" s="86">
        <f t="shared" si="2"/>
        <v>221110</v>
      </c>
      <c r="C60" s="95" t="str">
        <f>edging4</f>
        <v>Edg_DSS_00206_SM(45X1)</v>
      </c>
      <c r="D60" s="443">
        <f t="shared" si="3"/>
        <v>0</v>
      </c>
      <c r="E60" s="89" t="s">
        <v>2209</v>
      </c>
      <c r="F60" s="442" t="s">
        <v>3835</v>
      </c>
      <c r="H60" s="74"/>
      <c r="K60" s="78"/>
      <c r="L60" s="78"/>
    </row>
    <row r="61" spans="1:12" s="69" customFormat="1" ht="14.25" hidden="1" customHeight="1">
      <c r="A61" s="86"/>
      <c r="B61" s="86"/>
      <c r="C61" s="95"/>
      <c r="D61" s="443"/>
      <c r="E61" s="89"/>
      <c r="F61" s="442"/>
      <c r="H61" s="74"/>
      <c r="K61" s="78"/>
      <c r="L61" s="78"/>
    </row>
    <row r="62" spans="1:12" s="69" customFormat="1" ht="14.25" hidden="1" customHeight="1">
      <c r="A62" s="86"/>
      <c r="B62" s="86">
        <f t="shared" ref="B62:B67" si="4">IFERROR(INDEX((ID),MATCH(C62,BARANG,0)),"…")</f>
        <v>210481</v>
      </c>
      <c r="C62" s="95" t="str">
        <f>edgingkab1</f>
        <v>Edg_Décor_1723_B</v>
      </c>
      <c r="D62" s="443">
        <f t="shared" ref="D62:D67" si="5">ROUNDUP((SUMIF(anodizev,C62,_2PL)/1),0)</f>
        <v>0</v>
      </c>
      <c r="E62" s="89" t="s">
        <v>2209</v>
      </c>
      <c r="F62" s="442" t="s">
        <v>2382</v>
      </c>
      <c r="H62" s="74"/>
      <c r="K62" s="78"/>
      <c r="L62" s="78"/>
    </row>
    <row r="63" spans="1:12" s="69" customFormat="1" ht="14.25" hidden="1" customHeight="1">
      <c r="A63" s="86"/>
      <c r="B63" s="86" t="str">
        <f t="shared" si="4"/>
        <v>…</v>
      </c>
      <c r="C63" s="95" t="str">
        <f>edgingkab2</f>
        <v>Edg_Decor_1723_B_(55x1)</v>
      </c>
      <c r="D63" s="443">
        <f t="shared" si="5"/>
        <v>0</v>
      </c>
      <c r="E63" s="89" t="s">
        <v>2209</v>
      </c>
      <c r="F63" s="442" t="s">
        <v>3833</v>
      </c>
      <c r="H63" s="74"/>
      <c r="K63" s="78"/>
      <c r="L63" s="78"/>
    </row>
    <row r="64" spans="1:12" s="69" customFormat="1" ht="14.25" hidden="1" customHeight="1">
      <c r="A64" s="86"/>
      <c r="B64" s="86" t="str">
        <f t="shared" si="4"/>
        <v>…</v>
      </c>
      <c r="C64" s="95" t="str">
        <f>edging1</f>
        <v>Edg_EAW_5216D1</v>
      </c>
      <c r="D64" s="443">
        <f t="shared" si="5"/>
        <v>0</v>
      </c>
      <c r="E64" s="89" t="s">
        <v>2209</v>
      </c>
      <c r="F64" s="442" t="s">
        <v>2382</v>
      </c>
      <c r="H64" s="74"/>
      <c r="K64" s="78"/>
      <c r="L64" s="78"/>
    </row>
    <row r="65" spans="1:12" s="69" customFormat="1" ht="14.25" hidden="1" customHeight="1">
      <c r="A65" s="86"/>
      <c r="B65" s="86">
        <f t="shared" si="4"/>
        <v>220577</v>
      </c>
      <c r="C65" s="95" t="str">
        <f>edging2</f>
        <v>Edg_EAW_5216_D1(44x1)</v>
      </c>
      <c r="D65" s="443">
        <f t="shared" si="5"/>
        <v>0</v>
      </c>
      <c r="E65" s="89" t="s">
        <v>2209</v>
      </c>
      <c r="F65" s="442" t="s">
        <v>3834</v>
      </c>
      <c r="H65" s="74"/>
      <c r="K65" s="78"/>
      <c r="L65" s="78"/>
    </row>
    <row r="66" spans="1:12" s="69" customFormat="1" ht="14.25" hidden="1" customHeight="1">
      <c r="A66" s="86"/>
      <c r="B66" s="86">
        <f t="shared" si="4"/>
        <v>220861</v>
      </c>
      <c r="C66" s="95" t="str">
        <f>edging3</f>
        <v>Edg_DSS_00206_SM</v>
      </c>
      <c r="D66" s="443">
        <f t="shared" si="5"/>
        <v>0</v>
      </c>
      <c r="E66" s="89" t="s">
        <v>2209</v>
      </c>
      <c r="F66" s="442" t="s">
        <v>2382</v>
      </c>
      <c r="H66" s="74"/>
      <c r="K66" s="78"/>
      <c r="L66" s="78"/>
    </row>
    <row r="67" spans="1:12" s="69" customFormat="1" ht="14.25" hidden="1" customHeight="1">
      <c r="A67" s="86"/>
      <c r="B67" s="86">
        <f t="shared" si="4"/>
        <v>221110</v>
      </c>
      <c r="C67" s="95" t="str">
        <f>edging4</f>
        <v>Edg_DSS_00206_SM(45X1)</v>
      </c>
      <c r="D67" s="443">
        <f t="shared" si="5"/>
        <v>0</v>
      </c>
      <c r="E67" s="89" t="s">
        <v>2209</v>
      </c>
      <c r="F67" s="442" t="s">
        <v>3833</v>
      </c>
      <c r="H67" s="74"/>
      <c r="K67" s="78"/>
      <c r="L67" s="78"/>
    </row>
    <row r="68" spans="1:12" s="69" customFormat="1" ht="14.25" hidden="1" customHeight="1">
      <c r="A68" s="86"/>
      <c r="B68" s="86"/>
      <c r="C68" s="777"/>
      <c r="D68" s="135"/>
      <c r="E68" s="511"/>
      <c r="F68" s="87"/>
      <c r="H68" s="74"/>
      <c r="K68" s="78"/>
      <c r="L68" s="78"/>
    </row>
    <row r="69" spans="1:12" s="69" customFormat="1" ht="14.25" customHeight="1">
      <c r="A69" s="86"/>
      <c r="B69" s="86"/>
      <c r="C69" s="777"/>
      <c r="D69" s="135"/>
      <c r="E69" s="511"/>
      <c r="F69" s="87"/>
      <c r="H69" s="74"/>
      <c r="K69" s="78"/>
      <c r="L69" s="78"/>
    </row>
    <row r="70" spans="1:12" s="69" customFormat="1" ht="14.25" customHeight="1">
      <c r="A70" s="86"/>
      <c r="B70" s="86"/>
      <c r="C70" s="773" t="s">
        <v>4242</v>
      </c>
      <c r="D70" s="135"/>
      <c r="E70" s="511"/>
      <c r="F70" s="87"/>
      <c r="H70" s="74"/>
      <c r="K70" s="78"/>
      <c r="L70" s="78"/>
    </row>
    <row r="71" spans="1:12" s="69" customFormat="1" ht="14.25" hidden="1" customHeight="1">
      <c r="A71" s="86"/>
      <c r="B71" s="86"/>
      <c r="C71" s="773" t="s">
        <v>4244</v>
      </c>
      <c r="D71" s="135"/>
      <c r="E71" s="511"/>
      <c r="F71" s="87"/>
      <c r="H71" s="74"/>
      <c r="K71" s="78"/>
      <c r="L71" s="78"/>
    </row>
    <row r="72" spans="1:12" s="69" customFormat="1" ht="14.25" hidden="1" customHeight="1">
      <c r="A72" s="86"/>
      <c r="B72" s="86">
        <f>IFERROR(INDEX((ID),MATCH(C72,BARANG,0)),"…")</f>
        <v>205345</v>
      </c>
      <c r="C72" s="775" t="str">
        <f>edging8</f>
        <v>Trim 22 S2/S4 Brown Doff ( Alm. 75270 ) P3</v>
      </c>
      <c r="D72" s="131">
        <f>ROUNDUP(((SUMIF(PI,C72,P)+SUMIF(PII,C72,P)+SUMIF(LI,C72,L)+SUMIF(LII,C72,L))/2.8),0)</f>
        <v>0</v>
      </c>
      <c r="E72" s="511" t="s">
        <v>2224</v>
      </c>
      <c r="F72" s="87"/>
      <c r="H72" s="74"/>
      <c r="K72" s="78"/>
      <c r="L72" s="78"/>
    </row>
    <row r="73" spans="1:12" s="69" customFormat="1" ht="14.25" hidden="1" customHeight="1">
      <c r="A73" s="86"/>
      <c r="B73" s="86">
        <f>IFERROR(INDEX((ID),MATCH(C73,BARANG,0)),"…")</f>
        <v>205406</v>
      </c>
      <c r="C73" s="775" t="str">
        <f>edging9</f>
        <v>ST-36 Brown Doff ( Alm. 2351 ) P3 P3</v>
      </c>
      <c r="D73" s="131">
        <f>ROUNDUP(((SUMIF(PI,C73,P)+SUMIF(PII,C73,P)+SUMIF(LI,C73,L)+SUMIF(LII,C73,L))/2.8),0)</f>
        <v>0</v>
      </c>
      <c r="E73" s="511" t="s">
        <v>2224</v>
      </c>
      <c r="F73" s="87"/>
      <c r="H73" s="74"/>
      <c r="K73" s="78"/>
      <c r="L73" s="78"/>
    </row>
    <row r="74" spans="1:12" s="69" customFormat="1" ht="14.25" hidden="1" customHeight="1">
      <c r="A74" s="86"/>
      <c r="B74" s="86">
        <f>IFERROR(INDEX((ID),MATCH(C74,BARANG,0)),"…")</f>
        <v>205356</v>
      </c>
      <c r="C74" s="775" t="str">
        <f>edging7</f>
        <v>Trim 21 S2/S4 Brown Doff ( Alm. 75181 ) P3</v>
      </c>
      <c r="D74" s="131">
        <f>ROUNDUP(((SUMIF(PI,C74,P)+SUMIF(PII,C74,P)+SUMIF(LI,C74,L)+SUMIF(LII,C74,L))/2.8),0)</f>
        <v>0</v>
      </c>
      <c r="E74" s="511" t="s">
        <v>2224</v>
      </c>
      <c r="F74" s="87"/>
      <c r="H74" s="74"/>
      <c r="K74" s="78"/>
      <c r="L74" s="78"/>
    </row>
    <row r="75" spans="1:12" s="69" customFormat="1" ht="14.25" hidden="1" customHeight="1">
      <c r="A75" s="86"/>
      <c r="B75" s="86">
        <f>IFERROR(INDEX((ID),MATCH(C75,BARANG,0)),"…")</f>
        <v>2060898</v>
      </c>
      <c r="C75" s="775" t="str">
        <f>liskaca</f>
        <v>List Kaca Black Doff ( Alm. 6600/6599 ) P2.8</v>
      </c>
      <c r="D75" s="131">
        <f>ROUNDUP(((SUMIF(PI,C75,P)+SUMIF(PII,C75,P)+SUMIF(LI,C75,L)+SUMIF(LII,C75,L))/2.8),0)</f>
        <v>0</v>
      </c>
      <c r="E75" s="511" t="s">
        <v>2224</v>
      </c>
      <c r="F75" s="87"/>
      <c r="H75" s="74"/>
      <c r="K75" s="78"/>
      <c r="L75" s="78"/>
    </row>
    <row r="76" spans="1:12" s="69" customFormat="1" ht="14.25" hidden="1" customHeight="1">
      <c r="A76" s="86"/>
      <c r="B76" s="86"/>
      <c r="C76" s="773"/>
      <c r="D76" s="131"/>
      <c r="E76" s="511"/>
      <c r="F76" s="87"/>
      <c r="H76" s="74"/>
      <c r="K76" s="78"/>
      <c r="L76" s="78"/>
    </row>
    <row r="77" spans="1:12" s="69" customFormat="1" ht="14.25" customHeight="1">
      <c r="A77" s="86"/>
      <c r="B77" s="86"/>
      <c r="C77" s="773" t="s">
        <v>4245</v>
      </c>
      <c r="D77" s="131"/>
      <c r="E77" s="511"/>
      <c r="F77" s="87"/>
      <c r="H77" s="74"/>
      <c r="K77" s="78"/>
      <c r="L77" s="78"/>
    </row>
    <row r="78" spans="1:12" s="69" customFormat="1" ht="14.25" hidden="1" customHeight="1">
      <c r="A78" s="86"/>
      <c r="B78" s="86">
        <f t="shared" ref="B78:B84" si="6">IFERROR(INDEX((ID),MATCH(C78,BARANG,0)),"…")</f>
        <v>205345</v>
      </c>
      <c r="C78" s="775" t="str">
        <f>edging8</f>
        <v>Trim 22 S2/S4 Brown Doff ( Alm. 75270 ) P3</v>
      </c>
      <c r="D78" s="132">
        <f t="shared" ref="D78:D84" si="7">ROUNDUP(((SUMIF(anodizev,C78,P)+(SUMIF(anodizev2,C78,P)+SUMIF(anodizeh,C78,L)))/2.8),0)</f>
        <v>0</v>
      </c>
      <c r="E78" s="511" t="s">
        <v>2224</v>
      </c>
      <c r="F78" s="87"/>
      <c r="H78" s="74"/>
      <c r="K78" s="78"/>
      <c r="L78" s="78"/>
    </row>
    <row r="79" spans="1:12" s="69" customFormat="1" ht="14.25" hidden="1" customHeight="1">
      <c r="A79" s="86"/>
      <c r="B79" s="86">
        <f t="shared" si="6"/>
        <v>205406</v>
      </c>
      <c r="C79" s="775" t="str">
        <f>edging9</f>
        <v>ST-36 Brown Doff ( Alm. 2351 ) P3 P3</v>
      </c>
      <c r="D79" s="132">
        <f t="shared" si="7"/>
        <v>0</v>
      </c>
      <c r="E79" s="511" t="s">
        <v>2224</v>
      </c>
      <c r="F79" s="87"/>
      <c r="H79" s="74"/>
      <c r="K79" s="78"/>
      <c r="L79" s="78"/>
    </row>
    <row r="80" spans="1:12" s="69" customFormat="1" ht="14.25" hidden="1" customHeight="1">
      <c r="A80" s="86"/>
      <c r="B80" s="86">
        <f t="shared" si="6"/>
        <v>205356</v>
      </c>
      <c r="C80" s="775" t="str">
        <f>edging7</f>
        <v>Trim 21 S2/S4 Brown Doff ( Alm. 75181 ) P3</v>
      </c>
      <c r="D80" s="132">
        <f t="shared" si="7"/>
        <v>0</v>
      </c>
      <c r="E80" s="511" t="s">
        <v>2224</v>
      </c>
      <c r="F80" s="87"/>
      <c r="H80" s="74"/>
      <c r="K80" s="78"/>
      <c r="L80" s="78"/>
    </row>
    <row r="81" spans="1:12" s="69" customFormat="1" ht="14.25" customHeight="1">
      <c r="A81" s="86"/>
      <c r="B81" s="86">
        <f>IFERROR(INDEX((ID),MATCH(C81,BARANG,0)),"…")</f>
        <v>205412</v>
      </c>
      <c r="C81" s="775" t="str">
        <f>mled02</f>
        <v>M-LED-02 Brown Doff ( Alm. 75111 ) P3</v>
      </c>
      <c r="D81" s="132">
        <f t="shared" si="7"/>
        <v>2</v>
      </c>
      <c r="E81" s="511" t="s">
        <v>2224</v>
      </c>
      <c r="F81" s="87"/>
      <c r="H81" s="74"/>
      <c r="K81" s="78"/>
      <c r="L81" s="78"/>
    </row>
    <row r="82" spans="1:12" s="69" customFormat="1" ht="14.25" hidden="1" customHeight="1">
      <c r="A82" s="86"/>
      <c r="B82" s="86">
        <f>IFERROR(INDEX((ID),MATCH(C82,BARANG,0)),"…")</f>
        <v>205416</v>
      </c>
      <c r="C82" s="775" t="str">
        <f>mprf1</f>
        <v>M-PRF-01 Brown Doff ( Alm. 75110 ) P3</v>
      </c>
      <c r="D82" s="132">
        <f t="shared" si="7"/>
        <v>0</v>
      </c>
      <c r="E82" s="511" t="s">
        <v>2224</v>
      </c>
      <c r="F82" s="87"/>
      <c r="H82" s="74"/>
      <c r="K82" s="78"/>
      <c r="L82" s="78"/>
    </row>
    <row r="83" spans="1:12" s="69" customFormat="1" ht="14.25" hidden="1" customHeight="1">
      <c r="A83" s="86"/>
      <c r="B83" s="86">
        <f t="shared" si="6"/>
        <v>205439</v>
      </c>
      <c r="C83" s="775" t="str">
        <f>mlis1</f>
        <v>M-LIST-01 Brown Doff ( Alm. 75112 ) P3</v>
      </c>
      <c r="D83" s="132">
        <f t="shared" si="7"/>
        <v>0</v>
      </c>
      <c r="E83" s="511" t="s">
        <v>2224</v>
      </c>
      <c r="F83" s="87"/>
      <c r="H83" s="74"/>
      <c r="K83" s="78"/>
      <c r="L83" s="78"/>
    </row>
    <row r="84" spans="1:12" s="69" customFormat="1" ht="14.25" hidden="1" customHeight="1">
      <c r="A84" s="86"/>
      <c r="B84" s="86">
        <f t="shared" si="6"/>
        <v>2060898</v>
      </c>
      <c r="C84" s="775" t="str">
        <f>liskaca</f>
        <v>List Kaca Black Doff ( Alm. 6600/6599 ) P2.8</v>
      </c>
      <c r="D84" s="132">
        <f t="shared" si="7"/>
        <v>0</v>
      </c>
      <c r="E84" s="511" t="s">
        <v>2224</v>
      </c>
      <c r="F84" s="87"/>
      <c r="H84" s="74"/>
      <c r="K84" s="78"/>
      <c r="L84" s="78"/>
    </row>
    <row r="85" spans="1:12" s="69" customFormat="1" ht="14.25" customHeight="1">
      <c r="A85" s="86"/>
      <c r="B85" s="86"/>
      <c r="C85" s="773"/>
      <c r="D85" s="131"/>
      <c r="E85" s="511"/>
      <c r="F85" s="87"/>
      <c r="H85" s="74"/>
      <c r="K85" s="78"/>
      <c r="L85" s="78"/>
    </row>
    <row r="86" spans="1:12" s="69" customFormat="1" ht="14.25" customHeight="1">
      <c r="A86" s="86"/>
      <c r="B86" s="86"/>
      <c r="C86" s="773" t="s">
        <v>4252</v>
      </c>
      <c r="D86" s="131"/>
      <c r="E86" s="511"/>
      <c r="F86" s="87"/>
      <c r="H86" s="74"/>
      <c r="K86" s="78"/>
      <c r="L86" s="78"/>
    </row>
    <row r="87" spans="1:12" s="69" customFormat="1" ht="14.25" customHeight="1">
      <c r="A87" s="86"/>
      <c r="B87" s="86">
        <f>IFERROR(INDEX((ID),MATCH(C87,BARANG,0)),"…")</f>
        <v>205359</v>
      </c>
      <c r="C87" s="778" t="s">
        <v>824</v>
      </c>
      <c r="D87" s="56">
        <v>1</v>
      </c>
      <c r="E87" s="511" t="s">
        <v>2224</v>
      </c>
      <c r="F87" s="620" t="s">
        <v>4253</v>
      </c>
      <c r="H87" s="74"/>
      <c r="K87" s="78"/>
      <c r="L87" s="78"/>
    </row>
    <row r="88" spans="1:12" s="69" customFormat="1" ht="14.25" customHeight="1">
      <c r="A88" s="86"/>
      <c r="B88" s="86" t="str">
        <f>IFERROR(INDEX((ID),MATCH(C88,BARANG,0)),"…")</f>
        <v>…</v>
      </c>
      <c r="C88" s="919" t="s">
        <v>4241</v>
      </c>
      <c r="D88" s="56">
        <v>1</v>
      </c>
      <c r="E88" s="511" t="s">
        <v>2224</v>
      </c>
      <c r="F88" s="620" t="s">
        <v>4254</v>
      </c>
      <c r="H88" s="74"/>
      <c r="K88" s="78"/>
      <c r="L88" s="78"/>
    </row>
    <row r="89" spans="1:12" s="69" customFormat="1" ht="14.25" customHeight="1">
      <c r="A89" s="86"/>
      <c r="B89" s="86"/>
      <c r="C89" s="920"/>
      <c r="D89" s="772">
        <v>2</v>
      </c>
      <c r="E89" s="511" t="s">
        <v>2224</v>
      </c>
      <c r="F89" s="620" t="s">
        <v>4255</v>
      </c>
      <c r="H89" s="74"/>
      <c r="K89" s="78"/>
      <c r="L89" s="78"/>
    </row>
    <row r="90" spans="1:12" s="69" customFormat="1" ht="14.25" customHeight="1">
      <c r="A90" s="86"/>
      <c r="B90" s="86"/>
      <c r="C90" s="773"/>
      <c r="D90" s="131"/>
      <c r="E90" s="511"/>
      <c r="F90" s="87"/>
      <c r="H90" s="74"/>
      <c r="K90" s="78"/>
      <c r="L90" s="78"/>
    </row>
    <row r="91" spans="1:12" s="69" customFormat="1" ht="14.25" hidden="1" customHeight="1">
      <c r="A91" s="86"/>
      <c r="B91" s="86"/>
      <c r="C91" s="773" t="s">
        <v>4243</v>
      </c>
      <c r="D91" s="131"/>
      <c r="E91" s="511"/>
      <c r="F91" s="87"/>
      <c r="H91" s="74"/>
      <c r="K91" s="78"/>
      <c r="L91" s="78"/>
    </row>
    <row r="92" spans="1:12" s="69" customFormat="1" ht="14.25" hidden="1" customHeight="1">
      <c r="A92" s="86"/>
      <c r="B92" s="86">
        <f t="shared" ref="B92:B102" si="8">IFERROR(INDEX((ID),MATCH(C92,BARANG,0)),"…")</f>
        <v>205191</v>
      </c>
      <c r="C92" s="604" t="str">
        <f>fr_0</f>
        <v>M-FRM Tutup Belakang Brown Doff ( Alm. 75225 ) P3</v>
      </c>
      <c r="D92" s="131">
        <f t="shared" ref="D92:D102" si="9">ROUNDUP(((SUMIF(PI,C92,P)+SUMIF(PII,C92,P)+SUMIF(LI,C92,L)+SUMIF(LII,C92,L))/2.8),0)</f>
        <v>0</v>
      </c>
      <c r="E92" s="511" t="s">
        <v>2224</v>
      </c>
      <c r="F92" s="87"/>
      <c r="H92" s="74"/>
      <c r="K92" s="78"/>
      <c r="L92" s="78"/>
    </row>
    <row r="93" spans="1:12" s="69" customFormat="1" ht="14.25" hidden="1" customHeight="1">
      <c r="A93" s="86"/>
      <c r="B93" s="86">
        <f t="shared" si="8"/>
        <v>205193</v>
      </c>
      <c r="C93" s="604" t="str">
        <f>fr_1</f>
        <v>M-FRM Body Brown Doff ( Alm. 75226 ) P3</v>
      </c>
      <c r="D93" s="131">
        <f t="shared" si="9"/>
        <v>0</v>
      </c>
      <c r="E93" s="511" t="s">
        <v>2224</v>
      </c>
      <c r="F93" s="87"/>
      <c r="H93" s="74"/>
      <c r="K93" s="78"/>
      <c r="L93" s="78"/>
    </row>
    <row r="94" spans="1:12" s="69" customFormat="1" ht="14.25" hidden="1" customHeight="1">
      <c r="A94" s="86"/>
      <c r="B94" s="86">
        <f t="shared" si="8"/>
        <v>2050021</v>
      </c>
      <c r="C94" s="604" t="str">
        <f>fr_2</f>
        <v>M-FRM-07 Brown Doff ( Alm. 75355 ) P3</v>
      </c>
      <c r="D94" s="131">
        <f t="shared" si="9"/>
        <v>0</v>
      </c>
      <c r="E94" s="511" t="s">
        <v>2224</v>
      </c>
      <c r="F94" s="87"/>
      <c r="H94" s="74"/>
      <c r="K94" s="78"/>
      <c r="L94" s="78"/>
    </row>
    <row r="95" spans="1:12" s="69" customFormat="1" ht="14.25" hidden="1" customHeight="1">
      <c r="A95" s="86"/>
      <c r="B95" s="86">
        <f t="shared" si="8"/>
        <v>205194</v>
      </c>
      <c r="C95" s="604" t="str">
        <f>fr_3</f>
        <v>M-FRM-02 Black Doff ( Alm. 75227 ) P3</v>
      </c>
      <c r="D95" s="131">
        <f t="shared" si="9"/>
        <v>0</v>
      </c>
      <c r="E95" s="511" t="s">
        <v>2224</v>
      </c>
      <c r="F95" s="87"/>
      <c r="H95" s="74"/>
      <c r="K95" s="78"/>
      <c r="L95" s="78"/>
    </row>
    <row r="96" spans="1:12" s="69" customFormat="1" ht="14.25" hidden="1" customHeight="1">
      <c r="A96" s="86"/>
      <c r="B96" s="86">
        <f t="shared" si="8"/>
        <v>205198</v>
      </c>
      <c r="C96" s="604" t="str">
        <f>fr_4</f>
        <v>M-FRM-03 Black Doff ( Alm. 75229 ) P3</v>
      </c>
      <c r="D96" s="131">
        <f t="shared" si="9"/>
        <v>0</v>
      </c>
      <c r="E96" s="511" t="s">
        <v>2224</v>
      </c>
      <c r="F96" s="87"/>
      <c r="H96" s="74"/>
      <c r="K96" s="78"/>
      <c r="L96" s="78"/>
    </row>
    <row r="97" spans="1:12" s="69" customFormat="1" ht="14.25" hidden="1" customHeight="1">
      <c r="A97" s="86"/>
      <c r="B97" s="86">
        <f t="shared" si="8"/>
        <v>205446</v>
      </c>
      <c r="C97" s="604" t="str">
        <f>fr_5</f>
        <v>M-SHF-01/02 Brown Doff ( Alm. 75109 ) P3</v>
      </c>
      <c r="D97" s="131">
        <f t="shared" si="9"/>
        <v>0</v>
      </c>
      <c r="E97" s="511" t="s">
        <v>2224</v>
      </c>
      <c r="F97" s="87"/>
      <c r="H97" s="74"/>
      <c r="K97" s="78"/>
      <c r="L97" s="78"/>
    </row>
    <row r="98" spans="1:12" s="69" customFormat="1" ht="14.25" hidden="1" customHeight="1">
      <c r="A98" s="86"/>
      <c r="B98" s="86">
        <f t="shared" si="8"/>
        <v>205438</v>
      </c>
      <c r="C98" s="604" t="str">
        <f>fr_6</f>
        <v>LS-01 Brown Doff ( Alm. 86599 ) P3</v>
      </c>
      <c r="D98" s="131">
        <f t="shared" si="9"/>
        <v>0</v>
      </c>
      <c r="E98" s="511" t="s">
        <v>2224</v>
      </c>
      <c r="F98" s="87"/>
      <c r="H98" s="74"/>
      <c r="K98" s="78"/>
      <c r="L98" s="78"/>
    </row>
    <row r="99" spans="1:12" s="69" customFormat="1" ht="14.25" hidden="1" customHeight="1">
      <c r="A99" s="86"/>
      <c r="B99" s="86">
        <f t="shared" si="8"/>
        <v>205296</v>
      </c>
      <c r="C99" s="604" t="str">
        <f>fr_7</f>
        <v>Alm. 75283 ( M-FRM-05 ) MENTAH P6</v>
      </c>
      <c r="D99" s="131">
        <f t="shared" si="9"/>
        <v>0</v>
      </c>
      <c r="E99" s="511" t="s">
        <v>2224</v>
      </c>
      <c r="F99" s="87"/>
      <c r="H99" s="74"/>
      <c r="K99" s="78"/>
      <c r="L99" s="78"/>
    </row>
    <row r="100" spans="1:12" s="69" customFormat="1" ht="14.25" hidden="1" customHeight="1">
      <c r="A100" s="86"/>
      <c r="B100" s="86">
        <f t="shared" si="8"/>
        <v>205297</v>
      </c>
      <c r="C100" s="604" t="str">
        <f>fr_8</f>
        <v>Alm. 75284 ( M-FRM-05 ) MENTAH P6</v>
      </c>
      <c r="D100" s="131">
        <f t="shared" si="9"/>
        <v>0</v>
      </c>
      <c r="E100" s="511" t="s">
        <v>2224</v>
      </c>
      <c r="F100" s="87"/>
      <c r="H100" s="74"/>
      <c r="K100" s="78"/>
      <c r="L100" s="78"/>
    </row>
    <row r="101" spans="1:12" s="69" customFormat="1" ht="14.25" hidden="1" customHeight="1">
      <c r="A101" s="86"/>
      <c r="B101" s="86">
        <f t="shared" si="8"/>
        <v>205208</v>
      </c>
      <c r="C101" s="604" t="str">
        <f>fr_9</f>
        <v>Mullion Luar Black Doff ( Alm. 75114 ) P3</v>
      </c>
      <c r="D101" s="131">
        <f t="shared" si="9"/>
        <v>0</v>
      </c>
      <c r="E101" s="511" t="s">
        <v>2224</v>
      </c>
      <c r="F101" s="87"/>
      <c r="H101" s="74"/>
      <c r="K101" s="78"/>
      <c r="L101" s="78"/>
    </row>
    <row r="102" spans="1:12" s="69" customFormat="1" ht="14.25" hidden="1" customHeight="1">
      <c r="A102" s="86"/>
      <c r="B102" s="86">
        <f t="shared" si="8"/>
        <v>205205</v>
      </c>
      <c r="C102" s="604" t="str">
        <f>fr_10</f>
        <v>Mullion Dalam Black Doff ( Alm. 41316 ) P3</v>
      </c>
      <c r="D102" s="131">
        <f t="shared" si="9"/>
        <v>0</v>
      </c>
      <c r="E102" s="511" t="s">
        <v>2224</v>
      </c>
      <c r="F102" s="87"/>
      <c r="H102" s="74"/>
      <c r="K102" s="78"/>
      <c r="L102" s="78"/>
    </row>
    <row r="103" spans="1:12" s="69" customFormat="1" ht="14.25" hidden="1" customHeight="1">
      <c r="A103" s="86"/>
      <c r="B103" s="86"/>
      <c r="C103" s="777"/>
      <c r="D103" s="135"/>
      <c r="E103" s="511"/>
      <c r="F103" s="87"/>
      <c r="H103" s="74"/>
      <c r="K103" s="78"/>
      <c r="L103" s="78"/>
    </row>
    <row r="104" spans="1:12" s="69" customFormat="1" ht="14.25" hidden="1" customHeight="1">
      <c r="A104" s="86"/>
      <c r="B104" s="511"/>
      <c r="C104" s="777"/>
      <c r="D104" s="779"/>
      <c r="E104" s="511"/>
      <c r="F104" s="87"/>
      <c r="H104" s="74"/>
      <c r="K104" s="78"/>
      <c r="L104" s="78"/>
    </row>
    <row r="105" spans="1:12" s="69" customFormat="1" ht="14.25" customHeight="1">
      <c r="A105" s="86"/>
      <c r="B105" s="511"/>
      <c r="C105" s="777"/>
      <c r="D105" s="779"/>
      <c r="E105" s="511"/>
      <c r="F105" s="87"/>
      <c r="H105" s="74"/>
      <c r="K105" s="78"/>
      <c r="L105" s="78"/>
    </row>
    <row r="106" spans="1:12" s="69" customFormat="1" ht="14.25" hidden="1" customHeight="1">
      <c r="A106" s="86"/>
      <c r="B106" s="511"/>
      <c r="C106" s="773" t="s">
        <v>4246</v>
      </c>
      <c r="D106" s="779"/>
      <c r="E106" s="511"/>
      <c r="F106" s="87"/>
      <c r="H106" s="74"/>
      <c r="K106" s="78"/>
      <c r="L106" s="78"/>
    </row>
    <row r="107" spans="1:12" s="69" customFormat="1" ht="14.25" hidden="1" customHeight="1">
      <c r="A107" s="86"/>
      <c r="B107" s="511">
        <f>INDEX((ID),MATCH(C107,BARANG,0))</f>
        <v>4854002</v>
      </c>
      <c r="C107" s="512" t="str">
        <f>siku_fr</f>
        <v>PLAT BESI SIKU 2 MM (U/FRAME AL)</v>
      </c>
      <c r="D107" s="513">
        <f>SUMIF(siku_joint,C107,Qty_siku_fr)</f>
        <v>0</v>
      </c>
      <c r="E107" s="511" t="s">
        <v>2230</v>
      </c>
      <c r="F107" s="87"/>
      <c r="H107" s="74"/>
      <c r="K107" s="78"/>
      <c r="L107" s="78"/>
    </row>
    <row r="108" spans="1:12" s="69" customFormat="1" ht="14.25" hidden="1" customHeight="1">
      <c r="A108" s="86"/>
      <c r="B108" s="86">
        <f>INDEX((ID),MATCH(C108,BARANG,0))</f>
        <v>4850272</v>
      </c>
      <c r="C108" s="378" t="str">
        <f>siku_fr05</f>
        <v>PLAT BESI bracket (U/FRAME AL 05)</v>
      </c>
      <c r="D108" s="513">
        <f>SUMIF(siku_joint,C108,Qty_siku_fr)</f>
        <v>0</v>
      </c>
      <c r="E108" s="511" t="s">
        <v>2230</v>
      </c>
      <c r="F108" s="87"/>
      <c r="H108" s="74"/>
      <c r="K108" s="78"/>
      <c r="L108" s="78"/>
    </row>
    <row r="109" spans="1:12" s="69" customFormat="1" ht="14.25" hidden="1" customHeight="1">
      <c r="A109" s="86"/>
      <c r="B109" s="86" t="str">
        <f>INDEX((ID),MATCH(C109,BARANG,0))</f>
        <v>205755</v>
      </c>
      <c r="C109" s="378" t="str">
        <f>siku_ls01</f>
        <v xml:space="preserve">SIKU JOINT LIGHTING SHELF 35 MM           </v>
      </c>
      <c r="D109" s="513">
        <f>SUMIF(siku_joint,C109,Qty_siku_fr)</f>
        <v>0</v>
      </c>
      <c r="E109" s="511" t="s">
        <v>2230</v>
      </c>
      <c r="F109" s="87"/>
      <c r="H109" s="74"/>
      <c r="K109" s="78"/>
      <c r="L109" s="78"/>
    </row>
    <row r="110" spans="1:12" s="69" customFormat="1" ht="14.25" hidden="1" customHeight="1">
      <c r="A110" s="86"/>
      <c r="B110" s="86" t="str">
        <f>INDEX((ID),MATCH(C110,BARANG,0))</f>
        <v>205754</v>
      </c>
      <c r="C110" s="378" t="str">
        <f>siku_ls02</f>
        <v xml:space="preserve">SIKU JOINT LIGHTING SHELF 28 MM          </v>
      </c>
      <c r="D110" s="513">
        <f>SUMIF(siku_joint,C110,Qty_siku_fr)</f>
        <v>0</v>
      </c>
      <c r="E110" s="511" t="s">
        <v>2230</v>
      </c>
      <c r="F110" s="87"/>
      <c r="H110" s="74"/>
      <c r="K110" s="78"/>
      <c r="L110" s="78"/>
    </row>
    <row r="111" spans="1:12" s="69" customFormat="1" ht="14.25" hidden="1" customHeight="1">
      <c r="A111" s="86"/>
      <c r="B111" s="86" t="str">
        <f>INDEX((ID),MATCH(C111,BARANG,0))</f>
        <v>205683</v>
      </c>
      <c r="C111" s="378" t="str">
        <f>siku_mshf04</f>
        <v xml:space="preserve">BRACKET ALM 25X25X4.7 + SCRUP          </v>
      </c>
      <c r="D111" s="513">
        <f>SUMIF(siku_joint,C111,Qty_siku_fr)</f>
        <v>0</v>
      </c>
      <c r="E111" s="511" t="s">
        <v>2230</v>
      </c>
      <c r="F111" s="87"/>
      <c r="H111" s="74"/>
      <c r="K111" s="78"/>
      <c r="L111" s="78"/>
    </row>
    <row r="112" spans="1:12" s="69" customFormat="1" ht="14.25" hidden="1" customHeight="1">
      <c r="A112" s="86"/>
      <c r="B112" s="86"/>
      <c r="C112" s="378"/>
      <c r="D112" s="60"/>
      <c r="E112" s="511"/>
      <c r="F112" s="87"/>
      <c r="H112" s="74"/>
      <c r="K112" s="78"/>
      <c r="L112" s="78"/>
    </row>
    <row r="113" spans="1:12" s="69" customFormat="1" ht="14.25" hidden="1" customHeight="1">
      <c r="A113" s="86"/>
      <c r="B113" s="86" t="str">
        <f>INDEX((ID),MATCH(C113,BARANG,0))</f>
        <v>205664</v>
      </c>
      <c r="C113" s="378" t="str">
        <f>scr_fr</f>
        <v>SCREW JF 4X6</v>
      </c>
      <c r="D113" s="60">
        <f>SUMIF(Screw_Join_fr,C113,Qty_screw_Jf)</f>
        <v>0</v>
      </c>
      <c r="E113" s="511" t="s">
        <v>2230</v>
      </c>
      <c r="F113" s="87"/>
      <c r="H113" s="74"/>
      <c r="K113" s="78"/>
      <c r="L113" s="78"/>
    </row>
    <row r="114" spans="1:12" s="69" customFormat="1" ht="14.25" hidden="1" customHeight="1">
      <c r="A114" s="86"/>
      <c r="B114" s="86" t="str">
        <f>INDEX((ID),MATCH(C114,BARANG,0))</f>
        <v>205688</v>
      </c>
      <c r="C114" s="378" t="str">
        <f>scr_fr05</f>
        <v>SCREW JF 4X10</v>
      </c>
      <c r="D114" s="60">
        <f>SUMIF(Screw_Join_fr,C114,Qty_screw_Jf)</f>
        <v>0</v>
      </c>
      <c r="E114" s="511" t="s">
        <v>2230</v>
      </c>
      <c r="F114" s="87"/>
      <c r="H114" s="74"/>
      <c r="K114" s="78"/>
      <c r="L114" s="78"/>
    </row>
    <row r="115" spans="1:12" s="69" customFormat="1" ht="14.25" hidden="1" customHeight="1">
      <c r="A115" s="86"/>
      <c r="B115" s="86" t="str">
        <f>INDEX((ID),MATCH(C115,BARANG,0))</f>
        <v>205536</v>
      </c>
      <c r="C115" s="378" t="str">
        <f>scr_ls01</f>
        <v>SCREW JF 5X10</v>
      </c>
      <c r="D115" s="60">
        <f>SUMIF(Screw_Join_fr,C115,Qty_screw_Jf)</f>
        <v>0</v>
      </c>
      <c r="E115" s="511" t="s">
        <v>2230</v>
      </c>
      <c r="F115" s="87"/>
      <c r="H115" s="74"/>
      <c r="K115" s="78"/>
      <c r="L115" s="78"/>
    </row>
    <row r="116" spans="1:12" s="69" customFormat="1" ht="14.25" hidden="1" customHeight="1">
      <c r="A116" s="86"/>
      <c r="B116" s="86" t="str">
        <f>INDEX((ID),MATCH(C116,BARANG,0))</f>
        <v>205529</v>
      </c>
      <c r="C116" s="378" t="str">
        <f>scr_mshf04</f>
        <v>SCREW 6X3/8</v>
      </c>
      <c r="D116" s="60">
        <f>SUMIF(Screw_Join_fr,C116,Qty_screw_Jf)</f>
        <v>0</v>
      </c>
      <c r="E116" s="511" t="s">
        <v>2230</v>
      </c>
      <c r="F116" s="87"/>
      <c r="H116" s="74"/>
      <c r="K116" s="78"/>
      <c r="L116" s="78"/>
    </row>
    <row r="117" spans="1:12" s="69" customFormat="1" ht="14.25" hidden="1" customHeight="1">
      <c r="A117" s="86"/>
      <c r="B117" s="86"/>
      <c r="C117" s="378"/>
      <c r="D117" s="60"/>
      <c r="E117" s="511"/>
      <c r="F117" s="87"/>
      <c r="H117" s="74"/>
      <c r="K117" s="78"/>
      <c r="L117" s="78"/>
    </row>
    <row r="118" spans="1:12" s="69" customFormat="1" ht="14.25" hidden="1" customHeight="1">
      <c r="A118" s="86"/>
      <c r="B118" s="86"/>
      <c r="C118" s="603" t="s">
        <v>3447</v>
      </c>
      <c r="D118" s="60"/>
      <c r="E118" s="511" t="s">
        <v>2230</v>
      </c>
      <c r="F118" s="87"/>
      <c r="H118" s="74"/>
      <c r="K118" s="78"/>
      <c r="L118" s="78"/>
    </row>
    <row r="119" spans="1:12" s="69" customFormat="1" ht="14.25" hidden="1" customHeight="1">
      <c r="A119" s="86"/>
      <c r="B119" s="86"/>
      <c r="C119" s="378"/>
      <c r="D119" s="60"/>
      <c r="E119" s="511"/>
      <c r="F119" s="87"/>
      <c r="H119" s="74"/>
      <c r="K119" s="78"/>
      <c r="L119" s="78"/>
    </row>
    <row r="120" spans="1:12" s="69" customFormat="1" ht="14.25" hidden="1" customHeight="1">
      <c r="A120" s="86"/>
      <c r="B120" s="86"/>
      <c r="C120" s="773" t="s">
        <v>4247</v>
      </c>
      <c r="D120" s="60"/>
      <c r="E120" s="511"/>
      <c r="F120" s="87"/>
      <c r="H120" s="74"/>
      <c r="K120" s="78"/>
      <c r="L120" s="78"/>
    </row>
    <row r="121" spans="1:12" s="69" customFormat="1" ht="14.25" hidden="1" customHeight="1">
      <c r="A121" s="86"/>
      <c r="B121" s="86">
        <f t="shared" ref="B121:B126" si="10">INDEX((ID),MATCH(C121,BARANG,0))</f>
        <v>308288</v>
      </c>
      <c r="C121" s="378" t="s">
        <v>3387</v>
      </c>
      <c r="D121" s="60">
        <f t="shared" ref="D121:D126" si="11">SUMIF(anodizev,C121,jumlah_pemakaian)</f>
        <v>0</v>
      </c>
      <c r="E121" s="511" t="s">
        <v>2230</v>
      </c>
      <c r="F121" s="87"/>
      <c r="H121" s="74"/>
      <c r="K121" s="78"/>
      <c r="L121" s="78"/>
    </row>
    <row r="122" spans="1:12" s="69" customFormat="1" ht="14.25" hidden="1" customHeight="1">
      <c r="A122" s="86"/>
      <c r="B122" s="86">
        <f t="shared" si="10"/>
        <v>308289</v>
      </c>
      <c r="C122" s="378" t="s">
        <v>3388</v>
      </c>
      <c r="D122" s="60">
        <f t="shared" si="11"/>
        <v>0</v>
      </c>
      <c r="E122" s="511" t="s">
        <v>2230</v>
      </c>
      <c r="F122" s="87"/>
      <c r="H122" s="74"/>
      <c r="K122" s="78"/>
      <c r="L122" s="78"/>
    </row>
    <row r="123" spans="1:12" s="69" customFormat="1" ht="14.25" hidden="1" customHeight="1">
      <c r="A123" s="86"/>
      <c r="B123" s="86">
        <f t="shared" si="10"/>
        <v>308290</v>
      </c>
      <c r="C123" s="378" t="s">
        <v>3389</v>
      </c>
      <c r="D123" s="60">
        <f t="shared" si="11"/>
        <v>0</v>
      </c>
      <c r="E123" s="511" t="s">
        <v>2230</v>
      </c>
      <c r="F123" s="87"/>
      <c r="H123" s="74"/>
      <c r="K123" s="78"/>
      <c r="L123" s="78"/>
    </row>
    <row r="124" spans="1:12" s="69" customFormat="1" ht="14.25" hidden="1" customHeight="1">
      <c r="A124" s="86"/>
      <c r="B124" s="86">
        <f t="shared" si="10"/>
        <v>308291</v>
      </c>
      <c r="C124" s="378" t="s">
        <v>3390</v>
      </c>
      <c r="D124" s="60">
        <f t="shared" si="11"/>
        <v>0</v>
      </c>
      <c r="E124" s="511" t="s">
        <v>2230</v>
      </c>
      <c r="F124" s="87"/>
      <c r="H124" s="74"/>
      <c r="K124" s="78"/>
      <c r="L124" s="78"/>
    </row>
    <row r="125" spans="1:12" s="69" customFormat="1" ht="14.25" hidden="1" customHeight="1">
      <c r="A125" s="86"/>
      <c r="B125" s="86">
        <f t="shared" si="10"/>
        <v>308292</v>
      </c>
      <c r="C125" s="378" t="s">
        <v>3391</v>
      </c>
      <c r="D125" s="60">
        <f t="shared" si="11"/>
        <v>0</v>
      </c>
      <c r="E125" s="511" t="s">
        <v>2230</v>
      </c>
      <c r="F125" s="87"/>
      <c r="H125" s="74"/>
      <c r="K125" s="78"/>
      <c r="L125" s="78"/>
    </row>
    <row r="126" spans="1:12" s="69" customFormat="1" ht="14.25" hidden="1" customHeight="1">
      <c r="A126" s="86"/>
      <c r="B126" s="86">
        <f t="shared" si="10"/>
        <v>308293</v>
      </c>
      <c r="C126" s="378" t="s">
        <v>3392</v>
      </c>
      <c r="D126" s="60">
        <f t="shared" si="11"/>
        <v>0</v>
      </c>
      <c r="E126" s="511" t="s">
        <v>2230</v>
      </c>
      <c r="F126" s="87"/>
      <c r="H126" s="74"/>
      <c r="K126" s="78"/>
      <c r="L126" s="78"/>
    </row>
    <row r="127" spans="1:12" s="69" customFormat="1" ht="14.25" hidden="1" customHeight="1">
      <c r="A127" s="86"/>
      <c r="B127" s="86"/>
      <c r="C127" s="378"/>
      <c r="D127" s="60"/>
      <c r="E127" s="511"/>
      <c r="F127" s="87"/>
      <c r="H127" s="74"/>
      <c r="K127" s="78"/>
      <c r="L127" s="78"/>
    </row>
    <row r="128" spans="1:12" s="69" customFormat="1" ht="14.25" hidden="1" customHeight="1">
      <c r="A128" s="86"/>
      <c r="B128" s="86" t="str">
        <f>INDEX((ID),MATCH(C128,BARANG,0))</f>
        <v>308020</v>
      </c>
      <c r="C128" s="378" t="s">
        <v>3395</v>
      </c>
      <c r="D128" s="60">
        <f>SUMIF(anodizev,C128,jumlah_pemakaian)</f>
        <v>0</v>
      </c>
      <c r="E128" s="511" t="s">
        <v>2230</v>
      </c>
      <c r="F128" s="87"/>
      <c r="H128" s="74"/>
      <c r="K128" s="78"/>
      <c r="L128" s="78"/>
    </row>
    <row r="129" spans="1:12" s="69" customFormat="1" ht="14.25" hidden="1" customHeight="1">
      <c r="A129" s="86"/>
      <c r="B129" s="86" t="str">
        <f>INDEX((ID),MATCH(C129,BARANG,0))</f>
        <v>308043</v>
      </c>
      <c r="C129" s="378" t="s">
        <v>3398</v>
      </c>
      <c r="D129" s="60">
        <f>SUMIF(anodizev,C129,jumlah_pemakaian)</f>
        <v>0</v>
      </c>
      <c r="E129" s="511" t="s">
        <v>2230</v>
      </c>
      <c r="F129" s="87"/>
      <c r="H129" s="74"/>
      <c r="K129" s="78"/>
      <c r="L129" s="78"/>
    </row>
    <row r="130" spans="1:12" s="69" customFormat="1" ht="14.25" hidden="1" customHeight="1">
      <c r="A130" s="86"/>
      <c r="B130" s="86" t="str">
        <f>INDEX((ID),MATCH(C130,BARANG,0))</f>
        <v>308046</v>
      </c>
      <c r="C130" s="378" t="s">
        <v>3401</v>
      </c>
      <c r="D130" s="60">
        <f>SUMIF(anodizev,C130,jumlah_pemakaian)</f>
        <v>0</v>
      </c>
      <c r="E130" s="511" t="s">
        <v>2230</v>
      </c>
      <c r="F130" s="87"/>
      <c r="H130" s="74"/>
      <c r="K130" s="78"/>
      <c r="L130" s="78"/>
    </row>
    <row r="131" spans="1:12" s="69" customFormat="1" ht="14.25" hidden="1" customHeight="1">
      <c r="A131" s="86"/>
      <c r="B131" s="86" t="str">
        <f>INDEX((ID),MATCH(C131,BARANG,0))</f>
        <v>308015</v>
      </c>
      <c r="C131" s="378" t="s">
        <v>3404</v>
      </c>
      <c r="D131" s="60">
        <f>SUMIF(anodizev,C131,jumlah_pemakaian)</f>
        <v>0</v>
      </c>
      <c r="E131" s="511" t="s">
        <v>2230</v>
      </c>
      <c r="F131" s="87"/>
      <c r="H131" s="74"/>
      <c r="K131" s="78"/>
      <c r="L131" s="78"/>
    </row>
    <row r="132" spans="1:12" s="69" customFormat="1" ht="14.25" hidden="1" customHeight="1">
      <c r="A132" s="86"/>
      <c r="B132" s="86" t="str">
        <f>INDEX((ID),MATCH(C132,BARANG,0))</f>
        <v>308024</v>
      </c>
      <c r="C132" s="378" t="s">
        <v>3407</v>
      </c>
      <c r="D132" s="60">
        <f>SUMIF(anodizev,C132,jumlah_pemakaian)</f>
        <v>0</v>
      </c>
      <c r="E132" s="511" t="s">
        <v>2230</v>
      </c>
      <c r="F132" s="87"/>
      <c r="H132" s="74"/>
      <c r="K132" s="78"/>
      <c r="L132" s="78"/>
    </row>
    <row r="133" spans="1:12" s="69" customFormat="1" ht="14.25" hidden="1" customHeight="1">
      <c r="A133" s="86"/>
      <c r="B133" s="86"/>
      <c r="C133" s="136"/>
      <c r="D133" s="135"/>
      <c r="E133" s="86"/>
      <c r="F133" s="87"/>
      <c r="H133" s="74"/>
      <c r="K133" s="78"/>
      <c r="L133" s="78"/>
    </row>
    <row r="134" spans="1:12" s="69" customFormat="1" ht="14.25" customHeight="1">
      <c r="A134" s="86"/>
      <c r="B134" s="86"/>
      <c r="C134" s="777"/>
      <c r="D134" s="135"/>
      <c r="E134" s="511"/>
      <c r="F134" s="87"/>
      <c r="H134" s="74"/>
      <c r="K134" s="78"/>
      <c r="L134" s="78"/>
    </row>
    <row r="135" spans="1:12" s="69" customFormat="1" ht="14.25" customHeight="1">
      <c r="A135" s="86"/>
      <c r="B135" s="86"/>
      <c r="C135" s="773" t="s">
        <v>4248</v>
      </c>
      <c r="D135" s="135"/>
      <c r="E135" s="511"/>
      <c r="F135" s="87"/>
      <c r="H135" s="74"/>
      <c r="K135" s="78"/>
      <c r="L135" s="78"/>
    </row>
    <row r="136" spans="1:12" s="69" customFormat="1" ht="14.25" customHeight="1">
      <c r="A136" s="86"/>
      <c r="B136" s="86" t="str">
        <f>IFERROR(INDEX((ID),MATCH(C136,BARANG,0)),"…")</f>
        <v>205526</v>
      </c>
      <c r="C136" s="777" t="str">
        <f>minifix_hettich</f>
        <v>MINIFIX HETTICH</v>
      </c>
      <c r="D136" s="135">
        <f>ROUNDUP((SUMIF(minifix,C136,jumlah_minifix)*1.05),0)</f>
        <v>68</v>
      </c>
      <c r="E136" s="511" t="s">
        <v>337</v>
      </c>
      <c r="F136" s="87" t="s">
        <v>4256</v>
      </c>
      <c r="H136" s="74"/>
      <c r="K136" s="78"/>
      <c r="L136" s="78"/>
    </row>
    <row r="137" spans="1:12" s="69" customFormat="1" ht="14.25" customHeight="1">
      <c r="A137" s="86"/>
      <c r="B137" s="86" t="str">
        <f>IFERROR(INDEX((ID),MATCH(C137,BARANG,0)),"…")</f>
        <v>205554</v>
      </c>
      <c r="C137" s="136" t="str">
        <f>dowelØ8</f>
        <v>DOWEL KAYU 4X8</v>
      </c>
      <c r="D137" s="135">
        <f>ROUNDUP((SUMIF(dowel,C137,jumlah_dowel)*1.05),0)</f>
        <v>87</v>
      </c>
      <c r="E137" s="86" t="s">
        <v>341</v>
      </c>
      <c r="F137" s="87"/>
      <c r="H137" s="74"/>
      <c r="K137" s="71"/>
      <c r="L137" s="71"/>
    </row>
    <row r="138" spans="1:12" s="69" customFormat="1" ht="14.25" customHeight="1">
      <c r="A138" s="86"/>
      <c r="B138" s="86"/>
      <c r="C138" s="136"/>
      <c r="D138" s="135"/>
      <c r="E138" s="86"/>
      <c r="F138" s="87"/>
      <c r="H138" s="74"/>
      <c r="K138" s="71"/>
      <c r="L138" s="71"/>
    </row>
    <row r="139" spans="1:12" s="69" customFormat="1" ht="14.25" customHeight="1">
      <c r="A139" s="86"/>
      <c r="B139" s="86" t="str">
        <f>IFERROR(INDEX((ID),MATCH(C139,BARANG,0)),"…")</f>
        <v>205568</v>
      </c>
      <c r="C139" s="137" t="s">
        <v>648</v>
      </c>
      <c r="D139" s="495">
        <f>+ROUNDUP(D140+D141,0)</f>
        <v>2</v>
      </c>
      <c r="E139" s="86" t="s">
        <v>645</v>
      </c>
      <c r="F139" s="87"/>
      <c r="H139" s="74"/>
      <c r="I139" s="102" t="s">
        <v>2207</v>
      </c>
      <c r="J139" s="71"/>
      <c r="K139" s="71"/>
      <c r="L139" s="71"/>
    </row>
    <row r="140" spans="1:12" s="69" customFormat="1" ht="14.25" customHeight="1">
      <c r="A140" s="86"/>
      <c r="B140" s="86" t="str">
        <f>IFERROR(INDEX((ID),MATCH(C140,BARANG,0)),"…")</f>
        <v>205783</v>
      </c>
      <c r="C140" s="137" t="s">
        <v>660</v>
      </c>
      <c r="D140" s="443">
        <f>ROUNDUP((SUMIF(profil_3,C140,_2PL)/tube_meter)+(SUMIF(profil_2,C140,P)/tube_meter),0)</f>
        <v>2</v>
      </c>
      <c r="E140" s="86" t="s">
        <v>651</v>
      </c>
      <c r="F140" s="87"/>
      <c r="H140" s="74"/>
      <c r="I140" s="102">
        <v>307490</v>
      </c>
      <c r="J140" s="71" t="s">
        <v>381</v>
      </c>
      <c r="K140" s="71"/>
      <c r="L140" s="71"/>
    </row>
    <row r="141" spans="1:12" s="69" customFormat="1" ht="14.25" hidden="1" customHeight="1">
      <c r="A141" s="86"/>
      <c r="B141" s="470">
        <v>206603</v>
      </c>
      <c r="C141" s="471" t="s">
        <v>650</v>
      </c>
      <c r="D141" s="443">
        <f>ROUNDUP((SUMIF(profil_3,C141,_2PL)/tube_meter)+(SUMIF(profil_2,C141,P)/tube_meter),0)</f>
        <v>0</v>
      </c>
      <c r="E141" s="86" t="s">
        <v>651</v>
      </c>
      <c r="F141" s="87"/>
      <c r="H141" s="74"/>
      <c r="I141" s="102"/>
      <c r="J141" s="71"/>
      <c r="K141" s="71"/>
      <c r="L141" s="71"/>
    </row>
    <row r="142" spans="1:12" s="69" customFormat="1" ht="14.25" hidden="1" customHeight="1">
      <c r="A142" s="86"/>
      <c r="B142" s="86"/>
      <c r="C142" s="137"/>
      <c r="D142" s="86"/>
      <c r="E142" s="86"/>
      <c r="F142" s="87"/>
      <c r="H142" s="74"/>
      <c r="I142" s="102"/>
      <c r="J142" s="71"/>
      <c r="K142" s="71"/>
      <c r="L142" s="71"/>
    </row>
    <row r="143" spans="1:12" s="69" customFormat="1" ht="14.25" customHeight="1">
      <c r="A143" s="86"/>
      <c r="B143" s="86"/>
      <c r="C143" s="137"/>
      <c r="D143" s="86"/>
      <c r="E143" s="86"/>
      <c r="F143" s="87"/>
      <c r="H143" s="74"/>
      <c r="I143" s="102"/>
      <c r="J143" s="71"/>
      <c r="K143" s="71"/>
      <c r="L143" s="71"/>
    </row>
    <row r="144" spans="1:12" s="69" customFormat="1" ht="14.25" hidden="1" customHeight="1">
      <c r="A144" s="86"/>
      <c r="B144" s="86">
        <f t="shared" ref="B144:B157" si="12">IFERROR(INDEX((ID),MATCH(C144,BARANG,0)),"…")</f>
        <v>3065067</v>
      </c>
      <c r="C144" s="136" t="str">
        <f>_rel1</f>
        <v>LEGRA S1 ORION GREY (OG</v>
      </c>
      <c r="D144" s="135">
        <f t="shared" ref="D144:D159" si="13">SUMIF(RelI,C144,Rel)</f>
        <v>0</v>
      </c>
      <c r="E144" s="86" t="s">
        <v>345</v>
      </c>
      <c r="F144" s="87"/>
      <c r="H144" s="74"/>
      <c r="I144" s="103">
        <v>307054</v>
      </c>
      <c r="J144" s="104" t="s">
        <v>377</v>
      </c>
      <c r="K144" s="71"/>
      <c r="L144" s="71"/>
    </row>
    <row r="145" spans="1:12" s="69" customFormat="1" ht="14.25" hidden="1" customHeight="1">
      <c r="A145" s="86"/>
      <c r="B145" s="86">
        <f t="shared" si="12"/>
        <v>3065146</v>
      </c>
      <c r="C145" s="136" t="str">
        <f>_rel2</f>
        <v>LEGRABOX S4 OG (ORION GREY)</v>
      </c>
      <c r="D145" s="135">
        <f t="shared" si="13"/>
        <v>0</v>
      </c>
      <c r="E145" s="86" t="s">
        <v>345</v>
      </c>
      <c r="F145" s="87"/>
      <c r="H145" s="74"/>
      <c r="I145" s="103">
        <v>307054</v>
      </c>
      <c r="J145" s="104" t="s">
        <v>377</v>
      </c>
      <c r="K145" s="71"/>
      <c r="L145" s="71"/>
    </row>
    <row r="146" spans="1:12" s="69" customFormat="1" ht="14.25" hidden="1" customHeight="1">
      <c r="A146" s="86"/>
      <c r="B146" s="86" t="str">
        <f t="shared" si="12"/>
        <v>307051</v>
      </c>
      <c r="C146" s="136" t="str">
        <f>_rel3</f>
        <v>REL TANDEM BLUM SINGLE EXT INTG P.500</v>
      </c>
      <c r="D146" s="135">
        <f t="shared" si="13"/>
        <v>0</v>
      </c>
      <c r="E146" s="86" t="s">
        <v>345</v>
      </c>
      <c r="F146" s="87"/>
      <c r="H146" s="74"/>
      <c r="I146" s="103">
        <v>307054</v>
      </c>
      <c r="J146" s="104" t="s">
        <v>377</v>
      </c>
      <c r="K146" s="71"/>
      <c r="L146" s="71"/>
    </row>
    <row r="147" spans="1:12" s="69" customFormat="1" ht="14.25" customHeight="1">
      <c r="A147" s="86"/>
      <c r="B147" s="86" t="str">
        <f t="shared" si="12"/>
        <v>307056</v>
      </c>
      <c r="C147" s="136" t="str">
        <f>_rel4</f>
        <v>REL TANDEM BLUM FULL EXT INTG P.500</v>
      </c>
      <c r="D147" s="135">
        <f t="shared" si="13"/>
        <v>4</v>
      </c>
      <c r="E147" s="86" t="s">
        <v>345</v>
      </c>
      <c r="F147" s="87" t="s">
        <v>4257</v>
      </c>
      <c r="H147" s="74"/>
      <c r="I147" s="103">
        <v>307054</v>
      </c>
      <c r="J147" s="104" t="s">
        <v>377</v>
      </c>
      <c r="K147" s="71"/>
      <c r="L147" s="71"/>
    </row>
    <row r="148" spans="1:12" s="69" customFormat="1" ht="14.25" hidden="1" customHeight="1">
      <c r="A148" s="86"/>
      <c r="B148" s="86" t="str">
        <f t="shared" si="12"/>
        <v>307061</v>
      </c>
      <c r="C148" s="136" t="str">
        <f>_rel5</f>
        <v>REL TANDEM BLUM FULL EXT INTG P.400</v>
      </c>
      <c r="D148" s="135">
        <f t="shared" si="13"/>
        <v>0</v>
      </c>
      <c r="E148" s="86" t="s">
        <v>345</v>
      </c>
      <c r="F148" s="87"/>
      <c r="H148" s="74"/>
      <c r="I148" s="103"/>
      <c r="J148" s="104"/>
      <c r="K148" s="71"/>
      <c r="L148" s="71"/>
    </row>
    <row r="149" spans="1:12" s="69" customFormat="1" ht="14.25" hidden="1" customHeight="1">
      <c r="A149" s="86"/>
      <c r="B149" s="86" t="str">
        <f>IFERROR(INDEX((ID),MATCH(C149,BARANG,0)),"…")</f>
        <v>307124</v>
      </c>
      <c r="C149" s="136" t="str">
        <f>_rel6</f>
        <v>LACI B1S1 INTE BLUMO</v>
      </c>
      <c r="D149" s="135">
        <f>SUMIF(RelI,C149,Rel)</f>
        <v>0</v>
      </c>
      <c r="E149" s="86" t="s">
        <v>345</v>
      </c>
      <c r="F149" s="87"/>
      <c r="H149" s="74"/>
      <c r="I149" s="103"/>
      <c r="J149" s="104"/>
      <c r="K149" s="71"/>
      <c r="L149" s="71"/>
    </row>
    <row r="150" spans="1:12" s="69" customFormat="1" ht="14.25" hidden="1" customHeight="1">
      <c r="A150" s="86"/>
      <c r="B150" s="86" t="str">
        <f t="shared" si="12"/>
        <v>307132</v>
      </c>
      <c r="C150" s="136" t="str">
        <f>_rel7</f>
        <v>B1S2 GREY INTEG.BM</v>
      </c>
      <c r="D150" s="135">
        <f t="shared" si="13"/>
        <v>0</v>
      </c>
      <c r="E150" s="86" t="s">
        <v>345</v>
      </c>
      <c r="F150" s="87"/>
      <c r="H150" s="74"/>
      <c r="I150" s="103"/>
      <c r="J150" s="104"/>
      <c r="K150" s="71"/>
      <c r="L150" s="71"/>
    </row>
    <row r="151" spans="1:12" s="69" customFormat="1" ht="14.25" hidden="1" customHeight="1">
      <c r="A151" s="86"/>
      <c r="B151" s="86" t="str">
        <f t="shared" si="12"/>
        <v>307057</v>
      </c>
      <c r="C151" s="136" t="str">
        <f>_rel8</f>
        <v>REL TANDEM BLUM SINGLE EXT INTG P.450</v>
      </c>
      <c r="D151" s="135">
        <f t="shared" si="13"/>
        <v>0</v>
      </c>
      <c r="E151" s="86" t="s">
        <v>345</v>
      </c>
      <c r="F151" s="87"/>
      <c r="H151" s="74"/>
      <c r="I151" s="103"/>
      <c r="J151" s="104"/>
      <c r="K151" s="71"/>
      <c r="L151" s="71"/>
    </row>
    <row r="152" spans="1:12" s="69" customFormat="1" ht="14.25" hidden="1" customHeight="1">
      <c r="A152" s="86"/>
      <c r="B152" s="86">
        <f t="shared" si="12"/>
        <v>318142</v>
      </c>
      <c r="C152" s="136" t="str">
        <f>_rel9</f>
        <v>MERIVOBOX MVX S1 SW 500 40 BM</v>
      </c>
      <c r="D152" s="135">
        <f t="shared" si="13"/>
        <v>0</v>
      </c>
      <c r="E152" s="86" t="s">
        <v>345</v>
      </c>
      <c r="F152" s="87"/>
      <c r="H152" s="74"/>
      <c r="I152" s="103"/>
      <c r="J152" s="104"/>
      <c r="K152" s="71"/>
      <c r="L152" s="71"/>
    </row>
    <row r="153" spans="1:12" s="69" customFormat="1" ht="14.25" hidden="1" customHeight="1">
      <c r="A153" s="86"/>
      <c r="B153" s="86">
        <f t="shared" si="12"/>
        <v>318134</v>
      </c>
      <c r="C153" s="136" t="str">
        <f>_rel10</f>
        <v>MERIVOBOX MVX S4 SW 500 70 BM</v>
      </c>
      <c r="D153" s="135">
        <f t="shared" si="13"/>
        <v>0</v>
      </c>
      <c r="E153" s="86" t="s">
        <v>345</v>
      </c>
      <c r="F153" s="87"/>
      <c r="H153" s="74"/>
      <c r="I153" s="103"/>
      <c r="J153" s="104"/>
      <c r="K153" s="71"/>
      <c r="L153" s="71"/>
    </row>
    <row r="154" spans="1:12" s="69" customFormat="1" ht="14.25" hidden="1" customHeight="1">
      <c r="A154" s="86"/>
      <c r="B154" s="86">
        <f t="shared" si="12"/>
        <v>318287</v>
      </c>
      <c r="C154" s="136" t="str">
        <f>_rel11</f>
        <v>LACI MERIVOBOX S2 + KACA ORION GREY</v>
      </c>
      <c r="D154" s="135">
        <f t="shared" si="13"/>
        <v>0</v>
      </c>
      <c r="E154" s="86" t="s">
        <v>345</v>
      </c>
      <c r="F154" s="87"/>
      <c r="H154" s="74"/>
      <c r="I154" s="103"/>
      <c r="J154" s="104"/>
      <c r="K154" s="71"/>
      <c r="L154" s="71"/>
    </row>
    <row r="155" spans="1:12" s="69" customFormat="1" ht="14.25" hidden="1" customHeight="1">
      <c r="A155" s="86"/>
      <c r="B155" s="86">
        <f t="shared" si="12"/>
        <v>307917</v>
      </c>
      <c r="C155" s="136" t="str">
        <f>_rel12</f>
        <v>QUADRO V6 SFP FL 500 EB 20 TIP ON HETTICH L/R</v>
      </c>
      <c r="D155" s="135">
        <f t="shared" si="13"/>
        <v>0</v>
      </c>
      <c r="E155" s="86" t="s">
        <v>345</v>
      </c>
      <c r="F155" s="87"/>
      <c r="H155" s="74"/>
      <c r="I155" s="103"/>
      <c r="J155" s="104"/>
      <c r="K155" s="71"/>
      <c r="L155" s="71"/>
    </row>
    <row r="156" spans="1:12" s="69" customFormat="1" ht="14.25" hidden="1" customHeight="1">
      <c r="A156" s="86"/>
      <c r="B156" s="86" t="str">
        <f t="shared" si="12"/>
        <v>…</v>
      </c>
      <c r="C156" s="136" t="str">
        <f>_rel13</f>
        <v>Avantech You 101 P.500mm</v>
      </c>
      <c r="D156" s="135">
        <f t="shared" si="13"/>
        <v>0</v>
      </c>
      <c r="E156" s="86" t="s">
        <v>345</v>
      </c>
      <c r="F156" s="87"/>
      <c r="H156" s="74"/>
      <c r="I156" s="103"/>
      <c r="J156" s="104"/>
      <c r="K156" s="71"/>
      <c r="L156" s="71"/>
    </row>
    <row r="157" spans="1:12" s="69" customFormat="1" ht="14.25" hidden="1" customHeight="1">
      <c r="A157" s="86"/>
      <c r="B157" s="86" t="str">
        <f t="shared" si="12"/>
        <v>…</v>
      </c>
      <c r="C157" s="136" t="str">
        <f>_rel14</f>
        <v>Avantech You 251 P.500mm</v>
      </c>
      <c r="D157" s="135">
        <f t="shared" si="13"/>
        <v>0</v>
      </c>
      <c r="E157" s="86" t="s">
        <v>345</v>
      </c>
      <c r="F157" s="87"/>
      <c r="H157" s="74"/>
      <c r="I157" s="103"/>
      <c r="J157" s="104"/>
      <c r="K157" s="71"/>
      <c r="L157" s="71"/>
    </row>
    <row r="158" spans="1:12" s="69" customFormat="1" ht="14.25" hidden="1" customHeight="1">
      <c r="A158" s="86"/>
      <c r="B158" s="86"/>
      <c r="C158" s="136"/>
      <c r="D158" s="135"/>
      <c r="E158" s="86"/>
      <c r="F158" s="87"/>
      <c r="H158" s="74"/>
      <c r="I158" s="103"/>
      <c r="J158" s="104"/>
      <c r="K158" s="71"/>
      <c r="L158" s="71"/>
    </row>
    <row r="159" spans="1:12" s="69" customFormat="1" ht="25" hidden="1" customHeight="1">
      <c r="A159" s="411"/>
      <c r="B159" s="411" t="str">
        <f>IFERROR(INDEX((ID),MATCH(C159,BARANG,0)),"…")</f>
        <v>…</v>
      </c>
      <c r="C159" s="468" t="e">
        <f>bb_full_50</f>
        <v>#NAME?</v>
      </c>
      <c r="D159" s="135">
        <f t="shared" si="13"/>
        <v>0</v>
      </c>
      <c r="E159" s="411" t="s">
        <v>345</v>
      </c>
      <c r="F159" s="467"/>
      <c r="H159" s="74"/>
      <c r="I159" s="103"/>
      <c r="J159" s="104"/>
      <c r="K159" s="71"/>
      <c r="L159" s="71"/>
    </row>
    <row r="160" spans="1:12" s="69" customFormat="1" ht="14.25" hidden="1" customHeight="1">
      <c r="A160" s="86"/>
      <c r="B160" s="86"/>
      <c r="C160" s="136"/>
      <c r="D160" s="135"/>
      <c r="E160" s="86"/>
      <c r="F160" s="87"/>
      <c r="H160" s="74"/>
      <c r="I160" s="103"/>
      <c r="J160" s="104"/>
      <c r="K160" s="71"/>
      <c r="L160" s="71"/>
    </row>
    <row r="161" spans="1:12" s="69" customFormat="1" ht="14.25" hidden="1" customHeight="1">
      <c r="A161" s="86"/>
      <c r="B161" s="86"/>
      <c r="C161" s="136"/>
      <c r="D161" s="135"/>
      <c r="E161" s="86"/>
      <c r="F161" s="87"/>
      <c r="H161" s="74"/>
      <c r="I161" s="103"/>
      <c r="J161" s="104"/>
      <c r="K161" s="71"/>
      <c r="L161" s="71"/>
    </row>
    <row r="162" spans="1:12" s="69" customFormat="1" ht="28" hidden="1">
      <c r="A162" s="86"/>
      <c r="B162" s="411">
        <f>IFERROR(INDEX((ID),MATCH(C162,BARANG,0)),"…")</f>
        <v>301103</v>
      </c>
      <c r="C162" s="468" t="str">
        <f>tip_on_1</f>
        <v>SEMI CIRCULAR SHAFT T 55.889 W (T 55 000R Tip On Pinion/Syncrh</v>
      </c>
      <c r="D162" s="135" t="s">
        <v>1787</v>
      </c>
      <c r="E162" s="411" t="s">
        <v>345</v>
      </c>
      <c r="F162" s="87"/>
      <c r="H162" s="74"/>
      <c r="I162" s="103"/>
      <c r="J162" s="104"/>
      <c r="K162" s="71"/>
      <c r="L162" s="71"/>
    </row>
    <row r="163" spans="1:12" s="69" customFormat="1" ht="14.25" hidden="1" customHeight="1">
      <c r="A163" s="86"/>
      <c r="B163" s="86">
        <f>IFERROR(INDEX((ID),MATCH(C163,BARANG,0)),"…")</f>
        <v>307484</v>
      </c>
      <c r="C163" s="136" t="str">
        <f>tip_on_2</f>
        <v xml:space="preserve">T 55 . 1151 TIP ON for tandem single </v>
      </c>
      <c r="D163" s="135" t="s">
        <v>1787</v>
      </c>
      <c r="E163" s="86" t="s">
        <v>345</v>
      </c>
      <c r="F163" s="87"/>
      <c r="H163" s="74"/>
      <c r="I163" s="103"/>
      <c r="J163" s="104"/>
      <c r="K163" s="71"/>
      <c r="L163" s="71"/>
    </row>
    <row r="164" spans="1:12" s="69" customFormat="1" ht="14.25" hidden="1" customHeight="1">
      <c r="A164" s="86"/>
      <c r="B164" s="86">
        <f>IFERROR(INDEX((ID),MATCH(C164,BARANG,0)),"…")</f>
        <v>307486</v>
      </c>
      <c r="C164" s="136" t="str">
        <f>tip_on_3</f>
        <v xml:space="preserve">T 55 . 7151 TIP ON for tandem double </v>
      </c>
      <c r="D164" s="135" t="s">
        <v>1787</v>
      </c>
      <c r="E164" s="86" t="s">
        <v>345</v>
      </c>
      <c r="F164" s="87"/>
      <c r="H164" s="74"/>
      <c r="I164" s="103"/>
      <c r="J164" s="104"/>
      <c r="K164" s="71"/>
      <c r="L164" s="71"/>
    </row>
    <row r="165" spans="1:12" s="69" customFormat="1" ht="14.25" hidden="1" customHeight="1">
      <c r="A165" s="86"/>
      <c r="B165" s="86"/>
      <c r="C165" s="136"/>
      <c r="D165" s="135"/>
      <c r="E165" s="86"/>
      <c r="F165" s="87"/>
      <c r="H165" s="74"/>
      <c r="I165" s="103"/>
      <c r="J165" s="104"/>
      <c r="K165" s="71"/>
      <c r="L165" s="71"/>
    </row>
    <row r="166" spans="1:12" s="69" customFormat="1" ht="14.25" customHeight="1">
      <c r="A166" s="86"/>
      <c r="B166" s="86"/>
      <c r="C166" s="136"/>
      <c r="D166" s="135"/>
      <c r="E166" s="86"/>
      <c r="F166" s="87"/>
      <c r="H166" s="74"/>
      <c r="I166" s="103"/>
      <c r="J166" s="104"/>
      <c r="K166" s="71"/>
      <c r="L166" s="71"/>
    </row>
    <row r="167" spans="1:12" s="69" customFormat="1" ht="25" customHeight="1">
      <c r="A167" s="411"/>
      <c r="B167" s="411">
        <f t="shared" ref="B167:B182" si="14">IFERROR(INDEX((ID),MATCH(C167,BARANG,0)),"…")</f>
        <v>317210</v>
      </c>
      <c r="C167" s="469" t="str">
        <f>engsel1</f>
        <v>ENGSEL CLIP TOP  107 DEG INTEGRATED 75 B 1550 + 173 L 6100</v>
      </c>
      <c r="D167" s="135">
        <f t="shared" ref="D167:D176" si="15">SUMIF(EI,C167,E)</f>
        <v>8</v>
      </c>
      <c r="E167" s="411" t="s">
        <v>2230</v>
      </c>
      <c r="F167" s="87" t="s">
        <v>4257</v>
      </c>
      <c r="H167" s="74"/>
      <c r="I167" s="103">
        <v>301103</v>
      </c>
      <c r="J167" s="104" t="s">
        <v>2208</v>
      </c>
      <c r="K167" s="71"/>
      <c r="L167" s="71"/>
    </row>
    <row r="168" spans="1:12" s="69" customFormat="1" ht="14.25" hidden="1" customHeight="1">
      <c r="A168" s="86"/>
      <c r="B168" s="86" t="str">
        <f t="shared" si="14"/>
        <v>307237</v>
      </c>
      <c r="C168" s="138" t="str">
        <f>engsel2</f>
        <v>ENGSEL SALICE PUSH.TIP ON FOR DOOR</v>
      </c>
      <c r="D168" s="135">
        <f t="shared" si="15"/>
        <v>0</v>
      </c>
      <c r="E168" s="86" t="s">
        <v>2230</v>
      </c>
      <c r="F168" s="87"/>
      <c r="H168" s="74"/>
      <c r="I168" s="103">
        <v>301103</v>
      </c>
      <c r="J168" s="104" t="s">
        <v>2208</v>
      </c>
      <c r="K168" s="71"/>
      <c r="L168" s="71"/>
    </row>
    <row r="169" spans="1:12" s="69" customFormat="1" ht="14.25" customHeight="1">
      <c r="A169" s="86"/>
      <c r="B169" s="86">
        <f t="shared" si="14"/>
        <v>317778</v>
      </c>
      <c r="C169" s="138" t="str">
        <f>engsel3</f>
        <v xml:space="preserve">ENGSEL 155 DRAJAT  71 B 7550   </v>
      </c>
      <c r="D169" s="135">
        <f t="shared" si="15"/>
        <v>0</v>
      </c>
      <c r="E169" s="86" t="s">
        <v>2230</v>
      </c>
      <c r="F169" s="87" t="s">
        <v>4257</v>
      </c>
      <c r="H169" s="74"/>
      <c r="I169" s="103">
        <v>301103</v>
      </c>
      <c r="J169" s="104" t="s">
        <v>2208</v>
      </c>
      <c r="K169" s="71"/>
      <c r="L169" s="71"/>
    </row>
    <row r="170" spans="1:12" s="69" customFormat="1" ht="14.25" customHeight="1">
      <c r="A170" s="86"/>
      <c r="B170" s="86" t="str">
        <f t="shared" si="14"/>
        <v>307088</v>
      </c>
      <c r="C170" s="138" t="str">
        <f>engsel4</f>
        <v>ENGSEL BIFOLD</v>
      </c>
      <c r="D170" s="135">
        <f t="shared" si="15"/>
        <v>0</v>
      </c>
      <c r="E170" s="86" t="s">
        <v>2230</v>
      </c>
      <c r="F170" s="87" t="s">
        <v>4257</v>
      </c>
      <c r="H170" s="74"/>
      <c r="I170" s="103">
        <v>301103</v>
      </c>
      <c r="J170" s="104" t="s">
        <v>2208</v>
      </c>
      <c r="K170" s="71"/>
      <c r="L170" s="71"/>
    </row>
    <row r="171" spans="1:12" s="69" customFormat="1" ht="14.25" hidden="1" customHeight="1">
      <c r="A171" s="86"/>
      <c r="B171" s="86">
        <f t="shared" si="14"/>
        <v>307288</v>
      </c>
      <c r="C171" s="138" t="str">
        <f>engsel5</f>
        <v>ENGSEL 79M9550 BLIND CORNER</v>
      </c>
      <c r="D171" s="135">
        <f t="shared" si="15"/>
        <v>0</v>
      </c>
      <c r="E171" s="86" t="s">
        <v>2230</v>
      </c>
      <c r="F171" s="87"/>
      <c r="H171" s="74"/>
      <c r="I171" s="103">
        <v>301103</v>
      </c>
      <c r="J171" s="104" t="s">
        <v>2208</v>
      </c>
      <c r="K171" s="71"/>
      <c r="L171" s="71"/>
    </row>
    <row r="172" spans="1:12" s="69" customFormat="1" ht="14.25" hidden="1" customHeight="1">
      <c r="A172" s="86"/>
      <c r="B172" s="86">
        <f t="shared" si="14"/>
        <v>317177</v>
      </c>
      <c r="C172" s="138" t="str">
        <f>engsel6</f>
        <v>ENGSEL  S 8657i B12 TH52</v>
      </c>
      <c r="D172" s="135">
        <f t="shared" si="15"/>
        <v>0</v>
      </c>
      <c r="E172" s="86" t="s">
        <v>2230</v>
      </c>
      <c r="F172" s="87"/>
      <c r="H172" s="74"/>
      <c r="I172" s="103"/>
      <c r="J172" s="104"/>
      <c r="K172" s="71"/>
      <c r="L172" s="71"/>
    </row>
    <row r="173" spans="1:12" s="69" customFormat="1" ht="14.25" hidden="1" customHeight="1">
      <c r="A173" s="86"/>
      <c r="B173" s="86">
        <f t="shared" si="14"/>
        <v>307092</v>
      </c>
      <c r="C173" s="138" t="str">
        <f>engsel7</f>
        <v>ENGSEL 9936 W45 C6</v>
      </c>
      <c r="D173" s="135">
        <f t="shared" si="15"/>
        <v>0</v>
      </c>
      <c r="E173" s="86" t="s">
        <v>2230</v>
      </c>
      <c r="F173" s="87"/>
      <c r="H173" s="74"/>
      <c r="I173" s="103"/>
      <c r="J173" s="104"/>
      <c r="K173" s="71"/>
      <c r="L173" s="71"/>
    </row>
    <row r="174" spans="1:12" s="69" customFormat="1" ht="26" hidden="1">
      <c r="A174" s="86"/>
      <c r="B174" s="411">
        <f t="shared" si="14"/>
        <v>317117</v>
      </c>
      <c r="C174" s="469" t="str">
        <f>engsel8</f>
        <v>Engsel Sensys Full Bengkok C 16-110 DERAJAT 907 1207</v>
      </c>
      <c r="D174" s="135">
        <f t="shared" si="15"/>
        <v>0</v>
      </c>
      <c r="E174" s="411" t="s">
        <v>2230</v>
      </c>
      <c r="F174" s="87"/>
      <c r="H174" s="74"/>
      <c r="I174" s="103"/>
      <c r="J174" s="104"/>
      <c r="K174" s="71"/>
      <c r="L174" s="71"/>
    </row>
    <row r="175" spans="1:12" s="69" customFormat="1" ht="14.25" hidden="1" customHeight="1">
      <c r="A175" s="86"/>
      <c r="B175" s="86">
        <f t="shared" si="14"/>
        <v>307086</v>
      </c>
      <c r="C175" s="138" t="str">
        <f>engsel9</f>
        <v>ENGSEL MEPLA FLAP DOOR</v>
      </c>
      <c r="D175" s="135">
        <f t="shared" si="15"/>
        <v>0</v>
      </c>
      <c r="E175" s="86" t="s">
        <v>2230</v>
      </c>
      <c r="F175" s="87"/>
      <c r="H175" s="74"/>
      <c r="I175" s="103"/>
      <c r="J175" s="104"/>
      <c r="K175" s="71"/>
      <c r="L175" s="71"/>
    </row>
    <row r="176" spans="1:12" s="69" customFormat="1" ht="14.25" hidden="1" customHeight="1">
      <c r="A176" s="86"/>
      <c r="B176" s="86">
        <f t="shared" si="14"/>
        <v>307367</v>
      </c>
      <c r="C176" s="138" t="str">
        <f>engsel10</f>
        <v>RDK-52A FOLDING HINGE</v>
      </c>
      <c r="D176" s="135">
        <f t="shared" si="15"/>
        <v>0</v>
      </c>
      <c r="E176" s="86" t="s">
        <v>2230</v>
      </c>
      <c r="F176" s="87"/>
      <c r="H176" s="74"/>
      <c r="I176" s="103"/>
      <c r="J176" s="104"/>
      <c r="K176" s="71"/>
      <c r="L176" s="71"/>
    </row>
    <row r="177" spans="1:12" s="69" customFormat="1" ht="14.25" hidden="1" customHeight="1">
      <c r="A177" s="86"/>
      <c r="B177" s="86"/>
      <c r="C177" s="136"/>
      <c r="D177" s="135"/>
      <c r="E177" s="86"/>
      <c r="F177" s="87"/>
      <c r="H177" s="74"/>
      <c r="I177" s="103"/>
      <c r="J177" s="104"/>
      <c r="K177" s="71"/>
      <c r="L177" s="71"/>
    </row>
    <row r="178" spans="1:12" s="69" customFormat="1" ht="14.25" customHeight="1">
      <c r="A178" s="86"/>
      <c r="B178" s="86"/>
      <c r="C178" s="136"/>
      <c r="D178" s="135"/>
      <c r="E178" s="86"/>
      <c r="F178" s="87"/>
      <c r="H178" s="74"/>
      <c r="I178" s="103"/>
      <c r="J178" s="104"/>
      <c r="K178" s="71"/>
      <c r="L178" s="71"/>
    </row>
    <row r="179" spans="1:12" s="69" customFormat="1" ht="14.25" hidden="1" customHeight="1">
      <c r="A179" s="86"/>
      <c r="B179" s="86"/>
      <c r="C179" s="773" t="s">
        <v>4249</v>
      </c>
      <c r="D179" s="135"/>
      <c r="E179" s="86"/>
      <c r="F179" s="87"/>
      <c r="H179" s="74"/>
      <c r="I179" s="103"/>
      <c r="J179" s="104"/>
      <c r="K179" s="71"/>
      <c r="L179" s="71"/>
    </row>
    <row r="180" spans="1:12" s="69" customFormat="1" ht="14.25" hidden="1" customHeight="1">
      <c r="A180" s="86"/>
      <c r="B180" s="86" t="str">
        <f t="shared" si="14"/>
        <v>307098</v>
      </c>
      <c r="C180" s="136" t="str">
        <f>wl77_2pintu</f>
        <v>WING LINE 77,2 PNT</v>
      </c>
      <c r="D180" s="135">
        <f>SUMIF(dormecha,C180,jumlah_pemakaian)</f>
        <v>0</v>
      </c>
      <c r="E180" s="86" t="s">
        <v>3091</v>
      </c>
      <c r="F180" s="87"/>
      <c r="H180" s="74"/>
      <c r="I180" s="103"/>
      <c r="J180" s="104"/>
      <c r="K180" s="71"/>
      <c r="L180" s="71"/>
    </row>
    <row r="181" spans="1:12" s="69" customFormat="1" ht="14.25" hidden="1" customHeight="1">
      <c r="A181" s="86"/>
      <c r="B181" s="86" t="str">
        <f t="shared" si="14"/>
        <v>…</v>
      </c>
      <c r="C181" s="136" t="str">
        <f>wl77_ra</f>
        <v>RUNNER PROFLE 072918</v>
      </c>
      <c r="D181" s="135">
        <f>SUMIF(dormecha,C181,jumlah_pemakaian)</f>
        <v>0</v>
      </c>
      <c r="E181" s="86" t="s">
        <v>2392</v>
      </c>
      <c r="F181" s="87"/>
      <c r="H181" s="74"/>
      <c r="I181" s="103"/>
      <c r="J181" s="104"/>
      <c r="K181" s="71"/>
      <c r="L181" s="71"/>
    </row>
    <row r="182" spans="1:12" s="69" customFormat="1" ht="14.25" hidden="1" customHeight="1">
      <c r="A182" s="86"/>
      <c r="B182" s="86" t="str">
        <f t="shared" si="14"/>
        <v>…</v>
      </c>
      <c r="C182" s="136" t="str">
        <f>wl77_rb</f>
        <v>GUIDE PROFILE 072919</v>
      </c>
      <c r="D182" s="135">
        <f>SUMIF(dormecha,C182,jumlah_pemakaian)</f>
        <v>0</v>
      </c>
      <c r="E182" s="86" t="s">
        <v>2392</v>
      </c>
      <c r="F182" s="87"/>
      <c r="H182" s="74"/>
      <c r="I182" s="103"/>
      <c r="J182" s="104"/>
      <c r="K182" s="71"/>
      <c r="L182" s="71"/>
    </row>
    <row r="183" spans="1:12" s="69" customFormat="1" ht="14.25" hidden="1" customHeight="1">
      <c r="A183" s="86"/>
      <c r="B183" s="86"/>
      <c r="C183" s="136"/>
      <c r="D183" s="135"/>
      <c r="E183" s="86"/>
      <c r="F183" s="87"/>
      <c r="H183" s="74"/>
      <c r="I183" s="103"/>
      <c r="J183" s="104"/>
      <c r="K183" s="71"/>
      <c r="L183" s="71"/>
    </row>
    <row r="184" spans="1:12" s="69" customFormat="1" ht="14.25" hidden="1" customHeight="1">
      <c r="A184" s="86"/>
      <c r="B184" s="86" t="str">
        <f>IFERROR(INDEX((ID),MATCH(C184,BARANG,0)),"…")</f>
        <v>307095</v>
      </c>
      <c r="C184" s="136" t="str">
        <f>wl230_4pintu</f>
        <v>WING LINE 230SET,4PINTU</v>
      </c>
      <c r="D184" s="135">
        <f>SUMIF(dormecha,C184,jumlah_pemakaian)</f>
        <v>0</v>
      </c>
      <c r="E184" s="86" t="s">
        <v>2306</v>
      </c>
      <c r="F184" s="87"/>
      <c r="H184" s="74"/>
      <c r="I184" s="103"/>
      <c r="J184" s="104"/>
      <c r="K184" s="71"/>
      <c r="L184" s="71"/>
    </row>
    <row r="185" spans="1:12" s="69" customFormat="1" ht="14.25" hidden="1" customHeight="1">
      <c r="A185" s="86"/>
      <c r="B185" s="86" t="str">
        <f>IFERROR(INDEX((ID),MATCH(C185,BARANG,0)),"…")</f>
        <v>…</v>
      </c>
      <c r="C185" s="136" t="str">
        <f>wl230_ra</f>
        <v xml:space="preserve">RUNNER PROFILE 079013, </v>
      </c>
      <c r="D185" s="135">
        <f>SUMIF(dormecha,C185,jumlah_pemakaian)</f>
        <v>0</v>
      </c>
      <c r="E185" s="86" t="s">
        <v>2931</v>
      </c>
      <c r="F185" s="87"/>
      <c r="H185" s="74"/>
      <c r="I185" s="103"/>
      <c r="J185" s="104"/>
      <c r="K185" s="71"/>
      <c r="L185" s="71"/>
    </row>
    <row r="186" spans="1:12" s="69" customFormat="1" ht="14.25" hidden="1" customHeight="1">
      <c r="A186" s="86"/>
      <c r="B186" s="86"/>
      <c r="C186" s="138"/>
      <c r="D186" s="135"/>
      <c r="E186" s="86"/>
      <c r="F186" s="87"/>
      <c r="H186" s="74"/>
      <c r="I186" s="103"/>
      <c r="J186" s="104"/>
      <c r="K186" s="71"/>
      <c r="L186" s="71"/>
    </row>
    <row r="187" spans="1:12" s="69" customFormat="1" ht="14.25" hidden="1" customHeight="1">
      <c r="A187" s="86"/>
      <c r="B187" s="86">
        <f>IFERROR(INDEX((ID),MATCH(C187,BARANG,0)),"…")</f>
        <v>307367</v>
      </c>
      <c r="C187" s="138" t="str">
        <f>engsel10</f>
        <v>RDK-52A FOLDING HINGE</v>
      </c>
      <c r="D187" s="135">
        <f>SUMIF(dormecha,C187,jumlah_pemakaian)</f>
        <v>0</v>
      </c>
      <c r="E187" s="86" t="s">
        <v>2230</v>
      </c>
      <c r="F187" s="87"/>
      <c r="H187" s="74"/>
      <c r="I187" s="103">
        <v>301103</v>
      </c>
      <c r="J187" s="104" t="s">
        <v>2208</v>
      </c>
      <c r="K187" s="71"/>
      <c r="L187" s="71"/>
    </row>
    <row r="188" spans="1:12" s="69" customFormat="1" ht="16" hidden="1">
      <c r="A188" s="86"/>
      <c r="B188" s="411">
        <f>IFERROR(INDEX((ID),MATCH(C188,BARANG,0)),"…")</f>
        <v>317948</v>
      </c>
      <c r="C188" s="469" t="str">
        <f>roda_atas_fold_formwell</f>
        <v>TOP ADJUSTABLE ART 869 SLIDE WITH 6 BERINGS</v>
      </c>
      <c r="D188" s="135">
        <f>SUMIF(dormecha,C188,jumlah_pemakaian)</f>
        <v>0</v>
      </c>
      <c r="E188" s="411" t="s">
        <v>2306</v>
      </c>
      <c r="F188" s="87"/>
      <c r="H188" s="74"/>
      <c r="I188" s="103"/>
      <c r="J188" s="104"/>
      <c r="K188" s="71"/>
      <c r="L188" s="71"/>
    </row>
    <row r="189" spans="1:12" s="69" customFormat="1" ht="14.25" hidden="1" customHeight="1">
      <c r="A189" s="86"/>
      <c r="B189" s="86">
        <f>IFERROR(INDEX((ID),MATCH(C189,BARANG,0)),"…")</f>
        <v>307193</v>
      </c>
      <c r="C189" s="138" t="str">
        <f>rel_atas_fold_formwell</f>
        <v>1080A TRACK IN 2000</v>
      </c>
      <c r="D189" s="135">
        <f>SUMIF(dormecha,C189,jumlah_pemakaian)</f>
        <v>0</v>
      </c>
      <c r="E189" s="86" t="s">
        <v>2230</v>
      </c>
      <c r="F189" s="87"/>
      <c r="H189" s="74"/>
      <c r="I189" s="103"/>
      <c r="J189" s="104"/>
      <c r="K189" s="71"/>
      <c r="L189" s="71"/>
    </row>
    <row r="190" spans="1:12" s="69" customFormat="1" ht="14.25" hidden="1" customHeight="1">
      <c r="A190" s="86"/>
      <c r="B190" s="86"/>
      <c r="C190" s="138"/>
      <c r="D190" s="135"/>
      <c r="E190" s="86"/>
      <c r="F190" s="87"/>
      <c r="H190" s="74"/>
      <c r="I190" s="103"/>
      <c r="J190" s="104"/>
      <c r="K190" s="71"/>
      <c r="L190" s="71"/>
    </row>
    <row r="191" spans="1:12" s="69" customFormat="1" ht="14.25" hidden="1" customHeight="1">
      <c r="A191" s="86"/>
      <c r="B191" s="86" t="str">
        <f>IFERROR(INDEX((ID),MATCH(C191,BARANG,0)),"…")</f>
        <v>307371</v>
      </c>
      <c r="C191" s="138" t="str">
        <f>sl_56_kit</f>
        <v>SLIDE LINE 56-2 PINTU</v>
      </c>
      <c r="D191" s="135">
        <f>SUMIF(dormecha,C191,jumlah_pemakaian)</f>
        <v>0</v>
      </c>
      <c r="E191" s="86" t="s">
        <v>2306</v>
      </c>
      <c r="F191" s="87"/>
      <c r="H191" s="74"/>
      <c r="I191" s="103"/>
      <c r="J191" s="104"/>
      <c r="K191" s="71"/>
      <c r="L191" s="71"/>
    </row>
    <row r="192" spans="1:12" s="69" customFormat="1" ht="14.25" hidden="1" customHeight="1">
      <c r="A192" s="86"/>
      <c r="B192" s="86" t="str">
        <f>IFERROR(INDEX((ID),MATCH(C192,BARANG,0)),"…")</f>
        <v>307373</v>
      </c>
      <c r="C192" s="138" t="str">
        <f>sl_56_track</f>
        <v>REL SLIDE LINE 56 P.3 MTR</v>
      </c>
      <c r="D192" s="135">
        <f>SUMIF(dormecha,C192,jumlah_pemakaian)</f>
        <v>0</v>
      </c>
      <c r="E192" s="86" t="s">
        <v>2224</v>
      </c>
      <c r="F192" s="87"/>
      <c r="H192" s="74"/>
      <c r="I192" s="103"/>
      <c r="J192" s="104"/>
      <c r="K192" s="71"/>
      <c r="L192" s="71"/>
    </row>
    <row r="193" spans="1:12" s="69" customFormat="1" ht="14.25" hidden="1" customHeight="1">
      <c r="A193" s="86"/>
      <c r="B193" s="86"/>
      <c r="C193" s="138"/>
      <c r="D193" s="135"/>
      <c r="E193" s="86"/>
      <c r="F193" s="87"/>
      <c r="H193" s="74"/>
      <c r="I193" s="103"/>
      <c r="J193" s="104"/>
      <c r="K193" s="71"/>
      <c r="L193" s="71"/>
    </row>
    <row r="194" spans="1:12" s="69" customFormat="1" ht="14.25" hidden="1" customHeight="1">
      <c r="A194" s="86"/>
      <c r="B194" s="86" t="str">
        <f>IFERROR(INDEX((ID),MATCH(C194,BARANG,0)),"…")</f>
        <v>307252</v>
      </c>
      <c r="C194" s="138" t="str">
        <f>PD_blum_55</f>
        <v>POCKET DOOR 55 CM</v>
      </c>
      <c r="D194" s="135">
        <f>SUMIF(dormecha,C194,jumlah_pemakaian)</f>
        <v>0</v>
      </c>
      <c r="E194" s="86" t="s">
        <v>2306</v>
      </c>
      <c r="F194" s="87"/>
      <c r="H194" s="74"/>
      <c r="I194" s="103"/>
      <c r="J194" s="104"/>
      <c r="K194" s="71"/>
      <c r="L194" s="71"/>
    </row>
    <row r="195" spans="1:12" s="69" customFormat="1" ht="14.25" hidden="1" customHeight="1">
      <c r="A195" s="86"/>
      <c r="B195" s="86"/>
      <c r="C195" s="138"/>
      <c r="D195" s="135"/>
      <c r="E195" s="86"/>
      <c r="F195" s="87"/>
      <c r="H195" s="74"/>
      <c r="I195" s="103"/>
      <c r="J195" s="104"/>
      <c r="K195" s="71"/>
      <c r="L195" s="71"/>
    </row>
    <row r="196" spans="1:12" s="69" customFormat="1" ht="14.25" hidden="1" customHeight="1">
      <c r="A196" s="86"/>
      <c r="B196" s="86"/>
      <c r="C196" s="138"/>
      <c r="D196" s="61"/>
      <c r="E196" s="86"/>
      <c r="F196" s="87"/>
      <c r="H196" s="74"/>
      <c r="I196" s="103"/>
      <c r="J196" s="104"/>
      <c r="K196" s="71"/>
      <c r="L196" s="71"/>
    </row>
    <row r="197" spans="1:12" s="69" customFormat="1" ht="14.25" customHeight="1">
      <c r="A197" s="86"/>
      <c r="B197" s="86"/>
      <c r="C197" s="773" t="s">
        <v>4250</v>
      </c>
      <c r="D197" s="61"/>
      <c r="E197" s="86"/>
      <c r="F197" s="87"/>
      <c r="H197" s="74"/>
      <c r="I197" s="103"/>
      <c r="J197" s="104"/>
      <c r="K197" s="71"/>
      <c r="L197" s="71"/>
    </row>
    <row r="198" spans="1:12" s="69" customFormat="1" ht="16">
      <c r="A198" s="86"/>
      <c r="B198" s="411" t="str">
        <f>IFERROR(INDEX((ID),MATCH(C198,BARANG,0)),"…")</f>
        <v>…</v>
      </c>
      <c r="C198" s="469" t="str">
        <f>braket_hc</f>
        <v>Braket Kabinet Atas</v>
      </c>
      <c r="D198" s="135">
        <f>ROUNDUP((SUMIF(profil_3,C198,jumlah_pemakaian)*1),0)</f>
        <v>0</v>
      </c>
      <c r="E198" s="411" t="s">
        <v>2306</v>
      </c>
      <c r="F198" s="87"/>
      <c r="H198" s="74"/>
      <c r="I198" s="103"/>
      <c r="J198" s="104"/>
      <c r="K198" s="71"/>
      <c r="L198" s="71"/>
    </row>
    <row r="199" spans="1:12" s="69" customFormat="1" ht="26" hidden="1">
      <c r="A199" s="86"/>
      <c r="B199" s="411" t="str">
        <f>IFERROR(INDEX((ID),MATCH(C199,BARANG,0)),"…")</f>
        <v>306821</v>
      </c>
      <c r="C199" s="469" t="str">
        <f>camar_807</f>
        <v>FIT HANGING SYSTEM FOR BASE CABINET 807 02 Z1 IN</v>
      </c>
      <c r="D199" s="135">
        <f>ROUNDUP((SUMIF(profil_3,C199,jumlah_pemakaian)*1),0)</f>
        <v>0</v>
      </c>
      <c r="E199" s="411" t="s">
        <v>2306</v>
      </c>
      <c r="F199" s="87"/>
      <c r="H199" s="74"/>
      <c r="I199" s="103"/>
      <c r="J199" s="104"/>
      <c r="K199" s="71"/>
      <c r="L199" s="71"/>
    </row>
    <row r="200" spans="1:12" s="69" customFormat="1" ht="14.25" hidden="1" customHeight="1">
      <c r="A200" s="86"/>
      <c r="B200" s="86">
        <f>IFERROR(INDEX((ID),MATCH(C200,BARANG,0)),"…")</f>
        <v>207098</v>
      </c>
      <c r="C200" s="138" t="str">
        <f>libra_h6</f>
        <v>LIBRA H 6</v>
      </c>
      <c r="D200" s="135">
        <f>ROUNDUP((SUMIF(profil_3,C200,jumlah_pemakaian)*1),0)</f>
        <v>0</v>
      </c>
      <c r="E200" s="86" t="s">
        <v>2306</v>
      </c>
      <c r="F200" s="87"/>
      <c r="H200" s="74"/>
      <c r="I200" s="103"/>
      <c r="J200" s="104"/>
      <c r="K200" s="71"/>
      <c r="L200" s="71"/>
    </row>
    <row r="201" spans="1:12" s="69" customFormat="1" ht="14.25" hidden="1" customHeight="1">
      <c r="A201" s="86"/>
      <c r="B201" s="86">
        <f>IFERROR(INDEX((ID),MATCH(C201,BARANG,0)),"…")</f>
        <v>207099</v>
      </c>
      <c r="C201" s="138" t="str">
        <f>libra_Ch</f>
        <v>LIBRA CH</v>
      </c>
      <c r="D201" s="135">
        <f>ROUNDUP((SUMIF(profil_3,C201,jumlah_pemakaian)*1),0)</f>
        <v>0</v>
      </c>
      <c r="E201" s="86" t="s">
        <v>2230</v>
      </c>
      <c r="F201" s="87"/>
      <c r="H201" s="74"/>
      <c r="I201" s="103"/>
      <c r="J201" s="104"/>
      <c r="K201" s="71"/>
      <c r="L201" s="71"/>
    </row>
    <row r="202" spans="1:12" s="69" customFormat="1" ht="14.25" hidden="1" customHeight="1">
      <c r="A202" s="86"/>
      <c r="B202" s="86">
        <f>IFERROR(INDEX((ID),MATCH(C202,BARANG,0)),"…")</f>
        <v>207099</v>
      </c>
      <c r="C202" s="138" t="str">
        <f>libra_Ch</f>
        <v>LIBRA CH</v>
      </c>
      <c r="D202" s="135">
        <f>ROUNDUP((SUMIF(profil_3,C202,jumlah_pemakaian)*1),0)</f>
        <v>0</v>
      </c>
      <c r="E202" s="86" t="s">
        <v>2230</v>
      </c>
      <c r="F202" s="87"/>
      <c r="H202" s="74"/>
      <c r="I202" s="103"/>
      <c r="J202" s="104"/>
      <c r="K202" s="71"/>
      <c r="L202" s="71"/>
    </row>
    <row r="203" spans="1:12" s="69" customFormat="1" ht="14.25" customHeight="1">
      <c r="A203" s="86"/>
      <c r="B203" s="86"/>
      <c r="C203" s="138"/>
      <c r="D203" s="135"/>
      <c r="E203" s="86"/>
      <c r="F203" s="87"/>
      <c r="H203" s="74"/>
      <c r="I203" s="103"/>
      <c r="J203" s="104"/>
      <c r="K203" s="71"/>
      <c r="L203" s="71"/>
    </row>
    <row r="204" spans="1:12" s="69" customFormat="1" ht="14.25" customHeight="1">
      <c r="A204" s="86"/>
      <c r="B204" s="86">
        <f>IFERROR(INDEX((ID),MATCH(C204,BARANG,0)),"…")</f>
        <v>207014</v>
      </c>
      <c r="C204" s="138" t="str">
        <f>legadj100</f>
        <v>KAKI ADJUSTER HAFELLE TG 100 ART # 637.45.326</v>
      </c>
      <c r="D204" s="135">
        <f>ROUNDUP((SUMIF(profil_3,C204,jumlah_pemakaian)*4),0)</f>
        <v>4</v>
      </c>
      <c r="E204" s="86" t="s">
        <v>2230</v>
      </c>
      <c r="F204" s="87"/>
      <c r="H204" s="74"/>
      <c r="I204" s="103"/>
      <c r="J204" s="104"/>
      <c r="K204" s="71"/>
      <c r="L204" s="71"/>
    </row>
    <row r="205" spans="1:12" s="69" customFormat="1" ht="14.25" customHeight="1">
      <c r="A205" s="86"/>
      <c r="B205" s="86"/>
      <c r="C205" s="138"/>
      <c r="D205" s="61"/>
      <c r="E205" s="86"/>
      <c r="F205" s="87"/>
      <c r="H205" s="74"/>
      <c r="I205" s="103"/>
      <c r="J205" s="104"/>
      <c r="K205" s="71"/>
      <c r="L205" s="71"/>
    </row>
    <row r="206" spans="1:12" s="69" customFormat="1" ht="14.25" customHeight="1">
      <c r="A206" s="86"/>
      <c r="B206" s="86">
        <f>IFERROR(INDEX((ID),MATCH(C206,BARANG,0)),"…")</f>
        <v>114611</v>
      </c>
      <c r="C206" s="136" t="str">
        <f>acrylic_mled</f>
        <v>ACRYLIC SUSU 2 MM 12X1220</v>
      </c>
      <c r="D206" s="88">
        <f>ROUNDUP(jumlah_mled*3000/1220,0)+10%+4</f>
        <v>9.1</v>
      </c>
      <c r="E206" s="86" t="s">
        <v>2224</v>
      </c>
      <c r="F206" s="87"/>
      <c r="H206" s="74"/>
      <c r="K206" s="78"/>
      <c r="L206" s="78"/>
    </row>
    <row r="207" spans="1:12" s="69" customFormat="1" ht="14.25" customHeight="1">
      <c r="A207" s="86"/>
      <c r="B207" s="86"/>
      <c r="C207" s="95"/>
      <c r="D207" s="88"/>
      <c r="E207" s="89"/>
      <c r="F207" s="90"/>
      <c r="H207" s="74"/>
      <c r="K207" s="78"/>
      <c r="L207" s="78"/>
    </row>
    <row r="208" spans="1:12" s="69" customFormat="1" ht="14.25" customHeight="1">
      <c r="A208" s="89"/>
      <c r="B208" s="86"/>
      <c r="C208" s="95"/>
      <c r="D208" s="135"/>
      <c r="E208" s="89"/>
      <c r="F208" s="91"/>
      <c r="H208" s="74"/>
      <c r="K208" s="78"/>
      <c r="L208" s="78"/>
    </row>
    <row r="209" spans="1:12" s="69" customFormat="1" ht="14.25" customHeight="1">
      <c r="A209" s="89"/>
      <c r="B209" s="86"/>
      <c r="C209" s="773"/>
      <c r="D209" s="135"/>
      <c r="E209" s="89"/>
      <c r="F209" s="91"/>
      <c r="H209" s="74"/>
      <c r="K209" s="78"/>
      <c r="L209" s="78"/>
    </row>
    <row r="210" spans="1:12" s="69" customFormat="1" ht="14.25" customHeight="1">
      <c r="A210" s="89"/>
      <c r="B210" s="86"/>
      <c r="C210" s="95"/>
      <c r="D210" s="135"/>
      <c r="E210" s="89"/>
      <c r="F210" s="91"/>
      <c r="H210" s="74"/>
      <c r="K210" s="78"/>
      <c r="L210" s="78"/>
    </row>
    <row r="211" spans="1:12" s="69" customFormat="1" ht="14.25" customHeight="1">
      <c r="A211" s="89"/>
      <c r="B211" s="86"/>
      <c r="C211" s="95"/>
      <c r="D211" s="135"/>
      <c r="E211" s="89"/>
      <c r="F211" s="91"/>
      <c r="H211" s="74"/>
      <c r="K211" s="78"/>
      <c r="L211" s="78"/>
    </row>
    <row r="212" spans="1:12" s="69" customFormat="1" ht="14.25" customHeight="1">
      <c r="A212" s="89"/>
      <c r="B212" s="86"/>
      <c r="C212" s="95"/>
      <c r="D212" s="135"/>
      <c r="E212" s="89"/>
      <c r="F212" s="91"/>
      <c r="H212" s="74"/>
      <c r="K212" s="78"/>
      <c r="L212" s="78"/>
    </row>
    <row r="213" spans="1:12" s="69" customFormat="1" ht="14.25" customHeight="1">
      <c r="A213" s="89"/>
      <c r="B213" s="86"/>
      <c r="C213" s="95"/>
      <c r="D213" s="135"/>
      <c r="E213" s="89"/>
      <c r="F213" s="91"/>
      <c r="H213" s="74"/>
      <c r="K213" s="78"/>
      <c r="L213" s="78"/>
    </row>
    <row r="214" spans="1:12" s="69" customFormat="1" ht="14.25" customHeight="1">
      <c r="A214" s="89"/>
      <c r="B214" s="86"/>
      <c r="C214" s="95"/>
      <c r="D214" s="135"/>
      <c r="E214" s="89"/>
      <c r="F214" s="91"/>
      <c r="H214" s="74"/>
      <c r="K214" s="78"/>
      <c r="L214" s="78"/>
    </row>
    <row r="215" spans="1:12" s="69" customFormat="1" ht="14.25" customHeight="1">
      <c r="A215" s="89"/>
      <c r="B215" s="86"/>
      <c r="C215" s="95"/>
      <c r="D215" s="89"/>
      <c r="E215" s="89"/>
      <c r="F215" s="90"/>
      <c r="H215" s="74"/>
      <c r="K215" s="78"/>
      <c r="L215" s="78"/>
    </row>
    <row r="216" spans="1:12" s="69" customFormat="1" ht="14.25" customHeight="1">
      <c r="A216" s="89"/>
      <c r="B216" s="86"/>
      <c r="C216" s="95"/>
      <c r="D216" s="89"/>
      <c r="E216" s="89"/>
      <c r="F216" s="90"/>
      <c r="H216" s="74"/>
      <c r="K216" s="78"/>
      <c r="L216" s="78"/>
    </row>
    <row r="217" spans="1:12" s="69" customFormat="1" ht="16" customHeight="1">
      <c r="A217" s="71" t="s">
        <v>2210</v>
      </c>
      <c r="B217" s="71"/>
      <c r="C217" s="71"/>
      <c r="D217" s="71"/>
      <c r="E217" s="71"/>
      <c r="F217" s="71"/>
      <c r="H217" s="74"/>
      <c r="I217" s="71"/>
      <c r="J217" s="71"/>
    </row>
    <row r="218" spans="1:12" s="69" customFormat="1" ht="16" customHeight="1">
      <c r="A218" s="71"/>
      <c r="B218" s="71"/>
      <c r="C218" s="71"/>
      <c r="D218" s="71"/>
      <c r="E218" s="71"/>
      <c r="F218" s="71"/>
      <c r="H218" s="74"/>
      <c r="I218" s="71"/>
      <c r="J218" s="71"/>
    </row>
    <row r="219" spans="1:12" s="69" customFormat="1" ht="16" customHeight="1">
      <c r="A219" s="71"/>
      <c r="B219" s="71"/>
      <c r="C219" s="71"/>
      <c r="D219" s="71"/>
      <c r="E219" s="71"/>
      <c r="F219" s="71"/>
      <c r="H219" s="74"/>
      <c r="I219" s="71"/>
      <c r="J219" s="71"/>
    </row>
    <row r="220" spans="1:12" s="69" customFormat="1" ht="16" customHeight="1">
      <c r="A220" s="71" t="s">
        <v>2211</v>
      </c>
      <c r="B220" s="71"/>
      <c r="C220" s="71"/>
      <c r="D220" s="71"/>
      <c r="E220" s="71"/>
      <c r="F220" s="71"/>
      <c r="H220" s="74"/>
      <c r="I220" s="102"/>
      <c r="J220" s="71"/>
    </row>
    <row r="221" spans="1:12" s="69" customFormat="1" ht="16" customHeight="1">
      <c r="A221" s="71"/>
      <c r="B221" s="71"/>
      <c r="C221" s="71"/>
      <c r="D221" s="71"/>
      <c r="E221" s="71"/>
      <c r="F221" s="71"/>
      <c r="H221" s="74"/>
    </row>
    <row r="222" spans="1:12" s="69" customFormat="1" ht="17" customHeight="1">
      <c r="A222" s="96" t="s">
        <v>2197</v>
      </c>
      <c r="B222" s="96"/>
      <c r="C222" s="96"/>
      <c r="D222" s="96"/>
      <c r="E222" s="96"/>
      <c r="F222" s="96"/>
      <c r="H222" s="74"/>
    </row>
    <row r="223" spans="1:12" s="69" customFormat="1" ht="17" customHeight="1">
      <c r="A223" s="96"/>
      <c r="B223" s="96"/>
      <c r="C223" s="96"/>
      <c r="D223" s="96"/>
      <c r="E223" s="96"/>
      <c r="F223" s="96"/>
      <c r="H223" s="74"/>
    </row>
    <row r="224" spans="1:12" s="69" customFormat="1" ht="17" customHeight="1">
      <c r="A224" s="96"/>
      <c r="B224" s="96"/>
      <c r="C224" s="96"/>
      <c r="D224" s="96"/>
      <c r="E224" s="96"/>
      <c r="F224" s="96"/>
      <c r="H224" s="74"/>
    </row>
    <row r="225" spans="1:8" s="69" customFormat="1" ht="17" customHeight="1">
      <c r="A225" s="71"/>
      <c r="B225" s="71"/>
      <c r="C225" s="71"/>
      <c r="D225" s="71"/>
      <c r="E225" s="71"/>
      <c r="F225" s="71"/>
      <c r="H225" s="74"/>
    </row>
    <row r="226" spans="1:8" s="69" customFormat="1" ht="18" customHeight="1">
      <c r="A226" s="906" t="s">
        <v>2198</v>
      </c>
      <c r="B226" s="906"/>
      <c r="C226" s="906"/>
      <c r="D226" s="906"/>
      <c r="E226" s="906"/>
      <c r="F226" s="906"/>
      <c r="H226" s="74"/>
    </row>
    <row r="227" spans="1:8" s="69" customFormat="1">
      <c r="A227" s="71"/>
      <c r="B227" s="71"/>
      <c r="C227" s="71"/>
      <c r="D227" s="71"/>
      <c r="E227" s="71"/>
      <c r="F227" s="71"/>
      <c r="H227" s="74"/>
    </row>
    <row r="228" spans="1:8" s="69" customFormat="1" ht="12" customHeight="1">
      <c r="A228" s="71"/>
      <c r="B228" s="71"/>
      <c r="C228" s="71"/>
      <c r="D228" s="71"/>
      <c r="E228" s="75" t="s">
        <v>2199</v>
      </c>
      <c r="F228" s="76" t="e">
        <f>jumlah_komponen</f>
        <v>#REF!</v>
      </c>
      <c r="H228" s="98" t="s">
        <v>2213</v>
      </c>
    </row>
    <row r="229" spans="1:8" s="69" customFormat="1" ht="12" customHeight="1">
      <c r="A229" s="71"/>
      <c r="B229" s="71"/>
      <c r="C229" s="71"/>
      <c r="D229" s="71"/>
      <c r="E229" s="71"/>
      <c r="F229" s="71"/>
      <c r="H229" s="98" t="s">
        <v>2214</v>
      </c>
    </row>
    <row r="230" spans="1:8" s="69" customFormat="1" ht="12" customHeight="1">
      <c r="A230" s="77" t="s">
        <v>2200</v>
      </c>
      <c r="B230" s="77"/>
      <c r="C230" s="71" t="s">
        <v>2201</v>
      </c>
      <c r="D230" s="71"/>
      <c r="E230" s="77" t="s">
        <v>2202</v>
      </c>
      <c r="F230" s="78" t="str">
        <f>F6&amp;"B"</f>
        <v>RZ0458B</v>
      </c>
      <c r="H230" s="98" t="s">
        <v>2215</v>
      </c>
    </row>
    <row r="231" spans="1:8" s="69" customFormat="1" ht="12" customHeight="1">
      <c r="A231" s="77" t="s">
        <v>2203</v>
      </c>
      <c r="B231" s="77"/>
      <c r="C231" s="79" t="str">
        <f>C7</f>
        <v>127/RK-RL-PI/PAP-LL/XII/2025</v>
      </c>
      <c r="D231" s="71"/>
      <c r="E231" s="71"/>
      <c r="F231" s="77"/>
      <c r="H231" s="74"/>
    </row>
    <row r="232" spans="1:8" s="69" customFormat="1" ht="12" customHeight="1">
      <c r="A232" s="77" t="s">
        <v>1508</v>
      </c>
      <c r="B232" s="77"/>
      <c r="C232" s="79" t="str">
        <f>C8</f>
        <v>25LL017MPC</v>
      </c>
      <c r="D232" s="71"/>
      <c r="E232" s="71"/>
      <c r="F232" s="77"/>
      <c r="H232" s="74"/>
    </row>
    <row r="233" spans="1:8" s="69" customFormat="1" ht="12" customHeight="1">
      <c r="A233" s="77" t="s">
        <v>2204</v>
      </c>
      <c r="B233" s="77"/>
      <c r="C233" s="79" t="str">
        <f>C9</f>
        <v>PT Malindo Feedmill Tbk-Dry Pantry</v>
      </c>
      <c r="D233" s="71"/>
      <c r="E233" s="75" t="s">
        <v>2205</v>
      </c>
      <c r="F233" s="881">
        <f ca="1">NOW()</f>
        <v>46178.657870601855</v>
      </c>
      <c r="G233" s="882"/>
      <c r="H233" s="881"/>
    </row>
    <row r="234" spans="1:8" s="69" customFormat="1" ht="12" customHeight="1">
      <c r="A234" s="885" t="s">
        <v>2206</v>
      </c>
      <c r="B234" s="885"/>
      <c r="C234" s="30" t="str">
        <f>C10</f>
        <v>Fahrudin</v>
      </c>
      <c r="D234" s="908" t="s">
        <v>2838</v>
      </c>
      <c r="E234" s="908"/>
      <c r="F234" s="71" t="s">
        <v>2895</v>
      </c>
      <c r="H234" s="74"/>
    </row>
    <row r="235" spans="1:8" s="69" customFormat="1" ht="12" customHeight="1" thickBot="1">
      <c r="A235" s="71"/>
      <c r="B235" s="71"/>
      <c r="C235" s="71"/>
      <c r="D235" s="71"/>
      <c r="E235" s="71"/>
      <c r="F235" s="71"/>
      <c r="H235" s="74"/>
    </row>
    <row r="236" spans="1:8" s="69" customFormat="1" ht="30" customHeight="1" thickBot="1">
      <c r="A236" s="82" t="s">
        <v>327</v>
      </c>
      <c r="B236" s="82" t="s">
        <v>329</v>
      </c>
      <c r="C236" s="82" t="s">
        <v>330</v>
      </c>
      <c r="D236" s="82" t="s">
        <v>331</v>
      </c>
      <c r="E236" s="82" t="s">
        <v>332</v>
      </c>
      <c r="F236" s="82" t="s">
        <v>333</v>
      </c>
      <c r="H236" s="98" t="s">
        <v>2213</v>
      </c>
    </row>
    <row r="237" spans="1:8" s="69" customFormat="1" ht="14.25" customHeight="1" thickTop="1">
      <c r="A237" s="89"/>
      <c r="B237" s="89"/>
      <c r="C237" s="95"/>
      <c r="D237" s="89"/>
      <c r="E237" s="89"/>
      <c r="F237" s="90"/>
      <c r="H237" s="98" t="s">
        <v>2216</v>
      </c>
    </row>
    <row r="238" spans="1:8" s="69" customFormat="1" ht="14.25" customHeight="1">
      <c r="A238" s="89"/>
      <c r="B238" s="89"/>
      <c r="C238" s="95"/>
      <c r="D238" s="89"/>
      <c r="E238" s="89"/>
      <c r="F238" s="90"/>
      <c r="H238" s="74"/>
    </row>
    <row r="239" spans="1:8" s="69" customFormat="1" ht="14.25" customHeight="1">
      <c r="A239" s="89"/>
      <c r="B239" s="89"/>
      <c r="C239" s="95"/>
      <c r="D239" s="89"/>
      <c r="E239" s="89"/>
      <c r="F239" s="90"/>
      <c r="H239" s="74"/>
    </row>
    <row r="240" spans="1:8" s="69" customFormat="1" ht="14.25" customHeight="1">
      <c r="A240" s="89"/>
      <c r="B240" s="89"/>
      <c r="C240" s="95"/>
      <c r="D240" s="89"/>
      <c r="E240" s="89"/>
      <c r="F240" s="437"/>
      <c r="H240" s="74"/>
    </row>
    <row r="241" spans="1:8" s="69" customFormat="1" ht="14.25" customHeight="1">
      <c r="A241" s="89"/>
      <c r="B241" s="89"/>
      <c r="C241" s="95"/>
      <c r="D241" s="89"/>
      <c r="E241" s="436"/>
      <c r="F241" s="90"/>
      <c r="H241" s="98" t="s">
        <v>2213</v>
      </c>
    </row>
    <row r="242" spans="1:8" s="69" customFormat="1" ht="14.25" customHeight="1">
      <c r="A242" s="89"/>
      <c r="B242" s="89"/>
      <c r="C242" s="95"/>
      <c r="D242" s="89"/>
      <c r="E242" s="436"/>
      <c r="F242" s="90"/>
      <c r="H242" s="98" t="s">
        <v>2217</v>
      </c>
    </row>
    <row r="243" spans="1:8" s="69" customFormat="1" ht="14.25" customHeight="1">
      <c r="A243" s="89"/>
      <c r="B243" s="89"/>
      <c r="C243" s="95"/>
      <c r="D243" s="89"/>
      <c r="E243" s="436"/>
      <c r="F243" s="90"/>
      <c r="H243" s="74"/>
    </row>
    <row r="244" spans="1:8" s="69" customFormat="1" ht="14.25" customHeight="1">
      <c r="A244" s="89"/>
      <c r="B244" s="89"/>
      <c r="C244" s="95"/>
      <c r="D244" s="89"/>
      <c r="E244" s="436"/>
      <c r="F244" s="90"/>
      <c r="H244" s="74"/>
    </row>
    <row r="245" spans="1:8" s="69" customFormat="1" ht="14.25" customHeight="1">
      <c r="A245" s="89"/>
      <c r="B245" s="89"/>
      <c r="C245" s="95"/>
      <c r="D245" s="89"/>
      <c r="E245" s="436"/>
      <c r="F245" s="90"/>
      <c r="H245" s="74"/>
    </row>
    <row r="246" spans="1:8" s="69" customFormat="1" ht="14.25" customHeight="1">
      <c r="A246" s="89"/>
      <c r="B246" s="89"/>
      <c r="C246" s="95"/>
      <c r="D246" s="89"/>
      <c r="E246" s="436"/>
      <c r="F246" s="90"/>
      <c r="H246" s="74"/>
    </row>
    <row r="247" spans="1:8" s="69" customFormat="1" ht="14.25" customHeight="1">
      <c r="A247" s="89"/>
      <c r="B247" s="89"/>
      <c r="C247" s="95"/>
      <c r="D247" s="89"/>
      <c r="E247" s="436"/>
      <c r="F247" s="90"/>
      <c r="H247" s="74"/>
    </row>
    <row r="248" spans="1:8" s="69" customFormat="1" ht="14.25" customHeight="1">
      <c r="A248" s="89"/>
      <c r="B248" s="89"/>
      <c r="C248" s="95"/>
      <c r="D248" s="89"/>
      <c r="E248" s="436"/>
      <c r="F248" s="90"/>
      <c r="H248" s="74"/>
    </row>
    <row r="249" spans="1:8" s="69" customFormat="1" ht="14.25" customHeight="1">
      <c r="A249" s="89"/>
      <c r="B249" s="89"/>
      <c r="C249" s="95"/>
      <c r="D249" s="89"/>
      <c r="E249" s="436"/>
      <c r="F249" s="90"/>
      <c r="H249" s="74"/>
    </row>
    <row r="250" spans="1:8" s="69" customFormat="1" ht="14.25" customHeight="1">
      <c r="A250" s="89"/>
      <c r="B250" s="89"/>
      <c r="C250" s="95"/>
      <c r="D250" s="89"/>
      <c r="E250" s="436"/>
      <c r="F250" s="90"/>
      <c r="H250" s="74"/>
    </row>
    <row r="251" spans="1:8" s="69" customFormat="1" ht="14.25" customHeight="1">
      <c r="A251" s="89"/>
      <c r="B251" s="89"/>
      <c r="C251" s="95"/>
      <c r="D251" s="89"/>
      <c r="E251" s="436"/>
      <c r="F251" s="90"/>
      <c r="H251" s="74"/>
    </row>
    <row r="252" spans="1:8" s="69" customFormat="1" ht="14.25" customHeight="1">
      <c r="A252" s="89"/>
      <c r="B252" s="89"/>
      <c r="C252" s="95"/>
      <c r="D252" s="89"/>
      <c r="E252" s="436"/>
      <c r="F252" s="90"/>
      <c r="H252" s="74"/>
    </row>
    <row r="253" spans="1:8" s="69" customFormat="1" ht="14.25" customHeight="1">
      <c r="A253" s="89"/>
      <c r="B253" s="89"/>
      <c r="C253" s="95"/>
      <c r="D253" s="89"/>
      <c r="E253" s="436"/>
      <c r="F253" s="90"/>
      <c r="H253" s="74"/>
    </row>
    <row r="254" spans="1:8" s="69" customFormat="1" ht="14.25" customHeight="1">
      <c r="A254" s="89"/>
      <c r="B254" s="89"/>
      <c r="C254" s="95"/>
      <c r="D254" s="89"/>
      <c r="E254" s="436"/>
      <c r="F254" s="90"/>
      <c r="H254" s="74"/>
    </row>
    <row r="255" spans="1:8" s="69" customFormat="1" ht="14.25" customHeight="1">
      <c r="A255" s="89"/>
      <c r="B255" s="89"/>
      <c r="C255" s="95"/>
      <c r="D255" s="89"/>
      <c r="E255" s="436"/>
      <c r="F255" s="90"/>
      <c r="H255" s="74"/>
    </row>
    <row r="256" spans="1:8" s="69" customFormat="1" ht="14.25" customHeight="1">
      <c r="A256" s="89"/>
      <c r="B256" s="89"/>
      <c r="C256" s="95"/>
      <c r="D256" s="89"/>
      <c r="E256" s="436"/>
      <c r="F256" s="90"/>
      <c r="H256" s="74"/>
    </row>
    <row r="257" spans="1:9" s="69" customFormat="1" ht="14.25" customHeight="1">
      <c r="A257" s="89"/>
      <c r="B257" s="89"/>
      <c r="C257" s="95"/>
      <c r="D257" s="89"/>
      <c r="E257" s="436"/>
      <c r="F257" s="90"/>
      <c r="H257" s="74"/>
      <c r="I257" s="69" t="s">
        <v>511</v>
      </c>
    </row>
    <row r="258" spans="1:9" s="69" customFormat="1" ht="14.25" customHeight="1">
      <c r="A258" s="89"/>
      <c r="B258" s="89"/>
      <c r="C258" s="95"/>
      <c r="D258" s="89"/>
      <c r="E258" s="436"/>
      <c r="F258" s="90"/>
      <c r="H258" s="74"/>
    </row>
    <row r="259" spans="1:9" s="69" customFormat="1" ht="14.25" customHeight="1">
      <c r="A259" s="89"/>
      <c r="B259" s="89"/>
      <c r="C259" s="95"/>
      <c r="D259" s="89"/>
      <c r="E259" s="436"/>
      <c r="F259" s="90"/>
      <c r="H259" s="74"/>
    </row>
    <row r="260" spans="1:9" s="69" customFormat="1" ht="14.25" customHeight="1">
      <c r="A260" s="89"/>
      <c r="B260" s="89"/>
      <c r="C260" s="95"/>
      <c r="D260" s="89"/>
      <c r="E260" s="436"/>
      <c r="F260" s="90"/>
      <c r="H260" s="74"/>
    </row>
    <row r="261" spans="1:9" s="69" customFormat="1" ht="14.25" customHeight="1">
      <c r="A261" s="89"/>
      <c r="B261" s="89"/>
      <c r="C261" s="95"/>
      <c r="D261" s="89"/>
      <c r="E261" s="436"/>
      <c r="F261" s="90"/>
      <c r="H261" s="74"/>
    </row>
    <row r="262" spans="1:9" s="69" customFormat="1" ht="14.25" customHeight="1">
      <c r="A262" s="89"/>
      <c r="B262" s="89"/>
      <c r="C262" s="95"/>
      <c r="D262" s="89"/>
      <c r="E262" s="436"/>
      <c r="F262" s="90"/>
      <c r="H262" s="74"/>
    </row>
    <row r="263" spans="1:9" s="69" customFormat="1" ht="14.25" customHeight="1">
      <c r="A263" s="89"/>
      <c r="B263" s="89"/>
      <c r="C263" s="95"/>
      <c r="D263" s="89"/>
      <c r="E263" s="436"/>
      <c r="F263" s="90"/>
      <c r="H263" s="74"/>
    </row>
    <row r="264" spans="1:9" s="69" customFormat="1" ht="14.25" customHeight="1">
      <c r="A264" s="89"/>
      <c r="B264" s="89"/>
      <c r="C264" s="95"/>
      <c r="D264" s="89"/>
      <c r="E264" s="436"/>
      <c r="F264" s="90"/>
      <c r="H264" s="74"/>
    </row>
    <row r="265" spans="1:9" s="69" customFormat="1" ht="14.25" customHeight="1">
      <c r="A265" s="89"/>
      <c r="B265" s="89"/>
      <c r="C265" s="95"/>
      <c r="D265" s="89"/>
      <c r="E265" s="436"/>
      <c r="F265" s="90"/>
      <c r="H265" s="74"/>
    </row>
    <row r="266" spans="1:9" s="69" customFormat="1" ht="14.25" customHeight="1">
      <c r="A266" s="89"/>
      <c r="B266" s="89"/>
      <c r="C266" s="95"/>
      <c r="D266" s="89"/>
      <c r="E266" s="436"/>
      <c r="F266" s="90"/>
      <c r="H266" s="74"/>
    </row>
    <row r="267" spans="1:9" s="69" customFormat="1" ht="14.25" customHeight="1">
      <c r="A267" s="89"/>
      <c r="B267" s="89"/>
      <c r="C267" s="95"/>
      <c r="D267" s="89"/>
      <c r="E267" s="436"/>
      <c r="F267" s="90"/>
      <c r="H267" s="74"/>
    </row>
    <row r="268" spans="1:9" s="69" customFormat="1" ht="14.25" customHeight="1">
      <c r="A268" s="89"/>
      <c r="B268" s="89"/>
      <c r="C268" s="95"/>
      <c r="D268" s="89"/>
      <c r="E268" s="436"/>
      <c r="F268" s="90"/>
      <c r="H268" s="74"/>
    </row>
    <row r="269" spans="1:9" s="69" customFormat="1" ht="14.25" customHeight="1">
      <c r="A269" s="89"/>
      <c r="B269" s="89"/>
      <c r="C269" s="95"/>
      <c r="D269" s="89"/>
      <c r="E269" s="436"/>
      <c r="F269" s="90"/>
      <c r="H269" s="74"/>
    </row>
    <row r="270" spans="1:9" s="69" customFormat="1" ht="14.25" customHeight="1">
      <c r="A270" s="89"/>
      <c r="B270" s="89"/>
      <c r="C270" s="95"/>
      <c r="D270" s="89"/>
      <c r="E270" s="436"/>
      <c r="F270" s="90"/>
      <c r="G270" s="111"/>
      <c r="H270" s="112"/>
    </row>
    <row r="271" spans="1:9" s="69" customFormat="1" ht="16" customHeight="1">
      <c r="A271" s="71" t="s">
        <v>2210</v>
      </c>
      <c r="B271" s="71"/>
      <c r="C271" s="71"/>
      <c r="D271" s="71"/>
      <c r="E271" s="71"/>
      <c r="F271" s="71"/>
      <c r="H271" s="74"/>
    </row>
    <row r="272" spans="1:9" s="69" customFormat="1" ht="16" customHeight="1">
      <c r="A272" s="71"/>
      <c r="B272" s="71"/>
      <c r="C272" s="71"/>
      <c r="D272" s="71"/>
      <c r="E272" s="71"/>
      <c r="F272" s="71"/>
      <c r="H272" s="74"/>
    </row>
    <row r="273" spans="1:8" s="69" customFormat="1" ht="16" customHeight="1">
      <c r="A273" s="71"/>
      <c r="B273" s="71"/>
      <c r="C273" s="71"/>
      <c r="D273" s="71"/>
      <c r="E273" s="71"/>
      <c r="F273" s="71"/>
      <c r="H273" s="74"/>
    </row>
    <row r="274" spans="1:8" s="69" customFormat="1" ht="16" customHeight="1">
      <c r="A274" s="71" t="s">
        <v>2211</v>
      </c>
      <c r="B274" s="71"/>
      <c r="C274" s="71"/>
      <c r="D274" s="71"/>
      <c r="E274" s="71"/>
      <c r="F274" s="71"/>
      <c r="H274" s="74"/>
    </row>
    <row r="275" spans="1:8" s="69" customFormat="1" ht="16" customHeight="1">
      <c r="A275" s="71"/>
      <c r="B275" s="71"/>
      <c r="C275" s="71"/>
      <c r="D275" s="71"/>
      <c r="E275" s="71"/>
      <c r="F275" s="71"/>
      <c r="H275" s="74"/>
    </row>
    <row r="276" spans="1:8" s="69" customFormat="1" ht="17" customHeight="1">
      <c r="A276" s="96" t="s">
        <v>2197</v>
      </c>
      <c r="B276" s="96"/>
      <c r="C276" s="96"/>
      <c r="D276" s="96"/>
      <c r="E276" s="96"/>
      <c r="F276" s="96"/>
      <c r="H276" s="74"/>
    </row>
    <row r="277" spans="1:8" s="69" customFormat="1" ht="12" customHeight="1">
      <c r="A277" s="71"/>
      <c r="B277" s="71"/>
      <c r="C277" s="71"/>
      <c r="D277" s="71"/>
      <c r="E277" s="71"/>
      <c r="F277" s="71"/>
      <c r="H277" s="74"/>
    </row>
    <row r="278" spans="1:8" s="69" customFormat="1" ht="12" customHeight="1">
      <c r="A278" s="71"/>
      <c r="B278" s="71"/>
      <c r="C278" s="71"/>
      <c r="D278" s="71"/>
      <c r="E278" s="71"/>
      <c r="F278" s="71"/>
      <c r="H278" s="74"/>
    </row>
    <row r="279" spans="1:8" s="69" customFormat="1" ht="12" customHeight="1">
      <c r="A279" s="96"/>
      <c r="B279" s="96"/>
      <c r="C279" s="96"/>
      <c r="D279" s="96"/>
      <c r="E279" s="96"/>
      <c r="F279" s="96"/>
      <c r="H279" s="74"/>
    </row>
    <row r="280" spans="1:8" s="69" customFormat="1" ht="12" customHeight="1">
      <c r="A280" s="71"/>
      <c r="B280" s="71"/>
      <c r="C280" s="71"/>
      <c r="D280" s="71"/>
      <c r="E280" s="71"/>
      <c r="F280" s="71"/>
      <c r="H280" s="74"/>
    </row>
    <row r="281" spans="1:8" s="69" customFormat="1" ht="18" customHeight="1">
      <c r="A281" s="906" t="s">
        <v>2198</v>
      </c>
      <c r="B281" s="906"/>
      <c r="C281" s="906"/>
      <c r="D281" s="906"/>
      <c r="E281" s="906"/>
      <c r="F281" s="906"/>
      <c r="H281" s="74"/>
    </row>
    <row r="282" spans="1:8" s="69" customFormat="1" ht="12" customHeight="1">
      <c r="A282" s="71"/>
      <c r="B282" s="71"/>
      <c r="C282" s="71"/>
      <c r="D282" s="71"/>
      <c r="E282" s="71"/>
      <c r="F282" s="71"/>
      <c r="H282" s="74"/>
    </row>
    <row r="283" spans="1:8" s="69" customFormat="1" ht="18" customHeight="1">
      <c r="A283" s="71"/>
      <c r="B283" s="71"/>
      <c r="C283" s="71"/>
      <c r="D283" s="71"/>
      <c r="E283" s="77" t="s">
        <v>2212</v>
      </c>
      <c r="F283" s="71"/>
      <c r="H283" s="74"/>
    </row>
    <row r="284" spans="1:8" s="69" customFormat="1" ht="12" customHeight="1">
      <c r="A284" s="71"/>
      <c r="B284" s="71"/>
      <c r="C284" s="71"/>
      <c r="D284" s="71"/>
      <c r="E284" s="71"/>
      <c r="F284" s="71"/>
      <c r="H284" s="98" t="s">
        <v>2213</v>
      </c>
    </row>
    <row r="285" spans="1:8" s="69" customFormat="1" ht="12" customHeight="1">
      <c r="A285" s="77" t="s">
        <v>2200</v>
      </c>
      <c r="B285" s="77"/>
      <c r="C285" s="71" t="s">
        <v>2201</v>
      </c>
      <c r="D285" s="71"/>
      <c r="E285" s="77" t="s">
        <v>2202</v>
      </c>
      <c r="F285" s="78" t="str">
        <f>F230</f>
        <v>RZ0458B</v>
      </c>
      <c r="H285" s="98" t="s">
        <v>2214</v>
      </c>
    </row>
    <row r="286" spans="1:8" s="69" customFormat="1" ht="12" customHeight="1">
      <c r="A286" s="77" t="s">
        <v>2203</v>
      </c>
      <c r="B286" s="77"/>
      <c r="C286" s="79" t="str">
        <f>C231</f>
        <v>127/RK-RL-PI/PAP-LL/XII/2025</v>
      </c>
      <c r="D286" s="71"/>
      <c r="E286" s="71"/>
      <c r="F286" s="77"/>
      <c r="H286" s="98" t="s">
        <v>2215</v>
      </c>
    </row>
    <row r="287" spans="1:8" s="69" customFormat="1" ht="12" customHeight="1">
      <c r="A287" s="99" t="s">
        <v>1508</v>
      </c>
      <c r="B287" s="99"/>
      <c r="C287" s="100" t="str">
        <f>C232</f>
        <v>25LL017MPC</v>
      </c>
      <c r="D287" s="71"/>
      <c r="E287" s="71"/>
      <c r="F287" s="77"/>
      <c r="H287" s="74"/>
    </row>
    <row r="288" spans="1:8" s="69" customFormat="1" ht="12" customHeight="1">
      <c r="A288" s="77" t="s">
        <v>2204</v>
      </c>
      <c r="B288" s="77"/>
      <c r="C288" s="79" t="str">
        <f>C233</f>
        <v>PT Malindo Feedmill Tbk-Dry Pantry</v>
      </c>
      <c r="D288" s="71"/>
      <c r="E288" s="75" t="s">
        <v>2205</v>
      </c>
      <c r="F288" s="71"/>
      <c r="H288" s="74"/>
    </row>
    <row r="289" spans="1:8" s="69" customFormat="1" ht="12" customHeight="1">
      <c r="A289" s="905" t="s">
        <v>2180</v>
      </c>
      <c r="B289" s="905"/>
      <c r="C289" s="101" t="str">
        <f>C234</f>
        <v>Fahrudin</v>
      </c>
      <c r="D289" s="908" t="s">
        <v>2838</v>
      </c>
      <c r="E289" s="908"/>
      <c r="F289" s="71" t="s">
        <v>2895</v>
      </c>
      <c r="H289" s="74"/>
    </row>
    <row r="290" spans="1:8" s="69" customFormat="1" ht="12" customHeight="1">
      <c r="A290" s="71"/>
      <c r="B290" s="71"/>
      <c r="C290" s="71"/>
      <c r="D290" s="71"/>
      <c r="E290" s="71"/>
      <c r="F290" s="71"/>
      <c r="H290" s="74"/>
    </row>
    <row r="291" spans="1:8" s="69" customFormat="1" ht="12" customHeight="1" thickBot="1">
      <c r="A291" s="71"/>
      <c r="B291" s="71"/>
      <c r="C291" s="71"/>
      <c r="D291" s="71"/>
      <c r="E291" s="71"/>
      <c r="F291" s="71"/>
      <c r="H291" s="74"/>
    </row>
    <row r="292" spans="1:8" s="69" customFormat="1" ht="30" customHeight="1" thickBot="1">
      <c r="A292" s="82" t="s">
        <v>327</v>
      </c>
      <c r="B292" s="82" t="s">
        <v>329</v>
      </c>
      <c r="C292" s="82" t="s">
        <v>330</v>
      </c>
      <c r="D292" s="82" t="s">
        <v>331</v>
      </c>
      <c r="E292" s="82" t="s">
        <v>332</v>
      </c>
      <c r="F292" s="82" t="s">
        <v>333</v>
      </c>
      <c r="H292" s="98" t="s">
        <v>2213</v>
      </c>
    </row>
    <row r="293" spans="1:8" s="69" customFormat="1" ht="12" customHeight="1" thickTop="1">
      <c r="A293" s="113"/>
      <c r="B293" s="113"/>
      <c r="C293" s="114"/>
      <c r="D293" s="113"/>
      <c r="E293" s="113"/>
      <c r="F293" s="116"/>
      <c r="H293" s="98" t="s">
        <v>2216</v>
      </c>
    </row>
    <row r="294" spans="1:8" s="69" customFormat="1" ht="12" customHeight="1">
      <c r="A294" s="89"/>
      <c r="B294" s="89"/>
      <c r="C294" s="95"/>
      <c r="D294" s="89"/>
      <c r="E294" s="89"/>
      <c r="F294" s="110"/>
      <c r="H294" s="74"/>
    </row>
    <row r="295" spans="1:8" s="69" customFormat="1" ht="12" customHeight="1">
      <c r="A295" s="89"/>
      <c r="B295" s="89"/>
      <c r="C295" s="95"/>
      <c r="D295" s="89"/>
      <c r="E295" s="89"/>
      <c r="F295" s="110"/>
      <c r="H295" s="74"/>
    </row>
    <row r="296" spans="1:8" s="69" customFormat="1" ht="12" customHeight="1">
      <c r="A296" s="89"/>
      <c r="B296" s="89"/>
      <c r="C296" s="95"/>
      <c r="D296" s="89"/>
      <c r="E296" s="89"/>
      <c r="F296" s="110"/>
      <c r="H296" s="74"/>
    </row>
    <row r="297" spans="1:8" s="69" customFormat="1" ht="12" customHeight="1">
      <c r="A297" s="89"/>
      <c r="B297" s="89"/>
      <c r="C297" s="95"/>
      <c r="D297" s="89"/>
      <c r="E297" s="89"/>
      <c r="F297" s="110"/>
      <c r="H297" s="98" t="s">
        <v>2213</v>
      </c>
    </row>
    <row r="298" spans="1:8" s="69" customFormat="1" ht="12" customHeight="1">
      <c r="A298" s="89"/>
      <c r="B298" s="89"/>
      <c r="C298" s="95"/>
      <c r="D298" s="89"/>
      <c r="E298" s="89"/>
      <c r="F298" s="110"/>
      <c r="H298" s="98" t="s">
        <v>2217</v>
      </c>
    </row>
    <row r="299" spans="1:8" s="69" customFormat="1" ht="12" customHeight="1">
      <c r="A299" s="89"/>
      <c r="B299" s="89"/>
      <c r="C299" s="95"/>
      <c r="D299" s="89"/>
      <c r="E299" s="89"/>
      <c r="F299" s="110"/>
      <c r="H299" s="74"/>
    </row>
    <row r="300" spans="1:8" s="69" customFormat="1" ht="12" customHeight="1">
      <c r="A300" s="89"/>
      <c r="B300" s="89"/>
      <c r="C300" s="95"/>
      <c r="D300" s="89"/>
      <c r="E300" s="89"/>
      <c r="F300" s="110"/>
      <c r="H300" s="74"/>
    </row>
    <row r="301" spans="1:8" s="69" customFormat="1" ht="12" customHeight="1">
      <c r="A301" s="89"/>
      <c r="B301" s="89"/>
      <c r="C301" s="95"/>
      <c r="D301" s="89"/>
      <c r="E301" s="89"/>
      <c r="F301" s="110"/>
      <c r="H301" s="74"/>
    </row>
    <row r="302" spans="1:8" s="69" customFormat="1" ht="12" customHeight="1">
      <c r="A302" s="89"/>
      <c r="B302" s="89"/>
      <c r="C302" s="95"/>
      <c r="D302" s="89"/>
      <c r="E302" s="89"/>
      <c r="F302" s="110"/>
      <c r="H302" s="74"/>
    </row>
    <row r="303" spans="1:8" s="69" customFormat="1" ht="12" customHeight="1">
      <c r="A303" s="89"/>
      <c r="B303" s="89"/>
      <c r="C303" s="95"/>
      <c r="D303" s="89"/>
      <c r="E303" s="89"/>
      <c r="F303" s="110"/>
      <c r="H303" s="74"/>
    </row>
    <row r="304" spans="1:8" s="69" customFormat="1" ht="12" customHeight="1">
      <c r="A304" s="89"/>
      <c r="B304" s="89"/>
      <c r="C304" s="95"/>
      <c r="D304" s="89"/>
      <c r="E304" s="89"/>
      <c r="F304" s="110"/>
      <c r="H304" s="74"/>
    </row>
    <row r="305" spans="1:8" s="69" customFormat="1" ht="12" customHeight="1">
      <c r="A305" s="89"/>
      <c r="B305" s="89"/>
      <c r="C305" s="95"/>
      <c r="D305" s="89"/>
      <c r="E305" s="89"/>
      <c r="F305" s="110"/>
      <c r="H305" s="74"/>
    </row>
    <row r="306" spans="1:8" s="69" customFormat="1" ht="12" customHeight="1">
      <c r="A306" s="89"/>
      <c r="B306" s="89"/>
      <c r="C306" s="95"/>
      <c r="D306" s="89"/>
      <c r="E306" s="89"/>
      <c r="F306" s="110"/>
      <c r="H306" s="74"/>
    </row>
    <row r="307" spans="1:8" s="69" customFormat="1" ht="12" customHeight="1">
      <c r="A307" s="89"/>
      <c r="B307" s="89"/>
      <c r="C307" s="95"/>
      <c r="D307" s="89"/>
      <c r="E307" s="89"/>
      <c r="F307" s="110"/>
      <c r="H307" s="74"/>
    </row>
    <row r="308" spans="1:8" s="69" customFormat="1" ht="12" customHeight="1">
      <c r="A308" s="89"/>
      <c r="B308" s="89"/>
      <c r="C308" s="95"/>
      <c r="D308" s="89"/>
      <c r="E308" s="89"/>
      <c r="F308" s="110"/>
      <c r="H308" s="74"/>
    </row>
    <row r="309" spans="1:8" s="69" customFormat="1" ht="12" customHeight="1">
      <c r="A309" s="89"/>
      <c r="B309" s="89"/>
      <c r="C309" s="95"/>
      <c r="D309" s="89"/>
      <c r="E309" s="89"/>
      <c r="F309" s="110"/>
      <c r="H309" s="74"/>
    </row>
    <row r="310" spans="1:8" s="69" customFormat="1" ht="12" customHeight="1">
      <c r="A310" s="89"/>
      <c r="B310" s="89"/>
      <c r="C310" s="95"/>
      <c r="D310" s="89"/>
      <c r="E310" s="89"/>
      <c r="F310" s="110"/>
      <c r="H310" s="74"/>
    </row>
    <row r="311" spans="1:8" s="69" customFormat="1" ht="12" customHeight="1">
      <c r="A311" s="89"/>
      <c r="B311" s="89"/>
      <c r="C311" s="95"/>
      <c r="D311" s="89"/>
      <c r="E311" s="89"/>
      <c r="F311" s="110"/>
      <c r="H311" s="74"/>
    </row>
    <row r="312" spans="1:8" s="69" customFormat="1" ht="12" customHeight="1">
      <c r="A312" s="89"/>
      <c r="B312" s="89"/>
      <c r="C312" s="95"/>
      <c r="D312" s="89"/>
      <c r="E312" s="89"/>
      <c r="F312" s="110"/>
      <c r="H312" s="74"/>
    </row>
    <row r="313" spans="1:8" s="69" customFormat="1" ht="12" customHeight="1">
      <c r="A313" s="89"/>
      <c r="B313" s="89"/>
      <c r="C313" s="95"/>
      <c r="D313" s="89"/>
      <c r="E313" s="89"/>
      <c r="F313" s="110"/>
      <c r="H313" s="74"/>
    </row>
    <row r="314" spans="1:8" s="69" customFormat="1" ht="12" customHeight="1">
      <c r="A314" s="89"/>
      <c r="B314" s="89"/>
      <c r="C314" s="95"/>
      <c r="D314" s="89"/>
      <c r="E314" s="89"/>
      <c r="F314" s="110"/>
      <c r="H314" s="74"/>
    </row>
    <row r="315" spans="1:8" s="69" customFormat="1" ht="12" customHeight="1">
      <c r="A315" s="89"/>
      <c r="B315" s="89"/>
      <c r="C315" s="95"/>
      <c r="D315" s="89"/>
      <c r="E315" s="89"/>
      <c r="F315" s="110"/>
      <c r="H315" s="74"/>
    </row>
    <row r="316" spans="1:8" s="69" customFormat="1" ht="12" customHeight="1">
      <c r="A316" s="89"/>
      <c r="B316" s="89"/>
      <c r="C316" s="95"/>
      <c r="D316" s="89"/>
      <c r="E316" s="89"/>
      <c r="F316" s="110"/>
      <c r="H316" s="74"/>
    </row>
    <row r="317" spans="1:8" s="69" customFormat="1" ht="12" customHeight="1">
      <c r="A317" s="89"/>
      <c r="B317" s="89"/>
      <c r="C317" s="95"/>
      <c r="D317" s="89"/>
      <c r="E317" s="89"/>
      <c r="F317" s="110"/>
      <c r="H317" s="74"/>
    </row>
    <row r="318" spans="1:8" s="69" customFormat="1" ht="12" customHeight="1">
      <c r="A318" s="89"/>
      <c r="B318" s="89"/>
      <c r="C318" s="95"/>
      <c r="D318" s="89"/>
      <c r="E318" s="89"/>
      <c r="F318" s="110"/>
      <c r="H318" s="74"/>
    </row>
    <row r="319" spans="1:8" s="69" customFormat="1" ht="12" customHeight="1">
      <c r="A319" s="89"/>
      <c r="B319" s="89"/>
      <c r="C319" s="95"/>
      <c r="D319" s="89"/>
      <c r="E319" s="89"/>
      <c r="F319" s="110"/>
      <c r="H319" s="74"/>
    </row>
    <row r="320" spans="1:8" s="69" customFormat="1" ht="12" customHeight="1">
      <c r="A320" s="89"/>
      <c r="B320" s="89"/>
      <c r="C320" s="95"/>
      <c r="D320" s="89"/>
      <c r="E320" s="89"/>
      <c r="F320" s="110"/>
      <c r="H320" s="74"/>
    </row>
    <row r="321" spans="1:8" s="69" customFormat="1" ht="12" customHeight="1">
      <c r="A321" s="89"/>
      <c r="B321" s="89"/>
      <c r="C321" s="95"/>
      <c r="D321" s="89"/>
      <c r="E321" s="89"/>
      <c r="F321" s="110"/>
      <c r="H321" s="74"/>
    </row>
    <row r="322" spans="1:8" s="69" customFormat="1" ht="12" customHeight="1">
      <c r="A322" s="89"/>
      <c r="B322" s="89"/>
      <c r="C322" s="95"/>
      <c r="D322" s="89"/>
      <c r="E322" s="89"/>
      <c r="F322" s="110"/>
      <c r="H322" s="74"/>
    </row>
    <row r="323" spans="1:8" s="69" customFormat="1" ht="12" customHeight="1">
      <c r="A323" s="89"/>
      <c r="B323" s="89"/>
      <c r="C323" s="95"/>
      <c r="D323" s="89"/>
      <c r="E323" s="89"/>
      <c r="F323" s="110"/>
      <c r="H323" s="74"/>
    </row>
    <row r="324" spans="1:8" s="69" customFormat="1" ht="12" customHeight="1">
      <c r="A324" s="89"/>
      <c r="B324" s="89"/>
      <c r="C324" s="95"/>
      <c r="D324" s="89"/>
      <c r="E324" s="89"/>
      <c r="F324" s="110"/>
      <c r="H324" s="74"/>
    </row>
    <row r="325" spans="1:8" s="69" customFormat="1" ht="12" customHeight="1">
      <c r="A325" s="89"/>
      <c r="B325" s="89"/>
      <c r="C325" s="95"/>
      <c r="D325" s="89"/>
      <c r="E325" s="89"/>
      <c r="F325" s="110"/>
      <c r="H325" s="74"/>
    </row>
    <row r="326" spans="1:8" s="69" customFormat="1" ht="12" customHeight="1">
      <c r="A326" s="89"/>
      <c r="B326" s="89"/>
      <c r="C326" s="95"/>
      <c r="D326" s="89"/>
      <c r="E326" s="89"/>
      <c r="F326" s="110"/>
      <c r="H326" s="74"/>
    </row>
    <row r="327" spans="1:8" s="69" customFormat="1" ht="12" customHeight="1">
      <c r="A327" s="89"/>
      <c r="B327" s="89"/>
      <c r="C327" s="95"/>
      <c r="D327" s="89"/>
      <c r="E327" s="89"/>
      <c r="F327" s="110"/>
      <c r="H327" s="74"/>
    </row>
    <row r="328" spans="1:8" s="69" customFormat="1" ht="12" customHeight="1">
      <c r="A328" s="89"/>
      <c r="B328" s="89"/>
      <c r="C328" s="95"/>
      <c r="D328" s="89"/>
      <c r="E328" s="89"/>
      <c r="F328" s="110"/>
      <c r="H328" s="74"/>
    </row>
    <row r="329" spans="1:8" s="69" customFormat="1" ht="12" customHeight="1">
      <c r="A329" s="71" t="s">
        <v>2210</v>
      </c>
      <c r="B329" s="71"/>
      <c r="C329" s="71"/>
      <c r="D329" s="71"/>
      <c r="E329" s="71"/>
      <c r="F329" s="71"/>
      <c r="H329" s="74"/>
    </row>
    <row r="330" spans="1:8" s="69" customFormat="1" ht="12" customHeight="1">
      <c r="A330" s="71"/>
      <c r="B330" s="71"/>
      <c r="C330" s="71"/>
      <c r="D330" s="71"/>
      <c r="E330" s="71"/>
      <c r="F330" s="71"/>
      <c r="G330" s="117"/>
      <c r="H330" s="118"/>
    </row>
    <row r="331" spans="1:8" s="69" customFormat="1" ht="12" customHeight="1">
      <c r="A331" s="71"/>
      <c r="B331" s="71"/>
      <c r="C331" s="71"/>
      <c r="D331" s="71"/>
      <c r="E331" s="71"/>
      <c r="F331" s="71"/>
      <c r="H331" s="74"/>
    </row>
    <row r="332" spans="1:8" s="69" customFormat="1" ht="12" customHeight="1">
      <c r="A332" s="71"/>
      <c r="B332" s="71"/>
      <c r="C332" s="71"/>
      <c r="D332" s="71"/>
      <c r="E332" s="71"/>
      <c r="F332" s="71"/>
      <c r="H332" s="74"/>
    </row>
    <row r="333" spans="1:8" s="69" customFormat="1" ht="16" customHeight="1">
      <c r="A333" s="71" t="s">
        <v>2211</v>
      </c>
      <c r="B333" s="71"/>
      <c r="C333" s="71"/>
      <c r="D333" s="71"/>
      <c r="E333" s="71"/>
      <c r="F333" s="71"/>
      <c r="H333" s="74"/>
    </row>
    <row r="334" spans="1:8" s="69" customFormat="1" ht="16" customHeight="1">
      <c r="A334" s="71"/>
      <c r="B334" s="71"/>
      <c r="C334" s="71"/>
      <c r="D334" s="71"/>
      <c r="E334" s="71"/>
      <c r="F334" s="71"/>
      <c r="H334" s="74"/>
    </row>
    <row r="335" spans="1:8" s="69" customFormat="1" ht="16" customHeight="1">
      <c r="A335" s="96" t="s">
        <v>2197</v>
      </c>
      <c r="B335" s="96"/>
      <c r="C335" s="96"/>
      <c r="D335" s="96"/>
      <c r="E335" s="96"/>
      <c r="F335" s="96"/>
      <c r="H335" s="74"/>
    </row>
    <row r="336" spans="1:8" s="69" customFormat="1" ht="16" customHeight="1">
      <c r="A336" s="71"/>
      <c r="B336" s="71"/>
      <c r="C336" s="71"/>
      <c r="D336" s="71"/>
      <c r="E336" s="71"/>
      <c r="F336" s="71"/>
      <c r="H336" s="74"/>
    </row>
    <row r="337" spans="1:12" s="69" customFormat="1" ht="16" customHeight="1">
      <c r="A337" s="71"/>
      <c r="B337" s="71"/>
      <c r="C337" s="71"/>
      <c r="D337" s="71"/>
      <c r="E337" s="71"/>
      <c r="F337" s="71"/>
      <c r="H337" s="74"/>
    </row>
    <row r="338" spans="1:12" s="69" customFormat="1" ht="17" customHeight="1">
      <c r="A338" s="96"/>
      <c r="B338" s="96"/>
      <c r="C338" s="96"/>
      <c r="D338" s="96"/>
      <c r="E338" s="96"/>
      <c r="F338" s="96"/>
      <c r="H338" s="74"/>
    </row>
    <row r="339" spans="1:12" ht="12.75" customHeight="1">
      <c r="I339" s="69"/>
      <c r="J339" s="69"/>
      <c r="K339" s="69"/>
      <c r="L339" s="69"/>
    </row>
    <row r="340" spans="1:12" ht="12.75" customHeight="1">
      <c r="I340" s="69"/>
      <c r="J340" s="69"/>
      <c r="K340" s="69"/>
      <c r="L340" s="69"/>
    </row>
    <row r="341" spans="1:12" ht="12.75" customHeight="1">
      <c r="I341" s="69"/>
      <c r="J341" s="69"/>
      <c r="K341" s="69"/>
      <c r="L341" s="69"/>
    </row>
    <row r="342" spans="1:12" ht="12.75" customHeight="1">
      <c r="I342" s="69"/>
      <c r="J342" s="69"/>
      <c r="K342" s="69"/>
      <c r="L342" s="69"/>
    </row>
    <row r="343" spans="1:12" ht="12.75" customHeight="1">
      <c r="I343" s="69"/>
      <c r="J343" s="69"/>
      <c r="K343" s="69"/>
      <c r="L343" s="69"/>
    </row>
    <row r="344" spans="1:12" ht="12.75" customHeight="1">
      <c r="I344" s="69"/>
      <c r="J344" s="69"/>
      <c r="K344" s="69"/>
      <c r="L344" s="69"/>
    </row>
    <row r="345" spans="1:12" ht="12.75" customHeight="1">
      <c r="I345" s="69"/>
      <c r="J345" s="69"/>
      <c r="K345" s="69"/>
      <c r="L345" s="69"/>
    </row>
    <row r="346" spans="1:12" ht="12.75" customHeight="1">
      <c r="I346" s="69"/>
      <c r="J346" s="69"/>
      <c r="K346" s="69"/>
      <c r="L346" s="69"/>
    </row>
    <row r="347" spans="1:12" ht="12.75" customHeight="1">
      <c r="I347" s="69"/>
      <c r="J347" s="69"/>
      <c r="K347" s="69"/>
      <c r="L347" s="69"/>
    </row>
    <row r="348" spans="1:12" ht="12.75" customHeight="1">
      <c r="I348" s="69"/>
      <c r="J348" s="69"/>
      <c r="K348" s="69"/>
      <c r="L348" s="69"/>
    </row>
    <row r="349" spans="1:12" ht="12.75" customHeight="1">
      <c r="I349" s="69"/>
      <c r="J349" s="69"/>
      <c r="K349" s="69"/>
      <c r="L349" s="69"/>
    </row>
    <row r="350" spans="1:12" ht="12.75" customHeight="1">
      <c r="I350" s="69"/>
      <c r="J350" s="69"/>
      <c r="K350" s="69"/>
      <c r="L350" s="69"/>
    </row>
    <row r="351" spans="1:12" ht="12.75" customHeight="1">
      <c r="I351" s="69"/>
      <c r="J351" s="69"/>
      <c r="K351" s="69"/>
      <c r="L351" s="69"/>
    </row>
    <row r="352" spans="1:12" ht="12.75" customHeight="1">
      <c r="I352" s="69"/>
      <c r="J352" s="69"/>
      <c r="K352" s="69"/>
      <c r="L352" s="69"/>
    </row>
    <row r="353" spans="9:12" ht="12.75" customHeight="1">
      <c r="I353" s="69"/>
      <c r="J353" s="69"/>
      <c r="K353" s="69"/>
      <c r="L353" s="69"/>
    </row>
    <row r="354" spans="9:12" ht="12.75" customHeight="1">
      <c r="I354" s="69"/>
      <c r="J354" s="69"/>
      <c r="K354" s="69"/>
      <c r="L354" s="69"/>
    </row>
    <row r="355" spans="9:12" ht="12.75" customHeight="1">
      <c r="I355" s="69"/>
      <c r="J355" s="69"/>
      <c r="K355" s="69"/>
      <c r="L355" s="69"/>
    </row>
    <row r="356" spans="9:12" ht="12.75" customHeight="1">
      <c r="I356" s="69"/>
      <c r="J356" s="69"/>
      <c r="K356" s="69"/>
      <c r="L356" s="69"/>
    </row>
    <row r="357" spans="9:12" ht="12.75" customHeight="1">
      <c r="I357" s="69"/>
      <c r="J357" s="69"/>
      <c r="K357" s="69"/>
      <c r="L357" s="69"/>
    </row>
    <row r="358" spans="9:12" ht="12.75" customHeight="1">
      <c r="I358" s="69"/>
      <c r="J358" s="69"/>
      <c r="K358" s="69"/>
      <c r="L358" s="69"/>
    </row>
    <row r="359" spans="9:12" ht="12.75" customHeight="1">
      <c r="I359" s="69"/>
      <c r="J359" s="69"/>
      <c r="K359" s="69"/>
      <c r="L359" s="69"/>
    </row>
    <row r="360" spans="9:12" ht="12.75" customHeight="1">
      <c r="I360" s="69"/>
      <c r="J360" s="69"/>
      <c r="K360" s="69"/>
      <c r="L360" s="69"/>
    </row>
    <row r="361" spans="9:12" ht="12.75" customHeight="1">
      <c r="I361" s="69"/>
      <c r="J361" s="69"/>
      <c r="K361" s="69"/>
      <c r="L361" s="69"/>
    </row>
    <row r="362" spans="9:12" ht="12.75" customHeight="1">
      <c r="I362" s="69"/>
      <c r="J362" s="69"/>
      <c r="K362" s="69"/>
      <c r="L362" s="69"/>
    </row>
    <row r="363" spans="9:12" ht="12.75" customHeight="1">
      <c r="I363" s="69"/>
      <c r="J363" s="69"/>
      <c r="K363" s="69"/>
      <c r="L363" s="69"/>
    </row>
    <row r="364" spans="9:12" ht="12.75" customHeight="1">
      <c r="I364" s="69"/>
      <c r="J364" s="69"/>
      <c r="K364" s="69"/>
      <c r="L364" s="69"/>
    </row>
    <row r="365" spans="9:12" ht="12.75" customHeight="1">
      <c r="I365" s="69"/>
      <c r="J365" s="69"/>
      <c r="K365" s="69"/>
      <c r="L365" s="69"/>
    </row>
    <row r="366" spans="9:12" ht="12.75" customHeight="1">
      <c r="I366" s="69"/>
      <c r="J366" s="69"/>
      <c r="K366" s="69"/>
      <c r="L366" s="69"/>
    </row>
    <row r="367" spans="9:12" ht="12.75" customHeight="1">
      <c r="I367" s="69"/>
      <c r="J367" s="69"/>
      <c r="K367" s="69"/>
      <c r="L367" s="69"/>
    </row>
    <row r="368" spans="9:12" ht="12.75" customHeight="1">
      <c r="I368" s="69"/>
      <c r="J368" s="69"/>
      <c r="K368" s="69"/>
      <c r="L368" s="69"/>
    </row>
    <row r="369" spans="9:12" ht="12.75" customHeight="1">
      <c r="I369" s="69"/>
      <c r="J369" s="69"/>
      <c r="K369" s="69"/>
      <c r="L369" s="69"/>
    </row>
    <row r="370" spans="9:12" ht="12.75" customHeight="1">
      <c r="I370" s="69"/>
      <c r="J370" s="69"/>
      <c r="K370" s="69"/>
      <c r="L370" s="69"/>
    </row>
    <row r="371" spans="9:12" ht="12.75" customHeight="1">
      <c r="I371" s="69"/>
      <c r="J371" s="69"/>
      <c r="K371" s="119"/>
      <c r="L371" s="69"/>
    </row>
    <row r="372" spans="9:12" ht="12.75" customHeight="1">
      <c r="I372" s="69"/>
      <c r="J372" s="69"/>
      <c r="K372" s="69"/>
      <c r="L372" s="69"/>
    </row>
    <row r="373" spans="9:12" ht="12.75" customHeight="1">
      <c r="I373" s="69"/>
      <c r="J373" s="69"/>
      <c r="K373" s="69"/>
      <c r="L373" s="69"/>
    </row>
    <row r="374" spans="9:12" ht="12.75" customHeight="1">
      <c r="I374" s="69"/>
      <c r="J374" s="69"/>
      <c r="K374" s="69"/>
      <c r="L374" s="69"/>
    </row>
    <row r="375" spans="9:12" ht="12.75" customHeight="1">
      <c r="I375" s="69"/>
      <c r="J375" s="69"/>
      <c r="K375" s="69"/>
      <c r="L375" s="69"/>
    </row>
    <row r="376" spans="9:12" ht="12.75" customHeight="1">
      <c r="I376" s="69"/>
      <c r="J376" s="69"/>
      <c r="K376" s="69"/>
      <c r="L376" s="69"/>
    </row>
    <row r="377" spans="9:12" ht="12.75" customHeight="1">
      <c r="I377" s="69"/>
      <c r="J377" s="69"/>
      <c r="K377" s="69"/>
      <c r="L377" s="69"/>
    </row>
    <row r="378" spans="9:12" ht="12.75" customHeight="1">
      <c r="I378" s="69"/>
      <c r="J378" s="69"/>
      <c r="K378" s="69"/>
      <c r="L378" s="69"/>
    </row>
    <row r="379" spans="9:12" ht="12.75" customHeight="1">
      <c r="I379" s="69"/>
      <c r="J379" s="69"/>
      <c r="K379" s="69"/>
      <c r="L379" s="69"/>
    </row>
    <row r="380" spans="9:12" ht="12.75" customHeight="1">
      <c r="I380" s="119"/>
      <c r="J380" s="119"/>
      <c r="K380" s="69"/>
      <c r="L380" s="69"/>
    </row>
    <row r="381" spans="9:12" ht="12.75" customHeight="1">
      <c r="I381" s="69"/>
      <c r="J381" s="69"/>
      <c r="K381" s="69"/>
      <c r="L381" s="69"/>
    </row>
    <row r="382" spans="9:12" ht="12.75" customHeight="1">
      <c r="I382" s="69"/>
      <c r="J382" s="69"/>
      <c r="K382" s="69"/>
      <c r="L382" s="69"/>
    </row>
    <row r="383" spans="9:12" ht="12.75" customHeight="1">
      <c r="I383" s="69"/>
      <c r="J383" s="69"/>
      <c r="K383" s="69"/>
      <c r="L383" s="69"/>
    </row>
    <row r="384" spans="9:12" ht="12.75" customHeight="1">
      <c r="I384" s="69"/>
      <c r="J384" s="69"/>
      <c r="K384" s="69"/>
      <c r="L384" s="69"/>
    </row>
    <row r="385" spans="9:12" ht="12.75" customHeight="1">
      <c r="I385" s="69"/>
      <c r="J385" s="69"/>
      <c r="K385" s="69"/>
      <c r="L385" s="69"/>
    </row>
    <row r="386" spans="9:12" ht="12.75" customHeight="1">
      <c r="I386" s="69"/>
      <c r="J386" s="69"/>
      <c r="K386" s="69"/>
      <c r="L386" s="69"/>
    </row>
    <row r="387" spans="9:12" ht="12.75" customHeight="1">
      <c r="I387" s="69"/>
      <c r="J387" s="69"/>
      <c r="K387" s="69"/>
      <c r="L387" s="69"/>
    </row>
    <row r="388" spans="9:12" ht="12.75" customHeight="1">
      <c r="I388" s="69"/>
      <c r="J388" s="69"/>
      <c r="K388" s="69"/>
      <c r="L388" s="69"/>
    </row>
    <row r="389" spans="9:12" ht="12.75" customHeight="1">
      <c r="I389" s="69"/>
      <c r="J389" s="69"/>
      <c r="K389" s="69"/>
      <c r="L389" s="69"/>
    </row>
    <row r="390" spans="9:12" ht="12.75" customHeight="1">
      <c r="I390" s="69"/>
      <c r="J390" s="69"/>
      <c r="K390" s="69"/>
      <c r="L390" s="69"/>
    </row>
    <row r="391" spans="9:12" ht="12.75" customHeight="1">
      <c r="I391" s="69"/>
      <c r="J391" s="69"/>
      <c r="K391" s="69"/>
      <c r="L391" s="69"/>
    </row>
    <row r="392" spans="9:12" ht="12.75" customHeight="1">
      <c r="I392" s="69"/>
      <c r="J392" s="69"/>
      <c r="K392" s="69"/>
      <c r="L392" s="69"/>
    </row>
    <row r="393" spans="9:12" ht="12.75" customHeight="1">
      <c r="I393" s="69"/>
      <c r="J393" s="69"/>
      <c r="K393" s="69"/>
      <c r="L393" s="69"/>
    </row>
    <row r="394" spans="9:12" ht="12.75" customHeight="1">
      <c r="I394" s="69"/>
      <c r="J394" s="69"/>
      <c r="K394" s="69"/>
      <c r="L394" s="69"/>
    </row>
    <row r="395" spans="9:12" ht="12.75" customHeight="1">
      <c r="I395" s="69"/>
      <c r="J395" s="69"/>
      <c r="K395" s="69"/>
      <c r="L395" s="69"/>
    </row>
    <row r="396" spans="9:12" ht="12.75" customHeight="1">
      <c r="I396" s="69"/>
      <c r="J396" s="69"/>
      <c r="K396" s="69"/>
      <c r="L396" s="69"/>
    </row>
    <row r="397" spans="9:12" ht="12.75" customHeight="1">
      <c r="I397" s="69"/>
      <c r="J397" s="69"/>
      <c r="K397" s="69"/>
      <c r="L397" s="69"/>
    </row>
    <row r="398" spans="9:12" ht="12.75" customHeight="1">
      <c r="I398" s="69"/>
      <c r="J398" s="69"/>
      <c r="K398" s="69"/>
      <c r="L398" s="69"/>
    </row>
    <row r="399" spans="9:12" ht="12.75" customHeight="1">
      <c r="I399" s="69"/>
      <c r="J399" s="69"/>
      <c r="K399" s="69"/>
      <c r="L399" s="69"/>
    </row>
    <row r="400" spans="9:12" ht="12.75" customHeight="1">
      <c r="I400" s="69"/>
      <c r="J400" s="69"/>
      <c r="K400" s="69"/>
      <c r="L400" s="69"/>
    </row>
    <row r="401" spans="9:12" ht="12.75" customHeight="1">
      <c r="I401" s="69"/>
      <c r="J401" s="69"/>
      <c r="K401" s="69"/>
      <c r="L401" s="69"/>
    </row>
    <row r="402" spans="9:12" ht="12.75" customHeight="1">
      <c r="I402" s="69"/>
      <c r="J402" s="69"/>
      <c r="K402" s="69"/>
      <c r="L402" s="69"/>
    </row>
    <row r="403" spans="9:12" ht="12.75" customHeight="1">
      <c r="I403" s="69"/>
      <c r="J403" s="69"/>
      <c r="K403" s="69"/>
      <c r="L403" s="69"/>
    </row>
    <row r="404" spans="9:12" ht="12.75" customHeight="1">
      <c r="I404" s="69"/>
      <c r="J404" s="69"/>
      <c r="K404" s="69"/>
      <c r="L404" s="69"/>
    </row>
    <row r="405" spans="9:12" ht="12.75" customHeight="1">
      <c r="I405" s="69"/>
      <c r="J405" s="69"/>
      <c r="K405" s="69"/>
      <c r="L405" s="69"/>
    </row>
    <row r="406" spans="9:12" ht="12.75" customHeight="1">
      <c r="I406" s="69"/>
      <c r="J406" s="69"/>
      <c r="K406" s="69"/>
      <c r="L406" s="69"/>
    </row>
    <row r="407" spans="9:12" ht="12.75" customHeight="1">
      <c r="I407" s="69"/>
      <c r="J407" s="69"/>
      <c r="K407" s="69"/>
      <c r="L407" s="69"/>
    </row>
    <row r="408" spans="9:12" ht="12.75" customHeight="1">
      <c r="I408" s="69"/>
      <c r="J408" s="69"/>
      <c r="K408" s="69"/>
      <c r="L408" s="69"/>
    </row>
    <row r="409" spans="9:12" ht="12.75" customHeight="1">
      <c r="I409" s="69"/>
      <c r="J409" s="69"/>
      <c r="K409" s="69"/>
      <c r="L409" s="69"/>
    </row>
    <row r="410" spans="9:12" ht="12.75" customHeight="1">
      <c r="I410" s="69"/>
      <c r="J410" s="69"/>
      <c r="K410" s="120"/>
      <c r="L410" s="69"/>
    </row>
    <row r="411" spans="9:12" ht="12.75" customHeight="1">
      <c r="I411" s="69"/>
      <c r="J411" s="69"/>
      <c r="K411" s="69"/>
      <c r="L411" s="69"/>
    </row>
    <row r="412" spans="9:12" ht="12.75" customHeight="1">
      <c r="I412" s="69"/>
      <c r="J412" s="69"/>
      <c r="K412" s="69"/>
      <c r="L412" s="69"/>
    </row>
    <row r="413" spans="9:12" ht="12.75" customHeight="1">
      <c r="I413" s="69"/>
      <c r="J413" s="69"/>
      <c r="K413" s="119"/>
      <c r="L413" s="69"/>
    </row>
    <row r="414" spans="9:12" ht="12.75" customHeight="1">
      <c r="I414" s="69"/>
      <c r="J414" s="69"/>
      <c r="K414" s="69"/>
      <c r="L414" s="69"/>
    </row>
    <row r="415" spans="9:12" ht="12.75" customHeight="1">
      <c r="I415" s="69"/>
      <c r="J415" s="69"/>
      <c r="K415" s="69"/>
      <c r="L415" s="69"/>
    </row>
    <row r="416" spans="9:12" ht="12.75" customHeight="1">
      <c r="I416" s="69"/>
      <c r="J416" s="69"/>
      <c r="K416" s="69"/>
      <c r="L416" s="69"/>
    </row>
    <row r="417" spans="9:12" ht="12.75" customHeight="1">
      <c r="I417" s="69"/>
      <c r="J417" s="69"/>
      <c r="K417" s="69"/>
      <c r="L417" s="69"/>
    </row>
    <row r="418" spans="9:12" ht="12.75" customHeight="1">
      <c r="I418" s="69"/>
      <c r="J418" s="69"/>
      <c r="K418" s="69"/>
      <c r="L418" s="69"/>
    </row>
    <row r="419" spans="9:12" ht="12.75" customHeight="1">
      <c r="I419" s="120"/>
      <c r="J419" s="120"/>
    </row>
    <row r="420" spans="9:12" ht="12.75" customHeight="1">
      <c r="I420" s="69"/>
      <c r="J420" s="69"/>
    </row>
    <row r="421" spans="9:12" ht="12.75" customHeight="1">
      <c r="I421" s="69"/>
      <c r="J421" s="69"/>
    </row>
    <row r="422" spans="9:12" ht="12.75" customHeight="1">
      <c r="I422" s="119"/>
      <c r="J422" s="119"/>
    </row>
    <row r="423" spans="9:12" ht="12.75" customHeight="1">
      <c r="I423" s="69"/>
      <c r="J423" s="69"/>
    </row>
    <row r="424" spans="9:12" ht="12.75" customHeight="1">
      <c r="I424" s="69"/>
      <c r="J424" s="69"/>
    </row>
    <row r="425" spans="9:12" ht="12.75" customHeight="1">
      <c r="I425" s="69"/>
      <c r="J425" s="69"/>
    </row>
    <row r="426" spans="9:12" ht="12.75" customHeight="1">
      <c r="I426" s="69"/>
      <c r="J426" s="69"/>
    </row>
    <row r="427" spans="9:12" ht="12.75" customHeight="1">
      <c r="I427" s="69"/>
      <c r="J427" s="69"/>
    </row>
    <row r="428" spans="9:12" ht="12.75" customHeight="1"/>
    <row r="429" spans="9:12" ht="12.75" customHeight="1"/>
    <row r="430" spans="9:12" ht="12.75" customHeight="1"/>
    <row r="431" spans="9:12" ht="12.75" customHeight="1"/>
    <row r="432" spans="9:1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sheetData>
  <autoFilter ref="A12:F217" xr:uid="{00000000-0009-0000-0000-000019000000}"/>
  <mergeCells count="13">
    <mergeCell ref="A226:F226"/>
    <mergeCell ref="F233:H233"/>
    <mergeCell ref="F15:F20"/>
    <mergeCell ref="C88:C89"/>
    <mergeCell ref="A2:F2"/>
    <mergeCell ref="F9:H9"/>
    <mergeCell ref="A10:B10"/>
    <mergeCell ref="D10:E10"/>
    <mergeCell ref="A234:B234"/>
    <mergeCell ref="D234:E234"/>
    <mergeCell ref="A281:F281"/>
    <mergeCell ref="A289:B289"/>
    <mergeCell ref="D289:E289"/>
  </mergeCells>
  <dataValidations count="6">
    <dataValidation type="list" allowBlank="1" showInputMessage="1" showErrorMessage="1" sqref="C15:C20 C23:C33" xr:uid="{00000000-0002-0000-1900-000000000000}">
      <formula1>INDIRECT($G15)</formula1>
    </dataValidation>
    <dataValidation type="list" allowBlank="1" showInputMessage="1" showErrorMessage="1" sqref="G15:G19 G30:G32 G23:G27" xr:uid="{00000000-0002-0000-1900-000001000000}">
      <formula1>menu</formula1>
    </dataValidation>
    <dataValidation type="list" allowBlank="1" showInputMessage="1" showErrorMessage="1" sqref="C121:C132" xr:uid="{00000000-0002-0000-1900-000002000000}">
      <formula1>ministrip</formula1>
    </dataValidation>
    <dataValidation type="list" allowBlank="1" showInputMessage="1" showErrorMessage="1" sqref="C112 C117 C119" xr:uid="{00000000-0002-0000-1900-000003000000}">
      <formula1>Fr</formula1>
    </dataValidation>
    <dataValidation type="list" allowBlank="1" showInputMessage="1" showErrorMessage="1" sqref="C107:C111 C113:C116" xr:uid="{00000000-0002-0000-1900-000004000000}">
      <formula1>BARANG</formula1>
    </dataValidation>
    <dataValidation type="list" allowBlank="1" showInputMessage="1" showErrorMessage="1" sqref="C10" xr:uid="{00000000-0002-0000-1900-000005000000}">
      <formula1>koord</formula1>
    </dataValidation>
  </dataValidations>
  <printOptions horizontalCentered="1"/>
  <pageMargins left="0.1" right="0.1" top="0.5" bottom="0.1" header="0.25" footer="0.51111111111111096"/>
  <pageSetup orientation="portrait" horizontalDpi="240" verticalDpi="144" r:id="rId1"/>
  <headerFooter scaleWithDoc="0" alignWithMargins="0">
    <oddHeader>&amp;L&amp;F</oddHeader>
  </headerFooter>
  <rowBreaks count="2" manualBreakCount="2">
    <brk id="133" max="5" man="1"/>
    <brk id="223" max="5" man="1"/>
  </rowBreaks>
  <colBreaks count="1" manualBreakCount="1">
    <brk id="6" max="1048575" man="1"/>
  </colBreaks>
  <drawing r:id="rId2"/>
  <legacyDrawing r:id="rId3"/>
  <oleObjects>
    <mc:AlternateContent xmlns:mc="http://schemas.openxmlformats.org/markup-compatibility/2006">
      <mc:Choice Requires="x14">
        <oleObject progId="MSPhotoEd.3" shapeId="702465" r:id="rId4">
          <objectPr defaultSize="0" autoPict="0" altText="" r:id="rId5">
            <anchor moveWithCells="1">
              <from>
                <xdr:col>0</xdr:col>
                <xdr:colOff>114300</xdr:colOff>
                <xdr:row>0</xdr:row>
                <xdr:rowOff>0</xdr:rowOff>
              </from>
              <to>
                <xdr:col>1</xdr:col>
                <xdr:colOff>787400</xdr:colOff>
                <xdr:row>4</xdr:row>
                <xdr:rowOff>25400</xdr:rowOff>
              </to>
            </anchor>
          </objectPr>
        </oleObject>
      </mc:Choice>
      <mc:Fallback>
        <oleObject progId="MSPhotoEd.3" shapeId="702465" r:id="rId4"/>
      </mc:Fallback>
    </mc:AlternateContent>
    <mc:AlternateContent xmlns:mc="http://schemas.openxmlformats.org/markup-compatibility/2006">
      <mc:Choice Requires="x14">
        <oleObject progId="MSPhotoEd.3" shapeId="702466" r:id="rId6">
          <objectPr defaultSize="0" autoPict="0" altText="" r:id="rId5">
            <anchor moveWithCells="1">
              <from>
                <xdr:col>0</xdr:col>
                <xdr:colOff>114300</xdr:colOff>
                <xdr:row>224</xdr:row>
                <xdr:rowOff>0</xdr:rowOff>
              </from>
              <to>
                <xdr:col>1</xdr:col>
                <xdr:colOff>787400</xdr:colOff>
                <xdr:row>227</xdr:row>
                <xdr:rowOff>152400</xdr:rowOff>
              </to>
            </anchor>
          </objectPr>
        </oleObject>
      </mc:Choice>
      <mc:Fallback>
        <oleObject progId="MSPhotoEd.3" shapeId="702466" r:id="rId6"/>
      </mc:Fallback>
    </mc:AlternateContent>
    <mc:AlternateContent xmlns:mc="http://schemas.openxmlformats.org/markup-compatibility/2006">
      <mc:Choice Requires="x14">
        <oleObject progId="MSPhotoEd.3" shapeId="702467" r:id="rId7">
          <objectPr defaultSize="0" autoPict="0" altText="" r:id="rId5">
            <anchor moveWithCells="1">
              <from>
                <xdr:col>0</xdr:col>
                <xdr:colOff>114300</xdr:colOff>
                <xdr:row>279</xdr:row>
                <xdr:rowOff>0</xdr:rowOff>
              </from>
              <to>
                <xdr:col>1</xdr:col>
                <xdr:colOff>787400</xdr:colOff>
                <xdr:row>283</xdr:row>
                <xdr:rowOff>25400</xdr:rowOff>
              </to>
            </anchor>
          </objectPr>
        </oleObject>
      </mc:Choice>
      <mc:Fallback>
        <oleObject progId="MSPhotoEd.3" shapeId="702467" r:id="rId7"/>
      </mc:Fallback>
    </mc:AlternateContent>
  </oleObjec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0"/>
  <dimension ref="A1:IS388"/>
  <sheetViews>
    <sheetView view="pageBreakPreview" topLeftCell="B1" zoomScale="55" zoomScaleNormal="100" zoomScaleSheetLayoutView="55" workbookViewId="0">
      <pane ySplit="14" topLeftCell="A107" activePane="bottomLeft" state="frozen"/>
      <selection pane="bottomLeft" activeCell="I5" sqref="I5"/>
    </sheetView>
  </sheetViews>
  <sheetFormatPr baseColWidth="10" defaultColWidth="9" defaultRowHeight="16"/>
  <cols>
    <col min="1" max="1" width="3.6640625" hidden="1" customWidth="1"/>
    <col min="2" max="2" width="3.6640625" customWidth="1"/>
    <col min="3" max="3" width="29.6640625" customWidth="1"/>
    <col min="4" max="4" width="16.6640625" customWidth="1"/>
    <col min="5" max="5" width="5.6640625" style="1" customWidth="1"/>
    <col min="6" max="6" width="5.6640625" customWidth="1"/>
    <col min="7" max="7" width="0.83203125" customWidth="1"/>
    <col min="8" max="8" width="5.6640625" customWidth="1"/>
    <col min="9" max="9" width="59.6640625" customWidth="1"/>
  </cols>
  <sheetData>
    <row r="1" spans="1:253" ht="20">
      <c r="A1" s="915" t="s">
        <v>3823</v>
      </c>
      <c r="B1" s="915"/>
      <c r="C1" s="915"/>
      <c r="D1" s="915"/>
      <c r="E1" s="915"/>
      <c r="F1" s="915"/>
      <c r="G1" s="915"/>
      <c r="H1" s="915"/>
      <c r="I1" s="41"/>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c r="II1" s="42"/>
      <c r="IJ1" s="42"/>
      <c r="IK1" s="42"/>
      <c r="IL1" s="42"/>
      <c r="IM1" s="42"/>
      <c r="IN1" s="42"/>
      <c r="IO1" s="42"/>
      <c r="IP1" s="42"/>
      <c r="IQ1" s="42"/>
      <c r="IR1" s="42"/>
      <c r="IS1" s="42"/>
    </row>
    <row r="2" spans="1:253" ht="18">
      <c r="A2" s="3"/>
      <c r="B2" s="53" t="s">
        <v>1658</v>
      </c>
      <c r="C2" s="515"/>
      <c r="D2" s="5"/>
      <c r="E2" s="5"/>
      <c r="F2" s="5"/>
      <c r="G2" s="5"/>
      <c r="H2" s="6"/>
      <c r="I2" s="43"/>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row>
    <row r="3" spans="1:253">
      <c r="A3" s="7"/>
      <c r="B3" s="7" t="s">
        <v>327</v>
      </c>
      <c r="C3" s="563"/>
      <c r="D3" s="8"/>
      <c r="E3" s="8" t="str">
        <f>No_proyek</f>
        <v>RZ0458</v>
      </c>
      <c r="F3" s="11"/>
      <c r="G3" s="11"/>
      <c r="H3" s="12"/>
      <c r="I3" s="16"/>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c r="II3" s="42"/>
      <c r="IJ3" s="42"/>
      <c r="IK3" s="42"/>
      <c r="IL3" s="42"/>
      <c r="IM3" s="42"/>
      <c r="IN3" s="42"/>
      <c r="IO3" s="42"/>
      <c r="IP3" s="42"/>
      <c r="IQ3" s="42"/>
      <c r="IR3" s="42"/>
      <c r="IS3" s="42"/>
    </row>
    <row r="4" spans="1:253">
      <c r="A4" s="7"/>
      <c r="B4" s="7" t="s">
        <v>2174</v>
      </c>
      <c r="C4" s="563"/>
      <c r="D4" s="8"/>
      <c r="E4" s="8" t="str">
        <f>no_kontrak</f>
        <v>127/RK-RL-PI/PAP-LL/XII/2025</v>
      </c>
      <c r="F4" s="9"/>
      <c r="G4" s="9"/>
      <c r="H4" s="65"/>
      <c r="I4" s="16"/>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row>
    <row r="5" spans="1:253">
      <c r="A5" s="14"/>
      <c r="B5" s="14" t="s">
        <v>1508</v>
      </c>
      <c r="C5" s="564"/>
      <c r="D5" s="8"/>
      <c r="E5" s="8" t="str">
        <f>nip</f>
        <v>25LL017MPC</v>
      </c>
      <c r="F5" s="9"/>
      <c r="G5" s="9"/>
      <c r="H5" s="67"/>
      <c r="I5" s="17"/>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c r="II5" s="42"/>
      <c r="IJ5" s="42"/>
      <c r="IK5" s="42"/>
      <c r="IL5" s="42"/>
      <c r="IM5" s="42"/>
      <c r="IN5" s="42"/>
      <c r="IO5" s="42"/>
      <c r="IP5" s="42"/>
      <c r="IQ5" s="42"/>
      <c r="IR5" s="42"/>
      <c r="IS5" s="42"/>
    </row>
    <row r="6" spans="1:253">
      <c r="A6" s="7"/>
      <c r="B6" s="7" t="s">
        <v>2176</v>
      </c>
      <c r="C6" s="563"/>
      <c r="D6" s="8"/>
      <c r="E6" s="8" t="str">
        <f>nama_proyek</f>
        <v>PT Malindo Feedmill Tbk-Dry Pantry</v>
      </c>
      <c r="F6" s="17"/>
      <c r="G6" s="17"/>
      <c r="H6" s="18"/>
      <c r="I6" s="17"/>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42"/>
      <c r="IS6" s="42"/>
    </row>
    <row r="7" spans="1:253">
      <c r="A7" s="7"/>
      <c r="B7" s="7" t="s">
        <v>2178</v>
      </c>
      <c r="C7" s="563"/>
      <c r="D7" s="733"/>
      <c r="E7" s="733">
        <f>tgl</f>
        <v>46163</v>
      </c>
      <c r="F7" s="733"/>
      <c r="G7" s="23"/>
      <c r="H7" s="18"/>
      <c r="I7" s="17"/>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2"/>
      <c r="EH7" s="42"/>
      <c r="EI7" s="42"/>
      <c r="EJ7" s="42"/>
      <c r="EK7" s="42"/>
      <c r="EL7" s="42"/>
      <c r="EM7" s="42"/>
      <c r="EN7" s="42"/>
      <c r="EO7" s="42"/>
      <c r="EP7" s="42"/>
      <c r="EQ7" s="42"/>
      <c r="ER7" s="42"/>
      <c r="ES7" s="42"/>
      <c r="ET7" s="42"/>
      <c r="EU7" s="42"/>
      <c r="EV7" s="42"/>
      <c r="EW7" s="42"/>
      <c r="EX7" s="42"/>
      <c r="EY7" s="42"/>
      <c r="EZ7" s="42"/>
      <c r="FA7" s="42"/>
      <c r="FB7" s="42"/>
      <c r="FC7" s="42"/>
      <c r="FD7" s="42"/>
      <c r="FE7" s="42"/>
      <c r="FF7" s="42"/>
      <c r="FG7" s="42"/>
      <c r="FH7" s="42"/>
      <c r="FI7" s="42"/>
      <c r="FJ7" s="42"/>
      <c r="FK7" s="42"/>
      <c r="FL7" s="42"/>
      <c r="FM7" s="42"/>
      <c r="FN7" s="42"/>
      <c r="FO7" s="42"/>
      <c r="FP7" s="42"/>
      <c r="FQ7" s="42"/>
      <c r="FR7" s="42"/>
      <c r="FS7" s="42"/>
      <c r="FT7" s="42"/>
      <c r="FU7" s="42"/>
      <c r="FV7" s="42"/>
      <c r="FW7" s="42"/>
      <c r="FX7" s="42"/>
      <c r="FY7" s="42"/>
      <c r="FZ7" s="42"/>
      <c r="GA7" s="42"/>
      <c r="GB7" s="42"/>
      <c r="GC7" s="42"/>
      <c r="GD7" s="42"/>
      <c r="GE7" s="42"/>
      <c r="GF7" s="42"/>
      <c r="GG7" s="42"/>
      <c r="GH7" s="42"/>
      <c r="GI7" s="42"/>
      <c r="GJ7" s="42"/>
      <c r="GK7" s="42"/>
      <c r="GL7" s="42"/>
      <c r="GM7" s="42"/>
      <c r="GN7" s="42"/>
      <c r="GO7" s="42"/>
      <c r="GP7" s="42"/>
      <c r="GQ7" s="42"/>
      <c r="GR7" s="42"/>
      <c r="GS7" s="42"/>
      <c r="GT7" s="42"/>
      <c r="GU7" s="42"/>
      <c r="GV7" s="42"/>
      <c r="GW7" s="42"/>
      <c r="GX7" s="42"/>
      <c r="GY7" s="42"/>
      <c r="GZ7" s="42"/>
      <c r="HA7" s="42"/>
      <c r="HB7" s="42"/>
      <c r="HC7" s="42"/>
      <c r="HD7" s="42"/>
      <c r="HE7" s="42"/>
      <c r="HF7" s="42"/>
      <c r="HG7" s="42"/>
      <c r="HH7" s="42"/>
      <c r="HI7" s="42"/>
      <c r="HJ7" s="42"/>
      <c r="HK7" s="42"/>
      <c r="HL7" s="42"/>
      <c r="HM7" s="42"/>
      <c r="HN7" s="42"/>
      <c r="HO7" s="42"/>
      <c r="HP7" s="42"/>
      <c r="HQ7" s="42"/>
      <c r="HR7" s="42"/>
      <c r="HS7" s="42"/>
      <c r="HT7" s="42"/>
      <c r="HU7" s="42"/>
      <c r="HV7" s="42"/>
      <c r="HW7" s="42"/>
      <c r="HX7" s="42"/>
      <c r="HY7" s="42"/>
      <c r="HZ7" s="42"/>
      <c r="IA7" s="42"/>
      <c r="IB7" s="42"/>
      <c r="IC7" s="42"/>
      <c r="ID7" s="42"/>
      <c r="IE7" s="42"/>
      <c r="IF7" s="42"/>
      <c r="IG7" s="42"/>
      <c r="IH7" s="42"/>
      <c r="II7" s="42"/>
      <c r="IJ7" s="42"/>
      <c r="IK7" s="42"/>
      <c r="IL7" s="42"/>
      <c r="IM7" s="42"/>
      <c r="IN7" s="42"/>
      <c r="IO7" s="42"/>
      <c r="IP7" s="42"/>
      <c r="IQ7" s="42"/>
      <c r="IR7" s="42"/>
      <c r="IS7" s="42"/>
    </row>
    <row r="8" spans="1:253">
      <c r="A8" s="7"/>
      <c r="B8" s="7" t="s">
        <v>2179</v>
      </c>
      <c r="C8" s="563"/>
      <c r="D8" s="24"/>
      <c r="E8" s="24"/>
      <c r="F8" s="357"/>
      <c r="G8" s="357"/>
      <c r="H8" s="357"/>
      <c r="I8" s="17"/>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c r="HP8" s="42"/>
      <c r="HQ8" s="42"/>
      <c r="HR8" s="42"/>
      <c r="HS8" s="42"/>
      <c r="HT8" s="42"/>
      <c r="HU8" s="42"/>
      <c r="HV8" s="42"/>
      <c r="HW8" s="42"/>
      <c r="HX8" s="42"/>
      <c r="HY8" s="42"/>
      <c r="HZ8" s="42"/>
      <c r="IA8" s="42"/>
      <c r="IB8" s="42"/>
      <c r="IC8" s="42"/>
      <c r="ID8" s="42"/>
      <c r="IE8" s="42"/>
      <c r="IF8" s="42"/>
      <c r="IG8" s="42"/>
      <c r="IH8" s="42"/>
      <c r="II8" s="42"/>
      <c r="IJ8" s="42"/>
      <c r="IK8" s="42"/>
      <c r="IL8" s="42"/>
      <c r="IM8" s="42"/>
      <c r="IN8" s="42"/>
      <c r="IO8" s="42"/>
      <c r="IP8" s="42"/>
      <c r="IQ8" s="42"/>
      <c r="IR8" s="42"/>
      <c r="IS8" s="42"/>
    </row>
    <row r="9" spans="1:253">
      <c r="A9" s="28"/>
      <c r="B9" s="28" t="s">
        <v>2180</v>
      </c>
      <c r="C9" s="28"/>
      <c r="D9" s="8"/>
      <c r="E9" s="8" t="str">
        <f>Estimator</f>
        <v>Fahrudin</v>
      </c>
      <c r="F9" s="16"/>
      <c r="G9" s="17"/>
      <c r="H9" s="18"/>
      <c r="I9" s="17"/>
      <c r="J9" s="42"/>
      <c r="K9" s="42"/>
      <c r="L9" s="44"/>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2"/>
      <c r="DZ9" s="42"/>
      <c r="EA9" s="42"/>
      <c r="EB9" s="42"/>
      <c r="EC9" s="42"/>
      <c r="ED9" s="42"/>
      <c r="EE9" s="42"/>
      <c r="EF9" s="42"/>
      <c r="EG9" s="42"/>
      <c r="EH9" s="42"/>
      <c r="EI9" s="42"/>
      <c r="EJ9" s="42"/>
      <c r="EK9" s="42"/>
      <c r="EL9" s="42"/>
      <c r="EM9" s="42"/>
      <c r="EN9" s="42"/>
      <c r="EO9" s="42"/>
      <c r="EP9" s="42"/>
      <c r="EQ9" s="42"/>
      <c r="ER9" s="42"/>
      <c r="ES9" s="42"/>
      <c r="ET9" s="42"/>
      <c r="EU9" s="42"/>
      <c r="EV9" s="42"/>
      <c r="EW9" s="42"/>
      <c r="EX9" s="42"/>
      <c r="EY9" s="42"/>
      <c r="EZ9" s="42"/>
      <c r="FA9" s="42"/>
      <c r="FB9" s="42"/>
      <c r="FC9" s="42"/>
      <c r="FD9" s="42"/>
      <c r="FE9" s="42"/>
      <c r="FF9" s="42"/>
      <c r="FG9" s="42"/>
      <c r="FH9" s="42"/>
      <c r="FI9" s="42"/>
      <c r="FJ9" s="42"/>
      <c r="FK9" s="42"/>
      <c r="FL9" s="42"/>
      <c r="FM9" s="42"/>
      <c r="FN9" s="42"/>
      <c r="FO9" s="42"/>
      <c r="FP9" s="42"/>
      <c r="FQ9" s="42"/>
      <c r="FR9" s="42"/>
      <c r="FS9" s="42"/>
      <c r="FT9" s="42"/>
      <c r="FU9" s="42"/>
      <c r="FV9" s="42"/>
      <c r="FW9" s="42"/>
      <c r="FX9" s="42"/>
      <c r="FY9" s="42"/>
      <c r="FZ9" s="42"/>
      <c r="GA9" s="42"/>
      <c r="GB9" s="42"/>
      <c r="GC9" s="42"/>
      <c r="GD9" s="42"/>
      <c r="GE9" s="42"/>
      <c r="GF9" s="42"/>
      <c r="GG9" s="42"/>
      <c r="GH9" s="42"/>
      <c r="GI9" s="42"/>
      <c r="GJ9" s="42"/>
      <c r="GK9" s="42"/>
      <c r="GL9" s="42"/>
      <c r="GM9" s="42"/>
      <c r="GN9" s="42"/>
      <c r="GO9" s="42"/>
      <c r="GP9" s="42"/>
      <c r="GQ9" s="42"/>
      <c r="GR9" s="42"/>
      <c r="GS9" s="42"/>
      <c r="GT9" s="42"/>
      <c r="GU9" s="42"/>
      <c r="GV9" s="42"/>
      <c r="GW9" s="42"/>
      <c r="GX9" s="42"/>
      <c r="GY9" s="42"/>
      <c r="GZ9" s="42"/>
      <c r="HA9" s="42"/>
      <c r="HB9" s="42"/>
      <c r="HC9" s="42"/>
      <c r="HD9" s="42"/>
      <c r="HE9" s="42"/>
      <c r="HF9" s="42"/>
      <c r="HG9" s="42"/>
      <c r="HH9" s="42"/>
      <c r="HI9" s="42"/>
      <c r="HJ9" s="42"/>
      <c r="HK9" s="42"/>
      <c r="HL9" s="42"/>
      <c r="HM9" s="42"/>
      <c r="HN9" s="42"/>
      <c r="HO9" s="42"/>
      <c r="HP9" s="42"/>
      <c r="HQ9" s="42"/>
      <c r="HR9" s="42"/>
      <c r="HS9" s="42"/>
      <c r="HT9" s="42"/>
      <c r="HU9" s="42"/>
      <c r="HV9" s="42"/>
      <c r="HW9" s="42"/>
      <c r="HX9" s="42"/>
      <c r="HY9" s="42"/>
      <c r="HZ9" s="42"/>
      <c r="IA9" s="42"/>
      <c r="IB9" s="42"/>
      <c r="IC9" s="42"/>
      <c r="ID9" s="42"/>
      <c r="IE9" s="42"/>
      <c r="IF9" s="42"/>
      <c r="IG9" s="42"/>
      <c r="IH9" s="42"/>
      <c r="II9" s="42"/>
      <c r="IJ9" s="42"/>
      <c r="IK9" s="42"/>
      <c r="IL9" s="42"/>
      <c r="IM9" s="42"/>
      <c r="IN9" s="42"/>
      <c r="IO9" s="42"/>
      <c r="IP9" s="42"/>
      <c r="IQ9" s="42"/>
      <c r="IR9" s="42"/>
      <c r="IS9" s="42"/>
    </row>
    <row r="10" spans="1:253">
      <c r="A10" s="29"/>
      <c r="B10" s="29" t="s">
        <v>2182</v>
      </c>
      <c r="C10" s="565"/>
      <c r="D10" s="30"/>
      <c r="E10" s="30" t="str">
        <f>CONCATENATE("Kabinet"," ",bahan1," ",kabinet1," ",edgingkab1)</f>
        <v>Kabinet Ply HB_41130 Edg_Décor_1723_B</v>
      </c>
      <c r="F10" s="16"/>
      <c r="G10" s="17"/>
      <c r="H10" s="18"/>
      <c r="I10" s="17"/>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42"/>
      <c r="IS10" s="42"/>
    </row>
    <row r="11" spans="1:253">
      <c r="A11" s="31"/>
      <c r="B11" s="31"/>
      <c r="C11" s="66"/>
      <c r="D11" s="30"/>
      <c r="E11" s="30" t="str">
        <f>CONCATENATE("Pintu"," ",bahan5)</f>
        <v>Pintu Ply</v>
      </c>
      <c r="F11" s="16"/>
      <c r="G11" s="17"/>
      <c r="H11" s="32"/>
      <c r="I11" s="44"/>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c r="FJ11" s="42"/>
      <c r="FK11" s="42"/>
      <c r="FL11" s="42"/>
      <c r="FM11" s="42"/>
      <c r="FN11" s="42"/>
      <c r="FO11" s="42"/>
      <c r="FP11" s="42"/>
      <c r="FQ11" s="42"/>
      <c r="FR11" s="42"/>
      <c r="FS11" s="42"/>
      <c r="FT11" s="42"/>
      <c r="FU11" s="42"/>
      <c r="FV11" s="42"/>
      <c r="FW11" s="42"/>
      <c r="FX11" s="42"/>
      <c r="FY11" s="42"/>
      <c r="FZ11" s="42"/>
      <c r="GA11" s="42"/>
      <c r="GB11" s="42"/>
      <c r="GC11" s="42"/>
      <c r="GD11" s="42"/>
      <c r="GE11" s="42"/>
      <c r="GF11" s="42"/>
      <c r="GG11" s="42"/>
      <c r="GH11" s="42"/>
      <c r="GI11" s="42"/>
      <c r="GJ11" s="42"/>
      <c r="GK11" s="42"/>
      <c r="GL11" s="42"/>
      <c r="GM11" s="42"/>
      <c r="GN11" s="42"/>
      <c r="GO11" s="42"/>
      <c r="GP11" s="42"/>
      <c r="GQ11" s="42"/>
      <c r="GR11" s="42"/>
      <c r="GS11" s="42"/>
      <c r="GT11" s="42"/>
      <c r="GU11" s="42"/>
      <c r="GV11" s="42"/>
      <c r="GW11" s="42"/>
      <c r="GX11" s="42"/>
      <c r="GY11" s="42"/>
      <c r="GZ11" s="42"/>
      <c r="HA11" s="42"/>
      <c r="HB11" s="42"/>
      <c r="HC11" s="42"/>
      <c r="HD11" s="42"/>
      <c r="HE11" s="42"/>
      <c r="HF11" s="42"/>
      <c r="HG11" s="42"/>
      <c r="HH11" s="42"/>
      <c r="HI11" s="42"/>
      <c r="HJ11" s="42"/>
      <c r="HK11" s="42"/>
      <c r="HL11" s="42"/>
      <c r="HM11" s="42"/>
      <c r="HN11" s="42"/>
      <c r="HO11" s="42"/>
      <c r="HP11" s="42"/>
      <c r="HQ11" s="42"/>
      <c r="HR11" s="42"/>
      <c r="HS11" s="42"/>
      <c r="HT11" s="42"/>
      <c r="HU11" s="42"/>
      <c r="HV11" s="42"/>
      <c r="HW11" s="42"/>
      <c r="HX11" s="42"/>
      <c r="HY11" s="42"/>
      <c r="HZ11" s="42"/>
      <c r="IA11" s="42"/>
      <c r="IB11" s="42"/>
      <c r="IC11" s="42"/>
      <c r="ID11" s="42"/>
      <c r="IE11" s="42"/>
      <c r="IF11" s="42"/>
      <c r="IG11" s="42"/>
      <c r="IH11" s="42"/>
      <c r="II11" s="42"/>
      <c r="IJ11" s="42"/>
      <c r="IK11" s="42"/>
      <c r="IL11" s="42"/>
      <c r="IM11" s="42"/>
      <c r="IN11" s="42"/>
      <c r="IO11" s="42"/>
      <c r="IP11" s="42"/>
      <c r="IQ11" s="42"/>
      <c r="IR11" s="42"/>
      <c r="IS11" s="42"/>
    </row>
    <row r="12" spans="1:253">
      <c r="A12" s="33"/>
      <c r="B12" s="354"/>
      <c r="D12" s="1"/>
      <c r="E12" s="230"/>
      <c r="F12" s="1"/>
      <c r="H12" s="35"/>
    </row>
    <row r="13" spans="1:253">
      <c r="A13" s="36"/>
      <c r="B13" s="941" t="s">
        <v>2926</v>
      </c>
      <c r="C13" s="942"/>
      <c r="D13" s="942"/>
      <c r="E13" s="942"/>
      <c r="F13" s="942"/>
      <c r="G13" s="942"/>
      <c r="H13" s="129"/>
      <c r="I13" s="432"/>
    </row>
    <row r="14" spans="1:253">
      <c r="A14" s="36" t="s">
        <v>2135</v>
      </c>
      <c r="B14" s="781" t="s">
        <v>2133</v>
      </c>
      <c r="C14" s="941" t="s">
        <v>2164</v>
      </c>
      <c r="D14" s="780" t="s">
        <v>2136</v>
      </c>
      <c r="E14" s="843" t="s">
        <v>1766</v>
      </c>
      <c r="F14" s="843" t="s">
        <v>1756</v>
      </c>
      <c r="G14" s="843" t="s">
        <v>4016</v>
      </c>
      <c r="H14" s="850" t="s">
        <v>2220</v>
      </c>
      <c r="I14" s="396" t="s">
        <v>333</v>
      </c>
    </row>
    <row r="15" spans="1:253">
      <c r="A15" s="435"/>
      <c r="B15" s="36" t="s">
        <v>1787</v>
      </c>
      <c r="C15" s="847" t="s">
        <v>4373</v>
      </c>
      <c r="D15" s="847" t="s">
        <v>2837</v>
      </c>
      <c r="E15" s="847">
        <v>300</v>
      </c>
      <c r="F15" s="847">
        <v>902</v>
      </c>
      <c r="G15" s="847" t="s">
        <v>1658</v>
      </c>
      <c r="H15" s="925">
        <v>1</v>
      </c>
    </row>
    <row r="16" spans="1:253">
      <c r="A16" s="435"/>
      <c r="B16" s="36" t="s">
        <v>1787</v>
      </c>
      <c r="C16" s="846" t="s">
        <v>4373</v>
      </c>
      <c r="D16" s="846" t="s">
        <v>2837</v>
      </c>
      <c r="E16" s="847">
        <v>185</v>
      </c>
      <c r="F16" s="847">
        <v>902</v>
      </c>
      <c r="G16" s="847" t="s">
        <v>1658</v>
      </c>
      <c r="H16" s="925">
        <v>2</v>
      </c>
    </row>
    <row r="17" spans="1:8">
      <c r="A17" s="435"/>
      <c r="B17" s="36" t="s">
        <v>1787</v>
      </c>
      <c r="C17" s="846" t="s">
        <v>4373</v>
      </c>
      <c r="D17" s="847" t="s">
        <v>2854</v>
      </c>
      <c r="E17" s="847">
        <v>718</v>
      </c>
      <c r="F17" s="847">
        <v>600</v>
      </c>
      <c r="G17" s="847" t="s">
        <v>1658</v>
      </c>
      <c r="H17" s="925">
        <v>1</v>
      </c>
    </row>
    <row r="18" spans="1:8">
      <c r="A18" s="435"/>
      <c r="B18" s="36" t="s">
        <v>1787</v>
      </c>
      <c r="C18" s="846" t="s">
        <v>4373</v>
      </c>
      <c r="D18" s="846" t="s">
        <v>2854</v>
      </c>
      <c r="E18" s="847">
        <v>1200</v>
      </c>
      <c r="F18" s="847">
        <v>408</v>
      </c>
      <c r="G18" s="847" t="s">
        <v>1658</v>
      </c>
      <c r="H18" s="925">
        <v>1</v>
      </c>
    </row>
    <row r="19" spans="1:8">
      <c r="A19" s="435"/>
      <c r="B19" s="36" t="s">
        <v>1787</v>
      </c>
      <c r="C19" s="846" t="s">
        <v>4373</v>
      </c>
      <c r="D19" s="847" t="s">
        <v>2870</v>
      </c>
      <c r="E19" s="847">
        <v>1200</v>
      </c>
      <c r="F19" s="847">
        <v>190</v>
      </c>
      <c r="G19" s="847" t="s">
        <v>1658</v>
      </c>
      <c r="H19" s="925">
        <v>1</v>
      </c>
    </row>
    <row r="20" spans="1:8">
      <c r="A20" s="435"/>
      <c r="B20" s="36"/>
      <c r="C20" s="847"/>
      <c r="D20" s="844"/>
      <c r="E20" s="844"/>
      <c r="F20" s="844"/>
      <c r="G20" s="844"/>
      <c r="H20" s="925"/>
    </row>
    <row r="21" spans="1:8">
      <c r="A21" s="435"/>
      <c r="B21" s="36" t="s">
        <v>1787</v>
      </c>
      <c r="C21" s="847" t="s">
        <v>4714</v>
      </c>
      <c r="D21" s="847" t="s">
        <v>3065</v>
      </c>
      <c r="E21" s="847">
        <v>2430</v>
      </c>
      <c r="F21" s="847">
        <v>1220</v>
      </c>
      <c r="G21" s="847" t="s">
        <v>4716</v>
      </c>
      <c r="H21" s="925">
        <v>3</v>
      </c>
    </row>
    <row r="22" spans="1:8">
      <c r="A22" s="435"/>
      <c r="B22" s="36" t="s">
        <v>1787</v>
      </c>
      <c r="C22" s="846" t="s">
        <v>4714</v>
      </c>
      <c r="D22" s="846" t="s">
        <v>3065</v>
      </c>
      <c r="E22" s="846">
        <v>2430</v>
      </c>
      <c r="F22" s="846">
        <v>1220</v>
      </c>
      <c r="G22" s="851" t="s">
        <v>4715</v>
      </c>
      <c r="H22" s="925">
        <v>1</v>
      </c>
    </row>
    <row r="23" spans="1:8">
      <c r="A23" s="435"/>
      <c r="B23" s="36"/>
      <c r="C23" s="847"/>
      <c r="D23" s="844"/>
      <c r="E23" s="844"/>
      <c r="F23" s="844"/>
      <c r="G23" s="844"/>
      <c r="H23" s="925"/>
    </row>
    <row r="24" spans="1:8">
      <c r="A24" s="435"/>
      <c r="B24" s="36" t="s">
        <v>1787</v>
      </c>
      <c r="C24" s="847" t="s">
        <v>2185</v>
      </c>
      <c r="D24" s="847" t="s">
        <v>2185</v>
      </c>
      <c r="E24" s="847" t="s">
        <v>2185</v>
      </c>
      <c r="F24" s="847" t="s">
        <v>2185</v>
      </c>
      <c r="G24" s="847" t="s">
        <v>2185</v>
      </c>
      <c r="H24" s="925"/>
    </row>
    <row r="25" spans="1:8">
      <c r="A25" s="435"/>
      <c r="B25" s="36" t="s">
        <v>1787</v>
      </c>
      <c r="C25" s="846" t="s">
        <v>2185</v>
      </c>
      <c r="D25" s="847" t="s">
        <v>465</v>
      </c>
      <c r="E25" s="847" t="s">
        <v>2185</v>
      </c>
      <c r="F25" s="847" t="s">
        <v>2185</v>
      </c>
      <c r="G25" s="847" t="s">
        <v>2185</v>
      </c>
      <c r="H25" s="925">
        <v>0</v>
      </c>
    </row>
    <row r="26" spans="1:8">
      <c r="A26" s="435"/>
      <c r="B26" s="36" t="s">
        <v>1787</v>
      </c>
      <c r="C26" s="846" t="s">
        <v>2185</v>
      </c>
      <c r="D26" s="847" t="s">
        <v>467</v>
      </c>
      <c r="E26" s="847" t="s">
        <v>2185</v>
      </c>
      <c r="F26" s="847" t="s">
        <v>2185</v>
      </c>
      <c r="G26" s="847" t="s">
        <v>2185</v>
      </c>
      <c r="H26" s="925">
        <v>0</v>
      </c>
    </row>
    <row r="27" spans="1:8">
      <c r="A27" s="435"/>
      <c r="B27" s="36" t="s">
        <v>1787</v>
      </c>
      <c r="C27" s="846" t="s">
        <v>2185</v>
      </c>
      <c r="D27" s="847" t="s">
        <v>446</v>
      </c>
      <c r="E27" s="847" t="s">
        <v>2185</v>
      </c>
      <c r="F27" s="847" t="s">
        <v>2185</v>
      </c>
      <c r="G27" s="847" t="s">
        <v>2185</v>
      </c>
      <c r="H27" s="925">
        <v>0</v>
      </c>
    </row>
    <row r="28" spans="1:8">
      <c r="A28" s="435"/>
      <c r="B28" s="36" t="s">
        <v>1787</v>
      </c>
      <c r="C28" s="846" t="s">
        <v>2185</v>
      </c>
      <c r="D28" s="847" t="s">
        <v>433</v>
      </c>
      <c r="E28" s="847" t="s">
        <v>2185</v>
      </c>
      <c r="F28" s="847" t="s">
        <v>2185</v>
      </c>
      <c r="G28" s="847" t="s">
        <v>2185</v>
      </c>
      <c r="H28" s="925">
        <v>0</v>
      </c>
    </row>
    <row r="29" spans="1:8">
      <c r="A29" s="435"/>
      <c r="B29" s="36" t="s">
        <v>1787</v>
      </c>
      <c r="C29" s="846" t="s">
        <v>2185</v>
      </c>
      <c r="D29" s="847" t="s">
        <v>344</v>
      </c>
      <c r="E29" s="847" t="s">
        <v>2185</v>
      </c>
      <c r="F29" s="847" t="s">
        <v>2185</v>
      </c>
      <c r="G29" s="847" t="s">
        <v>2185</v>
      </c>
      <c r="H29" s="925">
        <v>0</v>
      </c>
    </row>
    <row r="30" spans="1:8">
      <c r="A30" s="435"/>
      <c r="B30" s="36" t="s">
        <v>1787</v>
      </c>
      <c r="C30" s="846" t="s">
        <v>2185</v>
      </c>
      <c r="D30" s="847" t="s">
        <v>487</v>
      </c>
      <c r="E30" s="847" t="s">
        <v>2185</v>
      </c>
      <c r="F30" s="847" t="s">
        <v>2185</v>
      </c>
      <c r="G30" s="847" t="s">
        <v>2185</v>
      </c>
      <c r="H30" s="925">
        <v>0</v>
      </c>
    </row>
    <row r="31" spans="1:8">
      <c r="A31" s="435"/>
      <c r="B31" s="36" t="s">
        <v>1787</v>
      </c>
      <c r="C31" s="846" t="s">
        <v>2185</v>
      </c>
      <c r="D31" s="847" t="s">
        <v>4297</v>
      </c>
      <c r="E31" s="847" t="s">
        <v>2185</v>
      </c>
      <c r="F31" s="847" t="s">
        <v>2185</v>
      </c>
      <c r="G31" s="847" t="s">
        <v>2185</v>
      </c>
      <c r="H31" s="925">
        <v>0</v>
      </c>
    </row>
    <row r="32" spans="1:8">
      <c r="A32" s="435"/>
      <c r="B32" s="36" t="s">
        <v>1787</v>
      </c>
      <c r="C32" s="846" t="s">
        <v>2185</v>
      </c>
      <c r="D32" s="847" t="s">
        <v>4300</v>
      </c>
      <c r="E32" s="847" t="s">
        <v>2185</v>
      </c>
      <c r="F32" s="847" t="s">
        <v>2185</v>
      </c>
      <c r="G32" s="847" t="s">
        <v>2185</v>
      </c>
      <c r="H32" s="925">
        <v>0</v>
      </c>
    </row>
    <row r="33" spans="1:8">
      <c r="A33" s="435"/>
      <c r="B33" s="36" t="s">
        <v>1787</v>
      </c>
      <c r="C33" s="846" t="s">
        <v>2185</v>
      </c>
      <c r="D33" s="847" t="s">
        <v>523</v>
      </c>
      <c r="E33" s="847" t="s">
        <v>2185</v>
      </c>
      <c r="F33" s="847" t="s">
        <v>2185</v>
      </c>
      <c r="G33" s="847" t="s">
        <v>2185</v>
      </c>
      <c r="H33" s="925">
        <v>0</v>
      </c>
    </row>
    <row r="34" spans="1:8">
      <c r="A34" s="435"/>
      <c r="B34" s="36" t="s">
        <v>1787</v>
      </c>
      <c r="C34" s="846" t="s">
        <v>2185</v>
      </c>
      <c r="D34" s="847" t="s">
        <v>525</v>
      </c>
      <c r="E34" s="847" t="s">
        <v>2185</v>
      </c>
      <c r="F34" s="847" t="s">
        <v>2185</v>
      </c>
      <c r="G34" s="847" t="s">
        <v>2185</v>
      </c>
      <c r="H34" s="925">
        <v>0</v>
      </c>
    </row>
    <row r="35" spans="1:8">
      <c r="A35" s="435"/>
      <c r="B35" s="36" t="s">
        <v>1787</v>
      </c>
      <c r="C35" s="846" t="s">
        <v>2185</v>
      </c>
      <c r="D35" s="847" t="s">
        <v>518</v>
      </c>
      <c r="E35" s="847" t="s">
        <v>2185</v>
      </c>
      <c r="F35" s="847" t="s">
        <v>2185</v>
      </c>
      <c r="G35" s="847" t="s">
        <v>2185</v>
      </c>
      <c r="H35" s="925">
        <v>0</v>
      </c>
    </row>
    <row r="36" spans="1:8">
      <c r="A36" s="435"/>
      <c r="B36" s="36" t="s">
        <v>1787</v>
      </c>
      <c r="C36" s="846" t="s">
        <v>2185</v>
      </c>
      <c r="D36" s="847" t="s">
        <v>538</v>
      </c>
      <c r="E36" s="847" t="s">
        <v>2185</v>
      </c>
      <c r="F36" s="847" t="s">
        <v>2185</v>
      </c>
      <c r="G36" s="847" t="s">
        <v>2185</v>
      </c>
      <c r="H36" s="925">
        <v>0</v>
      </c>
    </row>
    <row r="37" spans="1:8">
      <c r="A37" s="435"/>
      <c r="B37" s="36" t="s">
        <v>1787</v>
      </c>
      <c r="C37" s="846" t="s">
        <v>2185</v>
      </c>
      <c r="D37" s="847" t="s">
        <v>3049</v>
      </c>
      <c r="E37" s="847" t="s">
        <v>2185</v>
      </c>
      <c r="F37" s="847" t="s">
        <v>2185</v>
      </c>
      <c r="G37" s="847" t="s">
        <v>2185</v>
      </c>
      <c r="H37" s="925">
        <v>0</v>
      </c>
    </row>
    <row r="38" spans="1:8">
      <c r="A38" s="435"/>
      <c r="B38" s="36" t="s">
        <v>1787</v>
      </c>
      <c r="C38" s="846" t="s">
        <v>2185</v>
      </c>
      <c r="D38" s="847" t="s">
        <v>2971</v>
      </c>
      <c r="E38" s="847" t="s">
        <v>2185</v>
      </c>
      <c r="F38" s="847" t="s">
        <v>2185</v>
      </c>
      <c r="G38" s="847" t="s">
        <v>2185</v>
      </c>
      <c r="H38" s="925">
        <v>0</v>
      </c>
    </row>
    <row r="39" spans="1:8">
      <c r="A39" s="435"/>
      <c r="B39" s="36" t="s">
        <v>1787</v>
      </c>
      <c r="C39" s="846" t="s">
        <v>2185</v>
      </c>
      <c r="D39" s="847" t="s">
        <v>4112</v>
      </c>
      <c r="E39" s="847" t="s">
        <v>2185</v>
      </c>
      <c r="F39" s="847" t="s">
        <v>2185</v>
      </c>
      <c r="G39" s="847" t="s">
        <v>2185</v>
      </c>
      <c r="H39" s="925">
        <v>0</v>
      </c>
    </row>
    <row r="40" spans="1:8">
      <c r="A40" s="435"/>
      <c r="B40" s="36" t="s">
        <v>1787</v>
      </c>
      <c r="C40" s="846" t="s">
        <v>2185</v>
      </c>
      <c r="D40" s="847" t="s">
        <v>2522</v>
      </c>
      <c r="E40" s="847" t="s">
        <v>2185</v>
      </c>
      <c r="F40" s="847" t="s">
        <v>2185</v>
      </c>
      <c r="G40" s="847" t="s">
        <v>2185</v>
      </c>
      <c r="H40" s="925">
        <v>0</v>
      </c>
    </row>
    <row r="41" spans="1:8">
      <c r="A41" s="435"/>
      <c r="B41" s="36" t="s">
        <v>1787</v>
      </c>
      <c r="C41" s="846" t="s">
        <v>2185</v>
      </c>
      <c r="D41" s="847" t="s">
        <v>373</v>
      </c>
      <c r="E41" s="847" t="s">
        <v>2185</v>
      </c>
      <c r="F41" s="847" t="s">
        <v>2185</v>
      </c>
      <c r="G41" s="847" t="s">
        <v>2185</v>
      </c>
      <c r="H41" s="925">
        <v>0</v>
      </c>
    </row>
    <row r="42" spans="1:8">
      <c r="A42" s="435"/>
      <c r="B42" s="36" t="s">
        <v>1787</v>
      </c>
      <c r="C42" s="846" t="s">
        <v>2185</v>
      </c>
      <c r="D42" s="847" t="s">
        <v>375</v>
      </c>
      <c r="E42" s="847" t="s">
        <v>2185</v>
      </c>
      <c r="F42" s="847" t="s">
        <v>2185</v>
      </c>
      <c r="G42" s="847" t="s">
        <v>2185</v>
      </c>
      <c r="H42" s="925">
        <v>4</v>
      </c>
    </row>
    <row r="43" spans="1:8">
      <c r="A43" s="435"/>
      <c r="B43" s="36" t="s">
        <v>1787</v>
      </c>
      <c r="C43" s="846" t="s">
        <v>2185</v>
      </c>
      <c r="D43" s="847" t="s">
        <v>353</v>
      </c>
      <c r="E43" s="847" t="s">
        <v>2185</v>
      </c>
      <c r="F43" s="847" t="s">
        <v>2185</v>
      </c>
      <c r="G43" s="847" t="s">
        <v>2185</v>
      </c>
      <c r="H43" s="925">
        <v>0</v>
      </c>
    </row>
    <row r="44" spans="1:8">
      <c r="A44" s="435"/>
      <c r="B44" s="36" t="s">
        <v>1787</v>
      </c>
      <c r="C44" s="846" t="s">
        <v>2185</v>
      </c>
      <c r="D44" s="847" t="s">
        <v>3898</v>
      </c>
      <c r="E44" s="847" t="s">
        <v>2185</v>
      </c>
      <c r="F44" s="847" t="s">
        <v>2185</v>
      </c>
      <c r="G44" s="847" t="s">
        <v>2185</v>
      </c>
      <c r="H44" s="925">
        <v>0</v>
      </c>
    </row>
    <row r="45" spans="1:8">
      <c r="A45" s="435"/>
      <c r="B45" s="36" t="s">
        <v>1787</v>
      </c>
      <c r="C45" s="846" t="s">
        <v>2185</v>
      </c>
      <c r="D45" s="847" t="s">
        <v>3900</v>
      </c>
      <c r="E45" s="847" t="s">
        <v>2185</v>
      </c>
      <c r="F45" s="847" t="s">
        <v>2185</v>
      </c>
      <c r="G45" s="847" t="s">
        <v>2185</v>
      </c>
      <c r="H45" s="925">
        <v>0</v>
      </c>
    </row>
    <row r="46" spans="1:8">
      <c r="A46" s="435"/>
      <c r="B46" s="36" t="s">
        <v>1787</v>
      </c>
      <c r="C46" s="846" t="s">
        <v>2185</v>
      </c>
      <c r="D46" s="847" t="s">
        <v>4610</v>
      </c>
      <c r="E46" s="847" t="s">
        <v>2185</v>
      </c>
      <c r="F46" s="847" t="s">
        <v>2185</v>
      </c>
      <c r="G46" s="847" t="s">
        <v>2185</v>
      </c>
      <c r="H46" s="925">
        <v>0</v>
      </c>
    </row>
    <row r="47" spans="1:8">
      <c r="A47" s="435"/>
      <c r="B47" s="36" t="s">
        <v>1787</v>
      </c>
      <c r="C47" s="846" t="s">
        <v>2185</v>
      </c>
      <c r="D47" s="847" t="s">
        <v>515</v>
      </c>
      <c r="E47" s="847" t="s">
        <v>2185</v>
      </c>
      <c r="F47" s="847" t="s">
        <v>2185</v>
      </c>
      <c r="G47" s="847" t="s">
        <v>2185</v>
      </c>
      <c r="H47" s="925">
        <v>8</v>
      </c>
    </row>
    <row r="48" spans="1:8">
      <c r="A48" s="435"/>
      <c r="B48" s="36" t="s">
        <v>1787</v>
      </c>
      <c r="C48" s="846" t="s">
        <v>2185</v>
      </c>
      <c r="D48" s="847" t="s">
        <v>528</v>
      </c>
      <c r="E48" s="847" t="s">
        <v>2185</v>
      </c>
      <c r="F48" s="847" t="s">
        <v>2185</v>
      </c>
      <c r="G48" s="847" t="s">
        <v>2185</v>
      </c>
      <c r="H48" s="925">
        <v>0</v>
      </c>
    </row>
    <row r="49" spans="1:8">
      <c r="A49" s="435"/>
      <c r="B49" s="36"/>
      <c r="C49" s="847"/>
      <c r="D49" s="844"/>
      <c r="E49" s="844"/>
      <c r="F49" s="844"/>
      <c r="G49" s="844"/>
      <c r="H49" s="925"/>
    </row>
    <row r="50" spans="1:8">
      <c r="A50" s="435"/>
      <c r="B50" s="36" t="s">
        <v>3243</v>
      </c>
      <c r="C50" s="847" t="s">
        <v>4373</v>
      </c>
      <c r="D50" s="847" t="s">
        <v>2168</v>
      </c>
      <c r="E50" s="847">
        <v>600</v>
      </c>
      <c r="F50" s="847">
        <v>130</v>
      </c>
      <c r="G50" s="847" t="s">
        <v>1658</v>
      </c>
      <c r="H50" s="925">
        <v>1</v>
      </c>
    </row>
    <row r="51" spans="1:8">
      <c r="A51" s="435"/>
      <c r="B51" s="36" t="s">
        <v>3243</v>
      </c>
      <c r="C51" s="846" t="s">
        <v>4373</v>
      </c>
      <c r="D51" s="846" t="s">
        <v>2168</v>
      </c>
      <c r="E51" s="847">
        <v>2000</v>
      </c>
      <c r="F51" s="847">
        <v>209</v>
      </c>
      <c r="G51" s="847" t="s">
        <v>1658</v>
      </c>
      <c r="H51" s="925">
        <v>1</v>
      </c>
    </row>
    <row r="52" spans="1:8">
      <c r="A52" s="435"/>
      <c r="B52" s="36" t="s">
        <v>3243</v>
      </c>
      <c r="C52" s="846" t="s">
        <v>4373</v>
      </c>
      <c r="D52" s="846" t="s">
        <v>2168</v>
      </c>
      <c r="E52" s="847">
        <v>1490</v>
      </c>
      <c r="F52" s="847">
        <v>209</v>
      </c>
      <c r="G52" s="847" t="s">
        <v>1658</v>
      </c>
      <c r="H52" s="925">
        <v>1</v>
      </c>
    </row>
    <row r="53" spans="1:8">
      <c r="A53" s="435"/>
      <c r="B53" s="36" t="s">
        <v>3243</v>
      </c>
      <c r="C53" s="846" t="s">
        <v>4373</v>
      </c>
      <c r="D53" s="846" t="s">
        <v>2168</v>
      </c>
      <c r="E53" s="847">
        <v>1900</v>
      </c>
      <c r="F53" s="847">
        <v>327</v>
      </c>
      <c r="G53" s="847" t="s">
        <v>1658</v>
      </c>
      <c r="H53" s="925">
        <v>1</v>
      </c>
    </row>
    <row r="54" spans="1:8">
      <c r="A54" s="435"/>
      <c r="B54" s="36" t="s">
        <v>3243</v>
      </c>
      <c r="C54" s="846" t="s">
        <v>4373</v>
      </c>
      <c r="D54" s="846" t="s">
        <v>2168</v>
      </c>
      <c r="E54" s="847">
        <v>1390</v>
      </c>
      <c r="F54" s="847">
        <v>327</v>
      </c>
      <c r="G54" s="847" t="s">
        <v>1658</v>
      </c>
      <c r="H54" s="925">
        <v>1</v>
      </c>
    </row>
    <row r="55" spans="1:8">
      <c r="A55" s="435"/>
      <c r="B55" s="36" t="s">
        <v>3243</v>
      </c>
      <c r="C55" s="846" t="s">
        <v>4373</v>
      </c>
      <c r="D55" s="846" t="s">
        <v>2168</v>
      </c>
      <c r="E55" s="847">
        <v>2890</v>
      </c>
      <c r="F55" s="847">
        <v>130</v>
      </c>
      <c r="G55" s="847" t="s">
        <v>1658</v>
      </c>
      <c r="H55" s="925">
        <v>1</v>
      </c>
    </row>
    <row r="56" spans="1:8">
      <c r="A56" s="435"/>
      <c r="B56" s="36" t="s">
        <v>3243</v>
      </c>
      <c r="C56" s="846" t="s">
        <v>4373</v>
      </c>
      <c r="D56" s="847" t="s">
        <v>4703</v>
      </c>
      <c r="E56" s="847">
        <v>2000</v>
      </c>
      <c r="F56" s="847">
        <v>95</v>
      </c>
      <c r="G56" s="847" t="s">
        <v>1658</v>
      </c>
      <c r="H56" s="925">
        <v>1</v>
      </c>
    </row>
    <row r="57" spans="1:8">
      <c r="A57" s="435"/>
      <c r="B57" s="36" t="s">
        <v>3243</v>
      </c>
      <c r="C57" s="846" t="s">
        <v>4373</v>
      </c>
      <c r="D57" s="846" t="s">
        <v>4703</v>
      </c>
      <c r="E57" s="846">
        <v>2000</v>
      </c>
      <c r="F57" s="847">
        <v>840</v>
      </c>
      <c r="G57" s="847" t="s">
        <v>1658</v>
      </c>
      <c r="H57" s="925">
        <v>1</v>
      </c>
    </row>
    <row r="58" spans="1:8">
      <c r="A58" s="435"/>
      <c r="B58" s="36" t="s">
        <v>3243</v>
      </c>
      <c r="C58" s="846" t="s">
        <v>4373</v>
      </c>
      <c r="D58" s="846" t="s">
        <v>4703</v>
      </c>
      <c r="E58" s="847">
        <v>1490</v>
      </c>
      <c r="F58" s="847">
        <v>95</v>
      </c>
      <c r="G58" s="847" t="s">
        <v>1658</v>
      </c>
      <c r="H58" s="925">
        <v>1</v>
      </c>
    </row>
    <row r="59" spans="1:8">
      <c r="A59" s="435"/>
      <c r="B59" s="36" t="s">
        <v>3243</v>
      </c>
      <c r="C59" s="846" t="s">
        <v>4373</v>
      </c>
      <c r="D59" s="846" t="s">
        <v>4703</v>
      </c>
      <c r="E59" s="846">
        <v>1490</v>
      </c>
      <c r="F59" s="847">
        <v>840</v>
      </c>
      <c r="G59" s="847" t="s">
        <v>1658</v>
      </c>
      <c r="H59" s="925">
        <v>1</v>
      </c>
    </row>
    <row r="60" spans="1:8">
      <c r="A60" s="435"/>
      <c r="B60" s="36" t="s">
        <v>3243</v>
      </c>
      <c r="C60" s="846" t="s">
        <v>4373</v>
      </c>
      <c r="D60" s="847" t="s">
        <v>4704</v>
      </c>
      <c r="E60" s="847">
        <v>1333</v>
      </c>
      <c r="F60" s="847">
        <v>600</v>
      </c>
      <c r="G60" s="847" t="s">
        <v>1658</v>
      </c>
      <c r="H60" s="925">
        <v>1</v>
      </c>
    </row>
    <row r="61" spans="1:8">
      <c r="A61" s="435"/>
      <c r="B61" s="36" t="s">
        <v>3243</v>
      </c>
      <c r="C61" s="846" t="s">
        <v>4373</v>
      </c>
      <c r="D61" s="847" t="s">
        <v>2348</v>
      </c>
      <c r="E61" s="847">
        <v>1844</v>
      </c>
      <c r="F61" s="847">
        <v>750</v>
      </c>
      <c r="G61" s="847" t="s">
        <v>1658</v>
      </c>
      <c r="H61" s="925">
        <v>2</v>
      </c>
    </row>
    <row r="62" spans="1:8">
      <c r="A62" s="435"/>
      <c r="B62" s="36" t="s">
        <v>3243</v>
      </c>
      <c r="C62" s="846" t="s">
        <v>4373</v>
      </c>
      <c r="D62" s="847" t="s">
        <v>4705</v>
      </c>
      <c r="E62" s="847">
        <v>600</v>
      </c>
      <c r="F62" s="847">
        <v>960</v>
      </c>
      <c r="G62" s="847" t="s">
        <v>1658</v>
      </c>
      <c r="H62" s="925">
        <v>1</v>
      </c>
    </row>
    <row r="63" spans="1:8">
      <c r="A63" s="435"/>
      <c r="B63" s="36" t="s">
        <v>3243</v>
      </c>
      <c r="C63" s="846" t="s">
        <v>4373</v>
      </c>
      <c r="D63" s="846" t="s">
        <v>4705</v>
      </c>
      <c r="E63" s="847">
        <v>2880</v>
      </c>
      <c r="F63" s="847">
        <v>954</v>
      </c>
      <c r="G63" s="847" t="s">
        <v>1658</v>
      </c>
      <c r="H63" s="925">
        <v>1</v>
      </c>
    </row>
    <row r="64" spans="1:8">
      <c r="B64" s="36" t="s">
        <v>3243</v>
      </c>
      <c r="C64" s="846" t="s">
        <v>4373</v>
      </c>
      <c r="D64" s="847" t="s">
        <v>2349</v>
      </c>
      <c r="E64" s="847">
        <v>851</v>
      </c>
      <c r="F64" s="847">
        <v>490</v>
      </c>
      <c r="G64" s="847" t="s">
        <v>1658</v>
      </c>
      <c r="H64" s="925">
        <v>3</v>
      </c>
    </row>
    <row r="65" spans="2:8">
      <c r="B65" s="36" t="s">
        <v>3243</v>
      </c>
      <c r="C65" s="846" t="s">
        <v>4373</v>
      </c>
      <c r="D65" s="847" t="s">
        <v>3894</v>
      </c>
      <c r="E65" s="847">
        <v>360</v>
      </c>
      <c r="F65" s="847">
        <v>490</v>
      </c>
      <c r="G65" s="847" t="s">
        <v>1658</v>
      </c>
      <c r="H65" s="925">
        <v>1</v>
      </c>
    </row>
    <row r="66" spans="2:8">
      <c r="B66" s="36"/>
      <c r="C66" s="847"/>
      <c r="D66" s="844"/>
      <c r="E66" s="844"/>
      <c r="F66" s="844"/>
      <c r="G66" s="844"/>
      <c r="H66" s="925"/>
    </row>
    <row r="67" spans="2:8">
      <c r="B67" s="36" t="s">
        <v>3238</v>
      </c>
      <c r="C67" s="847" t="s">
        <v>4891</v>
      </c>
      <c r="D67" s="847" t="s">
        <v>1828</v>
      </c>
      <c r="E67" s="847">
        <v>296</v>
      </c>
      <c r="F67" s="847">
        <v>902</v>
      </c>
      <c r="G67" s="847" t="s">
        <v>1658</v>
      </c>
      <c r="H67" s="925">
        <v>1</v>
      </c>
    </row>
    <row r="68" spans="2:8">
      <c r="B68" s="36" t="s">
        <v>3238</v>
      </c>
      <c r="C68" s="846" t="s">
        <v>4891</v>
      </c>
      <c r="D68" s="846" t="s">
        <v>1828</v>
      </c>
      <c r="E68" s="847">
        <v>181</v>
      </c>
      <c r="F68" s="847">
        <v>902</v>
      </c>
      <c r="G68" s="847" t="s">
        <v>1658</v>
      </c>
      <c r="H68" s="925">
        <v>2</v>
      </c>
    </row>
    <row r="69" spans="2:8">
      <c r="B69" s="36" t="s">
        <v>3238</v>
      </c>
      <c r="C69" s="846" t="s">
        <v>4891</v>
      </c>
      <c r="D69" s="847" t="s">
        <v>1815</v>
      </c>
      <c r="E69" s="847">
        <v>714</v>
      </c>
      <c r="F69" s="847">
        <v>600</v>
      </c>
      <c r="G69" s="847" t="s">
        <v>1658</v>
      </c>
      <c r="H69" s="925">
        <v>1</v>
      </c>
    </row>
    <row r="70" spans="2:8">
      <c r="B70" s="36" t="s">
        <v>3238</v>
      </c>
      <c r="C70" s="846" t="s">
        <v>4891</v>
      </c>
      <c r="D70" s="846" t="s">
        <v>1815</v>
      </c>
      <c r="E70" s="847">
        <v>1196</v>
      </c>
      <c r="F70" s="847">
        <v>408</v>
      </c>
      <c r="G70" s="847" t="s">
        <v>1658</v>
      </c>
      <c r="H70" s="925">
        <v>1</v>
      </c>
    </row>
    <row r="71" spans="2:8">
      <c r="B71" s="36" t="s">
        <v>3238</v>
      </c>
      <c r="C71" s="846" t="s">
        <v>4891</v>
      </c>
      <c r="D71" s="846" t="s">
        <v>1815</v>
      </c>
      <c r="E71" s="846">
        <v>1196</v>
      </c>
      <c r="F71" s="847">
        <v>190</v>
      </c>
      <c r="G71" s="847" t="s">
        <v>1658</v>
      </c>
      <c r="H71" s="925">
        <v>1</v>
      </c>
    </row>
    <row r="72" spans="2:8">
      <c r="B72" s="36"/>
      <c r="C72" s="847"/>
      <c r="D72" s="844"/>
      <c r="E72" s="844"/>
      <c r="F72" s="844"/>
      <c r="G72" s="844"/>
      <c r="H72" s="925"/>
    </row>
    <row r="73" spans="2:8">
      <c r="B73" s="36" t="s">
        <v>3238</v>
      </c>
      <c r="C73" s="847" t="s">
        <v>4896</v>
      </c>
      <c r="D73" s="847" t="s">
        <v>1786</v>
      </c>
      <c r="E73" s="847">
        <v>563</v>
      </c>
      <c r="F73" s="847">
        <v>575</v>
      </c>
      <c r="G73" s="847" t="s">
        <v>4900</v>
      </c>
      <c r="H73" s="925">
        <v>1</v>
      </c>
    </row>
    <row r="74" spans="2:8">
      <c r="B74" s="36" t="s">
        <v>3238</v>
      </c>
      <c r="C74" s="846" t="s">
        <v>4896</v>
      </c>
      <c r="D74" s="846" t="s">
        <v>1786</v>
      </c>
      <c r="E74" s="847">
        <v>506</v>
      </c>
      <c r="F74" s="847">
        <v>50</v>
      </c>
      <c r="G74" s="847" t="s">
        <v>4901</v>
      </c>
      <c r="H74" s="925">
        <v>1</v>
      </c>
    </row>
    <row r="75" spans="2:8">
      <c r="B75" s="36"/>
      <c r="C75" s="847"/>
      <c r="D75" s="844"/>
      <c r="E75" s="844"/>
      <c r="F75" s="844"/>
      <c r="G75" s="844"/>
      <c r="H75" s="925"/>
    </row>
    <row r="76" spans="2:8">
      <c r="B76" s="36" t="s">
        <v>3238</v>
      </c>
      <c r="C76" s="847" t="s">
        <v>4698</v>
      </c>
      <c r="D76" s="847" t="s">
        <v>3074</v>
      </c>
      <c r="E76" s="847">
        <v>1025</v>
      </c>
      <c r="F76" s="847">
        <v>400</v>
      </c>
      <c r="G76" s="847" t="s">
        <v>1658</v>
      </c>
      <c r="H76" s="925">
        <v>1</v>
      </c>
    </row>
    <row r="77" spans="2:8">
      <c r="B77" s="36" t="s">
        <v>3238</v>
      </c>
      <c r="C77" s="846" t="s">
        <v>4698</v>
      </c>
      <c r="D77" s="846" t="s">
        <v>3074</v>
      </c>
      <c r="E77" s="847">
        <v>1721</v>
      </c>
      <c r="F77" s="847">
        <v>400</v>
      </c>
      <c r="G77" s="847" t="s">
        <v>1658</v>
      </c>
      <c r="H77" s="925">
        <v>1</v>
      </c>
    </row>
    <row r="78" spans="2:8">
      <c r="B78" s="36" t="s">
        <v>3238</v>
      </c>
      <c r="C78" s="846" t="s">
        <v>4698</v>
      </c>
      <c r="D78" s="846" t="s">
        <v>3074</v>
      </c>
      <c r="E78" s="847">
        <v>2440</v>
      </c>
      <c r="F78" s="847">
        <v>400</v>
      </c>
      <c r="G78" s="847" t="s">
        <v>1658</v>
      </c>
      <c r="H78" s="925">
        <v>1</v>
      </c>
    </row>
    <row r="79" spans="2:8">
      <c r="B79" s="36"/>
      <c r="C79" s="847"/>
      <c r="D79" s="844"/>
      <c r="E79" s="844"/>
      <c r="F79" s="844"/>
      <c r="G79" s="844"/>
      <c r="H79" s="925"/>
    </row>
    <row r="80" spans="2:8">
      <c r="B80" s="36" t="s">
        <v>3238</v>
      </c>
      <c r="C80" s="847" t="s">
        <v>4700</v>
      </c>
      <c r="D80" s="847" t="s">
        <v>1606</v>
      </c>
      <c r="E80" s="847">
        <v>1004</v>
      </c>
      <c r="F80" s="847">
        <v>550</v>
      </c>
      <c r="G80" s="847" t="s">
        <v>1658</v>
      </c>
      <c r="H80" s="925">
        <v>1</v>
      </c>
    </row>
    <row r="81" spans="2:8">
      <c r="B81" s="36" t="s">
        <v>3238</v>
      </c>
      <c r="C81" s="846" t="s">
        <v>4700</v>
      </c>
      <c r="D81" s="846" t="s">
        <v>1606</v>
      </c>
      <c r="E81" s="847">
        <v>1948</v>
      </c>
      <c r="F81" s="847">
        <v>210</v>
      </c>
      <c r="G81" s="847" t="s">
        <v>1658</v>
      </c>
      <c r="H81" s="925">
        <v>1</v>
      </c>
    </row>
    <row r="82" spans="2:8">
      <c r="B82" s="36" t="s">
        <v>3238</v>
      </c>
      <c r="C82" s="846" t="s">
        <v>4700</v>
      </c>
      <c r="D82" s="846" t="s">
        <v>1606</v>
      </c>
      <c r="E82" s="847">
        <v>1790</v>
      </c>
      <c r="F82" s="847">
        <v>210</v>
      </c>
      <c r="G82" s="847" t="s">
        <v>1658</v>
      </c>
      <c r="H82" s="925">
        <v>1</v>
      </c>
    </row>
    <row r="83" spans="2:8">
      <c r="B83" s="36" t="s">
        <v>3238</v>
      </c>
      <c r="C83" s="846" t="s">
        <v>4700</v>
      </c>
      <c r="D83" s="846" t="s">
        <v>1606</v>
      </c>
      <c r="E83" s="847">
        <v>2440</v>
      </c>
      <c r="F83" s="847">
        <v>310</v>
      </c>
      <c r="G83" s="847" t="s">
        <v>1658</v>
      </c>
      <c r="H83" s="925">
        <v>1</v>
      </c>
    </row>
    <row r="84" spans="2:8">
      <c r="B84" s="36"/>
      <c r="C84" s="847"/>
      <c r="D84" s="844"/>
      <c r="E84" s="844"/>
      <c r="F84" s="844"/>
      <c r="G84" s="844"/>
      <c r="H84" s="925"/>
    </row>
    <row r="85" spans="2:8">
      <c r="B85" s="36" t="s">
        <v>3238</v>
      </c>
      <c r="C85" s="847" t="s">
        <v>4744</v>
      </c>
      <c r="D85" s="847" t="s">
        <v>1850</v>
      </c>
      <c r="E85" s="847">
        <v>2000</v>
      </c>
      <c r="F85" s="847">
        <v>95</v>
      </c>
      <c r="G85" s="847" t="s">
        <v>4745</v>
      </c>
      <c r="H85" s="925">
        <v>2</v>
      </c>
    </row>
    <row r="86" spans="2:8">
      <c r="B86" s="36" t="s">
        <v>3238</v>
      </c>
      <c r="C86" s="846" t="s">
        <v>4744</v>
      </c>
      <c r="D86" s="846" t="s">
        <v>1850</v>
      </c>
      <c r="E86" s="846">
        <v>2000</v>
      </c>
      <c r="F86" s="847">
        <v>840</v>
      </c>
      <c r="G86" s="847" t="s">
        <v>4746</v>
      </c>
      <c r="H86" s="925">
        <v>2</v>
      </c>
    </row>
    <row r="87" spans="2:8">
      <c r="B87" s="36" t="s">
        <v>3238</v>
      </c>
      <c r="C87" s="846" t="s">
        <v>4744</v>
      </c>
      <c r="D87" s="846" t="s">
        <v>1850</v>
      </c>
      <c r="E87" s="847">
        <v>1490</v>
      </c>
      <c r="F87" s="847">
        <v>95</v>
      </c>
      <c r="G87" s="847" t="s">
        <v>4747</v>
      </c>
      <c r="H87" s="925">
        <v>2</v>
      </c>
    </row>
    <row r="88" spans="2:8">
      <c r="B88" s="36" t="s">
        <v>3238</v>
      </c>
      <c r="C88" s="846" t="s">
        <v>4744</v>
      </c>
      <c r="D88" s="846" t="s">
        <v>1850</v>
      </c>
      <c r="E88" s="846">
        <v>1490</v>
      </c>
      <c r="F88" s="847">
        <v>840</v>
      </c>
      <c r="G88" s="847" t="s">
        <v>4748</v>
      </c>
      <c r="H88" s="925">
        <v>2</v>
      </c>
    </row>
    <row r="89" spans="2:8">
      <c r="B89" s="36"/>
      <c r="C89" s="847"/>
      <c r="D89" s="844"/>
      <c r="E89" s="844"/>
      <c r="F89" s="844"/>
      <c r="G89" s="844"/>
      <c r="H89" s="925"/>
    </row>
    <row r="90" spans="2:8">
      <c r="B90" s="36" t="s">
        <v>3495</v>
      </c>
      <c r="C90" s="847" t="s">
        <v>4880</v>
      </c>
      <c r="D90" s="847" t="s">
        <v>3490</v>
      </c>
      <c r="E90" s="847">
        <v>295</v>
      </c>
      <c r="F90" s="847">
        <v>901</v>
      </c>
      <c r="G90" s="847" t="s">
        <v>4881</v>
      </c>
      <c r="H90" s="925">
        <v>1</v>
      </c>
    </row>
    <row r="91" spans="2:8">
      <c r="B91" s="36" t="s">
        <v>3495</v>
      </c>
      <c r="C91" s="846" t="s">
        <v>4880</v>
      </c>
      <c r="D91" s="846" t="s">
        <v>3490</v>
      </c>
      <c r="E91" s="847">
        <v>180</v>
      </c>
      <c r="F91" s="847">
        <v>901</v>
      </c>
      <c r="G91" s="847" t="s">
        <v>4882</v>
      </c>
      <c r="H91" s="925">
        <v>2</v>
      </c>
    </row>
    <row r="92" spans="2:8">
      <c r="B92" s="36" t="s">
        <v>3495</v>
      </c>
      <c r="C92" s="846" t="s">
        <v>4880</v>
      </c>
      <c r="D92" s="846" t="s">
        <v>3490</v>
      </c>
      <c r="E92" s="847">
        <v>713</v>
      </c>
      <c r="F92" s="847">
        <v>599</v>
      </c>
      <c r="G92" s="847" t="s">
        <v>4883</v>
      </c>
      <c r="H92" s="925">
        <v>1</v>
      </c>
    </row>
    <row r="93" spans="2:8">
      <c r="B93" s="36" t="s">
        <v>3495</v>
      </c>
      <c r="C93" s="846" t="s">
        <v>4880</v>
      </c>
      <c r="D93" s="846" t="s">
        <v>3490</v>
      </c>
      <c r="E93" s="847">
        <v>1195</v>
      </c>
      <c r="F93" s="847">
        <v>407</v>
      </c>
      <c r="G93" s="847" t="s">
        <v>4884</v>
      </c>
      <c r="H93" s="925">
        <v>1</v>
      </c>
    </row>
    <row r="94" spans="2:8">
      <c r="B94" s="36" t="s">
        <v>3495</v>
      </c>
      <c r="C94" s="846" t="s">
        <v>4880</v>
      </c>
      <c r="D94" s="846" t="s">
        <v>3490</v>
      </c>
      <c r="E94" s="846">
        <v>1195</v>
      </c>
      <c r="F94" s="847">
        <v>189</v>
      </c>
      <c r="G94" s="847" t="s">
        <v>4885</v>
      </c>
      <c r="H94" s="925">
        <v>1</v>
      </c>
    </row>
    <row r="95" spans="2:8">
      <c r="B95" s="36"/>
      <c r="C95" s="847"/>
      <c r="D95" s="844"/>
      <c r="E95" s="844"/>
      <c r="F95" s="844"/>
      <c r="G95" s="844"/>
      <c r="H95" s="925"/>
    </row>
    <row r="96" spans="2:8">
      <c r="B96" s="36" t="s">
        <v>1745</v>
      </c>
      <c r="C96" s="847" t="s">
        <v>4717</v>
      </c>
      <c r="D96" s="847" t="s">
        <v>2666</v>
      </c>
      <c r="E96" s="847">
        <v>2430</v>
      </c>
      <c r="F96" s="847">
        <v>50</v>
      </c>
      <c r="G96" s="847" t="s">
        <v>4718</v>
      </c>
      <c r="H96" s="925">
        <v>6</v>
      </c>
    </row>
    <row r="97" spans="2:8">
      <c r="B97" s="36" t="s">
        <v>1745</v>
      </c>
      <c r="C97" s="846" t="s">
        <v>4717</v>
      </c>
      <c r="D97" s="846" t="s">
        <v>2666</v>
      </c>
      <c r="E97" s="847">
        <v>1844</v>
      </c>
      <c r="F97" s="847">
        <v>750</v>
      </c>
      <c r="G97" s="847" t="s">
        <v>4719</v>
      </c>
      <c r="H97" s="925">
        <v>2</v>
      </c>
    </row>
    <row r="98" spans="2:8">
      <c r="B98" s="36"/>
      <c r="C98" s="847"/>
      <c r="D98" s="844"/>
      <c r="E98" s="844"/>
      <c r="F98" s="844"/>
      <c r="G98" s="844"/>
      <c r="H98" s="925"/>
    </row>
    <row r="99" spans="2:8">
      <c r="B99" s="36" t="s">
        <v>1745</v>
      </c>
      <c r="C99" s="847" t="s">
        <v>4886</v>
      </c>
      <c r="D99" s="847" t="s">
        <v>1799</v>
      </c>
      <c r="E99" s="847">
        <v>490</v>
      </c>
      <c r="F99" s="847">
        <v>230</v>
      </c>
      <c r="G99" s="847" t="s">
        <v>4887</v>
      </c>
      <c r="H99" s="925">
        <v>2</v>
      </c>
    </row>
    <row r="100" spans="2:8">
      <c r="B100" s="36" t="s">
        <v>1745</v>
      </c>
      <c r="C100" s="846" t="s">
        <v>4886</v>
      </c>
      <c r="D100" s="846" t="s">
        <v>1799</v>
      </c>
      <c r="E100" s="846">
        <v>490</v>
      </c>
      <c r="F100" s="847">
        <v>135</v>
      </c>
      <c r="G100" s="847" t="s">
        <v>4888</v>
      </c>
      <c r="H100" s="925">
        <v>4</v>
      </c>
    </row>
    <row r="101" spans="2:8">
      <c r="B101" s="36" t="s">
        <v>1745</v>
      </c>
      <c r="C101" s="846" t="s">
        <v>4886</v>
      </c>
      <c r="D101" s="847" t="s">
        <v>1800</v>
      </c>
      <c r="E101" s="847">
        <v>825</v>
      </c>
      <c r="F101" s="847">
        <v>213</v>
      </c>
      <c r="G101" s="847" t="s">
        <v>4889</v>
      </c>
      <c r="H101" s="925">
        <v>2</v>
      </c>
    </row>
    <row r="102" spans="2:8">
      <c r="B102" s="36" t="s">
        <v>1745</v>
      </c>
      <c r="C102" s="846" t="s">
        <v>4886</v>
      </c>
      <c r="D102" s="846" t="s">
        <v>1800</v>
      </c>
      <c r="E102" s="846">
        <v>825</v>
      </c>
      <c r="F102" s="847">
        <v>118</v>
      </c>
      <c r="G102" s="847" t="s">
        <v>4890</v>
      </c>
      <c r="H102" s="925">
        <v>4</v>
      </c>
    </row>
    <row r="103" spans="2:8">
      <c r="B103" s="36"/>
      <c r="C103" s="847"/>
      <c r="D103" s="844"/>
      <c r="E103" s="844"/>
      <c r="F103" s="844"/>
      <c r="G103" s="844"/>
      <c r="H103" s="925"/>
    </row>
    <row r="104" spans="2:8">
      <c r="B104" s="36" t="s">
        <v>1745</v>
      </c>
      <c r="C104" s="847" t="s">
        <v>4720</v>
      </c>
      <c r="D104" s="847" t="s">
        <v>3861</v>
      </c>
      <c r="E104" s="847">
        <v>2430</v>
      </c>
      <c r="F104" s="847">
        <v>954</v>
      </c>
      <c r="G104" s="847" t="s">
        <v>4721</v>
      </c>
      <c r="H104" s="925">
        <v>3</v>
      </c>
    </row>
    <row r="105" spans="2:8">
      <c r="B105" s="36" t="s">
        <v>1745</v>
      </c>
      <c r="C105" s="846" t="s">
        <v>4720</v>
      </c>
      <c r="D105" s="846" t="s">
        <v>3861</v>
      </c>
      <c r="E105" s="846">
        <v>2430</v>
      </c>
      <c r="F105" s="847">
        <v>960</v>
      </c>
      <c r="G105" s="847" t="s">
        <v>4722</v>
      </c>
      <c r="H105" s="925">
        <v>1</v>
      </c>
    </row>
    <row r="106" spans="2:8">
      <c r="B106" s="36"/>
      <c r="C106" s="847"/>
      <c r="D106" s="844"/>
      <c r="E106" s="844"/>
      <c r="F106" s="844"/>
      <c r="G106" s="844"/>
      <c r="H106" s="925"/>
    </row>
    <row r="107" spans="2:8">
      <c r="B107" s="36" t="s">
        <v>1745</v>
      </c>
      <c r="C107" s="847" t="s">
        <v>4627</v>
      </c>
      <c r="D107" s="847" t="s">
        <v>1842</v>
      </c>
      <c r="E107" s="847">
        <v>2430</v>
      </c>
      <c r="F107" s="847">
        <v>60</v>
      </c>
      <c r="G107" s="847" t="s">
        <v>4724</v>
      </c>
      <c r="H107" s="925">
        <v>3</v>
      </c>
    </row>
    <row r="108" spans="2:8">
      <c r="B108" s="36" t="s">
        <v>1745</v>
      </c>
      <c r="C108" s="846" t="s">
        <v>4627</v>
      </c>
      <c r="D108" s="846" t="s">
        <v>1842</v>
      </c>
      <c r="E108" s="846">
        <v>2430</v>
      </c>
      <c r="F108" s="846">
        <v>60</v>
      </c>
      <c r="G108" s="851" t="s">
        <v>4723</v>
      </c>
      <c r="H108" s="925">
        <v>1</v>
      </c>
    </row>
    <row r="109" spans="2:8">
      <c r="B109" s="36" t="s">
        <v>1745</v>
      </c>
      <c r="C109" s="846" t="s">
        <v>4627</v>
      </c>
      <c r="D109" s="846" t="s">
        <v>1842</v>
      </c>
      <c r="E109" s="846">
        <v>2430</v>
      </c>
      <c r="F109" s="847">
        <v>55</v>
      </c>
      <c r="G109" s="847" t="s">
        <v>4726</v>
      </c>
      <c r="H109" s="925">
        <v>6</v>
      </c>
    </row>
    <row r="110" spans="2:8">
      <c r="B110" s="36" t="s">
        <v>1745</v>
      </c>
      <c r="C110" s="846" t="s">
        <v>4627</v>
      </c>
      <c r="D110" s="846" t="s">
        <v>1842</v>
      </c>
      <c r="E110" s="846">
        <v>2430</v>
      </c>
      <c r="F110" s="846">
        <v>55</v>
      </c>
      <c r="G110" s="851" t="s">
        <v>4725</v>
      </c>
      <c r="H110" s="925">
        <v>3</v>
      </c>
    </row>
    <row r="111" spans="2:8">
      <c r="B111" s="36"/>
      <c r="C111" s="847"/>
      <c r="D111" s="844"/>
      <c r="E111" s="844"/>
      <c r="F111" s="844"/>
      <c r="G111" s="844"/>
      <c r="H111" s="925"/>
    </row>
    <row r="112" spans="2:8">
      <c r="B112" s="36" t="s">
        <v>1745</v>
      </c>
      <c r="C112" s="847" t="s">
        <v>4727</v>
      </c>
      <c r="D112" s="847" t="s">
        <v>1833</v>
      </c>
      <c r="E112" s="847">
        <v>2430</v>
      </c>
      <c r="F112" s="847">
        <v>100</v>
      </c>
      <c r="G112" s="847" t="s">
        <v>4728</v>
      </c>
      <c r="H112" s="925">
        <v>2</v>
      </c>
    </row>
    <row r="113" spans="2:8">
      <c r="B113" s="36" t="s">
        <v>1745</v>
      </c>
      <c r="C113" s="846" t="s">
        <v>4727</v>
      </c>
      <c r="D113" s="846" t="s">
        <v>1833</v>
      </c>
      <c r="E113" s="846">
        <v>2430</v>
      </c>
      <c r="F113" s="846">
        <v>100</v>
      </c>
      <c r="G113" s="851" t="s">
        <v>4729</v>
      </c>
      <c r="H113" s="925">
        <v>2</v>
      </c>
    </row>
    <row r="114" spans="2:8">
      <c r="B114" s="36" t="s">
        <v>1745</v>
      </c>
      <c r="C114" s="846" t="s">
        <v>4727</v>
      </c>
      <c r="D114" s="846" t="s">
        <v>1833</v>
      </c>
      <c r="E114" s="846">
        <v>2430</v>
      </c>
      <c r="F114" s="847">
        <v>81</v>
      </c>
      <c r="G114" s="847" t="s">
        <v>4730</v>
      </c>
      <c r="H114" s="925">
        <v>3</v>
      </c>
    </row>
    <row r="115" spans="2:8">
      <c r="B115" s="36" t="s">
        <v>1745</v>
      </c>
      <c r="C115" s="846" t="s">
        <v>4727</v>
      </c>
      <c r="D115" s="846" t="s">
        <v>1833</v>
      </c>
      <c r="E115" s="846">
        <v>2430</v>
      </c>
      <c r="F115" s="847">
        <v>24</v>
      </c>
      <c r="G115" s="847" t="s">
        <v>4732</v>
      </c>
      <c r="H115" s="925">
        <v>8</v>
      </c>
    </row>
    <row r="116" spans="2:8">
      <c r="B116" s="36" t="s">
        <v>1745</v>
      </c>
      <c r="C116" s="846" t="s">
        <v>4727</v>
      </c>
      <c r="D116" s="846" t="s">
        <v>1833</v>
      </c>
      <c r="E116" s="846">
        <v>2430</v>
      </c>
      <c r="F116" s="846">
        <v>24</v>
      </c>
      <c r="G116" s="851" t="s">
        <v>4731</v>
      </c>
      <c r="H116" s="925">
        <v>4</v>
      </c>
    </row>
    <row r="117" spans="2:8">
      <c r="B117" s="36" t="s">
        <v>1745</v>
      </c>
      <c r="C117" s="846" t="s">
        <v>4727</v>
      </c>
      <c r="D117" s="846" t="s">
        <v>1833</v>
      </c>
      <c r="E117" s="847">
        <v>2000</v>
      </c>
      <c r="F117" s="847">
        <v>95</v>
      </c>
      <c r="G117" s="847" t="s">
        <v>4733</v>
      </c>
      <c r="H117" s="925">
        <v>2</v>
      </c>
    </row>
    <row r="118" spans="2:8">
      <c r="B118" s="36" t="s">
        <v>1745</v>
      </c>
      <c r="C118" s="846" t="s">
        <v>4727</v>
      </c>
      <c r="D118" s="846" t="s">
        <v>1833</v>
      </c>
      <c r="E118" s="846">
        <v>2000</v>
      </c>
      <c r="F118" s="847">
        <v>840</v>
      </c>
      <c r="G118" s="847" t="s">
        <v>4734</v>
      </c>
      <c r="H118" s="925">
        <v>2</v>
      </c>
    </row>
    <row r="119" spans="2:8">
      <c r="B119" s="36" t="s">
        <v>1745</v>
      </c>
      <c r="C119" s="846" t="s">
        <v>4727</v>
      </c>
      <c r="D119" s="846" t="s">
        <v>1833</v>
      </c>
      <c r="E119" s="847">
        <v>1490</v>
      </c>
      <c r="F119" s="847">
        <v>95</v>
      </c>
      <c r="G119" s="847" t="s">
        <v>4735</v>
      </c>
      <c r="H119" s="925">
        <v>2</v>
      </c>
    </row>
    <row r="120" spans="2:8">
      <c r="B120" s="36" t="s">
        <v>1745</v>
      </c>
      <c r="C120" s="846" t="s">
        <v>4727</v>
      </c>
      <c r="D120" s="846" t="s">
        <v>1833</v>
      </c>
      <c r="E120" s="846">
        <v>1490</v>
      </c>
      <c r="F120" s="847">
        <v>840</v>
      </c>
      <c r="G120" s="847" t="s">
        <v>4736</v>
      </c>
      <c r="H120" s="925">
        <v>2</v>
      </c>
    </row>
    <row r="121" spans="2:8">
      <c r="B121" s="36" t="s">
        <v>1745</v>
      </c>
      <c r="C121" s="846" t="s">
        <v>4727</v>
      </c>
      <c r="D121" s="846" t="s">
        <v>1833</v>
      </c>
      <c r="E121" s="847">
        <v>1026</v>
      </c>
      <c r="F121" s="847">
        <v>581</v>
      </c>
      <c r="G121" s="847" t="s">
        <v>4737</v>
      </c>
      <c r="H121" s="925">
        <v>1</v>
      </c>
    </row>
    <row r="122" spans="2:8">
      <c r="B122" s="36"/>
      <c r="C122" s="847"/>
      <c r="D122" s="844"/>
      <c r="E122" s="844"/>
      <c r="F122" s="844"/>
      <c r="G122" s="844"/>
      <c r="H122" s="925"/>
    </row>
    <row r="123" spans="2:8">
      <c r="B123" s="36" t="s">
        <v>1745</v>
      </c>
      <c r="C123" s="847" t="s">
        <v>4738</v>
      </c>
      <c r="D123" s="847" t="s">
        <v>3097</v>
      </c>
      <c r="E123" s="847">
        <v>600</v>
      </c>
      <c r="F123" s="847">
        <v>130</v>
      </c>
      <c r="G123" s="847" t="s">
        <v>1658</v>
      </c>
      <c r="H123" s="925">
        <v>1</v>
      </c>
    </row>
    <row r="124" spans="2:8">
      <c r="B124" s="36" t="s">
        <v>1745</v>
      </c>
      <c r="C124" s="846" t="s">
        <v>4738</v>
      </c>
      <c r="D124" s="846" t="s">
        <v>3097</v>
      </c>
      <c r="E124" s="847">
        <v>900</v>
      </c>
      <c r="F124" s="847">
        <v>130</v>
      </c>
      <c r="G124" s="847" t="s">
        <v>1658</v>
      </c>
      <c r="H124" s="925">
        <v>1</v>
      </c>
    </row>
    <row r="125" spans="2:8">
      <c r="B125" s="36" t="s">
        <v>1745</v>
      </c>
      <c r="C125" s="846" t="s">
        <v>4738</v>
      </c>
      <c r="D125" s="846" t="s">
        <v>3097</v>
      </c>
      <c r="E125" s="847">
        <v>1990</v>
      </c>
      <c r="F125" s="847">
        <v>130</v>
      </c>
      <c r="G125" s="847" t="s">
        <v>1658</v>
      </c>
      <c r="H125" s="925">
        <v>1</v>
      </c>
    </row>
    <row r="126" spans="2:8">
      <c r="B126" s="36"/>
      <c r="C126" s="847"/>
      <c r="D126" s="844"/>
      <c r="E126" s="844"/>
      <c r="F126" s="844"/>
      <c r="G126" s="844"/>
      <c r="H126" s="925"/>
    </row>
    <row r="127" spans="2:8">
      <c r="B127" s="36" t="s">
        <v>1745</v>
      </c>
      <c r="C127" s="847" t="s">
        <v>4892</v>
      </c>
      <c r="D127" s="847" t="s">
        <v>1769</v>
      </c>
      <c r="E127" s="847">
        <v>732</v>
      </c>
      <c r="F127" s="847">
        <v>560</v>
      </c>
      <c r="G127" s="847" t="s">
        <v>4893</v>
      </c>
      <c r="H127" s="925">
        <v>2</v>
      </c>
    </row>
    <row r="128" spans="2:8">
      <c r="B128" s="36" t="s">
        <v>1745</v>
      </c>
      <c r="C128" s="846" t="s">
        <v>4892</v>
      </c>
      <c r="D128" s="846" t="s">
        <v>1769</v>
      </c>
      <c r="E128" s="847">
        <v>2404</v>
      </c>
      <c r="F128" s="847">
        <v>600</v>
      </c>
      <c r="G128" s="847" t="s">
        <v>4894</v>
      </c>
      <c r="H128" s="925">
        <v>1</v>
      </c>
    </row>
    <row r="129" spans="2:8">
      <c r="B129" s="36" t="s">
        <v>1745</v>
      </c>
      <c r="C129" s="846" t="s">
        <v>4892</v>
      </c>
      <c r="D129" s="847" t="s">
        <v>2817</v>
      </c>
      <c r="E129" s="847">
        <v>867</v>
      </c>
      <c r="F129" s="847">
        <v>560</v>
      </c>
      <c r="G129" s="847" t="s">
        <v>4895</v>
      </c>
      <c r="H129" s="925">
        <v>1</v>
      </c>
    </row>
    <row r="130" spans="2:8">
      <c r="B130" s="36"/>
      <c r="C130" s="847"/>
      <c r="D130" s="844"/>
      <c r="E130" s="844"/>
      <c r="F130" s="844"/>
      <c r="G130" s="844"/>
      <c r="H130" s="925"/>
    </row>
    <row r="131" spans="2:8">
      <c r="B131" s="36" t="s">
        <v>1745</v>
      </c>
      <c r="C131" s="847" t="s">
        <v>4896</v>
      </c>
      <c r="D131" s="847" t="s">
        <v>1776</v>
      </c>
      <c r="E131" s="847">
        <v>564</v>
      </c>
      <c r="F131" s="847">
        <v>550</v>
      </c>
      <c r="G131" s="847" t="s">
        <v>4897</v>
      </c>
      <c r="H131" s="925">
        <v>1</v>
      </c>
    </row>
    <row r="132" spans="2:8">
      <c r="B132" s="36" t="s">
        <v>1745</v>
      </c>
      <c r="C132" s="846" t="s">
        <v>4896</v>
      </c>
      <c r="D132" s="847" t="s">
        <v>1790</v>
      </c>
      <c r="E132" s="847">
        <v>564</v>
      </c>
      <c r="F132" s="847">
        <v>582</v>
      </c>
      <c r="G132" s="847" t="s">
        <v>4898</v>
      </c>
      <c r="H132" s="925">
        <v>1</v>
      </c>
    </row>
    <row r="133" spans="2:8">
      <c r="B133" s="36" t="s">
        <v>1745</v>
      </c>
      <c r="C133" s="846" t="s">
        <v>4896</v>
      </c>
      <c r="D133" s="846" t="s">
        <v>1790</v>
      </c>
      <c r="E133" s="846">
        <v>564</v>
      </c>
      <c r="F133" s="847">
        <v>526</v>
      </c>
      <c r="G133" s="847" t="s">
        <v>4899</v>
      </c>
      <c r="H133" s="925">
        <v>1</v>
      </c>
    </row>
    <row r="134" spans="2:8">
      <c r="B134" s="36" t="s">
        <v>1745</v>
      </c>
      <c r="C134" s="846" t="s">
        <v>4896</v>
      </c>
      <c r="D134" s="847" t="s">
        <v>1831</v>
      </c>
      <c r="E134" s="847">
        <v>65</v>
      </c>
      <c r="F134" s="847">
        <v>370</v>
      </c>
      <c r="G134" s="847" t="s">
        <v>4902</v>
      </c>
      <c r="H134" s="925">
        <v>1</v>
      </c>
    </row>
    <row r="135" spans="2:8">
      <c r="B135" s="36" t="s">
        <v>1745</v>
      </c>
      <c r="C135" s="846" t="s">
        <v>4896</v>
      </c>
      <c r="D135" s="847" t="s">
        <v>1804</v>
      </c>
      <c r="E135" s="847">
        <v>360</v>
      </c>
      <c r="F135" s="847">
        <v>490</v>
      </c>
      <c r="G135" s="847" t="s">
        <v>4903</v>
      </c>
      <c r="H135" s="925">
        <v>1</v>
      </c>
    </row>
    <row r="136" spans="2:8">
      <c r="B136" s="36"/>
      <c r="C136" s="847"/>
      <c r="D136" s="844"/>
      <c r="E136" s="844"/>
      <c r="F136" s="844"/>
      <c r="G136" s="844"/>
      <c r="H136" s="925"/>
    </row>
    <row r="137" spans="2:8">
      <c r="B137" s="36" t="s">
        <v>1745</v>
      </c>
      <c r="C137" s="847" t="s">
        <v>4904</v>
      </c>
      <c r="D137" s="847" t="s">
        <v>1781</v>
      </c>
      <c r="E137" s="847">
        <v>867</v>
      </c>
      <c r="F137" s="847">
        <v>80</v>
      </c>
      <c r="G137" s="847" t="s">
        <v>4905</v>
      </c>
      <c r="H137" s="925">
        <v>2</v>
      </c>
    </row>
    <row r="138" spans="2:8">
      <c r="B138" s="36" t="s">
        <v>1745</v>
      </c>
      <c r="C138" s="846" t="s">
        <v>4904</v>
      </c>
      <c r="D138" s="847" t="s">
        <v>1775</v>
      </c>
      <c r="E138" s="847">
        <v>564</v>
      </c>
      <c r="F138" s="847">
        <v>600</v>
      </c>
      <c r="G138" s="847" t="s">
        <v>4906</v>
      </c>
      <c r="H138" s="925">
        <v>1</v>
      </c>
    </row>
    <row r="139" spans="2:8">
      <c r="B139" s="36" t="s">
        <v>1745</v>
      </c>
      <c r="C139" s="846" t="s">
        <v>4904</v>
      </c>
      <c r="D139" s="846" t="s">
        <v>1775</v>
      </c>
      <c r="E139" s="846">
        <v>564</v>
      </c>
      <c r="F139" s="847">
        <v>550</v>
      </c>
      <c r="G139" s="847" t="s">
        <v>4907</v>
      </c>
      <c r="H139" s="925">
        <v>1</v>
      </c>
    </row>
    <row r="140" spans="2:8">
      <c r="B140" s="36"/>
      <c r="C140" s="847"/>
      <c r="D140" s="844"/>
      <c r="E140" s="844"/>
      <c r="F140" s="844"/>
      <c r="G140" s="844"/>
      <c r="H140" s="925"/>
    </row>
    <row r="141" spans="2:8">
      <c r="B141" s="36" t="s">
        <v>1745</v>
      </c>
      <c r="C141" s="847" t="s">
        <v>4628</v>
      </c>
      <c r="D141" s="847" t="s">
        <v>1844</v>
      </c>
      <c r="E141" s="847">
        <v>172</v>
      </c>
      <c r="F141" s="847">
        <v>100</v>
      </c>
      <c r="G141" s="847" t="s">
        <v>1658</v>
      </c>
      <c r="H141" s="925">
        <v>8</v>
      </c>
    </row>
    <row r="142" spans="2:8">
      <c r="B142" s="36" t="s">
        <v>1745</v>
      </c>
      <c r="C142" s="846" t="s">
        <v>4628</v>
      </c>
      <c r="D142" s="846" t="s">
        <v>1844</v>
      </c>
      <c r="E142" s="847">
        <v>290</v>
      </c>
      <c r="F142" s="847">
        <v>100</v>
      </c>
      <c r="G142" s="847" t="s">
        <v>1658</v>
      </c>
      <c r="H142" s="925">
        <v>8</v>
      </c>
    </row>
    <row r="143" spans="2:8">
      <c r="B143" s="36"/>
      <c r="C143" s="847"/>
      <c r="D143" s="844"/>
      <c r="E143" s="844"/>
      <c r="F143" s="844"/>
      <c r="G143" s="844"/>
      <c r="H143" s="925"/>
    </row>
    <row r="144" spans="2:8">
      <c r="B144" s="36" t="s">
        <v>1745</v>
      </c>
      <c r="C144" s="847" t="s">
        <v>4699</v>
      </c>
      <c r="D144" s="847" t="s">
        <v>3059</v>
      </c>
      <c r="E144" s="847">
        <v>2430</v>
      </c>
      <c r="F144" s="847">
        <v>50</v>
      </c>
      <c r="G144" s="847" t="s">
        <v>1658</v>
      </c>
      <c r="H144" s="925">
        <v>4</v>
      </c>
    </row>
    <row r="145" spans="2:8">
      <c r="B145" s="36" t="s">
        <v>1745</v>
      </c>
      <c r="C145" s="846" t="s">
        <v>4699</v>
      </c>
      <c r="D145" s="846" t="s">
        <v>3059</v>
      </c>
      <c r="E145" s="847">
        <v>602</v>
      </c>
      <c r="F145" s="847">
        <v>50</v>
      </c>
      <c r="G145" s="847" t="s">
        <v>1658</v>
      </c>
      <c r="H145" s="925">
        <v>2</v>
      </c>
    </row>
    <row r="146" spans="2:8">
      <c r="B146" s="36" t="s">
        <v>1745</v>
      </c>
      <c r="C146" s="846" t="s">
        <v>4699</v>
      </c>
      <c r="D146" s="846" t="s">
        <v>3059</v>
      </c>
      <c r="E146" s="847">
        <v>1908</v>
      </c>
      <c r="F146" s="847">
        <v>70</v>
      </c>
      <c r="G146" s="847" t="s">
        <v>1658</v>
      </c>
      <c r="H146" s="925">
        <v>1</v>
      </c>
    </row>
    <row r="147" spans="2:8">
      <c r="B147" s="36" t="s">
        <v>1745</v>
      </c>
      <c r="C147" s="846" t="s">
        <v>4699</v>
      </c>
      <c r="D147" s="847" t="s">
        <v>1770</v>
      </c>
      <c r="E147" s="847">
        <v>2404</v>
      </c>
      <c r="F147" s="847">
        <v>600</v>
      </c>
      <c r="G147" s="847" t="s">
        <v>4908</v>
      </c>
      <c r="H147" s="925">
        <v>1</v>
      </c>
    </row>
    <row r="148" spans="2:8">
      <c r="B148" s="36" t="s">
        <v>1745</v>
      </c>
      <c r="C148" s="846" t="s">
        <v>4699</v>
      </c>
      <c r="D148" s="847" t="s">
        <v>1793</v>
      </c>
      <c r="E148" s="847">
        <v>1149</v>
      </c>
      <c r="F148" s="847">
        <v>582</v>
      </c>
      <c r="G148" s="847" t="s">
        <v>4909</v>
      </c>
      <c r="H148" s="925">
        <v>1</v>
      </c>
    </row>
    <row r="149" spans="2:8">
      <c r="B149" s="36"/>
      <c r="C149" s="847"/>
      <c r="D149" s="844"/>
      <c r="E149" s="844"/>
      <c r="F149" s="844"/>
      <c r="G149" s="844"/>
      <c r="H149" s="925"/>
    </row>
    <row r="150" spans="2:8">
      <c r="B150" s="36" t="s">
        <v>1745</v>
      </c>
      <c r="C150" s="847" t="s">
        <v>4700</v>
      </c>
      <c r="D150" s="847" t="s">
        <v>1617</v>
      </c>
      <c r="E150" s="847">
        <v>2430</v>
      </c>
      <c r="F150" s="847">
        <v>30</v>
      </c>
      <c r="G150" s="847" t="s">
        <v>1658</v>
      </c>
      <c r="H150" s="925">
        <v>4</v>
      </c>
    </row>
    <row r="151" spans="2:8">
      <c r="B151" s="36" t="s">
        <v>1745</v>
      </c>
      <c r="C151" s="846" t="s">
        <v>4700</v>
      </c>
      <c r="D151" s="846" t="s">
        <v>1617</v>
      </c>
      <c r="E151" s="846">
        <v>2430</v>
      </c>
      <c r="F151" s="847">
        <v>70</v>
      </c>
      <c r="G151" s="847" t="s">
        <v>1658</v>
      </c>
      <c r="H151" s="925">
        <v>10</v>
      </c>
    </row>
    <row r="152" spans="2:8">
      <c r="B152" s="36" t="s">
        <v>1745</v>
      </c>
      <c r="C152" s="846" t="s">
        <v>4700</v>
      </c>
      <c r="D152" s="846" t="s">
        <v>1617</v>
      </c>
      <c r="E152" s="847">
        <v>2420</v>
      </c>
      <c r="F152" s="847">
        <v>30</v>
      </c>
      <c r="G152" s="847" t="s">
        <v>1658</v>
      </c>
      <c r="H152" s="925">
        <v>1</v>
      </c>
    </row>
    <row r="153" spans="2:8">
      <c r="B153" s="36" t="s">
        <v>1745</v>
      </c>
      <c r="C153" s="846" t="s">
        <v>4700</v>
      </c>
      <c r="D153" s="847" t="s">
        <v>1838</v>
      </c>
      <c r="E153" s="847">
        <v>2000</v>
      </c>
      <c r="F153" s="847">
        <v>209</v>
      </c>
      <c r="G153" s="847" t="s">
        <v>1658</v>
      </c>
      <c r="H153" s="925">
        <v>1</v>
      </c>
    </row>
    <row r="154" spans="2:8">
      <c r="B154" s="36" t="s">
        <v>1745</v>
      </c>
      <c r="C154" s="846" t="s">
        <v>4700</v>
      </c>
      <c r="D154" s="846" t="s">
        <v>1838</v>
      </c>
      <c r="E154" s="847">
        <v>1490</v>
      </c>
      <c r="F154" s="847">
        <v>209</v>
      </c>
      <c r="G154" s="847" t="s">
        <v>1658</v>
      </c>
      <c r="H154" s="925">
        <v>1</v>
      </c>
    </row>
    <row r="155" spans="2:8">
      <c r="B155" s="36" t="s">
        <v>1745</v>
      </c>
      <c r="C155" s="846" t="s">
        <v>4700</v>
      </c>
      <c r="D155" s="846" t="s">
        <v>1838</v>
      </c>
      <c r="E155" s="847">
        <v>1900</v>
      </c>
      <c r="F155" s="847">
        <v>327</v>
      </c>
      <c r="G155" s="847" t="s">
        <v>1658</v>
      </c>
      <c r="H155" s="925">
        <v>1</v>
      </c>
    </row>
    <row r="156" spans="2:8">
      <c r="B156" s="36" t="s">
        <v>1745</v>
      </c>
      <c r="C156" s="846" t="s">
        <v>4700</v>
      </c>
      <c r="D156" s="846" t="s">
        <v>1838</v>
      </c>
      <c r="E156" s="847">
        <v>1390</v>
      </c>
      <c r="F156" s="847">
        <v>327</v>
      </c>
      <c r="G156" s="847" t="s">
        <v>1658</v>
      </c>
      <c r="H156" s="925">
        <v>1</v>
      </c>
    </row>
    <row r="157" spans="2:8">
      <c r="B157" s="36" t="s">
        <v>1745</v>
      </c>
      <c r="C157" s="846" t="s">
        <v>4700</v>
      </c>
      <c r="D157" s="847" t="s">
        <v>2535</v>
      </c>
      <c r="E157" s="847">
        <v>2430</v>
      </c>
      <c r="F157" s="847">
        <v>100</v>
      </c>
      <c r="G157" s="847" t="s">
        <v>1658</v>
      </c>
      <c r="H157" s="925">
        <v>7</v>
      </c>
    </row>
    <row r="158" spans="2:8">
      <c r="B158" s="36"/>
      <c r="C158" s="847"/>
      <c r="D158" s="844"/>
      <c r="E158" s="844"/>
      <c r="F158" s="844"/>
      <c r="G158" s="844"/>
      <c r="H158" s="925"/>
    </row>
    <row r="159" spans="2:8">
      <c r="B159" s="36" t="s">
        <v>1745</v>
      </c>
      <c r="C159" s="847" t="s">
        <v>4701</v>
      </c>
      <c r="D159" s="847" t="s">
        <v>3825</v>
      </c>
      <c r="E159" s="847">
        <v>1740</v>
      </c>
      <c r="F159" s="847">
        <v>705</v>
      </c>
      <c r="G159" s="847" t="s">
        <v>1658</v>
      </c>
      <c r="H159" s="925">
        <v>2</v>
      </c>
    </row>
    <row r="160" spans="2:8">
      <c r="B160" s="36" t="s">
        <v>1745</v>
      </c>
      <c r="C160" s="846" t="s">
        <v>4701</v>
      </c>
      <c r="D160" s="847" t="s">
        <v>1791</v>
      </c>
      <c r="E160" s="847">
        <v>154</v>
      </c>
      <c r="F160" s="847">
        <v>579</v>
      </c>
      <c r="G160" s="847" t="s">
        <v>1658</v>
      </c>
      <c r="H160" s="925">
        <v>3</v>
      </c>
    </row>
    <row r="161" spans="2:8">
      <c r="B161" s="36"/>
      <c r="C161" s="847"/>
      <c r="D161" s="844"/>
      <c r="E161" s="844"/>
      <c r="F161" s="844"/>
      <c r="G161" s="844"/>
      <c r="H161" s="925"/>
    </row>
    <row r="162" spans="2:8">
      <c r="B162" s="36" t="s">
        <v>1745</v>
      </c>
      <c r="C162" s="847" t="s">
        <v>4739</v>
      </c>
      <c r="D162" s="847" t="s">
        <v>1607</v>
      </c>
      <c r="E162" s="847">
        <v>1650</v>
      </c>
      <c r="F162" s="847">
        <v>730</v>
      </c>
      <c r="G162" s="847" t="s">
        <v>1658</v>
      </c>
      <c r="H162" s="925">
        <v>2</v>
      </c>
    </row>
    <row r="163" spans="2:8">
      <c r="B163" s="36" t="s">
        <v>1745</v>
      </c>
      <c r="C163" s="846" t="s">
        <v>4739</v>
      </c>
      <c r="D163" s="846" t="s">
        <v>1607</v>
      </c>
      <c r="E163" s="847">
        <v>1840</v>
      </c>
      <c r="F163" s="847">
        <v>730</v>
      </c>
      <c r="G163" s="847" t="s">
        <v>1658</v>
      </c>
      <c r="H163" s="925">
        <v>2</v>
      </c>
    </row>
    <row r="164" spans="2:8">
      <c r="B164" s="36" t="s">
        <v>1745</v>
      </c>
      <c r="C164" s="846" t="s">
        <v>4739</v>
      </c>
      <c r="D164" s="846" t="s">
        <v>1607</v>
      </c>
      <c r="E164" s="847">
        <v>860</v>
      </c>
      <c r="F164" s="847">
        <v>585</v>
      </c>
      <c r="G164" s="847" t="s">
        <v>1658</v>
      </c>
      <c r="H164" s="925">
        <v>1</v>
      </c>
    </row>
    <row r="165" spans="2:8">
      <c r="B165" s="36"/>
      <c r="C165" s="847"/>
      <c r="D165" s="844"/>
      <c r="E165" s="844"/>
      <c r="F165" s="844"/>
      <c r="G165" s="844"/>
      <c r="H165" s="925"/>
    </row>
    <row r="166" spans="2:8">
      <c r="B166" s="36" t="s">
        <v>1745</v>
      </c>
      <c r="C166" s="847" t="s">
        <v>4740</v>
      </c>
      <c r="D166" s="847" t="s">
        <v>1608</v>
      </c>
      <c r="E166" s="847">
        <v>2000</v>
      </c>
      <c r="F166" s="847">
        <v>1004</v>
      </c>
      <c r="G166" s="847" t="s">
        <v>1658</v>
      </c>
      <c r="H166" s="925">
        <v>1</v>
      </c>
    </row>
    <row r="167" spans="2:8">
      <c r="B167" s="36"/>
      <c r="C167" s="847"/>
      <c r="D167" s="844"/>
      <c r="E167" s="844"/>
      <c r="F167" s="844"/>
      <c r="G167" s="844"/>
      <c r="H167" s="925"/>
    </row>
    <row r="168" spans="2:8">
      <c r="B168" s="36" t="s">
        <v>1745</v>
      </c>
      <c r="C168" s="847" t="s">
        <v>4702</v>
      </c>
      <c r="D168" s="847" t="s">
        <v>2467</v>
      </c>
      <c r="E168" s="847">
        <v>760</v>
      </c>
      <c r="F168" s="847">
        <v>40</v>
      </c>
      <c r="G168" s="847" t="s">
        <v>1658</v>
      </c>
      <c r="H168" s="925">
        <v>1</v>
      </c>
    </row>
    <row r="169" spans="2:8">
      <c r="B169" s="36" t="s">
        <v>1745</v>
      </c>
      <c r="C169" s="846" t="s">
        <v>4702</v>
      </c>
      <c r="D169" s="846" t="s">
        <v>2467</v>
      </c>
      <c r="E169" s="847">
        <v>1210</v>
      </c>
      <c r="F169" s="847">
        <v>40</v>
      </c>
      <c r="G169" s="847" t="s">
        <v>1658</v>
      </c>
      <c r="H169" s="925">
        <v>1</v>
      </c>
    </row>
    <row r="170" spans="2:8">
      <c r="B170" s="36" t="s">
        <v>1745</v>
      </c>
      <c r="C170" s="846" t="s">
        <v>4702</v>
      </c>
      <c r="D170" s="846" t="s">
        <v>2467</v>
      </c>
      <c r="E170" s="847">
        <v>500</v>
      </c>
      <c r="F170" s="847">
        <v>40</v>
      </c>
      <c r="G170" s="847" t="s">
        <v>1658</v>
      </c>
      <c r="H170" s="925">
        <v>1</v>
      </c>
    </row>
    <row r="171" spans="2:8">
      <c r="B171" s="36"/>
      <c r="C171" s="847"/>
      <c r="D171" s="844"/>
      <c r="E171" s="844"/>
      <c r="F171" s="844"/>
      <c r="G171" s="844"/>
      <c r="H171" s="925"/>
    </row>
    <row r="172" spans="2:8">
      <c r="B172" s="36" t="s">
        <v>1745</v>
      </c>
      <c r="C172" s="847" t="s">
        <v>4623</v>
      </c>
      <c r="D172" s="847" t="s">
        <v>1615</v>
      </c>
      <c r="E172" s="847">
        <v>2370</v>
      </c>
      <c r="F172" s="847">
        <v>588</v>
      </c>
      <c r="G172" s="847" t="s">
        <v>4741</v>
      </c>
      <c r="H172" s="925">
        <v>1</v>
      </c>
    </row>
    <row r="173" spans="2:8">
      <c r="B173" s="36" t="s">
        <v>1745</v>
      </c>
      <c r="C173" s="846" t="s">
        <v>4623</v>
      </c>
      <c r="D173" s="846" t="s">
        <v>1615</v>
      </c>
      <c r="E173" s="847">
        <v>1318</v>
      </c>
      <c r="F173" s="847">
        <v>588</v>
      </c>
      <c r="G173" s="847" t="s">
        <v>4742</v>
      </c>
      <c r="H173" s="925">
        <v>1</v>
      </c>
    </row>
    <row r="174" spans="2:8">
      <c r="B174" s="36" t="s">
        <v>1745</v>
      </c>
      <c r="C174" s="846" t="s">
        <v>4623</v>
      </c>
      <c r="D174" s="846" t="s">
        <v>1615</v>
      </c>
      <c r="E174" s="847">
        <v>1852</v>
      </c>
      <c r="F174" s="847">
        <v>688</v>
      </c>
      <c r="G174" s="847" t="s">
        <v>4743</v>
      </c>
      <c r="H174" s="925">
        <v>1</v>
      </c>
    </row>
    <row r="175" spans="2:8">
      <c r="B175" s="36"/>
      <c r="C175" s="847"/>
      <c r="D175" s="844"/>
      <c r="E175" s="844"/>
      <c r="F175" s="844"/>
      <c r="G175" s="844"/>
      <c r="H175" s="925"/>
    </row>
    <row r="176" spans="2:8">
      <c r="B176" s="36" t="s">
        <v>1745</v>
      </c>
      <c r="C176" s="847" t="s">
        <v>4910</v>
      </c>
      <c r="D176" s="847" t="s">
        <v>1783</v>
      </c>
      <c r="E176" s="847">
        <v>710</v>
      </c>
      <c r="F176" s="847">
        <v>883</v>
      </c>
      <c r="G176" s="847" t="s">
        <v>4911</v>
      </c>
      <c r="H176" s="925">
        <v>1</v>
      </c>
    </row>
    <row r="177" spans="2:8">
      <c r="B177" s="36" t="s">
        <v>1745</v>
      </c>
      <c r="C177" s="846" t="s">
        <v>4910</v>
      </c>
      <c r="D177" s="846" t="s">
        <v>1783</v>
      </c>
      <c r="E177" s="847">
        <v>2343</v>
      </c>
      <c r="F177" s="847">
        <v>581</v>
      </c>
      <c r="G177" s="847" t="s">
        <v>4912</v>
      </c>
      <c r="H177" s="925">
        <v>1</v>
      </c>
    </row>
    <row r="178" spans="2:8">
      <c r="B178" s="36" t="s">
        <v>1745</v>
      </c>
      <c r="C178" s="846" t="s">
        <v>4910</v>
      </c>
      <c r="D178" s="846" t="s">
        <v>1783</v>
      </c>
      <c r="E178" s="847">
        <v>683</v>
      </c>
      <c r="F178" s="847">
        <v>581</v>
      </c>
      <c r="G178" s="847" t="s">
        <v>4913</v>
      </c>
      <c r="H178" s="925">
        <v>1</v>
      </c>
    </row>
    <row r="179" spans="2:8">
      <c r="B179" s="36" t="s">
        <v>1745</v>
      </c>
      <c r="C179" s="846" t="s">
        <v>4910</v>
      </c>
      <c r="D179" s="847" t="s">
        <v>1803</v>
      </c>
      <c r="E179" s="847">
        <v>837</v>
      </c>
      <c r="F179" s="847">
        <v>488</v>
      </c>
      <c r="G179" s="847" t="s">
        <v>4914</v>
      </c>
      <c r="H179" s="925">
        <v>1</v>
      </c>
    </row>
    <row r="180" spans="2:8">
      <c r="B180" s="36" t="s">
        <v>1745</v>
      </c>
      <c r="C180" s="846" t="s">
        <v>4910</v>
      </c>
      <c r="D180" s="846" t="s">
        <v>1803</v>
      </c>
      <c r="E180" s="846">
        <v>837</v>
      </c>
      <c r="F180" s="846">
        <v>488</v>
      </c>
      <c r="G180" s="851" t="s">
        <v>4915</v>
      </c>
      <c r="H180" s="925">
        <v>2</v>
      </c>
    </row>
    <row r="181" spans="2:8">
      <c r="B181" s="36"/>
      <c r="C181" s="847"/>
      <c r="D181" s="844"/>
      <c r="E181" s="844"/>
      <c r="F181" s="844"/>
      <c r="G181" s="844"/>
      <c r="H181" s="925"/>
    </row>
    <row r="182" spans="2:8">
      <c r="B182" s="36" t="s">
        <v>3551</v>
      </c>
      <c r="C182" s="847" t="s">
        <v>4373</v>
      </c>
      <c r="D182" s="847" t="s">
        <v>2859</v>
      </c>
      <c r="E182" s="847">
        <v>904</v>
      </c>
      <c r="F182" s="847">
        <v>560</v>
      </c>
      <c r="G182" s="847" t="s">
        <v>1658</v>
      </c>
      <c r="H182" s="925">
        <v>1</v>
      </c>
    </row>
    <row r="183" spans="2:8">
      <c r="B183" s="36" t="s">
        <v>3551</v>
      </c>
      <c r="C183" s="846" t="s">
        <v>4373</v>
      </c>
      <c r="D183" s="847" t="s">
        <v>2858</v>
      </c>
      <c r="E183" s="847">
        <v>602</v>
      </c>
      <c r="F183" s="847">
        <v>600</v>
      </c>
      <c r="G183" s="847" t="s">
        <v>1658</v>
      </c>
      <c r="H183" s="925">
        <v>1</v>
      </c>
    </row>
    <row r="184" spans="2:8">
      <c r="B184" s="36"/>
      <c r="C184" s="847"/>
      <c r="D184" s="844"/>
      <c r="E184" s="844"/>
      <c r="F184" s="844"/>
      <c r="G184" s="844"/>
      <c r="H184" s="925"/>
    </row>
    <row r="185" spans="2:8">
      <c r="B185" s="942" t="s">
        <v>2183</v>
      </c>
      <c r="C185" s="942"/>
      <c r="D185" s="942"/>
      <c r="E185" s="942"/>
      <c r="F185" s="942"/>
      <c r="G185" s="942"/>
      <c r="H185" s="925">
        <v>227</v>
      </c>
    </row>
    <row r="186" spans="2:8">
      <c r="E186"/>
    </row>
    <row r="187" spans="2:8">
      <c r="E187"/>
    </row>
    <row r="188" spans="2:8">
      <c r="E188"/>
    </row>
    <row r="189" spans="2:8">
      <c r="E189"/>
    </row>
    <row r="190" spans="2:8">
      <c r="E190"/>
    </row>
    <row r="191" spans="2:8">
      <c r="E191"/>
    </row>
    <row r="192" spans="2:8">
      <c r="E192"/>
    </row>
    <row r="193" spans="5:5">
      <c r="E193"/>
    </row>
    <row r="194" spans="5:5">
      <c r="E194"/>
    </row>
    <row r="195" spans="5:5">
      <c r="E195"/>
    </row>
    <row r="196" spans="5:5">
      <c r="E196"/>
    </row>
    <row r="197" spans="5:5">
      <c r="E197"/>
    </row>
    <row r="198" spans="5:5">
      <c r="E198"/>
    </row>
    <row r="199" spans="5:5">
      <c r="E199"/>
    </row>
    <row r="200" spans="5:5">
      <c r="E200"/>
    </row>
    <row r="201" spans="5:5">
      <c r="E201"/>
    </row>
    <row r="202" spans="5:5">
      <c r="E202"/>
    </row>
    <row r="203" spans="5:5">
      <c r="E203"/>
    </row>
    <row r="204" spans="5:5">
      <c r="E204"/>
    </row>
    <row r="205" spans="5:5">
      <c r="E205"/>
    </row>
    <row r="206" spans="5:5">
      <c r="E206"/>
    </row>
    <row r="207" spans="5:5">
      <c r="E207"/>
    </row>
    <row r="208" spans="5:5">
      <c r="E208"/>
    </row>
    <row r="209" spans="5:5">
      <c r="E209"/>
    </row>
    <row r="210" spans="5:5">
      <c r="E210"/>
    </row>
    <row r="211" spans="5:5">
      <c r="E211"/>
    </row>
    <row r="212" spans="5:5">
      <c r="E212"/>
    </row>
    <row r="213" spans="5:5">
      <c r="E213"/>
    </row>
    <row r="214" spans="5:5">
      <c r="E214"/>
    </row>
    <row r="215" spans="5:5">
      <c r="E215"/>
    </row>
    <row r="216" spans="5:5">
      <c r="E216"/>
    </row>
    <row r="217" spans="5:5">
      <c r="E217"/>
    </row>
    <row r="218" spans="5:5">
      <c r="E218"/>
    </row>
    <row r="219" spans="5:5">
      <c r="E219"/>
    </row>
    <row r="220" spans="5:5">
      <c r="E220"/>
    </row>
    <row r="221" spans="5:5">
      <c r="E221"/>
    </row>
    <row r="222" spans="5:5">
      <c r="E222"/>
    </row>
    <row r="223" spans="5:5">
      <c r="E223"/>
    </row>
    <row r="224" spans="5:5">
      <c r="E224"/>
    </row>
    <row r="225" spans="5:5">
      <c r="E225"/>
    </row>
    <row r="226" spans="5:5">
      <c r="E226"/>
    </row>
    <row r="227" spans="5:5">
      <c r="E227"/>
    </row>
    <row r="228" spans="5:5">
      <c r="E228"/>
    </row>
    <row r="229" spans="5:5">
      <c r="E229"/>
    </row>
    <row r="230" spans="5:5">
      <c r="E230"/>
    </row>
    <row r="231" spans="5:5">
      <c r="E231"/>
    </row>
    <row r="232" spans="5:5">
      <c r="E232"/>
    </row>
    <row r="233" spans="5:5">
      <c r="E233"/>
    </row>
    <row r="234" spans="5:5">
      <c r="E234"/>
    </row>
    <row r="235" spans="5:5">
      <c r="E235"/>
    </row>
    <row r="236" spans="5:5">
      <c r="E236"/>
    </row>
    <row r="237" spans="5:5">
      <c r="E237"/>
    </row>
    <row r="238" spans="5:5">
      <c r="E238"/>
    </row>
    <row r="239" spans="5:5">
      <c r="E239"/>
    </row>
    <row r="240" spans="5:5">
      <c r="E240"/>
    </row>
    <row r="241" spans="5:5">
      <c r="E241"/>
    </row>
    <row r="242" spans="5:5">
      <c r="E242"/>
    </row>
    <row r="243" spans="5:5">
      <c r="E243"/>
    </row>
    <row r="244" spans="5:5">
      <c r="E244"/>
    </row>
    <row r="245" spans="5:5">
      <c r="E245"/>
    </row>
    <row r="246" spans="5:5">
      <c r="E246"/>
    </row>
    <row r="247" spans="5:5">
      <c r="E247"/>
    </row>
    <row r="248" spans="5:5">
      <c r="E248"/>
    </row>
    <row r="249" spans="5:5">
      <c r="E249"/>
    </row>
    <row r="250" spans="5:5">
      <c r="E250"/>
    </row>
    <row r="251" spans="5:5">
      <c r="E251"/>
    </row>
    <row r="252" spans="5:5">
      <c r="E252"/>
    </row>
    <row r="253" spans="5:5">
      <c r="E253"/>
    </row>
    <row r="254" spans="5:5">
      <c r="E254"/>
    </row>
    <row r="255" spans="5:5">
      <c r="E255"/>
    </row>
    <row r="256" spans="5:5">
      <c r="E256"/>
    </row>
    <row r="257" spans="5:5">
      <c r="E257"/>
    </row>
    <row r="258" spans="5:5">
      <c r="E258"/>
    </row>
    <row r="259" spans="5:5">
      <c r="E259"/>
    </row>
    <row r="260" spans="5:5">
      <c r="E260"/>
    </row>
    <row r="261" spans="5:5">
      <c r="E261"/>
    </row>
    <row r="262" spans="5:5">
      <c r="E262"/>
    </row>
    <row r="263" spans="5:5">
      <c r="E263"/>
    </row>
    <row r="264" spans="5:5">
      <c r="E264"/>
    </row>
    <row r="265" spans="5:5">
      <c r="E265"/>
    </row>
    <row r="266" spans="5:5">
      <c r="E266"/>
    </row>
    <row r="267" spans="5:5">
      <c r="E267"/>
    </row>
    <row r="268" spans="5:5">
      <c r="E268"/>
    </row>
    <row r="269" spans="5:5">
      <c r="E269"/>
    </row>
    <row r="270" spans="5:5">
      <c r="E270"/>
    </row>
    <row r="271" spans="5:5">
      <c r="E271"/>
    </row>
    <row r="272" spans="5:5">
      <c r="E272"/>
    </row>
    <row r="273" spans="5:5">
      <c r="E273"/>
    </row>
    <row r="274" spans="5:5">
      <c r="E274"/>
    </row>
    <row r="275" spans="5:5">
      <c r="E275"/>
    </row>
    <row r="276" spans="5:5">
      <c r="E276"/>
    </row>
    <row r="277" spans="5:5">
      <c r="E277"/>
    </row>
    <row r="278" spans="5:5">
      <c r="E278"/>
    </row>
    <row r="279" spans="5:5">
      <c r="E279"/>
    </row>
    <row r="280" spans="5:5">
      <c r="E280"/>
    </row>
    <row r="281" spans="5:5">
      <c r="E281"/>
    </row>
    <row r="282" spans="5:5">
      <c r="E282"/>
    </row>
    <row r="283" spans="5:5">
      <c r="E283"/>
    </row>
    <row r="284" spans="5:5">
      <c r="E284"/>
    </row>
    <row r="285" spans="5:5">
      <c r="E285"/>
    </row>
    <row r="286" spans="5:5">
      <c r="E286"/>
    </row>
    <row r="287" spans="5:5">
      <c r="E287"/>
    </row>
    <row r="288" spans="5:5">
      <c r="E288"/>
    </row>
    <row r="289" spans="5:5">
      <c r="E289"/>
    </row>
    <row r="290" spans="5:5">
      <c r="E290"/>
    </row>
    <row r="291" spans="5:5">
      <c r="E291"/>
    </row>
    <row r="292" spans="5:5">
      <c r="E292"/>
    </row>
    <row r="293" spans="5:5">
      <c r="E293"/>
    </row>
    <row r="294" spans="5:5">
      <c r="E294"/>
    </row>
    <row r="295" spans="5:5">
      <c r="E295"/>
    </row>
    <row r="296" spans="5:5">
      <c r="E296"/>
    </row>
    <row r="297" spans="5:5">
      <c r="E297"/>
    </row>
    <row r="298" spans="5:5">
      <c r="E298"/>
    </row>
    <row r="299" spans="5:5">
      <c r="E299"/>
    </row>
    <row r="300" spans="5:5">
      <c r="E300"/>
    </row>
    <row r="301" spans="5:5">
      <c r="E301"/>
    </row>
    <row r="302" spans="5:5">
      <c r="E302"/>
    </row>
    <row r="303" spans="5:5">
      <c r="E303"/>
    </row>
    <row r="304" spans="5:5">
      <c r="E304"/>
    </row>
    <row r="305" spans="5:5">
      <c r="E305"/>
    </row>
    <row r="306" spans="5:5">
      <c r="E306"/>
    </row>
    <row r="307" spans="5:5">
      <c r="E307"/>
    </row>
    <row r="308" spans="5:5">
      <c r="E308"/>
    </row>
    <row r="309" spans="5:5">
      <c r="E309"/>
    </row>
    <row r="310" spans="5:5">
      <c r="E310"/>
    </row>
    <row r="311" spans="5:5">
      <c r="E311"/>
    </row>
    <row r="312" spans="5:5">
      <c r="E312"/>
    </row>
    <row r="313" spans="5:5">
      <c r="E313"/>
    </row>
    <row r="314" spans="5:5">
      <c r="E314"/>
    </row>
    <row r="315" spans="5:5">
      <c r="E315"/>
    </row>
    <row r="316" spans="5:5">
      <c r="E316"/>
    </row>
    <row r="317" spans="5:5">
      <c r="E317"/>
    </row>
    <row r="318" spans="5:5">
      <c r="E318"/>
    </row>
    <row r="319" spans="5:5">
      <c r="E319"/>
    </row>
    <row r="320" spans="5:5">
      <c r="E320"/>
    </row>
    <row r="321" spans="5:5">
      <c r="E321"/>
    </row>
    <row r="322" spans="5:5">
      <c r="E322"/>
    </row>
    <row r="323" spans="5:5">
      <c r="E323"/>
    </row>
    <row r="324" spans="5:5">
      <c r="E324"/>
    </row>
    <row r="325" spans="5:5">
      <c r="E325"/>
    </row>
    <row r="326" spans="5:5">
      <c r="E326"/>
    </row>
    <row r="327" spans="5:5">
      <c r="E327"/>
    </row>
    <row r="328" spans="5:5">
      <c r="E328"/>
    </row>
    <row r="329" spans="5:5">
      <c r="E329"/>
    </row>
    <row r="330" spans="5:5">
      <c r="E330"/>
    </row>
    <row r="331" spans="5:5">
      <c r="E331"/>
    </row>
    <row r="332" spans="5:5">
      <c r="E332"/>
    </row>
    <row r="333" spans="5:5">
      <c r="E333"/>
    </row>
    <row r="334" spans="5:5">
      <c r="E334"/>
    </row>
    <row r="335" spans="5:5">
      <c r="E335"/>
    </row>
    <row r="336" spans="5:5">
      <c r="E336"/>
    </row>
    <row r="337" spans="5:5">
      <c r="E337"/>
    </row>
    <row r="338" spans="5:5">
      <c r="E338"/>
    </row>
    <row r="339" spans="5:5">
      <c r="E339"/>
    </row>
    <row r="340" spans="5:5">
      <c r="E340"/>
    </row>
    <row r="341" spans="5:5">
      <c r="E341"/>
    </row>
    <row r="342" spans="5:5">
      <c r="E342"/>
    </row>
    <row r="343" spans="5:5">
      <c r="E343"/>
    </row>
    <row r="344" spans="5:5">
      <c r="E344"/>
    </row>
    <row r="345" spans="5:5">
      <c r="E345"/>
    </row>
    <row r="346" spans="5:5">
      <c r="E346"/>
    </row>
    <row r="347" spans="5:5">
      <c r="E347"/>
    </row>
    <row r="348" spans="5:5">
      <c r="E348"/>
    </row>
    <row r="349" spans="5:5">
      <c r="E349"/>
    </row>
    <row r="350" spans="5:5">
      <c r="E350"/>
    </row>
    <row r="351" spans="5:5">
      <c r="E351"/>
    </row>
    <row r="352" spans="5:5">
      <c r="E352"/>
    </row>
    <row r="353" spans="5:5">
      <c r="E353"/>
    </row>
    <row r="354" spans="5:5">
      <c r="E354"/>
    </row>
    <row r="355" spans="5:5">
      <c r="E355"/>
    </row>
    <row r="356" spans="5:5">
      <c r="E356"/>
    </row>
    <row r="357" spans="5:5">
      <c r="E357"/>
    </row>
    <row r="358" spans="5:5">
      <c r="E358"/>
    </row>
    <row r="359" spans="5:5">
      <c r="E359"/>
    </row>
    <row r="360" spans="5:5">
      <c r="E360"/>
    </row>
    <row r="361" spans="5:5">
      <c r="E361"/>
    </row>
    <row r="362" spans="5:5">
      <c r="E362"/>
    </row>
    <row r="363" spans="5:5">
      <c r="E363"/>
    </row>
    <row r="364" spans="5:5">
      <c r="E364"/>
    </row>
    <row r="365" spans="5:5">
      <c r="E365"/>
    </row>
    <row r="366" spans="5:5">
      <c r="E366"/>
    </row>
    <row r="367" spans="5:5">
      <c r="E367"/>
    </row>
    <row r="368" spans="5:5">
      <c r="E368"/>
    </row>
    <row r="369" spans="5:5">
      <c r="E369"/>
    </row>
    <row r="370" spans="5:5">
      <c r="E370"/>
    </row>
    <row r="371" spans="5:5">
      <c r="E371"/>
    </row>
    <row r="372" spans="5:5">
      <c r="E372"/>
    </row>
    <row r="373" spans="5:5">
      <c r="E373"/>
    </row>
    <row r="374" spans="5:5">
      <c r="E374"/>
    </row>
    <row r="375" spans="5:5">
      <c r="E375"/>
    </row>
    <row r="376" spans="5:5">
      <c r="E376"/>
    </row>
    <row r="377" spans="5:5">
      <c r="E377"/>
    </row>
    <row r="378" spans="5:5">
      <c r="E378"/>
    </row>
    <row r="379" spans="5:5">
      <c r="E379"/>
    </row>
    <row r="380" spans="5:5">
      <c r="E380"/>
    </row>
    <row r="381" spans="5:5">
      <c r="E381"/>
    </row>
    <row r="382" spans="5:5">
      <c r="E382"/>
    </row>
    <row r="383" spans="5:5">
      <c r="E383"/>
    </row>
    <row r="384" spans="5:5">
      <c r="E384"/>
    </row>
    <row r="385" spans="5:5">
      <c r="E385"/>
    </row>
    <row r="386" spans="5:5">
      <c r="E386"/>
    </row>
    <row r="387" spans="5:5">
      <c r="E387"/>
    </row>
    <row r="388" spans="5:5">
      <c r="E388"/>
    </row>
  </sheetData>
  <mergeCells count="1">
    <mergeCell ref="A1:H1"/>
  </mergeCells>
  <pageMargins left="0.1" right="0.1" top="0.75" bottom="0.05" header="0.25" footer="0.05"/>
  <pageSetup orientation="landscape" horizontalDpi="360" verticalDpi="180" r:id="rId2"/>
  <headerFooter>
    <oddHeader>&amp;L&amp;F</oddHeader>
  </headerFooter>
  <rowBreaks count="2" manualBreakCount="2">
    <brk id="38" max="8" man="1"/>
    <brk id="74" max="8" man="1"/>
  </rowBreaks>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1"/>
  <dimension ref="A1:IS313"/>
  <sheetViews>
    <sheetView view="pageBreakPreview" topLeftCell="B1" zoomScale="70" zoomScaleNormal="100" zoomScaleSheetLayoutView="70" workbookViewId="0">
      <pane ySplit="14" topLeftCell="A15" activePane="bottomLeft" state="frozen"/>
      <selection pane="bottomLeft" activeCell="C15" sqref="C15"/>
    </sheetView>
  </sheetViews>
  <sheetFormatPr baseColWidth="10" defaultColWidth="9" defaultRowHeight="16"/>
  <cols>
    <col min="1" max="1" width="3.6640625" hidden="1" customWidth="1"/>
    <col min="2" max="2" width="3.6640625" customWidth="1"/>
    <col min="3" max="3" width="29.6640625" customWidth="1"/>
    <col min="4" max="4" width="16.6640625" customWidth="1"/>
    <col min="5" max="5" width="5.6640625" style="1" customWidth="1"/>
    <col min="6" max="6" width="5.6640625" customWidth="1"/>
    <col min="7" max="7" width="0.83203125" customWidth="1"/>
    <col min="8" max="8" width="5.6640625" customWidth="1"/>
    <col min="9" max="9" width="59.6640625" customWidth="1"/>
  </cols>
  <sheetData>
    <row r="1" spans="1:253" ht="20">
      <c r="A1" s="915" t="s">
        <v>3824</v>
      </c>
      <c r="B1" s="915"/>
      <c r="C1" s="915"/>
      <c r="D1" s="915"/>
      <c r="E1" s="915"/>
      <c r="F1" s="915"/>
      <c r="G1" s="915"/>
      <c r="H1" s="915"/>
      <c r="I1" s="41"/>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c r="II1" s="42"/>
      <c r="IJ1" s="42"/>
      <c r="IK1" s="42"/>
      <c r="IL1" s="42"/>
      <c r="IM1" s="42"/>
      <c r="IN1" s="42"/>
      <c r="IO1" s="42"/>
      <c r="IP1" s="42"/>
      <c r="IQ1" s="42"/>
      <c r="IR1" s="42"/>
      <c r="IS1" s="42"/>
    </row>
    <row r="2" spans="1:253" ht="18">
      <c r="A2" s="3"/>
      <c r="B2" s="53" t="s">
        <v>1658</v>
      </c>
      <c r="C2" s="515"/>
      <c r="D2" s="5"/>
      <c r="E2" s="5"/>
      <c r="F2" s="5"/>
      <c r="G2" s="5"/>
      <c r="H2" s="6"/>
      <c r="I2" s="43"/>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row>
    <row r="3" spans="1:253">
      <c r="A3" s="7"/>
      <c r="B3" s="7" t="s">
        <v>327</v>
      </c>
      <c r="C3" s="563"/>
      <c r="D3" s="8"/>
      <c r="E3" s="8" t="str">
        <f>No_proyek</f>
        <v>RZ0458</v>
      </c>
      <c r="F3" s="11"/>
      <c r="G3" s="11"/>
      <c r="H3" s="12"/>
      <c r="I3" s="16"/>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c r="II3" s="42"/>
      <c r="IJ3" s="42"/>
      <c r="IK3" s="42"/>
      <c r="IL3" s="42"/>
      <c r="IM3" s="42"/>
      <c r="IN3" s="42"/>
      <c r="IO3" s="42"/>
      <c r="IP3" s="42"/>
      <c r="IQ3" s="42"/>
      <c r="IR3" s="42"/>
      <c r="IS3" s="42"/>
    </row>
    <row r="4" spans="1:253">
      <c r="A4" s="7"/>
      <c r="B4" s="7" t="s">
        <v>2174</v>
      </c>
      <c r="C4" s="563"/>
      <c r="D4" s="8"/>
      <c r="E4" s="8" t="str">
        <f>no_kontrak</f>
        <v>127/RK-RL-PI/PAP-LL/XII/2025</v>
      </c>
      <c r="F4" s="9"/>
      <c r="G4" s="9"/>
      <c r="H4" s="65"/>
      <c r="I4" s="16"/>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row>
    <row r="5" spans="1:253">
      <c r="A5" s="14"/>
      <c r="B5" s="14" t="s">
        <v>1508</v>
      </c>
      <c r="C5" s="564"/>
      <c r="D5" s="8"/>
      <c r="E5" s="8" t="str">
        <f>nip</f>
        <v>25LL017MPC</v>
      </c>
      <c r="F5" s="9"/>
      <c r="G5" s="9"/>
      <c r="H5" s="67"/>
      <c r="I5" s="17"/>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c r="II5" s="42"/>
      <c r="IJ5" s="42"/>
      <c r="IK5" s="42"/>
      <c r="IL5" s="42"/>
      <c r="IM5" s="42"/>
      <c r="IN5" s="42"/>
      <c r="IO5" s="42"/>
      <c r="IP5" s="42"/>
      <c r="IQ5" s="42"/>
      <c r="IR5" s="42"/>
      <c r="IS5" s="42"/>
    </row>
    <row r="6" spans="1:253">
      <c r="A6" s="7"/>
      <c r="B6" s="7" t="s">
        <v>2176</v>
      </c>
      <c r="C6" s="563"/>
      <c r="D6" s="8"/>
      <c r="E6" s="8" t="str">
        <f>nama_proyek</f>
        <v>PT Malindo Feedmill Tbk-Dry Pantry</v>
      </c>
      <c r="F6" s="17"/>
      <c r="G6" s="17"/>
      <c r="H6" s="18"/>
      <c r="I6" s="17"/>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42"/>
      <c r="IS6" s="42"/>
    </row>
    <row r="7" spans="1:253">
      <c r="A7" s="7"/>
      <c r="B7" s="7" t="s">
        <v>2178</v>
      </c>
      <c r="C7" s="563"/>
      <c r="D7" s="733"/>
      <c r="E7" s="733">
        <f>tgl</f>
        <v>46163</v>
      </c>
      <c r="F7" s="733"/>
      <c r="G7" s="23"/>
      <c r="H7" s="18"/>
      <c r="I7" s="17"/>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2"/>
      <c r="EH7" s="42"/>
      <c r="EI7" s="42"/>
      <c r="EJ7" s="42"/>
      <c r="EK7" s="42"/>
      <c r="EL7" s="42"/>
      <c r="EM7" s="42"/>
      <c r="EN7" s="42"/>
      <c r="EO7" s="42"/>
      <c r="EP7" s="42"/>
      <c r="EQ7" s="42"/>
      <c r="ER7" s="42"/>
      <c r="ES7" s="42"/>
      <c r="ET7" s="42"/>
      <c r="EU7" s="42"/>
      <c r="EV7" s="42"/>
      <c r="EW7" s="42"/>
      <c r="EX7" s="42"/>
      <c r="EY7" s="42"/>
      <c r="EZ7" s="42"/>
      <c r="FA7" s="42"/>
      <c r="FB7" s="42"/>
      <c r="FC7" s="42"/>
      <c r="FD7" s="42"/>
      <c r="FE7" s="42"/>
      <c r="FF7" s="42"/>
      <c r="FG7" s="42"/>
      <c r="FH7" s="42"/>
      <c r="FI7" s="42"/>
      <c r="FJ7" s="42"/>
      <c r="FK7" s="42"/>
      <c r="FL7" s="42"/>
      <c r="FM7" s="42"/>
      <c r="FN7" s="42"/>
      <c r="FO7" s="42"/>
      <c r="FP7" s="42"/>
      <c r="FQ7" s="42"/>
      <c r="FR7" s="42"/>
      <c r="FS7" s="42"/>
      <c r="FT7" s="42"/>
      <c r="FU7" s="42"/>
      <c r="FV7" s="42"/>
      <c r="FW7" s="42"/>
      <c r="FX7" s="42"/>
      <c r="FY7" s="42"/>
      <c r="FZ7" s="42"/>
      <c r="GA7" s="42"/>
      <c r="GB7" s="42"/>
      <c r="GC7" s="42"/>
      <c r="GD7" s="42"/>
      <c r="GE7" s="42"/>
      <c r="GF7" s="42"/>
      <c r="GG7" s="42"/>
      <c r="GH7" s="42"/>
      <c r="GI7" s="42"/>
      <c r="GJ7" s="42"/>
      <c r="GK7" s="42"/>
      <c r="GL7" s="42"/>
      <c r="GM7" s="42"/>
      <c r="GN7" s="42"/>
      <c r="GO7" s="42"/>
      <c r="GP7" s="42"/>
      <c r="GQ7" s="42"/>
      <c r="GR7" s="42"/>
      <c r="GS7" s="42"/>
      <c r="GT7" s="42"/>
      <c r="GU7" s="42"/>
      <c r="GV7" s="42"/>
      <c r="GW7" s="42"/>
      <c r="GX7" s="42"/>
      <c r="GY7" s="42"/>
      <c r="GZ7" s="42"/>
      <c r="HA7" s="42"/>
      <c r="HB7" s="42"/>
      <c r="HC7" s="42"/>
      <c r="HD7" s="42"/>
      <c r="HE7" s="42"/>
      <c r="HF7" s="42"/>
      <c r="HG7" s="42"/>
      <c r="HH7" s="42"/>
      <c r="HI7" s="42"/>
      <c r="HJ7" s="42"/>
      <c r="HK7" s="42"/>
      <c r="HL7" s="42"/>
      <c r="HM7" s="42"/>
      <c r="HN7" s="42"/>
      <c r="HO7" s="42"/>
      <c r="HP7" s="42"/>
      <c r="HQ7" s="42"/>
      <c r="HR7" s="42"/>
      <c r="HS7" s="42"/>
      <c r="HT7" s="42"/>
      <c r="HU7" s="42"/>
      <c r="HV7" s="42"/>
      <c r="HW7" s="42"/>
      <c r="HX7" s="42"/>
      <c r="HY7" s="42"/>
      <c r="HZ7" s="42"/>
      <c r="IA7" s="42"/>
      <c r="IB7" s="42"/>
      <c r="IC7" s="42"/>
      <c r="ID7" s="42"/>
      <c r="IE7" s="42"/>
      <c r="IF7" s="42"/>
      <c r="IG7" s="42"/>
      <c r="IH7" s="42"/>
      <c r="II7" s="42"/>
      <c r="IJ7" s="42"/>
      <c r="IK7" s="42"/>
      <c r="IL7" s="42"/>
      <c r="IM7" s="42"/>
      <c r="IN7" s="42"/>
      <c r="IO7" s="42"/>
      <c r="IP7" s="42"/>
      <c r="IQ7" s="42"/>
      <c r="IR7" s="42"/>
      <c r="IS7" s="42"/>
    </row>
    <row r="8" spans="1:253">
      <c r="A8" s="7"/>
      <c r="B8" s="7" t="s">
        <v>2179</v>
      </c>
      <c r="C8" s="563"/>
      <c r="D8" s="24"/>
      <c r="E8" s="24"/>
      <c r="F8" s="357"/>
      <c r="G8" s="357"/>
      <c r="H8" s="357"/>
      <c r="I8" s="17"/>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c r="HP8" s="42"/>
      <c r="HQ8" s="42"/>
      <c r="HR8" s="42"/>
      <c r="HS8" s="42"/>
      <c r="HT8" s="42"/>
      <c r="HU8" s="42"/>
      <c r="HV8" s="42"/>
      <c r="HW8" s="42"/>
      <c r="HX8" s="42"/>
      <c r="HY8" s="42"/>
      <c r="HZ8" s="42"/>
      <c r="IA8" s="42"/>
      <c r="IB8" s="42"/>
      <c r="IC8" s="42"/>
      <c r="ID8" s="42"/>
      <c r="IE8" s="42"/>
      <c r="IF8" s="42"/>
      <c r="IG8" s="42"/>
      <c r="IH8" s="42"/>
      <c r="II8" s="42"/>
      <c r="IJ8" s="42"/>
      <c r="IK8" s="42"/>
      <c r="IL8" s="42"/>
      <c r="IM8" s="42"/>
      <c r="IN8" s="42"/>
      <c r="IO8" s="42"/>
      <c r="IP8" s="42"/>
      <c r="IQ8" s="42"/>
      <c r="IR8" s="42"/>
      <c r="IS8" s="42"/>
    </row>
    <row r="9" spans="1:253">
      <c r="A9" s="28"/>
      <c r="B9" s="28" t="s">
        <v>2180</v>
      </c>
      <c r="C9" s="28"/>
      <c r="D9" s="8"/>
      <c r="E9" s="8" t="str">
        <f>Estimator</f>
        <v>Fahrudin</v>
      </c>
      <c r="F9" s="16"/>
      <c r="G9" s="17"/>
      <c r="H9" s="18"/>
      <c r="I9" s="17"/>
      <c r="J9" s="42"/>
      <c r="K9" s="42"/>
      <c r="L9" s="44"/>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2"/>
      <c r="DZ9" s="42"/>
      <c r="EA9" s="42"/>
      <c r="EB9" s="42"/>
      <c r="EC9" s="42"/>
      <c r="ED9" s="42"/>
      <c r="EE9" s="42"/>
      <c r="EF9" s="42"/>
      <c r="EG9" s="42"/>
      <c r="EH9" s="42"/>
      <c r="EI9" s="42"/>
      <c r="EJ9" s="42"/>
      <c r="EK9" s="42"/>
      <c r="EL9" s="42"/>
      <c r="EM9" s="42"/>
      <c r="EN9" s="42"/>
      <c r="EO9" s="42"/>
      <c r="EP9" s="42"/>
      <c r="EQ9" s="42"/>
      <c r="ER9" s="42"/>
      <c r="ES9" s="42"/>
      <c r="ET9" s="42"/>
      <c r="EU9" s="42"/>
      <c r="EV9" s="42"/>
      <c r="EW9" s="42"/>
      <c r="EX9" s="42"/>
      <c r="EY9" s="42"/>
      <c r="EZ9" s="42"/>
      <c r="FA9" s="42"/>
      <c r="FB9" s="42"/>
      <c r="FC9" s="42"/>
      <c r="FD9" s="42"/>
      <c r="FE9" s="42"/>
      <c r="FF9" s="42"/>
      <c r="FG9" s="42"/>
      <c r="FH9" s="42"/>
      <c r="FI9" s="42"/>
      <c r="FJ9" s="42"/>
      <c r="FK9" s="42"/>
      <c r="FL9" s="42"/>
      <c r="FM9" s="42"/>
      <c r="FN9" s="42"/>
      <c r="FO9" s="42"/>
      <c r="FP9" s="42"/>
      <c r="FQ9" s="42"/>
      <c r="FR9" s="42"/>
      <c r="FS9" s="42"/>
      <c r="FT9" s="42"/>
      <c r="FU9" s="42"/>
      <c r="FV9" s="42"/>
      <c r="FW9" s="42"/>
      <c r="FX9" s="42"/>
      <c r="FY9" s="42"/>
      <c r="FZ9" s="42"/>
      <c r="GA9" s="42"/>
      <c r="GB9" s="42"/>
      <c r="GC9" s="42"/>
      <c r="GD9" s="42"/>
      <c r="GE9" s="42"/>
      <c r="GF9" s="42"/>
      <c r="GG9" s="42"/>
      <c r="GH9" s="42"/>
      <c r="GI9" s="42"/>
      <c r="GJ9" s="42"/>
      <c r="GK9" s="42"/>
      <c r="GL9" s="42"/>
      <c r="GM9" s="42"/>
      <c r="GN9" s="42"/>
      <c r="GO9" s="42"/>
      <c r="GP9" s="42"/>
      <c r="GQ9" s="42"/>
      <c r="GR9" s="42"/>
      <c r="GS9" s="42"/>
      <c r="GT9" s="42"/>
      <c r="GU9" s="42"/>
      <c r="GV9" s="42"/>
      <c r="GW9" s="42"/>
      <c r="GX9" s="42"/>
      <c r="GY9" s="42"/>
      <c r="GZ9" s="42"/>
      <c r="HA9" s="42"/>
      <c r="HB9" s="42"/>
      <c r="HC9" s="42"/>
      <c r="HD9" s="42"/>
      <c r="HE9" s="42"/>
      <c r="HF9" s="42"/>
      <c r="HG9" s="42"/>
      <c r="HH9" s="42"/>
      <c r="HI9" s="42"/>
      <c r="HJ9" s="42"/>
      <c r="HK9" s="42"/>
      <c r="HL9" s="42"/>
      <c r="HM9" s="42"/>
      <c r="HN9" s="42"/>
      <c r="HO9" s="42"/>
      <c r="HP9" s="42"/>
      <c r="HQ9" s="42"/>
      <c r="HR9" s="42"/>
      <c r="HS9" s="42"/>
      <c r="HT9" s="42"/>
      <c r="HU9" s="42"/>
      <c r="HV9" s="42"/>
      <c r="HW9" s="42"/>
      <c r="HX9" s="42"/>
      <c r="HY9" s="42"/>
      <c r="HZ9" s="42"/>
      <c r="IA9" s="42"/>
      <c r="IB9" s="42"/>
      <c r="IC9" s="42"/>
      <c r="ID9" s="42"/>
      <c r="IE9" s="42"/>
      <c r="IF9" s="42"/>
      <c r="IG9" s="42"/>
      <c r="IH9" s="42"/>
      <c r="II9" s="42"/>
      <c r="IJ9" s="42"/>
      <c r="IK9" s="42"/>
      <c r="IL9" s="42"/>
      <c r="IM9" s="42"/>
      <c r="IN9" s="42"/>
      <c r="IO9" s="42"/>
      <c r="IP9" s="42"/>
      <c r="IQ9" s="42"/>
      <c r="IR9" s="42"/>
      <c r="IS9" s="42"/>
    </row>
    <row r="10" spans="1:253">
      <c r="A10" s="29"/>
      <c r="B10" s="29" t="s">
        <v>2182</v>
      </c>
      <c r="C10" s="565"/>
      <c r="D10" s="30"/>
      <c r="E10" s="30" t="str">
        <f>CONCATENATE("Kabinet"," ",bahan1," ",kabinet1," ",edgingkab1)</f>
        <v>Kabinet Ply HB_41130 Edg_Décor_1723_B</v>
      </c>
      <c r="F10" s="16"/>
      <c r="G10" s="17"/>
      <c r="H10" s="18"/>
      <c r="I10" s="17"/>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42"/>
      <c r="IS10" s="42"/>
    </row>
    <row r="11" spans="1:253">
      <c r="A11" s="31"/>
      <c r="B11" s="31"/>
      <c r="C11" s="66"/>
      <c r="D11" s="30"/>
      <c r="E11" s="30" t="str">
        <f>CONCATENATE("Pintu"," ",bahan5)</f>
        <v>Pintu Ply</v>
      </c>
      <c r="F11" s="16"/>
      <c r="G11" s="17"/>
      <c r="H11" s="32"/>
      <c r="I11" s="44"/>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2"/>
      <c r="EH11" s="42"/>
      <c r="EI11" s="42"/>
      <c r="EJ11" s="42"/>
      <c r="EK11" s="42"/>
      <c r="EL11" s="42"/>
      <c r="EM11" s="42"/>
      <c r="EN11" s="42"/>
      <c r="EO11" s="42"/>
      <c r="EP11" s="42"/>
      <c r="EQ11" s="42"/>
      <c r="ER11" s="42"/>
      <c r="ES11" s="42"/>
      <c r="ET11" s="42"/>
      <c r="EU11" s="42"/>
      <c r="EV11" s="42"/>
      <c r="EW11" s="42"/>
      <c r="EX11" s="42"/>
      <c r="EY11" s="42"/>
      <c r="EZ11" s="42"/>
      <c r="FA11" s="42"/>
      <c r="FB11" s="42"/>
      <c r="FC11" s="42"/>
      <c r="FD11" s="42"/>
      <c r="FE11" s="42"/>
      <c r="FF11" s="42"/>
      <c r="FG11" s="42"/>
      <c r="FH11" s="42"/>
      <c r="FI11" s="42"/>
      <c r="FJ11" s="42"/>
      <c r="FK11" s="42"/>
      <c r="FL11" s="42"/>
      <c r="FM11" s="42"/>
      <c r="FN11" s="42"/>
      <c r="FO11" s="42"/>
      <c r="FP11" s="42"/>
      <c r="FQ11" s="42"/>
      <c r="FR11" s="42"/>
      <c r="FS11" s="42"/>
      <c r="FT11" s="42"/>
      <c r="FU11" s="42"/>
      <c r="FV11" s="42"/>
      <c r="FW11" s="42"/>
      <c r="FX11" s="42"/>
      <c r="FY11" s="42"/>
      <c r="FZ11" s="42"/>
      <c r="GA11" s="42"/>
      <c r="GB11" s="42"/>
      <c r="GC11" s="42"/>
      <c r="GD11" s="42"/>
      <c r="GE11" s="42"/>
      <c r="GF11" s="42"/>
      <c r="GG11" s="42"/>
      <c r="GH11" s="42"/>
      <c r="GI11" s="42"/>
      <c r="GJ11" s="42"/>
      <c r="GK11" s="42"/>
      <c r="GL11" s="42"/>
      <c r="GM11" s="42"/>
      <c r="GN11" s="42"/>
      <c r="GO11" s="42"/>
      <c r="GP11" s="42"/>
      <c r="GQ11" s="42"/>
      <c r="GR11" s="42"/>
      <c r="GS11" s="42"/>
      <c r="GT11" s="42"/>
      <c r="GU11" s="42"/>
      <c r="GV11" s="42"/>
      <c r="GW11" s="42"/>
      <c r="GX11" s="42"/>
      <c r="GY11" s="42"/>
      <c r="GZ11" s="42"/>
      <c r="HA11" s="42"/>
      <c r="HB11" s="42"/>
      <c r="HC11" s="42"/>
      <c r="HD11" s="42"/>
      <c r="HE11" s="42"/>
      <c r="HF11" s="42"/>
      <c r="HG11" s="42"/>
      <c r="HH11" s="42"/>
      <c r="HI11" s="42"/>
      <c r="HJ11" s="42"/>
      <c r="HK11" s="42"/>
      <c r="HL11" s="42"/>
      <c r="HM11" s="42"/>
      <c r="HN11" s="42"/>
      <c r="HO11" s="42"/>
      <c r="HP11" s="42"/>
      <c r="HQ11" s="42"/>
      <c r="HR11" s="42"/>
      <c r="HS11" s="42"/>
      <c r="HT11" s="42"/>
      <c r="HU11" s="42"/>
      <c r="HV11" s="42"/>
      <c r="HW11" s="42"/>
      <c r="HX11" s="42"/>
      <c r="HY11" s="42"/>
      <c r="HZ11" s="42"/>
      <c r="IA11" s="42"/>
      <c r="IB11" s="42"/>
      <c r="IC11" s="42"/>
      <c r="ID11" s="42"/>
      <c r="IE11" s="42"/>
      <c r="IF11" s="42"/>
      <c r="IG11" s="42"/>
      <c r="IH11" s="42"/>
      <c r="II11" s="42"/>
      <c r="IJ11" s="42"/>
      <c r="IK11" s="42"/>
      <c r="IL11" s="42"/>
      <c r="IM11" s="42"/>
      <c r="IN11" s="42"/>
      <c r="IO11" s="42"/>
      <c r="IP11" s="42"/>
      <c r="IQ11" s="42"/>
      <c r="IR11" s="42"/>
      <c r="IS11" s="42"/>
    </row>
    <row r="12" spans="1:253">
      <c r="A12" s="33"/>
      <c r="B12" s="354"/>
      <c r="D12" s="1"/>
      <c r="E12" s="230"/>
      <c r="F12" s="1"/>
      <c r="H12" s="35"/>
    </row>
    <row r="13" spans="1:253">
      <c r="A13" s="36"/>
      <c r="B13" s="941" t="s">
        <v>2926</v>
      </c>
      <c r="C13" s="942"/>
      <c r="D13" s="942"/>
      <c r="E13" s="942"/>
      <c r="F13" s="942"/>
      <c r="G13" s="942"/>
      <c r="H13" s="129"/>
      <c r="I13" s="432"/>
    </row>
    <row r="14" spans="1:253">
      <c r="A14" s="36" t="s">
        <v>2135</v>
      </c>
      <c r="B14" s="781" t="s">
        <v>2133</v>
      </c>
      <c r="C14" s="941" t="s">
        <v>2164</v>
      </c>
      <c r="D14" s="780" t="s">
        <v>2136</v>
      </c>
      <c r="E14" s="843" t="s">
        <v>1766</v>
      </c>
      <c r="F14" s="843" t="s">
        <v>1756</v>
      </c>
      <c r="G14" s="843" t="s">
        <v>4016</v>
      </c>
      <c r="H14" s="850" t="s">
        <v>2220</v>
      </c>
      <c r="I14" s="562" t="s">
        <v>333</v>
      </c>
    </row>
    <row r="15" spans="1:253">
      <c r="A15" s="435"/>
      <c r="B15" s="36"/>
      <c r="C15" s="847" t="s">
        <v>4373</v>
      </c>
      <c r="D15" s="847" t="s">
        <v>1028</v>
      </c>
      <c r="E15" s="847">
        <v>3000</v>
      </c>
      <c r="F15" s="847" t="s">
        <v>2185</v>
      </c>
      <c r="G15" s="847" t="s">
        <v>1658</v>
      </c>
      <c r="H15" s="925">
        <v>2</v>
      </c>
    </row>
    <row r="16" spans="1:253">
      <c r="A16" s="435"/>
      <c r="B16" s="36"/>
      <c r="C16" s="847"/>
      <c r="D16" s="844"/>
      <c r="E16" s="844"/>
      <c r="F16" s="844"/>
      <c r="G16" s="844"/>
      <c r="H16" s="925"/>
    </row>
    <row r="17" spans="1:8">
      <c r="A17" s="435"/>
      <c r="B17" s="36"/>
      <c r="C17" s="847" t="s">
        <v>2185</v>
      </c>
      <c r="D17" s="847" t="s">
        <v>2185</v>
      </c>
      <c r="E17" s="847" t="s">
        <v>2185</v>
      </c>
      <c r="F17" s="847" t="s">
        <v>2185</v>
      </c>
      <c r="G17" s="847" t="s">
        <v>1658</v>
      </c>
      <c r="H17" s="925"/>
    </row>
    <row r="18" spans="1:8">
      <c r="A18" s="435"/>
      <c r="B18" s="36"/>
      <c r="C18" s="847"/>
      <c r="D18" s="844"/>
      <c r="E18" s="844"/>
      <c r="F18" s="844"/>
      <c r="G18" s="844"/>
      <c r="H18" s="925"/>
    </row>
    <row r="19" spans="1:8">
      <c r="A19" s="435"/>
      <c r="B19" s="36" t="s">
        <v>1787</v>
      </c>
      <c r="C19" s="847" t="s">
        <v>4373</v>
      </c>
      <c r="D19" s="847" t="s">
        <v>2837</v>
      </c>
      <c r="E19" s="847">
        <v>300</v>
      </c>
      <c r="F19" s="847">
        <v>902</v>
      </c>
      <c r="G19" s="847" t="s">
        <v>1658</v>
      </c>
      <c r="H19" s="925">
        <v>1</v>
      </c>
    </row>
    <row r="20" spans="1:8">
      <c r="A20" s="435"/>
      <c r="B20" s="36" t="s">
        <v>1787</v>
      </c>
      <c r="C20" s="846" t="s">
        <v>4373</v>
      </c>
      <c r="D20" s="846" t="s">
        <v>2837</v>
      </c>
      <c r="E20" s="847">
        <v>185</v>
      </c>
      <c r="F20" s="847">
        <v>902</v>
      </c>
      <c r="G20" s="847" t="s">
        <v>1658</v>
      </c>
      <c r="H20" s="925">
        <v>2</v>
      </c>
    </row>
    <row r="21" spans="1:8">
      <c r="A21" s="435"/>
      <c r="B21" s="36" t="s">
        <v>1787</v>
      </c>
      <c r="C21" s="846" t="s">
        <v>4373</v>
      </c>
      <c r="D21" s="847" t="s">
        <v>2854</v>
      </c>
      <c r="E21" s="847">
        <v>718</v>
      </c>
      <c r="F21" s="847">
        <v>600</v>
      </c>
      <c r="G21" s="847" t="s">
        <v>1658</v>
      </c>
      <c r="H21" s="925">
        <v>1</v>
      </c>
    </row>
    <row r="22" spans="1:8">
      <c r="A22" s="435"/>
      <c r="B22" s="36" t="s">
        <v>1787</v>
      </c>
      <c r="C22" s="846" t="s">
        <v>4373</v>
      </c>
      <c r="D22" s="846" t="s">
        <v>2854</v>
      </c>
      <c r="E22" s="847">
        <v>1200</v>
      </c>
      <c r="F22" s="847">
        <v>408</v>
      </c>
      <c r="G22" s="847" t="s">
        <v>1658</v>
      </c>
      <c r="H22" s="925">
        <v>1</v>
      </c>
    </row>
    <row r="23" spans="1:8">
      <c r="A23" s="435"/>
      <c r="B23" s="36" t="s">
        <v>1787</v>
      </c>
      <c r="C23" s="846" t="s">
        <v>4373</v>
      </c>
      <c r="D23" s="847" t="s">
        <v>2870</v>
      </c>
      <c r="E23" s="847">
        <v>1200</v>
      </c>
      <c r="F23" s="847">
        <v>190</v>
      </c>
      <c r="G23" s="847" t="s">
        <v>1658</v>
      </c>
      <c r="H23" s="925">
        <v>1</v>
      </c>
    </row>
    <row r="24" spans="1:8">
      <c r="A24" s="435"/>
      <c r="B24" s="36"/>
      <c r="C24" s="847"/>
      <c r="D24" s="844"/>
      <c r="E24" s="844"/>
      <c r="F24" s="844"/>
      <c r="G24" s="844"/>
      <c r="H24" s="925"/>
    </row>
    <row r="25" spans="1:8">
      <c r="A25" s="435"/>
      <c r="B25" s="36" t="s">
        <v>1787</v>
      </c>
      <c r="C25" s="847" t="s">
        <v>4714</v>
      </c>
      <c r="D25" s="847" t="s">
        <v>3065</v>
      </c>
      <c r="E25" s="847">
        <v>2430</v>
      </c>
      <c r="F25" s="847">
        <v>1220</v>
      </c>
      <c r="G25" s="847" t="s">
        <v>4716</v>
      </c>
      <c r="H25" s="925">
        <v>3</v>
      </c>
    </row>
    <row r="26" spans="1:8">
      <c r="A26" s="435"/>
      <c r="B26" s="36" t="s">
        <v>1787</v>
      </c>
      <c r="C26" s="846" t="s">
        <v>4714</v>
      </c>
      <c r="D26" s="846" t="s">
        <v>3065</v>
      </c>
      <c r="E26" s="846">
        <v>2430</v>
      </c>
      <c r="F26" s="846">
        <v>1220</v>
      </c>
      <c r="G26" s="851" t="s">
        <v>4715</v>
      </c>
      <c r="H26" s="925">
        <v>1</v>
      </c>
    </row>
    <row r="27" spans="1:8">
      <c r="A27" s="435"/>
      <c r="B27" s="36"/>
      <c r="C27" s="847"/>
      <c r="D27" s="844"/>
      <c r="E27" s="844"/>
      <c r="F27" s="844"/>
      <c r="G27" s="844"/>
      <c r="H27" s="925"/>
    </row>
    <row r="28" spans="1:8">
      <c r="A28" s="435"/>
      <c r="B28" s="36" t="s">
        <v>1787</v>
      </c>
      <c r="C28" s="847" t="s">
        <v>2185</v>
      </c>
      <c r="D28" s="847" t="s">
        <v>2185</v>
      </c>
      <c r="E28" s="847" t="s">
        <v>2185</v>
      </c>
      <c r="F28" s="847" t="s">
        <v>2185</v>
      </c>
      <c r="G28" s="847" t="s">
        <v>2185</v>
      </c>
      <c r="H28" s="925"/>
    </row>
    <row r="29" spans="1:8">
      <c r="A29" s="435"/>
      <c r="B29" s="36" t="s">
        <v>1787</v>
      </c>
      <c r="C29" s="846" t="s">
        <v>2185</v>
      </c>
      <c r="D29" s="847" t="s">
        <v>465</v>
      </c>
      <c r="E29" s="847" t="s">
        <v>2185</v>
      </c>
      <c r="F29" s="847" t="s">
        <v>2185</v>
      </c>
      <c r="G29" s="847" t="s">
        <v>2185</v>
      </c>
      <c r="H29" s="925">
        <v>0</v>
      </c>
    </row>
    <row r="30" spans="1:8">
      <c r="A30" s="435"/>
      <c r="B30" s="36" t="s">
        <v>1787</v>
      </c>
      <c r="C30" s="846" t="s">
        <v>2185</v>
      </c>
      <c r="D30" s="847" t="s">
        <v>467</v>
      </c>
      <c r="E30" s="847" t="s">
        <v>2185</v>
      </c>
      <c r="F30" s="847" t="s">
        <v>2185</v>
      </c>
      <c r="G30" s="847" t="s">
        <v>2185</v>
      </c>
      <c r="H30" s="925">
        <v>0</v>
      </c>
    </row>
    <row r="31" spans="1:8">
      <c r="A31" s="435"/>
      <c r="B31" s="36" t="s">
        <v>1787</v>
      </c>
      <c r="C31" s="846" t="s">
        <v>2185</v>
      </c>
      <c r="D31" s="847" t="s">
        <v>446</v>
      </c>
      <c r="E31" s="847" t="s">
        <v>2185</v>
      </c>
      <c r="F31" s="847" t="s">
        <v>2185</v>
      </c>
      <c r="G31" s="847" t="s">
        <v>2185</v>
      </c>
      <c r="H31" s="925">
        <v>0</v>
      </c>
    </row>
    <row r="32" spans="1:8">
      <c r="A32" s="435"/>
      <c r="B32" s="36" t="s">
        <v>1787</v>
      </c>
      <c r="C32" s="846" t="s">
        <v>2185</v>
      </c>
      <c r="D32" s="847" t="s">
        <v>433</v>
      </c>
      <c r="E32" s="847" t="s">
        <v>2185</v>
      </c>
      <c r="F32" s="847" t="s">
        <v>2185</v>
      </c>
      <c r="G32" s="847" t="s">
        <v>2185</v>
      </c>
      <c r="H32" s="925">
        <v>0</v>
      </c>
    </row>
    <row r="33" spans="1:8">
      <c r="A33" s="435"/>
      <c r="B33" s="36" t="s">
        <v>1787</v>
      </c>
      <c r="C33" s="846" t="s">
        <v>2185</v>
      </c>
      <c r="D33" s="847" t="s">
        <v>344</v>
      </c>
      <c r="E33" s="847" t="s">
        <v>2185</v>
      </c>
      <c r="F33" s="847" t="s">
        <v>2185</v>
      </c>
      <c r="G33" s="847" t="s">
        <v>2185</v>
      </c>
      <c r="H33" s="925">
        <v>0</v>
      </c>
    </row>
    <row r="34" spans="1:8">
      <c r="A34" s="435"/>
      <c r="B34" s="36" t="s">
        <v>1787</v>
      </c>
      <c r="C34" s="846" t="s">
        <v>2185</v>
      </c>
      <c r="D34" s="847" t="s">
        <v>487</v>
      </c>
      <c r="E34" s="847" t="s">
        <v>2185</v>
      </c>
      <c r="F34" s="847" t="s">
        <v>2185</v>
      </c>
      <c r="G34" s="847" t="s">
        <v>2185</v>
      </c>
      <c r="H34" s="925">
        <v>0</v>
      </c>
    </row>
    <row r="35" spans="1:8">
      <c r="A35" s="435"/>
      <c r="B35" s="36" t="s">
        <v>1787</v>
      </c>
      <c r="C35" s="846" t="s">
        <v>2185</v>
      </c>
      <c r="D35" s="847" t="s">
        <v>4297</v>
      </c>
      <c r="E35" s="847" t="s">
        <v>2185</v>
      </c>
      <c r="F35" s="847" t="s">
        <v>2185</v>
      </c>
      <c r="G35" s="847" t="s">
        <v>2185</v>
      </c>
      <c r="H35" s="925">
        <v>0</v>
      </c>
    </row>
    <row r="36" spans="1:8">
      <c r="A36" s="435"/>
      <c r="B36" s="36" t="s">
        <v>1787</v>
      </c>
      <c r="C36" s="846" t="s">
        <v>2185</v>
      </c>
      <c r="D36" s="847" t="s">
        <v>4300</v>
      </c>
      <c r="E36" s="847" t="s">
        <v>2185</v>
      </c>
      <c r="F36" s="847" t="s">
        <v>2185</v>
      </c>
      <c r="G36" s="847" t="s">
        <v>2185</v>
      </c>
      <c r="H36" s="925">
        <v>0</v>
      </c>
    </row>
    <row r="37" spans="1:8">
      <c r="A37" s="435"/>
      <c r="B37" s="36" t="s">
        <v>1787</v>
      </c>
      <c r="C37" s="846" t="s">
        <v>2185</v>
      </c>
      <c r="D37" s="847" t="s">
        <v>523</v>
      </c>
      <c r="E37" s="847" t="s">
        <v>2185</v>
      </c>
      <c r="F37" s="847" t="s">
        <v>2185</v>
      </c>
      <c r="G37" s="847" t="s">
        <v>2185</v>
      </c>
      <c r="H37" s="925">
        <v>0</v>
      </c>
    </row>
    <row r="38" spans="1:8">
      <c r="A38" s="435"/>
      <c r="B38" s="36" t="s">
        <v>1787</v>
      </c>
      <c r="C38" s="846" t="s">
        <v>2185</v>
      </c>
      <c r="D38" s="847" t="s">
        <v>525</v>
      </c>
      <c r="E38" s="847" t="s">
        <v>2185</v>
      </c>
      <c r="F38" s="847" t="s">
        <v>2185</v>
      </c>
      <c r="G38" s="847" t="s">
        <v>2185</v>
      </c>
      <c r="H38" s="925">
        <v>0</v>
      </c>
    </row>
    <row r="39" spans="1:8">
      <c r="A39" s="435"/>
      <c r="B39" s="36" t="s">
        <v>1787</v>
      </c>
      <c r="C39" s="846" t="s">
        <v>2185</v>
      </c>
      <c r="D39" s="847" t="s">
        <v>518</v>
      </c>
      <c r="E39" s="847" t="s">
        <v>2185</v>
      </c>
      <c r="F39" s="847" t="s">
        <v>2185</v>
      </c>
      <c r="G39" s="847" t="s">
        <v>2185</v>
      </c>
      <c r="H39" s="925">
        <v>0</v>
      </c>
    </row>
    <row r="40" spans="1:8">
      <c r="A40" s="435"/>
      <c r="B40" s="36" t="s">
        <v>1787</v>
      </c>
      <c r="C40" s="846" t="s">
        <v>2185</v>
      </c>
      <c r="D40" s="847" t="s">
        <v>538</v>
      </c>
      <c r="E40" s="847" t="s">
        <v>2185</v>
      </c>
      <c r="F40" s="847" t="s">
        <v>2185</v>
      </c>
      <c r="G40" s="847" t="s">
        <v>2185</v>
      </c>
      <c r="H40" s="925">
        <v>0</v>
      </c>
    </row>
    <row r="41" spans="1:8">
      <c r="A41" s="435"/>
      <c r="B41" s="36" t="s">
        <v>1787</v>
      </c>
      <c r="C41" s="846" t="s">
        <v>2185</v>
      </c>
      <c r="D41" s="847" t="s">
        <v>3049</v>
      </c>
      <c r="E41" s="847" t="s">
        <v>2185</v>
      </c>
      <c r="F41" s="847" t="s">
        <v>2185</v>
      </c>
      <c r="G41" s="847" t="s">
        <v>2185</v>
      </c>
      <c r="H41" s="925">
        <v>0</v>
      </c>
    </row>
    <row r="42" spans="1:8">
      <c r="A42" s="435"/>
      <c r="B42" s="36" t="s">
        <v>1787</v>
      </c>
      <c r="C42" s="846" t="s">
        <v>2185</v>
      </c>
      <c r="D42" s="847" t="s">
        <v>2971</v>
      </c>
      <c r="E42" s="847" t="s">
        <v>2185</v>
      </c>
      <c r="F42" s="847" t="s">
        <v>2185</v>
      </c>
      <c r="G42" s="847" t="s">
        <v>2185</v>
      </c>
      <c r="H42" s="925">
        <v>0</v>
      </c>
    </row>
    <row r="43" spans="1:8">
      <c r="A43" s="435"/>
      <c r="B43" s="36" t="s">
        <v>1787</v>
      </c>
      <c r="C43" s="846" t="s">
        <v>2185</v>
      </c>
      <c r="D43" s="847" t="s">
        <v>4112</v>
      </c>
      <c r="E43" s="847" t="s">
        <v>2185</v>
      </c>
      <c r="F43" s="847" t="s">
        <v>2185</v>
      </c>
      <c r="G43" s="847" t="s">
        <v>2185</v>
      </c>
      <c r="H43" s="925">
        <v>0</v>
      </c>
    </row>
    <row r="44" spans="1:8">
      <c r="A44" s="435"/>
      <c r="B44" s="36" t="s">
        <v>1787</v>
      </c>
      <c r="C44" s="846" t="s">
        <v>2185</v>
      </c>
      <c r="D44" s="847" t="s">
        <v>2522</v>
      </c>
      <c r="E44" s="847" t="s">
        <v>2185</v>
      </c>
      <c r="F44" s="847" t="s">
        <v>2185</v>
      </c>
      <c r="G44" s="847" t="s">
        <v>2185</v>
      </c>
      <c r="H44" s="925">
        <v>0</v>
      </c>
    </row>
    <row r="45" spans="1:8">
      <c r="A45" s="435"/>
      <c r="B45" s="36" t="s">
        <v>1787</v>
      </c>
      <c r="C45" s="846" t="s">
        <v>2185</v>
      </c>
      <c r="D45" s="847" t="s">
        <v>373</v>
      </c>
      <c r="E45" s="847" t="s">
        <v>2185</v>
      </c>
      <c r="F45" s="847" t="s">
        <v>2185</v>
      </c>
      <c r="G45" s="847" t="s">
        <v>2185</v>
      </c>
      <c r="H45" s="925">
        <v>0</v>
      </c>
    </row>
    <row r="46" spans="1:8">
      <c r="A46" s="435"/>
      <c r="B46" s="36" t="s">
        <v>1787</v>
      </c>
      <c r="C46" s="846" t="s">
        <v>2185</v>
      </c>
      <c r="D46" s="847" t="s">
        <v>375</v>
      </c>
      <c r="E46" s="847" t="s">
        <v>2185</v>
      </c>
      <c r="F46" s="847" t="s">
        <v>2185</v>
      </c>
      <c r="G46" s="847" t="s">
        <v>2185</v>
      </c>
      <c r="H46" s="925">
        <v>4</v>
      </c>
    </row>
    <row r="47" spans="1:8">
      <c r="A47" s="435"/>
      <c r="B47" s="36" t="s">
        <v>1787</v>
      </c>
      <c r="C47" s="846" t="s">
        <v>2185</v>
      </c>
      <c r="D47" s="847" t="s">
        <v>353</v>
      </c>
      <c r="E47" s="847" t="s">
        <v>2185</v>
      </c>
      <c r="F47" s="847" t="s">
        <v>2185</v>
      </c>
      <c r="G47" s="847" t="s">
        <v>2185</v>
      </c>
      <c r="H47" s="925">
        <v>0</v>
      </c>
    </row>
    <row r="48" spans="1:8">
      <c r="A48" s="435"/>
      <c r="B48" s="36" t="s">
        <v>1787</v>
      </c>
      <c r="C48" s="846" t="s">
        <v>2185</v>
      </c>
      <c r="D48" s="847" t="s">
        <v>3898</v>
      </c>
      <c r="E48" s="847" t="s">
        <v>2185</v>
      </c>
      <c r="F48" s="847" t="s">
        <v>2185</v>
      </c>
      <c r="G48" s="847" t="s">
        <v>2185</v>
      </c>
      <c r="H48" s="925">
        <v>0</v>
      </c>
    </row>
    <row r="49" spans="1:8">
      <c r="A49" s="435"/>
      <c r="B49" s="36" t="s">
        <v>1787</v>
      </c>
      <c r="C49" s="846" t="s">
        <v>2185</v>
      </c>
      <c r="D49" s="847" t="s">
        <v>3900</v>
      </c>
      <c r="E49" s="847" t="s">
        <v>2185</v>
      </c>
      <c r="F49" s="847" t="s">
        <v>2185</v>
      </c>
      <c r="G49" s="847" t="s">
        <v>2185</v>
      </c>
      <c r="H49" s="925">
        <v>0</v>
      </c>
    </row>
    <row r="50" spans="1:8">
      <c r="A50" s="435"/>
      <c r="B50" s="36" t="s">
        <v>1787</v>
      </c>
      <c r="C50" s="846" t="s">
        <v>2185</v>
      </c>
      <c r="D50" s="847" t="s">
        <v>4610</v>
      </c>
      <c r="E50" s="847" t="s">
        <v>2185</v>
      </c>
      <c r="F50" s="847" t="s">
        <v>2185</v>
      </c>
      <c r="G50" s="847" t="s">
        <v>2185</v>
      </c>
      <c r="H50" s="925">
        <v>0</v>
      </c>
    </row>
    <row r="51" spans="1:8">
      <c r="A51" s="435"/>
      <c r="B51" s="36" t="s">
        <v>1787</v>
      </c>
      <c r="C51" s="846" t="s">
        <v>2185</v>
      </c>
      <c r="D51" s="847" t="s">
        <v>515</v>
      </c>
      <c r="E51" s="847" t="s">
        <v>2185</v>
      </c>
      <c r="F51" s="847" t="s">
        <v>2185</v>
      </c>
      <c r="G51" s="847" t="s">
        <v>2185</v>
      </c>
      <c r="H51" s="925">
        <v>8</v>
      </c>
    </row>
    <row r="52" spans="1:8">
      <c r="A52" s="435"/>
      <c r="B52" s="36" t="s">
        <v>1787</v>
      </c>
      <c r="C52" s="846" t="s">
        <v>2185</v>
      </c>
      <c r="D52" s="847" t="s">
        <v>528</v>
      </c>
      <c r="E52" s="847" t="s">
        <v>2185</v>
      </c>
      <c r="F52" s="847" t="s">
        <v>2185</v>
      </c>
      <c r="G52" s="847" t="s">
        <v>2185</v>
      </c>
      <c r="H52" s="925">
        <v>0</v>
      </c>
    </row>
    <row r="53" spans="1:8">
      <c r="A53" s="435"/>
      <c r="B53" s="36"/>
      <c r="C53" s="847"/>
      <c r="D53" s="844"/>
      <c r="E53" s="844"/>
      <c r="F53" s="844"/>
      <c r="G53" s="844"/>
      <c r="H53" s="925"/>
    </row>
    <row r="54" spans="1:8">
      <c r="A54" s="435"/>
      <c r="B54" s="36" t="s">
        <v>3243</v>
      </c>
      <c r="C54" s="847" t="s">
        <v>4373</v>
      </c>
      <c r="D54" s="847" t="s">
        <v>2168</v>
      </c>
      <c r="E54" s="847">
        <v>600</v>
      </c>
      <c r="F54" s="847">
        <v>130</v>
      </c>
      <c r="G54" s="847" t="s">
        <v>1658</v>
      </c>
      <c r="H54" s="925">
        <v>1</v>
      </c>
    </row>
    <row r="55" spans="1:8">
      <c r="A55" s="435"/>
      <c r="B55" s="36" t="s">
        <v>3243</v>
      </c>
      <c r="C55" s="846" t="s">
        <v>4373</v>
      </c>
      <c r="D55" s="846" t="s">
        <v>2168</v>
      </c>
      <c r="E55" s="847">
        <v>2000</v>
      </c>
      <c r="F55" s="847">
        <v>209</v>
      </c>
      <c r="G55" s="847" t="s">
        <v>1658</v>
      </c>
      <c r="H55" s="925">
        <v>1</v>
      </c>
    </row>
    <row r="56" spans="1:8">
      <c r="A56" s="435"/>
      <c r="B56" s="36" t="s">
        <v>3243</v>
      </c>
      <c r="C56" s="846" t="s">
        <v>4373</v>
      </c>
      <c r="D56" s="846" t="s">
        <v>2168</v>
      </c>
      <c r="E56" s="847">
        <v>1490</v>
      </c>
      <c r="F56" s="847">
        <v>209</v>
      </c>
      <c r="G56" s="847" t="s">
        <v>1658</v>
      </c>
      <c r="H56" s="925">
        <v>1</v>
      </c>
    </row>
    <row r="57" spans="1:8">
      <c r="A57" s="435"/>
      <c r="B57" s="36" t="s">
        <v>3243</v>
      </c>
      <c r="C57" s="846" t="s">
        <v>4373</v>
      </c>
      <c r="D57" s="846" t="s">
        <v>2168</v>
      </c>
      <c r="E57" s="847">
        <v>1900</v>
      </c>
      <c r="F57" s="847">
        <v>327</v>
      </c>
      <c r="G57" s="847" t="s">
        <v>1658</v>
      </c>
      <c r="H57" s="925">
        <v>1</v>
      </c>
    </row>
    <row r="58" spans="1:8">
      <c r="A58" s="435"/>
      <c r="B58" s="36" t="s">
        <v>3243</v>
      </c>
      <c r="C58" s="846" t="s">
        <v>4373</v>
      </c>
      <c r="D58" s="846" t="s">
        <v>2168</v>
      </c>
      <c r="E58" s="847">
        <v>1390</v>
      </c>
      <c r="F58" s="847">
        <v>327</v>
      </c>
      <c r="G58" s="847" t="s">
        <v>1658</v>
      </c>
      <c r="H58" s="925">
        <v>1</v>
      </c>
    </row>
    <row r="59" spans="1:8">
      <c r="A59" s="435"/>
      <c r="B59" s="36" t="s">
        <v>3243</v>
      </c>
      <c r="C59" s="846" t="s">
        <v>4373</v>
      </c>
      <c r="D59" s="846" t="s">
        <v>2168</v>
      </c>
      <c r="E59" s="847">
        <v>2890</v>
      </c>
      <c r="F59" s="847">
        <v>130</v>
      </c>
      <c r="G59" s="847" t="s">
        <v>1658</v>
      </c>
      <c r="H59" s="925">
        <v>1</v>
      </c>
    </row>
    <row r="60" spans="1:8">
      <c r="A60" s="435"/>
      <c r="B60" s="36" t="s">
        <v>3243</v>
      </c>
      <c r="C60" s="846" t="s">
        <v>4373</v>
      </c>
      <c r="D60" s="847" t="s">
        <v>4703</v>
      </c>
      <c r="E60" s="847">
        <v>2000</v>
      </c>
      <c r="F60" s="847">
        <v>95</v>
      </c>
      <c r="G60" s="847" t="s">
        <v>1658</v>
      </c>
      <c r="H60" s="925">
        <v>1</v>
      </c>
    </row>
    <row r="61" spans="1:8">
      <c r="A61" s="435"/>
      <c r="B61" s="36" t="s">
        <v>3243</v>
      </c>
      <c r="C61" s="846" t="s">
        <v>4373</v>
      </c>
      <c r="D61" s="846" t="s">
        <v>4703</v>
      </c>
      <c r="E61" s="846">
        <v>2000</v>
      </c>
      <c r="F61" s="847">
        <v>840</v>
      </c>
      <c r="G61" s="847" t="s">
        <v>1658</v>
      </c>
      <c r="H61" s="925">
        <v>1</v>
      </c>
    </row>
    <row r="62" spans="1:8">
      <c r="A62" s="435"/>
      <c r="B62" s="36" t="s">
        <v>3243</v>
      </c>
      <c r="C62" s="846" t="s">
        <v>4373</v>
      </c>
      <c r="D62" s="846" t="s">
        <v>4703</v>
      </c>
      <c r="E62" s="847">
        <v>1490</v>
      </c>
      <c r="F62" s="847">
        <v>95</v>
      </c>
      <c r="G62" s="847" t="s">
        <v>1658</v>
      </c>
      <c r="H62" s="925">
        <v>1</v>
      </c>
    </row>
    <row r="63" spans="1:8">
      <c r="A63" s="435"/>
      <c r="B63" s="36" t="s">
        <v>3243</v>
      </c>
      <c r="C63" s="846" t="s">
        <v>4373</v>
      </c>
      <c r="D63" s="846" t="s">
        <v>4703</v>
      </c>
      <c r="E63" s="846">
        <v>1490</v>
      </c>
      <c r="F63" s="847">
        <v>840</v>
      </c>
      <c r="G63" s="847" t="s">
        <v>1658</v>
      </c>
      <c r="H63" s="925">
        <v>1</v>
      </c>
    </row>
    <row r="64" spans="1:8">
      <c r="B64" s="36" t="s">
        <v>3243</v>
      </c>
      <c r="C64" s="846" t="s">
        <v>4373</v>
      </c>
      <c r="D64" s="847" t="s">
        <v>4704</v>
      </c>
      <c r="E64" s="847">
        <v>1333</v>
      </c>
      <c r="F64" s="847">
        <v>600</v>
      </c>
      <c r="G64" s="847" t="s">
        <v>1658</v>
      </c>
      <c r="H64" s="925">
        <v>1</v>
      </c>
    </row>
    <row r="65" spans="2:8">
      <c r="B65" s="36" t="s">
        <v>3243</v>
      </c>
      <c r="C65" s="846" t="s">
        <v>4373</v>
      </c>
      <c r="D65" s="847" t="s">
        <v>2348</v>
      </c>
      <c r="E65" s="847">
        <v>1844</v>
      </c>
      <c r="F65" s="847">
        <v>750</v>
      </c>
      <c r="G65" s="847" t="s">
        <v>1658</v>
      </c>
      <c r="H65" s="925">
        <v>2</v>
      </c>
    </row>
    <row r="66" spans="2:8">
      <c r="B66" s="36" t="s">
        <v>3243</v>
      </c>
      <c r="C66" s="846" t="s">
        <v>4373</v>
      </c>
      <c r="D66" s="847" t="s">
        <v>4705</v>
      </c>
      <c r="E66" s="847">
        <v>600</v>
      </c>
      <c r="F66" s="847">
        <v>960</v>
      </c>
      <c r="G66" s="847" t="s">
        <v>1658</v>
      </c>
      <c r="H66" s="925">
        <v>1</v>
      </c>
    </row>
    <row r="67" spans="2:8">
      <c r="B67" s="36" t="s">
        <v>3243</v>
      </c>
      <c r="C67" s="846" t="s">
        <v>4373</v>
      </c>
      <c r="D67" s="846" t="s">
        <v>4705</v>
      </c>
      <c r="E67" s="847">
        <v>2880</v>
      </c>
      <c r="F67" s="847">
        <v>954</v>
      </c>
      <c r="G67" s="847" t="s">
        <v>1658</v>
      </c>
      <c r="H67" s="925">
        <v>1</v>
      </c>
    </row>
    <row r="68" spans="2:8">
      <c r="B68" s="36" t="s">
        <v>3243</v>
      </c>
      <c r="C68" s="846" t="s">
        <v>4373</v>
      </c>
      <c r="D68" s="847" t="s">
        <v>2349</v>
      </c>
      <c r="E68" s="847">
        <v>851</v>
      </c>
      <c r="F68" s="847">
        <v>490</v>
      </c>
      <c r="G68" s="847" t="s">
        <v>1658</v>
      </c>
      <c r="H68" s="925">
        <v>3</v>
      </c>
    </row>
    <row r="69" spans="2:8">
      <c r="B69" s="36" t="s">
        <v>3243</v>
      </c>
      <c r="C69" s="846" t="s">
        <v>4373</v>
      </c>
      <c r="D69" s="847" t="s">
        <v>3894</v>
      </c>
      <c r="E69" s="847">
        <v>360</v>
      </c>
      <c r="F69" s="847">
        <v>490</v>
      </c>
      <c r="G69" s="847" t="s">
        <v>1658</v>
      </c>
      <c r="H69" s="925">
        <v>1</v>
      </c>
    </row>
    <row r="70" spans="2:8">
      <c r="B70" s="36"/>
      <c r="C70" s="847"/>
      <c r="D70" s="844"/>
      <c r="E70" s="844"/>
      <c r="F70" s="844"/>
      <c r="G70" s="844"/>
      <c r="H70" s="925"/>
    </row>
    <row r="71" spans="2:8">
      <c r="B71" s="36" t="s">
        <v>3238</v>
      </c>
      <c r="C71" s="847" t="s">
        <v>4891</v>
      </c>
      <c r="D71" s="847" t="s">
        <v>1828</v>
      </c>
      <c r="E71" s="847">
        <v>296</v>
      </c>
      <c r="F71" s="847">
        <v>902</v>
      </c>
      <c r="G71" s="847" t="s">
        <v>1658</v>
      </c>
      <c r="H71" s="925">
        <v>1</v>
      </c>
    </row>
    <row r="72" spans="2:8">
      <c r="B72" s="36" t="s">
        <v>3238</v>
      </c>
      <c r="C72" s="846" t="s">
        <v>4891</v>
      </c>
      <c r="D72" s="846" t="s">
        <v>1828</v>
      </c>
      <c r="E72" s="847">
        <v>181</v>
      </c>
      <c r="F72" s="847">
        <v>902</v>
      </c>
      <c r="G72" s="847" t="s">
        <v>1658</v>
      </c>
      <c r="H72" s="925">
        <v>2</v>
      </c>
    </row>
    <row r="73" spans="2:8">
      <c r="B73" s="36" t="s">
        <v>3238</v>
      </c>
      <c r="C73" s="846" t="s">
        <v>4891</v>
      </c>
      <c r="D73" s="847" t="s">
        <v>1815</v>
      </c>
      <c r="E73" s="847">
        <v>714</v>
      </c>
      <c r="F73" s="847">
        <v>600</v>
      </c>
      <c r="G73" s="847" t="s">
        <v>1658</v>
      </c>
      <c r="H73" s="925">
        <v>1</v>
      </c>
    </row>
    <row r="74" spans="2:8">
      <c r="B74" s="36" t="s">
        <v>3238</v>
      </c>
      <c r="C74" s="846" t="s">
        <v>4891</v>
      </c>
      <c r="D74" s="846" t="s">
        <v>1815</v>
      </c>
      <c r="E74" s="847">
        <v>1196</v>
      </c>
      <c r="F74" s="847">
        <v>408</v>
      </c>
      <c r="G74" s="847" t="s">
        <v>1658</v>
      </c>
      <c r="H74" s="925">
        <v>1</v>
      </c>
    </row>
    <row r="75" spans="2:8">
      <c r="B75" s="36" t="s">
        <v>3238</v>
      </c>
      <c r="C75" s="846" t="s">
        <v>4891</v>
      </c>
      <c r="D75" s="846" t="s">
        <v>1815</v>
      </c>
      <c r="E75" s="846">
        <v>1196</v>
      </c>
      <c r="F75" s="847">
        <v>190</v>
      </c>
      <c r="G75" s="847" t="s">
        <v>1658</v>
      </c>
      <c r="H75" s="925">
        <v>1</v>
      </c>
    </row>
    <row r="76" spans="2:8">
      <c r="B76" s="36"/>
      <c r="C76" s="847"/>
      <c r="D76" s="844"/>
      <c r="E76" s="844"/>
      <c r="F76" s="844"/>
      <c r="G76" s="844"/>
      <c r="H76" s="925"/>
    </row>
    <row r="77" spans="2:8">
      <c r="B77" s="36" t="s">
        <v>3238</v>
      </c>
      <c r="C77" s="847" t="s">
        <v>4896</v>
      </c>
      <c r="D77" s="847" t="s">
        <v>1786</v>
      </c>
      <c r="E77" s="847">
        <v>563</v>
      </c>
      <c r="F77" s="847">
        <v>575</v>
      </c>
      <c r="G77" s="847" t="s">
        <v>4900</v>
      </c>
      <c r="H77" s="925">
        <v>1</v>
      </c>
    </row>
    <row r="78" spans="2:8">
      <c r="B78" s="36" t="s">
        <v>3238</v>
      </c>
      <c r="C78" s="846" t="s">
        <v>4896</v>
      </c>
      <c r="D78" s="846" t="s">
        <v>1786</v>
      </c>
      <c r="E78" s="847">
        <v>506</v>
      </c>
      <c r="F78" s="847">
        <v>50</v>
      </c>
      <c r="G78" s="847" t="s">
        <v>4901</v>
      </c>
      <c r="H78" s="925">
        <v>1</v>
      </c>
    </row>
    <row r="79" spans="2:8">
      <c r="B79" s="36"/>
      <c r="C79" s="847"/>
      <c r="D79" s="844"/>
      <c r="E79" s="844"/>
      <c r="F79" s="844"/>
      <c r="G79" s="844"/>
      <c r="H79" s="925"/>
    </row>
    <row r="80" spans="2:8">
      <c r="B80" s="36" t="s">
        <v>3238</v>
      </c>
      <c r="C80" s="847" t="s">
        <v>4698</v>
      </c>
      <c r="D80" s="847" t="s">
        <v>3074</v>
      </c>
      <c r="E80" s="847">
        <v>1025</v>
      </c>
      <c r="F80" s="847">
        <v>400</v>
      </c>
      <c r="G80" s="847" t="s">
        <v>1658</v>
      </c>
      <c r="H80" s="925">
        <v>1</v>
      </c>
    </row>
    <row r="81" spans="2:8">
      <c r="B81" s="36" t="s">
        <v>3238</v>
      </c>
      <c r="C81" s="846" t="s">
        <v>4698</v>
      </c>
      <c r="D81" s="846" t="s">
        <v>3074</v>
      </c>
      <c r="E81" s="847">
        <v>1721</v>
      </c>
      <c r="F81" s="847">
        <v>400</v>
      </c>
      <c r="G81" s="847" t="s">
        <v>1658</v>
      </c>
      <c r="H81" s="925">
        <v>1</v>
      </c>
    </row>
    <row r="82" spans="2:8">
      <c r="B82" s="36" t="s">
        <v>3238</v>
      </c>
      <c r="C82" s="846" t="s">
        <v>4698</v>
      </c>
      <c r="D82" s="846" t="s">
        <v>3074</v>
      </c>
      <c r="E82" s="847">
        <v>2440</v>
      </c>
      <c r="F82" s="847">
        <v>400</v>
      </c>
      <c r="G82" s="847" t="s">
        <v>1658</v>
      </c>
      <c r="H82" s="925">
        <v>1</v>
      </c>
    </row>
    <row r="83" spans="2:8">
      <c r="B83" s="36"/>
      <c r="C83" s="847"/>
      <c r="D83" s="844"/>
      <c r="E83" s="844"/>
      <c r="F83" s="844"/>
      <c r="G83" s="844"/>
      <c r="H83" s="925"/>
    </row>
    <row r="84" spans="2:8">
      <c r="B84" s="36" t="s">
        <v>3238</v>
      </c>
      <c r="C84" s="847" t="s">
        <v>4700</v>
      </c>
      <c r="D84" s="847" t="s">
        <v>1606</v>
      </c>
      <c r="E84" s="847">
        <v>1004</v>
      </c>
      <c r="F84" s="847">
        <v>550</v>
      </c>
      <c r="G84" s="847" t="s">
        <v>1658</v>
      </c>
      <c r="H84" s="925">
        <v>1</v>
      </c>
    </row>
    <row r="85" spans="2:8">
      <c r="B85" s="36" t="s">
        <v>3238</v>
      </c>
      <c r="C85" s="846" t="s">
        <v>4700</v>
      </c>
      <c r="D85" s="846" t="s">
        <v>1606</v>
      </c>
      <c r="E85" s="847">
        <v>1948</v>
      </c>
      <c r="F85" s="847">
        <v>210</v>
      </c>
      <c r="G85" s="847" t="s">
        <v>1658</v>
      </c>
      <c r="H85" s="925">
        <v>1</v>
      </c>
    </row>
    <row r="86" spans="2:8">
      <c r="B86" s="36" t="s">
        <v>3238</v>
      </c>
      <c r="C86" s="846" t="s">
        <v>4700</v>
      </c>
      <c r="D86" s="846" t="s">
        <v>1606</v>
      </c>
      <c r="E86" s="847">
        <v>1790</v>
      </c>
      <c r="F86" s="847">
        <v>210</v>
      </c>
      <c r="G86" s="847" t="s">
        <v>1658</v>
      </c>
      <c r="H86" s="925">
        <v>1</v>
      </c>
    </row>
    <row r="87" spans="2:8">
      <c r="B87" s="36" t="s">
        <v>3238</v>
      </c>
      <c r="C87" s="846" t="s">
        <v>4700</v>
      </c>
      <c r="D87" s="846" t="s">
        <v>1606</v>
      </c>
      <c r="E87" s="847">
        <v>2440</v>
      </c>
      <c r="F87" s="847">
        <v>310</v>
      </c>
      <c r="G87" s="847" t="s">
        <v>1658</v>
      </c>
      <c r="H87" s="925">
        <v>1</v>
      </c>
    </row>
    <row r="88" spans="2:8">
      <c r="B88" s="36"/>
      <c r="C88" s="847"/>
      <c r="D88" s="844"/>
      <c r="E88" s="844"/>
      <c r="F88" s="844"/>
      <c r="G88" s="844"/>
      <c r="H88" s="925"/>
    </row>
    <row r="89" spans="2:8">
      <c r="B89" s="36" t="s">
        <v>3238</v>
      </c>
      <c r="C89" s="847" t="s">
        <v>4744</v>
      </c>
      <c r="D89" s="847" t="s">
        <v>1850</v>
      </c>
      <c r="E89" s="847">
        <v>2000</v>
      </c>
      <c r="F89" s="847">
        <v>95</v>
      </c>
      <c r="G89" s="847" t="s">
        <v>4745</v>
      </c>
      <c r="H89" s="925">
        <v>2</v>
      </c>
    </row>
    <row r="90" spans="2:8">
      <c r="B90" s="36" t="s">
        <v>3238</v>
      </c>
      <c r="C90" s="846" t="s">
        <v>4744</v>
      </c>
      <c r="D90" s="846" t="s">
        <v>1850</v>
      </c>
      <c r="E90" s="846">
        <v>2000</v>
      </c>
      <c r="F90" s="847">
        <v>840</v>
      </c>
      <c r="G90" s="847" t="s">
        <v>4746</v>
      </c>
      <c r="H90" s="925">
        <v>2</v>
      </c>
    </row>
    <row r="91" spans="2:8">
      <c r="B91" s="36" t="s">
        <v>3238</v>
      </c>
      <c r="C91" s="846" t="s">
        <v>4744</v>
      </c>
      <c r="D91" s="846" t="s">
        <v>1850</v>
      </c>
      <c r="E91" s="847">
        <v>1490</v>
      </c>
      <c r="F91" s="847">
        <v>95</v>
      </c>
      <c r="G91" s="847" t="s">
        <v>4747</v>
      </c>
      <c r="H91" s="925">
        <v>2</v>
      </c>
    </row>
    <row r="92" spans="2:8">
      <c r="B92" s="36" t="s">
        <v>3238</v>
      </c>
      <c r="C92" s="846" t="s">
        <v>4744</v>
      </c>
      <c r="D92" s="846" t="s">
        <v>1850</v>
      </c>
      <c r="E92" s="846">
        <v>1490</v>
      </c>
      <c r="F92" s="847">
        <v>840</v>
      </c>
      <c r="G92" s="847" t="s">
        <v>4748</v>
      </c>
      <c r="H92" s="925">
        <v>2</v>
      </c>
    </row>
    <row r="93" spans="2:8">
      <c r="B93" s="36"/>
      <c r="C93" s="847"/>
      <c r="D93" s="844"/>
      <c r="E93" s="844"/>
      <c r="F93" s="844"/>
      <c r="G93" s="844"/>
      <c r="H93" s="925"/>
    </row>
    <row r="94" spans="2:8">
      <c r="B94" s="36" t="s">
        <v>3495</v>
      </c>
      <c r="C94" s="847" t="s">
        <v>4880</v>
      </c>
      <c r="D94" s="847" t="s">
        <v>3490</v>
      </c>
      <c r="E94" s="847">
        <v>295</v>
      </c>
      <c r="F94" s="847">
        <v>901</v>
      </c>
      <c r="G94" s="847" t="s">
        <v>4881</v>
      </c>
      <c r="H94" s="925">
        <v>1</v>
      </c>
    </row>
    <row r="95" spans="2:8">
      <c r="B95" s="36" t="s">
        <v>3495</v>
      </c>
      <c r="C95" s="846" t="s">
        <v>4880</v>
      </c>
      <c r="D95" s="846" t="s">
        <v>3490</v>
      </c>
      <c r="E95" s="847">
        <v>180</v>
      </c>
      <c r="F95" s="847">
        <v>901</v>
      </c>
      <c r="G95" s="847" t="s">
        <v>4882</v>
      </c>
      <c r="H95" s="925">
        <v>2</v>
      </c>
    </row>
    <row r="96" spans="2:8">
      <c r="B96" s="36" t="s">
        <v>3495</v>
      </c>
      <c r="C96" s="846" t="s">
        <v>4880</v>
      </c>
      <c r="D96" s="846" t="s">
        <v>3490</v>
      </c>
      <c r="E96" s="847">
        <v>713</v>
      </c>
      <c r="F96" s="847">
        <v>599</v>
      </c>
      <c r="G96" s="847" t="s">
        <v>4883</v>
      </c>
      <c r="H96" s="925">
        <v>1</v>
      </c>
    </row>
    <row r="97" spans="2:8">
      <c r="B97" s="36" t="s">
        <v>3495</v>
      </c>
      <c r="C97" s="846" t="s">
        <v>4880</v>
      </c>
      <c r="D97" s="846" t="s">
        <v>3490</v>
      </c>
      <c r="E97" s="847">
        <v>1195</v>
      </c>
      <c r="F97" s="847">
        <v>407</v>
      </c>
      <c r="G97" s="847" t="s">
        <v>4884</v>
      </c>
      <c r="H97" s="925">
        <v>1</v>
      </c>
    </row>
    <row r="98" spans="2:8">
      <c r="B98" s="36" t="s">
        <v>3495</v>
      </c>
      <c r="C98" s="846" t="s">
        <v>4880</v>
      </c>
      <c r="D98" s="846" t="s">
        <v>3490</v>
      </c>
      <c r="E98" s="846">
        <v>1195</v>
      </c>
      <c r="F98" s="847">
        <v>189</v>
      </c>
      <c r="G98" s="847" t="s">
        <v>4885</v>
      </c>
      <c r="H98" s="925">
        <v>1</v>
      </c>
    </row>
    <row r="99" spans="2:8">
      <c r="B99" s="36"/>
      <c r="C99" s="847"/>
      <c r="D99" s="844"/>
      <c r="E99" s="844"/>
      <c r="F99" s="844"/>
      <c r="G99" s="844"/>
      <c r="H99" s="925"/>
    </row>
    <row r="100" spans="2:8">
      <c r="B100" s="36" t="s">
        <v>1745</v>
      </c>
      <c r="C100" s="847" t="s">
        <v>4717</v>
      </c>
      <c r="D100" s="847" t="s">
        <v>2666</v>
      </c>
      <c r="E100" s="847">
        <v>2430</v>
      </c>
      <c r="F100" s="847">
        <v>50</v>
      </c>
      <c r="G100" s="847" t="s">
        <v>4718</v>
      </c>
      <c r="H100" s="925">
        <v>6</v>
      </c>
    </row>
    <row r="101" spans="2:8">
      <c r="B101" s="36" t="s">
        <v>1745</v>
      </c>
      <c r="C101" s="846" t="s">
        <v>4717</v>
      </c>
      <c r="D101" s="846" t="s">
        <v>2666</v>
      </c>
      <c r="E101" s="847">
        <v>1844</v>
      </c>
      <c r="F101" s="847">
        <v>750</v>
      </c>
      <c r="G101" s="847" t="s">
        <v>4719</v>
      </c>
      <c r="H101" s="925">
        <v>2</v>
      </c>
    </row>
    <row r="102" spans="2:8">
      <c r="B102" s="36"/>
      <c r="C102" s="847"/>
      <c r="D102" s="844"/>
      <c r="E102" s="844"/>
      <c r="F102" s="844"/>
      <c r="G102" s="844"/>
      <c r="H102" s="925"/>
    </row>
    <row r="103" spans="2:8">
      <c r="B103" s="36" t="s">
        <v>1745</v>
      </c>
      <c r="C103" s="847" t="s">
        <v>4886</v>
      </c>
      <c r="D103" s="847" t="s">
        <v>1799</v>
      </c>
      <c r="E103" s="847">
        <v>490</v>
      </c>
      <c r="F103" s="847">
        <v>230</v>
      </c>
      <c r="G103" s="847" t="s">
        <v>4887</v>
      </c>
      <c r="H103" s="925">
        <v>2</v>
      </c>
    </row>
    <row r="104" spans="2:8">
      <c r="B104" s="36" t="s">
        <v>1745</v>
      </c>
      <c r="C104" s="846" t="s">
        <v>4886</v>
      </c>
      <c r="D104" s="846" t="s">
        <v>1799</v>
      </c>
      <c r="E104" s="846">
        <v>490</v>
      </c>
      <c r="F104" s="847">
        <v>135</v>
      </c>
      <c r="G104" s="847" t="s">
        <v>4888</v>
      </c>
      <c r="H104" s="925">
        <v>4</v>
      </c>
    </row>
    <row r="105" spans="2:8">
      <c r="B105" s="36" t="s">
        <v>1745</v>
      </c>
      <c r="C105" s="846" t="s">
        <v>4886</v>
      </c>
      <c r="D105" s="847" t="s">
        <v>1800</v>
      </c>
      <c r="E105" s="847">
        <v>825</v>
      </c>
      <c r="F105" s="847">
        <v>213</v>
      </c>
      <c r="G105" s="847" t="s">
        <v>4889</v>
      </c>
      <c r="H105" s="925">
        <v>2</v>
      </c>
    </row>
    <row r="106" spans="2:8">
      <c r="B106" s="36" t="s">
        <v>1745</v>
      </c>
      <c r="C106" s="846" t="s">
        <v>4886</v>
      </c>
      <c r="D106" s="846" t="s">
        <v>1800</v>
      </c>
      <c r="E106" s="846">
        <v>825</v>
      </c>
      <c r="F106" s="847">
        <v>118</v>
      </c>
      <c r="G106" s="847" t="s">
        <v>4890</v>
      </c>
      <c r="H106" s="925">
        <v>4</v>
      </c>
    </row>
    <row r="107" spans="2:8">
      <c r="B107" s="36"/>
      <c r="C107" s="847"/>
      <c r="D107" s="844"/>
      <c r="E107" s="844"/>
      <c r="F107" s="844"/>
      <c r="G107" s="844"/>
      <c r="H107" s="925"/>
    </row>
    <row r="108" spans="2:8">
      <c r="B108" s="36" t="s">
        <v>1745</v>
      </c>
      <c r="C108" s="847" t="s">
        <v>4720</v>
      </c>
      <c r="D108" s="847" t="s">
        <v>3861</v>
      </c>
      <c r="E108" s="847">
        <v>2430</v>
      </c>
      <c r="F108" s="847">
        <v>954</v>
      </c>
      <c r="G108" s="847" t="s">
        <v>4721</v>
      </c>
      <c r="H108" s="925">
        <v>3</v>
      </c>
    </row>
    <row r="109" spans="2:8">
      <c r="B109" s="36" t="s">
        <v>1745</v>
      </c>
      <c r="C109" s="846" t="s">
        <v>4720</v>
      </c>
      <c r="D109" s="846" t="s">
        <v>3861</v>
      </c>
      <c r="E109" s="846">
        <v>2430</v>
      </c>
      <c r="F109" s="847">
        <v>960</v>
      </c>
      <c r="G109" s="847" t="s">
        <v>4722</v>
      </c>
      <c r="H109" s="925">
        <v>1</v>
      </c>
    </row>
    <row r="110" spans="2:8">
      <c r="B110" s="36"/>
      <c r="C110" s="847"/>
      <c r="D110" s="844"/>
      <c r="E110" s="844"/>
      <c r="F110" s="844"/>
      <c r="G110" s="844"/>
      <c r="H110" s="925"/>
    </row>
    <row r="111" spans="2:8">
      <c r="B111" s="36" t="s">
        <v>1745</v>
      </c>
      <c r="C111" s="847" t="s">
        <v>4627</v>
      </c>
      <c r="D111" s="847" t="s">
        <v>1842</v>
      </c>
      <c r="E111" s="847">
        <v>2430</v>
      </c>
      <c r="F111" s="847">
        <v>60</v>
      </c>
      <c r="G111" s="847" t="s">
        <v>4724</v>
      </c>
      <c r="H111" s="925">
        <v>3</v>
      </c>
    </row>
    <row r="112" spans="2:8">
      <c r="B112" s="36" t="s">
        <v>1745</v>
      </c>
      <c r="C112" s="846" t="s">
        <v>4627</v>
      </c>
      <c r="D112" s="846" t="s">
        <v>1842</v>
      </c>
      <c r="E112" s="846">
        <v>2430</v>
      </c>
      <c r="F112" s="846">
        <v>60</v>
      </c>
      <c r="G112" s="851" t="s">
        <v>4723</v>
      </c>
      <c r="H112" s="925">
        <v>1</v>
      </c>
    </row>
    <row r="113" spans="2:8">
      <c r="B113" s="36" t="s">
        <v>1745</v>
      </c>
      <c r="C113" s="846" t="s">
        <v>4627</v>
      </c>
      <c r="D113" s="846" t="s">
        <v>1842</v>
      </c>
      <c r="E113" s="846">
        <v>2430</v>
      </c>
      <c r="F113" s="847">
        <v>55</v>
      </c>
      <c r="G113" s="847" t="s">
        <v>4726</v>
      </c>
      <c r="H113" s="925">
        <v>6</v>
      </c>
    </row>
    <row r="114" spans="2:8">
      <c r="B114" s="36" t="s">
        <v>1745</v>
      </c>
      <c r="C114" s="846" t="s">
        <v>4627</v>
      </c>
      <c r="D114" s="846" t="s">
        <v>1842</v>
      </c>
      <c r="E114" s="846">
        <v>2430</v>
      </c>
      <c r="F114" s="846">
        <v>55</v>
      </c>
      <c r="G114" s="851" t="s">
        <v>4725</v>
      </c>
      <c r="H114" s="925">
        <v>3</v>
      </c>
    </row>
    <row r="115" spans="2:8">
      <c r="B115" s="36"/>
      <c r="C115" s="847"/>
      <c r="D115" s="844"/>
      <c r="E115" s="844"/>
      <c r="F115" s="844"/>
      <c r="G115" s="844"/>
      <c r="H115" s="925"/>
    </row>
    <row r="116" spans="2:8">
      <c r="B116" s="36" t="s">
        <v>1745</v>
      </c>
      <c r="C116" s="847" t="s">
        <v>4727</v>
      </c>
      <c r="D116" s="847" t="s">
        <v>1833</v>
      </c>
      <c r="E116" s="847">
        <v>2430</v>
      </c>
      <c r="F116" s="847">
        <v>100</v>
      </c>
      <c r="G116" s="847" t="s">
        <v>4728</v>
      </c>
      <c r="H116" s="925">
        <v>2</v>
      </c>
    </row>
    <row r="117" spans="2:8">
      <c r="B117" s="36" t="s">
        <v>1745</v>
      </c>
      <c r="C117" s="846" t="s">
        <v>4727</v>
      </c>
      <c r="D117" s="846" t="s">
        <v>1833</v>
      </c>
      <c r="E117" s="846">
        <v>2430</v>
      </c>
      <c r="F117" s="846">
        <v>100</v>
      </c>
      <c r="G117" s="851" t="s">
        <v>4729</v>
      </c>
      <c r="H117" s="925">
        <v>2</v>
      </c>
    </row>
    <row r="118" spans="2:8">
      <c r="B118" s="36" t="s">
        <v>1745</v>
      </c>
      <c r="C118" s="846" t="s">
        <v>4727</v>
      </c>
      <c r="D118" s="846" t="s">
        <v>1833</v>
      </c>
      <c r="E118" s="846">
        <v>2430</v>
      </c>
      <c r="F118" s="847">
        <v>81</v>
      </c>
      <c r="G118" s="847" t="s">
        <v>4730</v>
      </c>
      <c r="H118" s="925">
        <v>3</v>
      </c>
    </row>
    <row r="119" spans="2:8">
      <c r="B119" s="36" t="s">
        <v>1745</v>
      </c>
      <c r="C119" s="846" t="s">
        <v>4727</v>
      </c>
      <c r="D119" s="846" t="s">
        <v>1833</v>
      </c>
      <c r="E119" s="846">
        <v>2430</v>
      </c>
      <c r="F119" s="847">
        <v>24</v>
      </c>
      <c r="G119" s="847" t="s">
        <v>4732</v>
      </c>
      <c r="H119" s="925">
        <v>8</v>
      </c>
    </row>
    <row r="120" spans="2:8">
      <c r="B120" s="36" t="s">
        <v>1745</v>
      </c>
      <c r="C120" s="846" t="s">
        <v>4727</v>
      </c>
      <c r="D120" s="846" t="s">
        <v>1833</v>
      </c>
      <c r="E120" s="846">
        <v>2430</v>
      </c>
      <c r="F120" s="846">
        <v>24</v>
      </c>
      <c r="G120" s="851" t="s">
        <v>4731</v>
      </c>
      <c r="H120" s="925">
        <v>4</v>
      </c>
    </row>
    <row r="121" spans="2:8">
      <c r="B121" s="36" t="s">
        <v>1745</v>
      </c>
      <c r="C121" s="846" t="s">
        <v>4727</v>
      </c>
      <c r="D121" s="846" t="s">
        <v>1833</v>
      </c>
      <c r="E121" s="847">
        <v>2000</v>
      </c>
      <c r="F121" s="847">
        <v>95</v>
      </c>
      <c r="G121" s="847" t="s">
        <v>4733</v>
      </c>
      <c r="H121" s="925">
        <v>2</v>
      </c>
    </row>
    <row r="122" spans="2:8">
      <c r="B122" s="36" t="s">
        <v>1745</v>
      </c>
      <c r="C122" s="846" t="s">
        <v>4727</v>
      </c>
      <c r="D122" s="846" t="s">
        <v>1833</v>
      </c>
      <c r="E122" s="846">
        <v>2000</v>
      </c>
      <c r="F122" s="847">
        <v>840</v>
      </c>
      <c r="G122" s="847" t="s">
        <v>4734</v>
      </c>
      <c r="H122" s="925">
        <v>2</v>
      </c>
    </row>
    <row r="123" spans="2:8">
      <c r="B123" s="36" t="s">
        <v>1745</v>
      </c>
      <c r="C123" s="846" t="s">
        <v>4727</v>
      </c>
      <c r="D123" s="846" t="s">
        <v>1833</v>
      </c>
      <c r="E123" s="847">
        <v>1490</v>
      </c>
      <c r="F123" s="847">
        <v>95</v>
      </c>
      <c r="G123" s="847" t="s">
        <v>4735</v>
      </c>
      <c r="H123" s="925">
        <v>2</v>
      </c>
    </row>
    <row r="124" spans="2:8">
      <c r="B124" s="36" t="s">
        <v>1745</v>
      </c>
      <c r="C124" s="846" t="s">
        <v>4727</v>
      </c>
      <c r="D124" s="846" t="s">
        <v>1833</v>
      </c>
      <c r="E124" s="846">
        <v>1490</v>
      </c>
      <c r="F124" s="847">
        <v>840</v>
      </c>
      <c r="G124" s="847" t="s">
        <v>4736</v>
      </c>
      <c r="H124" s="925">
        <v>2</v>
      </c>
    </row>
    <row r="125" spans="2:8">
      <c r="B125" s="36" t="s">
        <v>1745</v>
      </c>
      <c r="C125" s="846" t="s">
        <v>4727</v>
      </c>
      <c r="D125" s="846" t="s">
        <v>1833</v>
      </c>
      <c r="E125" s="847">
        <v>1026</v>
      </c>
      <c r="F125" s="847">
        <v>581</v>
      </c>
      <c r="G125" s="847" t="s">
        <v>4737</v>
      </c>
      <c r="H125" s="925">
        <v>1</v>
      </c>
    </row>
    <row r="126" spans="2:8">
      <c r="B126" s="36"/>
      <c r="C126" s="847"/>
      <c r="D126" s="844"/>
      <c r="E126" s="844"/>
      <c r="F126" s="844"/>
      <c r="G126" s="844"/>
      <c r="H126" s="925"/>
    </row>
    <row r="127" spans="2:8">
      <c r="B127" s="36" t="s">
        <v>1745</v>
      </c>
      <c r="C127" s="847" t="s">
        <v>4738</v>
      </c>
      <c r="D127" s="847" t="s">
        <v>3097</v>
      </c>
      <c r="E127" s="847">
        <v>600</v>
      </c>
      <c r="F127" s="847">
        <v>130</v>
      </c>
      <c r="G127" s="847" t="s">
        <v>1658</v>
      </c>
      <c r="H127" s="925">
        <v>1</v>
      </c>
    </row>
    <row r="128" spans="2:8">
      <c r="B128" s="36" t="s">
        <v>1745</v>
      </c>
      <c r="C128" s="846" t="s">
        <v>4738</v>
      </c>
      <c r="D128" s="846" t="s">
        <v>3097</v>
      </c>
      <c r="E128" s="847">
        <v>900</v>
      </c>
      <c r="F128" s="847">
        <v>130</v>
      </c>
      <c r="G128" s="847" t="s">
        <v>1658</v>
      </c>
      <c r="H128" s="925">
        <v>1</v>
      </c>
    </row>
    <row r="129" spans="2:8">
      <c r="B129" s="36" t="s">
        <v>1745</v>
      </c>
      <c r="C129" s="846" t="s">
        <v>4738</v>
      </c>
      <c r="D129" s="846" t="s">
        <v>3097</v>
      </c>
      <c r="E129" s="847">
        <v>1990</v>
      </c>
      <c r="F129" s="847">
        <v>130</v>
      </c>
      <c r="G129" s="847" t="s">
        <v>1658</v>
      </c>
      <c r="H129" s="925">
        <v>1</v>
      </c>
    </row>
    <row r="130" spans="2:8">
      <c r="B130" s="36"/>
      <c r="C130" s="847"/>
      <c r="D130" s="844"/>
      <c r="E130" s="844"/>
      <c r="F130" s="844"/>
      <c r="G130" s="844"/>
      <c r="H130" s="925"/>
    </row>
    <row r="131" spans="2:8">
      <c r="B131" s="36" t="s">
        <v>1745</v>
      </c>
      <c r="C131" s="847" t="s">
        <v>4892</v>
      </c>
      <c r="D131" s="847" t="s">
        <v>1769</v>
      </c>
      <c r="E131" s="847">
        <v>732</v>
      </c>
      <c r="F131" s="847">
        <v>560</v>
      </c>
      <c r="G131" s="847" t="s">
        <v>4893</v>
      </c>
      <c r="H131" s="925">
        <v>2</v>
      </c>
    </row>
    <row r="132" spans="2:8">
      <c r="B132" s="36" t="s">
        <v>1745</v>
      </c>
      <c r="C132" s="846" t="s">
        <v>4892</v>
      </c>
      <c r="D132" s="846" t="s">
        <v>1769</v>
      </c>
      <c r="E132" s="847">
        <v>2404</v>
      </c>
      <c r="F132" s="847">
        <v>600</v>
      </c>
      <c r="G132" s="847" t="s">
        <v>4894</v>
      </c>
      <c r="H132" s="925">
        <v>1</v>
      </c>
    </row>
    <row r="133" spans="2:8">
      <c r="B133" s="36" t="s">
        <v>1745</v>
      </c>
      <c r="C133" s="846" t="s">
        <v>4892</v>
      </c>
      <c r="D133" s="847" t="s">
        <v>2817</v>
      </c>
      <c r="E133" s="847">
        <v>867</v>
      </c>
      <c r="F133" s="847">
        <v>560</v>
      </c>
      <c r="G133" s="847" t="s">
        <v>4895</v>
      </c>
      <c r="H133" s="925">
        <v>1</v>
      </c>
    </row>
    <row r="134" spans="2:8">
      <c r="B134" s="36"/>
      <c r="C134" s="847"/>
      <c r="D134" s="844"/>
      <c r="E134" s="844"/>
      <c r="F134" s="844"/>
      <c r="G134" s="844"/>
      <c r="H134" s="925"/>
    </row>
    <row r="135" spans="2:8">
      <c r="B135" s="36" t="s">
        <v>1745</v>
      </c>
      <c r="C135" s="847" t="s">
        <v>4896</v>
      </c>
      <c r="D135" s="847" t="s">
        <v>1776</v>
      </c>
      <c r="E135" s="847">
        <v>564</v>
      </c>
      <c r="F135" s="847">
        <v>550</v>
      </c>
      <c r="G135" s="847" t="s">
        <v>4897</v>
      </c>
      <c r="H135" s="925">
        <v>1</v>
      </c>
    </row>
    <row r="136" spans="2:8">
      <c r="B136" s="36" t="s">
        <v>1745</v>
      </c>
      <c r="C136" s="846" t="s">
        <v>4896</v>
      </c>
      <c r="D136" s="847" t="s">
        <v>1790</v>
      </c>
      <c r="E136" s="847">
        <v>564</v>
      </c>
      <c r="F136" s="847">
        <v>582</v>
      </c>
      <c r="G136" s="847" t="s">
        <v>4898</v>
      </c>
      <c r="H136" s="925">
        <v>1</v>
      </c>
    </row>
    <row r="137" spans="2:8">
      <c r="B137" s="36" t="s">
        <v>1745</v>
      </c>
      <c r="C137" s="846" t="s">
        <v>4896</v>
      </c>
      <c r="D137" s="846" t="s">
        <v>1790</v>
      </c>
      <c r="E137" s="846">
        <v>564</v>
      </c>
      <c r="F137" s="847">
        <v>526</v>
      </c>
      <c r="G137" s="847" t="s">
        <v>4899</v>
      </c>
      <c r="H137" s="925">
        <v>1</v>
      </c>
    </row>
    <row r="138" spans="2:8">
      <c r="B138" s="36" t="s">
        <v>1745</v>
      </c>
      <c r="C138" s="846" t="s">
        <v>4896</v>
      </c>
      <c r="D138" s="847" t="s">
        <v>1831</v>
      </c>
      <c r="E138" s="847">
        <v>65</v>
      </c>
      <c r="F138" s="847">
        <v>370</v>
      </c>
      <c r="G138" s="847" t="s">
        <v>4902</v>
      </c>
      <c r="H138" s="925">
        <v>1</v>
      </c>
    </row>
    <row r="139" spans="2:8">
      <c r="B139" s="36" t="s">
        <v>1745</v>
      </c>
      <c r="C139" s="846" t="s">
        <v>4896</v>
      </c>
      <c r="D139" s="847" t="s">
        <v>1804</v>
      </c>
      <c r="E139" s="847">
        <v>360</v>
      </c>
      <c r="F139" s="847">
        <v>490</v>
      </c>
      <c r="G139" s="847" t="s">
        <v>4903</v>
      </c>
      <c r="H139" s="925">
        <v>1</v>
      </c>
    </row>
    <row r="140" spans="2:8">
      <c r="B140" s="36"/>
      <c r="C140" s="847"/>
      <c r="D140" s="844"/>
      <c r="E140" s="844"/>
      <c r="F140" s="844"/>
      <c r="G140" s="844"/>
      <c r="H140" s="925"/>
    </row>
    <row r="141" spans="2:8">
      <c r="B141" s="36" t="s">
        <v>1745</v>
      </c>
      <c r="C141" s="847" t="s">
        <v>4904</v>
      </c>
      <c r="D141" s="847" t="s">
        <v>1781</v>
      </c>
      <c r="E141" s="847">
        <v>867</v>
      </c>
      <c r="F141" s="847">
        <v>80</v>
      </c>
      <c r="G141" s="847" t="s">
        <v>4905</v>
      </c>
      <c r="H141" s="925">
        <v>2</v>
      </c>
    </row>
    <row r="142" spans="2:8">
      <c r="B142" s="36" t="s">
        <v>1745</v>
      </c>
      <c r="C142" s="846" t="s">
        <v>4904</v>
      </c>
      <c r="D142" s="847" t="s">
        <v>1775</v>
      </c>
      <c r="E142" s="847">
        <v>564</v>
      </c>
      <c r="F142" s="847">
        <v>600</v>
      </c>
      <c r="G142" s="847" t="s">
        <v>4906</v>
      </c>
      <c r="H142" s="925">
        <v>1</v>
      </c>
    </row>
    <row r="143" spans="2:8">
      <c r="B143" s="36" t="s">
        <v>1745</v>
      </c>
      <c r="C143" s="846" t="s">
        <v>4904</v>
      </c>
      <c r="D143" s="846" t="s">
        <v>1775</v>
      </c>
      <c r="E143" s="846">
        <v>564</v>
      </c>
      <c r="F143" s="847">
        <v>550</v>
      </c>
      <c r="G143" s="847" t="s">
        <v>4907</v>
      </c>
      <c r="H143" s="925">
        <v>1</v>
      </c>
    </row>
    <row r="144" spans="2:8">
      <c r="B144" s="36"/>
      <c r="C144" s="847"/>
      <c r="D144" s="844"/>
      <c r="E144" s="844"/>
      <c r="F144" s="844"/>
      <c r="G144" s="844"/>
      <c r="H144" s="925"/>
    </row>
    <row r="145" spans="2:8">
      <c r="B145" s="36" t="s">
        <v>1745</v>
      </c>
      <c r="C145" s="847" t="s">
        <v>4628</v>
      </c>
      <c r="D145" s="847" t="s">
        <v>1844</v>
      </c>
      <c r="E145" s="847">
        <v>172</v>
      </c>
      <c r="F145" s="847">
        <v>100</v>
      </c>
      <c r="G145" s="847" t="s">
        <v>1658</v>
      </c>
      <c r="H145" s="925">
        <v>8</v>
      </c>
    </row>
    <row r="146" spans="2:8">
      <c r="B146" s="36" t="s">
        <v>1745</v>
      </c>
      <c r="C146" s="846" t="s">
        <v>4628</v>
      </c>
      <c r="D146" s="846" t="s">
        <v>1844</v>
      </c>
      <c r="E146" s="847">
        <v>290</v>
      </c>
      <c r="F146" s="847">
        <v>100</v>
      </c>
      <c r="G146" s="847" t="s">
        <v>1658</v>
      </c>
      <c r="H146" s="925">
        <v>8</v>
      </c>
    </row>
    <row r="147" spans="2:8">
      <c r="B147" s="36"/>
      <c r="C147" s="847"/>
      <c r="D147" s="844"/>
      <c r="E147" s="844"/>
      <c r="F147" s="844"/>
      <c r="G147" s="844"/>
      <c r="H147" s="925"/>
    </row>
    <row r="148" spans="2:8">
      <c r="B148" s="36" t="s">
        <v>1745</v>
      </c>
      <c r="C148" s="847" t="s">
        <v>4699</v>
      </c>
      <c r="D148" s="847" t="s">
        <v>3059</v>
      </c>
      <c r="E148" s="847">
        <v>2430</v>
      </c>
      <c r="F148" s="847">
        <v>50</v>
      </c>
      <c r="G148" s="847" t="s">
        <v>1658</v>
      </c>
      <c r="H148" s="925">
        <v>4</v>
      </c>
    </row>
    <row r="149" spans="2:8">
      <c r="B149" s="36" t="s">
        <v>1745</v>
      </c>
      <c r="C149" s="846" t="s">
        <v>4699</v>
      </c>
      <c r="D149" s="846" t="s">
        <v>3059</v>
      </c>
      <c r="E149" s="847">
        <v>602</v>
      </c>
      <c r="F149" s="847">
        <v>50</v>
      </c>
      <c r="G149" s="847" t="s">
        <v>1658</v>
      </c>
      <c r="H149" s="925">
        <v>2</v>
      </c>
    </row>
    <row r="150" spans="2:8">
      <c r="B150" s="36" t="s">
        <v>1745</v>
      </c>
      <c r="C150" s="846" t="s">
        <v>4699</v>
      </c>
      <c r="D150" s="846" t="s">
        <v>3059</v>
      </c>
      <c r="E150" s="847">
        <v>1908</v>
      </c>
      <c r="F150" s="847">
        <v>70</v>
      </c>
      <c r="G150" s="847" t="s">
        <v>1658</v>
      </c>
      <c r="H150" s="925">
        <v>1</v>
      </c>
    </row>
    <row r="151" spans="2:8">
      <c r="B151" s="36" t="s">
        <v>1745</v>
      </c>
      <c r="C151" s="846" t="s">
        <v>4699</v>
      </c>
      <c r="D151" s="847" t="s">
        <v>1770</v>
      </c>
      <c r="E151" s="847">
        <v>2404</v>
      </c>
      <c r="F151" s="847">
        <v>600</v>
      </c>
      <c r="G151" s="847" t="s">
        <v>4908</v>
      </c>
      <c r="H151" s="925">
        <v>1</v>
      </c>
    </row>
    <row r="152" spans="2:8">
      <c r="B152" s="36" t="s">
        <v>1745</v>
      </c>
      <c r="C152" s="846" t="s">
        <v>4699</v>
      </c>
      <c r="D152" s="847" t="s">
        <v>1793</v>
      </c>
      <c r="E152" s="847">
        <v>1149</v>
      </c>
      <c r="F152" s="847">
        <v>582</v>
      </c>
      <c r="G152" s="847" t="s">
        <v>4909</v>
      </c>
      <c r="H152" s="925">
        <v>1</v>
      </c>
    </row>
    <row r="153" spans="2:8">
      <c r="B153" s="36"/>
      <c r="C153" s="847"/>
      <c r="D153" s="844"/>
      <c r="E153" s="844"/>
      <c r="F153" s="844"/>
      <c r="G153" s="844"/>
      <c r="H153" s="925"/>
    </row>
    <row r="154" spans="2:8">
      <c r="B154" s="36" t="s">
        <v>1745</v>
      </c>
      <c r="C154" s="847" t="s">
        <v>4700</v>
      </c>
      <c r="D154" s="847" t="s">
        <v>1617</v>
      </c>
      <c r="E154" s="847">
        <v>2430</v>
      </c>
      <c r="F154" s="847">
        <v>30</v>
      </c>
      <c r="G154" s="847" t="s">
        <v>1658</v>
      </c>
      <c r="H154" s="925">
        <v>4</v>
      </c>
    </row>
    <row r="155" spans="2:8">
      <c r="B155" s="36" t="s">
        <v>1745</v>
      </c>
      <c r="C155" s="846" t="s">
        <v>4700</v>
      </c>
      <c r="D155" s="846" t="s">
        <v>1617</v>
      </c>
      <c r="E155" s="846">
        <v>2430</v>
      </c>
      <c r="F155" s="847">
        <v>70</v>
      </c>
      <c r="G155" s="847" t="s">
        <v>1658</v>
      </c>
      <c r="H155" s="925">
        <v>10</v>
      </c>
    </row>
    <row r="156" spans="2:8">
      <c r="B156" s="36" t="s">
        <v>1745</v>
      </c>
      <c r="C156" s="846" t="s">
        <v>4700</v>
      </c>
      <c r="D156" s="846" t="s">
        <v>1617</v>
      </c>
      <c r="E156" s="847">
        <v>2420</v>
      </c>
      <c r="F156" s="847">
        <v>30</v>
      </c>
      <c r="G156" s="847" t="s">
        <v>1658</v>
      </c>
      <c r="H156" s="925">
        <v>1</v>
      </c>
    </row>
    <row r="157" spans="2:8">
      <c r="B157" s="36" t="s">
        <v>1745</v>
      </c>
      <c r="C157" s="846" t="s">
        <v>4700</v>
      </c>
      <c r="D157" s="847" t="s">
        <v>1838</v>
      </c>
      <c r="E157" s="847">
        <v>2000</v>
      </c>
      <c r="F157" s="847">
        <v>209</v>
      </c>
      <c r="G157" s="847" t="s">
        <v>1658</v>
      </c>
      <c r="H157" s="925">
        <v>1</v>
      </c>
    </row>
    <row r="158" spans="2:8">
      <c r="B158" s="36" t="s">
        <v>1745</v>
      </c>
      <c r="C158" s="846" t="s">
        <v>4700</v>
      </c>
      <c r="D158" s="846" t="s">
        <v>1838</v>
      </c>
      <c r="E158" s="847">
        <v>1490</v>
      </c>
      <c r="F158" s="847">
        <v>209</v>
      </c>
      <c r="G158" s="847" t="s">
        <v>1658</v>
      </c>
      <c r="H158" s="925">
        <v>1</v>
      </c>
    </row>
    <row r="159" spans="2:8">
      <c r="B159" s="36" t="s">
        <v>1745</v>
      </c>
      <c r="C159" s="846" t="s">
        <v>4700</v>
      </c>
      <c r="D159" s="846" t="s">
        <v>1838</v>
      </c>
      <c r="E159" s="847">
        <v>1900</v>
      </c>
      <c r="F159" s="847">
        <v>327</v>
      </c>
      <c r="G159" s="847" t="s">
        <v>1658</v>
      </c>
      <c r="H159" s="925">
        <v>1</v>
      </c>
    </row>
    <row r="160" spans="2:8">
      <c r="B160" s="36" t="s">
        <v>1745</v>
      </c>
      <c r="C160" s="846" t="s">
        <v>4700</v>
      </c>
      <c r="D160" s="846" t="s">
        <v>1838</v>
      </c>
      <c r="E160" s="847">
        <v>1390</v>
      </c>
      <c r="F160" s="847">
        <v>327</v>
      </c>
      <c r="G160" s="847" t="s">
        <v>1658</v>
      </c>
      <c r="H160" s="925">
        <v>1</v>
      </c>
    </row>
    <row r="161" spans="2:8">
      <c r="B161" s="36" t="s">
        <v>1745</v>
      </c>
      <c r="C161" s="846" t="s">
        <v>4700</v>
      </c>
      <c r="D161" s="847" t="s">
        <v>2535</v>
      </c>
      <c r="E161" s="847">
        <v>2430</v>
      </c>
      <c r="F161" s="847">
        <v>100</v>
      </c>
      <c r="G161" s="847" t="s">
        <v>1658</v>
      </c>
      <c r="H161" s="925">
        <v>7</v>
      </c>
    </row>
    <row r="162" spans="2:8">
      <c r="B162" s="36"/>
      <c r="C162" s="847"/>
      <c r="D162" s="844"/>
      <c r="E162" s="844"/>
      <c r="F162" s="844"/>
      <c r="G162" s="844"/>
      <c r="H162" s="925"/>
    </row>
    <row r="163" spans="2:8">
      <c r="B163" s="36" t="s">
        <v>1745</v>
      </c>
      <c r="C163" s="847" t="s">
        <v>4701</v>
      </c>
      <c r="D163" s="847" t="s">
        <v>3825</v>
      </c>
      <c r="E163" s="847">
        <v>1740</v>
      </c>
      <c r="F163" s="847">
        <v>705</v>
      </c>
      <c r="G163" s="847" t="s">
        <v>1658</v>
      </c>
      <c r="H163" s="925">
        <v>2</v>
      </c>
    </row>
    <row r="164" spans="2:8">
      <c r="B164" s="36" t="s">
        <v>1745</v>
      </c>
      <c r="C164" s="846" t="s">
        <v>4701</v>
      </c>
      <c r="D164" s="847" t="s">
        <v>1791</v>
      </c>
      <c r="E164" s="847">
        <v>154</v>
      </c>
      <c r="F164" s="847">
        <v>579</v>
      </c>
      <c r="G164" s="847" t="s">
        <v>1658</v>
      </c>
      <c r="H164" s="925">
        <v>3</v>
      </c>
    </row>
    <row r="165" spans="2:8">
      <c r="B165" s="36"/>
      <c r="C165" s="847"/>
      <c r="D165" s="844"/>
      <c r="E165" s="844"/>
      <c r="F165" s="844"/>
      <c r="G165" s="844"/>
      <c r="H165" s="925"/>
    </row>
    <row r="166" spans="2:8">
      <c r="B166" s="36" t="s">
        <v>1745</v>
      </c>
      <c r="C166" s="847" t="s">
        <v>4739</v>
      </c>
      <c r="D166" s="847" t="s">
        <v>1607</v>
      </c>
      <c r="E166" s="847">
        <v>1650</v>
      </c>
      <c r="F166" s="847">
        <v>730</v>
      </c>
      <c r="G166" s="847" t="s">
        <v>1658</v>
      </c>
      <c r="H166" s="925">
        <v>2</v>
      </c>
    </row>
    <row r="167" spans="2:8">
      <c r="B167" s="36" t="s">
        <v>1745</v>
      </c>
      <c r="C167" s="846" t="s">
        <v>4739</v>
      </c>
      <c r="D167" s="846" t="s">
        <v>1607</v>
      </c>
      <c r="E167" s="847">
        <v>1840</v>
      </c>
      <c r="F167" s="847">
        <v>730</v>
      </c>
      <c r="G167" s="847" t="s">
        <v>1658</v>
      </c>
      <c r="H167" s="925">
        <v>2</v>
      </c>
    </row>
    <row r="168" spans="2:8">
      <c r="B168" s="36" t="s">
        <v>1745</v>
      </c>
      <c r="C168" s="846" t="s">
        <v>4739</v>
      </c>
      <c r="D168" s="846" t="s">
        <v>1607</v>
      </c>
      <c r="E168" s="847">
        <v>860</v>
      </c>
      <c r="F168" s="847">
        <v>585</v>
      </c>
      <c r="G168" s="847" t="s">
        <v>1658</v>
      </c>
      <c r="H168" s="925">
        <v>1</v>
      </c>
    </row>
    <row r="169" spans="2:8">
      <c r="B169" s="36"/>
      <c r="C169" s="847"/>
      <c r="D169" s="844"/>
      <c r="E169" s="844"/>
      <c r="F169" s="844"/>
      <c r="G169" s="844"/>
      <c r="H169" s="925"/>
    </row>
    <row r="170" spans="2:8">
      <c r="B170" s="36" t="s">
        <v>1745</v>
      </c>
      <c r="C170" s="847" t="s">
        <v>4740</v>
      </c>
      <c r="D170" s="847" t="s">
        <v>1608</v>
      </c>
      <c r="E170" s="847">
        <v>2000</v>
      </c>
      <c r="F170" s="847">
        <v>1004</v>
      </c>
      <c r="G170" s="847" t="s">
        <v>1658</v>
      </c>
      <c r="H170" s="925">
        <v>1</v>
      </c>
    </row>
    <row r="171" spans="2:8">
      <c r="B171" s="36"/>
      <c r="C171" s="847"/>
      <c r="D171" s="844"/>
      <c r="E171" s="844"/>
      <c r="F171" s="844"/>
      <c r="G171" s="844"/>
      <c r="H171" s="925"/>
    </row>
    <row r="172" spans="2:8">
      <c r="B172" s="36" t="s">
        <v>1745</v>
      </c>
      <c r="C172" s="847" t="s">
        <v>4702</v>
      </c>
      <c r="D172" s="847" t="s">
        <v>2467</v>
      </c>
      <c r="E172" s="847">
        <v>760</v>
      </c>
      <c r="F172" s="847">
        <v>40</v>
      </c>
      <c r="G172" s="847" t="s">
        <v>1658</v>
      </c>
      <c r="H172" s="925">
        <v>1</v>
      </c>
    </row>
    <row r="173" spans="2:8">
      <c r="B173" s="36" t="s">
        <v>1745</v>
      </c>
      <c r="C173" s="846" t="s">
        <v>4702</v>
      </c>
      <c r="D173" s="846" t="s">
        <v>2467</v>
      </c>
      <c r="E173" s="847">
        <v>1210</v>
      </c>
      <c r="F173" s="847">
        <v>40</v>
      </c>
      <c r="G173" s="847" t="s">
        <v>1658</v>
      </c>
      <c r="H173" s="925">
        <v>1</v>
      </c>
    </row>
    <row r="174" spans="2:8">
      <c r="B174" s="36" t="s">
        <v>1745</v>
      </c>
      <c r="C174" s="846" t="s">
        <v>4702</v>
      </c>
      <c r="D174" s="846" t="s">
        <v>2467</v>
      </c>
      <c r="E174" s="847">
        <v>500</v>
      </c>
      <c r="F174" s="847">
        <v>40</v>
      </c>
      <c r="G174" s="847" t="s">
        <v>1658</v>
      </c>
      <c r="H174" s="925">
        <v>1</v>
      </c>
    </row>
    <row r="175" spans="2:8">
      <c r="B175" s="36"/>
      <c r="C175" s="847"/>
      <c r="D175" s="844"/>
      <c r="E175" s="844"/>
      <c r="F175" s="844"/>
      <c r="G175" s="844"/>
      <c r="H175" s="925"/>
    </row>
    <row r="176" spans="2:8">
      <c r="B176" s="36" t="s">
        <v>1745</v>
      </c>
      <c r="C176" s="847" t="s">
        <v>4623</v>
      </c>
      <c r="D176" s="847" t="s">
        <v>1615</v>
      </c>
      <c r="E176" s="847">
        <v>2370</v>
      </c>
      <c r="F176" s="847">
        <v>588</v>
      </c>
      <c r="G176" s="847" t="s">
        <v>4741</v>
      </c>
      <c r="H176" s="925">
        <v>1</v>
      </c>
    </row>
    <row r="177" spans="2:8">
      <c r="B177" s="36" t="s">
        <v>1745</v>
      </c>
      <c r="C177" s="846" t="s">
        <v>4623</v>
      </c>
      <c r="D177" s="846" t="s">
        <v>1615</v>
      </c>
      <c r="E177" s="847">
        <v>1318</v>
      </c>
      <c r="F177" s="847">
        <v>588</v>
      </c>
      <c r="G177" s="847" t="s">
        <v>4742</v>
      </c>
      <c r="H177" s="925">
        <v>1</v>
      </c>
    </row>
    <row r="178" spans="2:8">
      <c r="B178" s="36" t="s">
        <v>1745</v>
      </c>
      <c r="C178" s="846" t="s">
        <v>4623</v>
      </c>
      <c r="D178" s="846" t="s">
        <v>1615</v>
      </c>
      <c r="E178" s="847">
        <v>1852</v>
      </c>
      <c r="F178" s="847">
        <v>688</v>
      </c>
      <c r="G178" s="847" t="s">
        <v>4743</v>
      </c>
      <c r="H178" s="925">
        <v>1</v>
      </c>
    </row>
    <row r="179" spans="2:8">
      <c r="B179" s="36"/>
      <c r="C179" s="847"/>
      <c r="D179" s="844"/>
      <c r="E179" s="844"/>
      <c r="F179" s="844"/>
      <c r="G179" s="844"/>
      <c r="H179" s="925"/>
    </row>
    <row r="180" spans="2:8">
      <c r="B180" s="36" t="s">
        <v>1745</v>
      </c>
      <c r="C180" s="847" t="s">
        <v>4910</v>
      </c>
      <c r="D180" s="847" t="s">
        <v>1783</v>
      </c>
      <c r="E180" s="847">
        <v>710</v>
      </c>
      <c r="F180" s="847">
        <v>883</v>
      </c>
      <c r="G180" s="847" t="s">
        <v>4911</v>
      </c>
      <c r="H180" s="925">
        <v>1</v>
      </c>
    </row>
    <row r="181" spans="2:8">
      <c r="B181" s="36" t="s">
        <v>1745</v>
      </c>
      <c r="C181" s="846" t="s">
        <v>4910</v>
      </c>
      <c r="D181" s="846" t="s">
        <v>1783</v>
      </c>
      <c r="E181" s="847">
        <v>2343</v>
      </c>
      <c r="F181" s="847">
        <v>581</v>
      </c>
      <c r="G181" s="847" t="s">
        <v>4912</v>
      </c>
      <c r="H181" s="925">
        <v>1</v>
      </c>
    </row>
    <row r="182" spans="2:8">
      <c r="B182" s="36" t="s">
        <v>1745</v>
      </c>
      <c r="C182" s="846" t="s">
        <v>4910</v>
      </c>
      <c r="D182" s="846" t="s">
        <v>1783</v>
      </c>
      <c r="E182" s="847">
        <v>683</v>
      </c>
      <c r="F182" s="847">
        <v>581</v>
      </c>
      <c r="G182" s="847" t="s">
        <v>4913</v>
      </c>
      <c r="H182" s="925">
        <v>1</v>
      </c>
    </row>
    <row r="183" spans="2:8">
      <c r="B183" s="36" t="s">
        <v>1745</v>
      </c>
      <c r="C183" s="846" t="s">
        <v>4910</v>
      </c>
      <c r="D183" s="847" t="s">
        <v>1803</v>
      </c>
      <c r="E183" s="847">
        <v>837</v>
      </c>
      <c r="F183" s="847">
        <v>488</v>
      </c>
      <c r="G183" s="847" t="s">
        <v>4914</v>
      </c>
      <c r="H183" s="925">
        <v>1</v>
      </c>
    </row>
    <row r="184" spans="2:8">
      <c r="B184" s="36" t="s">
        <v>1745</v>
      </c>
      <c r="C184" s="846" t="s">
        <v>4910</v>
      </c>
      <c r="D184" s="846" t="s">
        <v>1803</v>
      </c>
      <c r="E184" s="846">
        <v>837</v>
      </c>
      <c r="F184" s="846">
        <v>488</v>
      </c>
      <c r="G184" s="851" t="s">
        <v>4915</v>
      </c>
      <c r="H184" s="925">
        <v>2</v>
      </c>
    </row>
    <row r="185" spans="2:8">
      <c r="B185" s="36"/>
      <c r="C185" s="847"/>
      <c r="D185" s="844"/>
      <c r="E185" s="844"/>
      <c r="F185" s="844"/>
      <c r="G185" s="844"/>
      <c r="H185" s="925"/>
    </row>
    <row r="186" spans="2:8">
      <c r="B186" s="36" t="s">
        <v>3551</v>
      </c>
      <c r="C186" s="847" t="s">
        <v>4373</v>
      </c>
      <c r="D186" s="847" t="s">
        <v>2859</v>
      </c>
      <c r="E186" s="847">
        <v>904</v>
      </c>
      <c r="F186" s="847">
        <v>560</v>
      </c>
      <c r="G186" s="847" t="s">
        <v>1658</v>
      </c>
      <c r="H186" s="925">
        <v>1</v>
      </c>
    </row>
    <row r="187" spans="2:8">
      <c r="B187" s="36" t="s">
        <v>3551</v>
      </c>
      <c r="C187" s="846" t="s">
        <v>4373</v>
      </c>
      <c r="D187" s="847" t="s">
        <v>2858</v>
      </c>
      <c r="E187" s="847">
        <v>602</v>
      </c>
      <c r="F187" s="847">
        <v>600</v>
      </c>
      <c r="G187" s="847" t="s">
        <v>1658</v>
      </c>
      <c r="H187" s="925">
        <v>1</v>
      </c>
    </row>
    <row r="188" spans="2:8">
      <c r="B188" s="36"/>
      <c r="C188" s="847"/>
      <c r="D188" s="844"/>
      <c r="E188" s="844"/>
      <c r="F188" s="844"/>
      <c r="G188" s="844"/>
      <c r="H188" s="925"/>
    </row>
    <row r="189" spans="2:8">
      <c r="B189" s="942" t="s">
        <v>2183</v>
      </c>
      <c r="C189" s="942"/>
      <c r="D189" s="942"/>
      <c r="E189" s="942"/>
      <c r="F189" s="942"/>
      <c r="G189" s="942"/>
      <c r="H189" s="925">
        <v>229</v>
      </c>
    </row>
    <row r="190" spans="2:8">
      <c r="E190"/>
    </row>
    <row r="191" spans="2:8">
      <c r="E191"/>
    </row>
    <row r="192" spans="2:8">
      <c r="E192"/>
    </row>
    <row r="193" spans="5:5">
      <c r="E193"/>
    </row>
    <row r="194" spans="5:5">
      <c r="E194"/>
    </row>
    <row r="195" spans="5:5">
      <c r="E195"/>
    </row>
    <row r="196" spans="5:5">
      <c r="E196"/>
    </row>
    <row r="197" spans="5:5">
      <c r="E197"/>
    </row>
    <row r="198" spans="5:5">
      <c r="E198"/>
    </row>
    <row r="199" spans="5:5">
      <c r="E199"/>
    </row>
    <row r="200" spans="5:5">
      <c r="E200"/>
    </row>
    <row r="201" spans="5:5">
      <c r="E201"/>
    </row>
    <row r="202" spans="5:5">
      <c r="E202"/>
    </row>
    <row r="203" spans="5:5">
      <c r="E203"/>
    </row>
    <row r="204" spans="5:5">
      <c r="E204"/>
    </row>
    <row r="205" spans="5:5">
      <c r="E205"/>
    </row>
    <row r="206" spans="5:5">
      <c r="E206"/>
    </row>
    <row r="207" spans="5:5">
      <c r="E207"/>
    </row>
    <row r="208" spans="5:5">
      <c r="E208"/>
    </row>
    <row r="209" spans="5:5">
      <c r="E209"/>
    </row>
    <row r="210" spans="5:5">
      <c r="E210"/>
    </row>
    <row r="211" spans="5:5">
      <c r="E211"/>
    </row>
    <row r="212" spans="5:5">
      <c r="E212"/>
    </row>
    <row r="213" spans="5:5">
      <c r="E213"/>
    </row>
    <row r="214" spans="5:5">
      <c r="E214"/>
    </row>
    <row r="215" spans="5:5">
      <c r="E215"/>
    </row>
    <row r="216" spans="5:5">
      <c r="E216"/>
    </row>
    <row r="217" spans="5:5">
      <c r="E217"/>
    </row>
    <row r="218" spans="5:5">
      <c r="E218"/>
    </row>
    <row r="219" spans="5:5">
      <c r="E219"/>
    </row>
    <row r="220" spans="5:5">
      <c r="E220"/>
    </row>
    <row r="221" spans="5:5">
      <c r="E221"/>
    </row>
    <row r="222" spans="5:5">
      <c r="E222"/>
    </row>
    <row r="223" spans="5:5">
      <c r="E223"/>
    </row>
    <row r="224" spans="5:5">
      <c r="E224"/>
    </row>
    <row r="225" spans="5:5">
      <c r="E225"/>
    </row>
    <row r="226" spans="5:5">
      <c r="E226"/>
    </row>
    <row r="227" spans="5:5">
      <c r="E227"/>
    </row>
    <row r="228" spans="5:5">
      <c r="E228"/>
    </row>
    <row r="229" spans="5:5">
      <c r="E229"/>
    </row>
    <row r="230" spans="5:5">
      <c r="E230"/>
    </row>
    <row r="231" spans="5:5">
      <c r="E231"/>
    </row>
    <row r="232" spans="5:5">
      <c r="E232"/>
    </row>
    <row r="233" spans="5:5">
      <c r="E233"/>
    </row>
    <row r="234" spans="5:5">
      <c r="E234"/>
    </row>
    <row r="235" spans="5:5">
      <c r="E235"/>
    </row>
    <row r="236" spans="5:5">
      <c r="E236"/>
    </row>
    <row r="237" spans="5:5">
      <c r="E237"/>
    </row>
    <row r="238" spans="5:5">
      <c r="E238"/>
    </row>
    <row r="239" spans="5:5">
      <c r="E239"/>
    </row>
    <row r="240" spans="5:5">
      <c r="E240"/>
    </row>
    <row r="241" spans="5:5">
      <c r="E241"/>
    </row>
    <row r="242" spans="5:5">
      <c r="E242"/>
    </row>
    <row r="243" spans="5:5">
      <c r="E243"/>
    </row>
    <row r="244" spans="5:5">
      <c r="E244"/>
    </row>
    <row r="245" spans="5:5">
      <c r="E245"/>
    </row>
    <row r="246" spans="5:5">
      <c r="E246"/>
    </row>
    <row r="247" spans="5:5">
      <c r="E247"/>
    </row>
    <row r="248" spans="5:5">
      <c r="E248"/>
    </row>
    <row r="249" spans="5:5">
      <c r="E249"/>
    </row>
    <row r="250" spans="5:5">
      <c r="E250"/>
    </row>
    <row r="251" spans="5:5">
      <c r="E251"/>
    </row>
    <row r="252" spans="5:5">
      <c r="E252"/>
    </row>
    <row r="253" spans="5:5">
      <c r="E253"/>
    </row>
    <row r="254" spans="5:5">
      <c r="E254"/>
    </row>
    <row r="255" spans="5:5">
      <c r="E255"/>
    </row>
    <row r="256" spans="5:5">
      <c r="E256"/>
    </row>
    <row r="257" spans="5:5">
      <c r="E257"/>
    </row>
    <row r="258" spans="5:5">
      <c r="E258"/>
    </row>
    <row r="259" spans="5:5">
      <c r="E259"/>
    </row>
    <row r="260" spans="5:5">
      <c r="E260"/>
    </row>
    <row r="261" spans="5:5">
      <c r="E261"/>
    </row>
    <row r="262" spans="5:5">
      <c r="E262"/>
    </row>
    <row r="263" spans="5:5">
      <c r="E263"/>
    </row>
    <row r="264" spans="5:5">
      <c r="E264"/>
    </row>
    <row r="265" spans="5:5">
      <c r="E265"/>
    </row>
    <row r="266" spans="5:5">
      <c r="E266"/>
    </row>
    <row r="267" spans="5:5">
      <c r="E267"/>
    </row>
    <row r="268" spans="5:5">
      <c r="E268"/>
    </row>
    <row r="269" spans="5:5">
      <c r="E269"/>
    </row>
    <row r="270" spans="5:5">
      <c r="E270"/>
    </row>
    <row r="271" spans="5:5">
      <c r="E271"/>
    </row>
    <row r="272" spans="5:5">
      <c r="E272"/>
    </row>
    <row r="273" spans="5:5">
      <c r="E273"/>
    </row>
    <row r="274" spans="5:5">
      <c r="E274"/>
    </row>
    <row r="275" spans="5:5">
      <c r="E275"/>
    </row>
    <row r="276" spans="5:5">
      <c r="E276"/>
    </row>
    <row r="277" spans="5:5">
      <c r="E277"/>
    </row>
    <row r="278" spans="5:5">
      <c r="E278"/>
    </row>
    <row r="279" spans="5:5">
      <c r="E279"/>
    </row>
    <row r="280" spans="5:5">
      <c r="E280"/>
    </row>
    <row r="281" spans="5:5">
      <c r="E281"/>
    </row>
    <row r="282" spans="5:5">
      <c r="E282"/>
    </row>
    <row r="283" spans="5:5">
      <c r="E283"/>
    </row>
    <row r="284" spans="5:5">
      <c r="E284"/>
    </row>
    <row r="285" spans="5:5">
      <c r="E285"/>
    </row>
    <row r="286" spans="5:5">
      <c r="E286"/>
    </row>
    <row r="287" spans="5:5">
      <c r="E287"/>
    </row>
    <row r="288" spans="5:5">
      <c r="E288"/>
    </row>
    <row r="289" spans="5:5">
      <c r="E289"/>
    </row>
    <row r="290" spans="5:5">
      <c r="E290"/>
    </row>
    <row r="291" spans="5:5">
      <c r="E291"/>
    </row>
    <row r="292" spans="5:5">
      <c r="E292"/>
    </row>
    <row r="293" spans="5:5">
      <c r="E293"/>
    </row>
    <row r="294" spans="5:5">
      <c r="E294"/>
    </row>
    <row r="295" spans="5:5">
      <c r="E295"/>
    </row>
    <row r="296" spans="5:5">
      <c r="E296"/>
    </row>
    <row r="297" spans="5:5">
      <c r="E297"/>
    </row>
    <row r="298" spans="5:5">
      <c r="E298"/>
    </row>
    <row r="299" spans="5:5">
      <c r="E299"/>
    </row>
    <row r="300" spans="5:5">
      <c r="E300"/>
    </row>
    <row r="301" spans="5:5">
      <c r="E301"/>
    </row>
    <row r="302" spans="5:5">
      <c r="E302"/>
    </row>
    <row r="303" spans="5:5">
      <c r="E303"/>
    </row>
    <row r="304" spans="5:5">
      <c r="E304"/>
    </row>
    <row r="305" spans="5:5">
      <c r="E305"/>
    </row>
    <row r="306" spans="5:5">
      <c r="E306"/>
    </row>
    <row r="307" spans="5:5">
      <c r="E307"/>
    </row>
    <row r="308" spans="5:5">
      <c r="E308"/>
    </row>
    <row r="309" spans="5:5">
      <c r="E309"/>
    </row>
    <row r="310" spans="5:5">
      <c r="E310"/>
    </row>
    <row r="311" spans="5:5">
      <c r="E311"/>
    </row>
    <row r="312" spans="5:5">
      <c r="E312"/>
    </row>
    <row r="313" spans="5:5">
      <c r="E313"/>
    </row>
  </sheetData>
  <mergeCells count="1">
    <mergeCell ref="A1:H1"/>
  </mergeCells>
  <pageMargins left="0.1" right="0.1" top="0.75" bottom="0.05" header="0.25" footer="0.05"/>
  <pageSetup orientation="portrait" horizontalDpi="360" verticalDpi="180" r:id="rId2"/>
  <headerFooter>
    <oddHeader>&amp;L&amp;F</oddHeader>
  </headerFooter>
  <rowBreaks count="2" manualBreakCount="2">
    <brk id="38" max="8" man="1"/>
    <brk id="74" max="8" man="1"/>
  </rowBreaks>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45"/>
  <sheetViews>
    <sheetView view="pageBreakPreview" zoomScale="80" zoomScaleNormal="80" zoomScaleSheetLayoutView="80" workbookViewId="0">
      <pane ySplit="12" topLeftCell="A13" activePane="bottomLeft" state="frozen"/>
      <selection pane="bottomLeft" activeCell="C13" sqref="C13"/>
    </sheetView>
  </sheetViews>
  <sheetFormatPr baseColWidth="10" defaultColWidth="7" defaultRowHeight="16"/>
  <cols>
    <col min="1" max="1" width="2.6640625" customWidth="1"/>
    <col min="2" max="2" width="10" customWidth="1"/>
    <col min="3" max="3" width="35.6640625" customWidth="1"/>
    <col min="4" max="4" width="4.33203125" customWidth="1"/>
    <col min="5" max="5" width="6.1640625" customWidth="1"/>
    <col min="6" max="6" width="31.6640625" customWidth="1"/>
    <col min="7" max="7" width="4.6640625" customWidth="1"/>
  </cols>
  <sheetData>
    <row r="1" spans="1:11" s="69" customFormat="1" ht="13">
      <c r="A1" s="71"/>
      <c r="B1" s="71"/>
      <c r="C1" s="71"/>
      <c r="D1" s="71"/>
      <c r="E1" s="71"/>
    </row>
    <row r="2" spans="1:11" s="69" customFormat="1" ht="18">
      <c r="A2" s="906" t="s">
        <v>2198</v>
      </c>
      <c r="B2" s="906"/>
      <c r="C2" s="906"/>
      <c r="D2" s="906"/>
      <c r="E2" s="906"/>
      <c r="F2" s="906"/>
    </row>
    <row r="3" spans="1:11" s="69" customFormat="1" ht="14.25" customHeight="1">
      <c r="A3" s="71"/>
      <c r="B3" s="71"/>
      <c r="C3" s="498"/>
      <c r="D3" s="71"/>
      <c r="E3" s="71"/>
    </row>
    <row r="4" spans="1:11" s="69" customFormat="1" ht="14.25" customHeight="1">
      <c r="A4" s="71"/>
      <c r="B4" s="71"/>
      <c r="C4" s="71"/>
      <c r="D4" s="75"/>
      <c r="E4" s="75" t="s">
        <v>2199</v>
      </c>
      <c r="F4" s="76" t="e">
        <f>jumlah_komponen</f>
        <v>#REF!</v>
      </c>
    </row>
    <row r="5" spans="1:11" s="69" customFormat="1" ht="14.25" customHeight="1">
      <c r="A5" s="71"/>
      <c r="B5" s="71"/>
      <c r="C5" s="71"/>
      <c r="D5" s="71"/>
      <c r="E5" s="71"/>
      <c r="F5" s="71"/>
      <c r="J5" s="71"/>
      <c r="K5" s="71"/>
    </row>
    <row r="6" spans="1:11" s="69" customFormat="1" ht="13">
      <c r="A6" s="77" t="s">
        <v>2200</v>
      </c>
      <c r="B6" s="77"/>
      <c r="C6" s="71" t="s">
        <v>2201</v>
      </c>
      <c r="D6" s="71"/>
      <c r="E6" s="77" t="s">
        <v>2202</v>
      </c>
      <c r="F6" s="78" t="str">
        <f>No_proyek</f>
        <v>RZ0458</v>
      </c>
      <c r="J6" s="71"/>
      <c r="K6" s="71"/>
    </row>
    <row r="7" spans="1:11" s="69" customFormat="1" ht="14">
      <c r="A7" s="77" t="s">
        <v>2203</v>
      </c>
      <c r="B7" s="77"/>
      <c r="C7" s="79" t="str">
        <f>no_kontrak</f>
        <v>127/RK-RL-PI/PAP-LL/XII/2025</v>
      </c>
      <c r="D7" s="71"/>
      <c r="E7" s="498" t="s">
        <v>3092</v>
      </c>
      <c r="F7" s="77"/>
      <c r="J7" s="78"/>
      <c r="K7" s="78"/>
    </row>
    <row r="8" spans="1:11" s="69" customFormat="1" ht="14">
      <c r="A8" s="80" t="s">
        <v>1508</v>
      </c>
      <c r="B8" s="80"/>
      <c r="C8" s="81" t="str">
        <f>nip</f>
        <v>25LL017MPC</v>
      </c>
      <c r="D8" s="71"/>
      <c r="E8" s="71"/>
      <c r="F8" s="77"/>
      <c r="J8" s="78"/>
      <c r="K8" s="78"/>
    </row>
    <row r="9" spans="1:11" s="69" customFormat="1" ht="14">
      <c r="A9" s="77" t="s">
        <v>2204</v>
      </c>
      <c r="B9" s="77"/>
      <c r="C9" s="8" t="str">
        <f>nama_proyek</f>
        <v>PT Malindo Feedmill Tbk-Dry Pantry</v>
      </c>
      <c r="D9" s="71"/>
      <c r="E9" s="75" t="s">
        <v>2205</v>
      </c>
      <c r="F9" s="19">
        <f>tgl</f>
        <v>46163</v>
      </c>
      <c r="G9" s="19"/>
      <c r="J9" s="78"/>
      <c r="K9" s="78"/>
    </row>
    <row r="10" spans="1:11" s="69" customFormat="1" ht="15.75" customHeight="1">
      <c r="A10" s="907" t="s">
        <v>2206</v>
      </c>
      <c r="B10" s="907"/>
      <c r="C10" s="8" t="str">
        <f>Estimator</f>
        <v>Fahrudin</v>
      </c>
      <c r="D10" s="908" t="s">
        <v>2838</v>
      </c>
      <c r="E10" s="908"/>
      <c r="F10" s="71" t="s">
        <v>2895</v>
      </c>
      <c r="J10" s="78"/>
      <c r="K10" s="78"/>
    </row>
    <row r="11" spans="1:11" s="69" customFormat="1" ht="6" customHeight="1" thickBot="1">
      <c r="A11" s="71"/>
      <c r="B11" s="71"/>
      <c r="C11" s="71"/>
      <c r="D11" s="71"/>
      <c r="E11" s="71"/>
      <c r="J11" s="78"/>
      <c r="K11" s="78"/>
    </row>
    <row r="12" spans="1:11" ht="20" customHeight="1">
      <c r="A12" s="741" t="s">
        <v>2135</v>
      </c>
      <c r="B12" s="736" t="s">
        <v>1</v>
      </c>
      <c r="C12" s="734" t="s">
        <v>2164</v>
      </c>
      <c r="D12" s="735" t="s">
        <v>2220</v>
      </c>
      <c r="E12" s="736" t="s">
        <v>2221</v>
      </c>
      <c r="F12" s="739" t="s">
        <v>3</v>
      </c>
      <c r="G12" s="736" t="s">
        <v>2133</v>
      </c>
    </row>
    <row r="13" spans="1:11">
      <c r="A13" s="36"/>
      <c r="B13" s="86">
        <f>IFERROR(INDEX((ID),MATCH(C13,BARANG,0)),"…")</f>
        <v>210481</v>
      </c>
      <c r="C13" s="740" t="str">
        <f>edgingkab1</f>
        <v>Edg_Décor_1723_B</v>
      </c>
      <c r="D13" s="60">
        <f t="shared" ref="D13:D24" si="0">ROUNDUP(SUMIFS(P,kode,$G13,PI,$C13)+SUMIFS(P,kode,$G13,PII,$C13)+SUMIFS(L,kode,$G13,LI,$C13)+SUMIFS(L,kode,$G13,LII,$C13),0)</f>
        <v>28</v>
      </c>
      <c r="E13" s="61" t="s">
        <v>2209</v>
      </c>
      <c r="F13" s="36"/>
      <c r="G13" s="61" t="s">
        <v>1745</v>
      </c>
    </row>
    <row r="14" spans="1:11">
      <c r="A14" s="36"/>
      <c r="B14" s="86" t="str">
        <f t="shared" ref="B14:B23" si="1">IFERROR(INDEX((ID),MATCH(C14,BARANG,0)),"…")</f>
        <v>…</v>
      </c>
      <c r="C14" s="740" t="str">
        <f>edgingkab2</f>
        <v>Edg_Decor_1723_B_(55x1)</v>
      </c>
      <c r="D14" s="60">
        <f t="shared" si="0"/>
        <v>0</v>
      </c>
      <c r="E14" s="61" t="s">
        <v>2209</v>
      </c>
      <c r="F14" s="36"/>
      <c r="G14" s="61" t="s">
        <v>1745</v>
      </c>
    </row>
    <row r="15" spans="1:11">
      <c r="A15" s="36"/>
      <c r="B15" s="86">
        <f t="shared" si="1"/>
        <v>210017</v>
      </c>
      <c r="C15" s="740" t="str">
        <f>edging0</f>
        <v>Melanor</v>
      </c>
      <c r="D15" s="60">
        <f t="shared" si="0"/>
        <v>45</v>
      </c>
      <c r="E15" s="61" t="s">
        <v>2209</v>
      </c>
      <c r="F15" s="36"/>
      <c r="G15" s="61" t="s">
        <v>1745</v>
      </c>
    </row>
    <row r="16" spans="1:11">
      <c r="A16" s="36"/>
      <c r="B16" s="86" t="str">
        <f t="shared" si="1"/>
        <v>…</v>
      </c>
      <c r="C16" s="740" t="str">
        <f>edging1</f>
        <v>Edg_EAW_5216D1</v>
      </c>
      <c r="D16" s="60">
        <f t="shared" si="0"/>
        <v>113</v>
      </c>
      <c r="E16" s="61" t="s">
        <v>2209</v>
      </c>
      <c r="F16" s="36"/>
      <c r="G16" s="61" t="s">
        <v>1745</v>
      </c>
    </row>
    <row r="17" spans="1:7">
      <c r="A17" s="36"/>
      <c r="B17" s="86">
        <f t="shared" si="1"/>
        <v>220577</v>
      </c>
      <c r="C17" s="740" t="str">
        <f>edging2</f>
        <v>Edg_EAW_5216_D1(44x1)</v>
      </c>
      <c r="D17" s="60">
        <f t="shared" si="0"/>
        <v>6</v>
      </c>
      <c r="E17" s="61" t="s">
        <v>2209</v>
      </c>
      <c r="F17" s="36"/>
      <c r="G17" s="61" t="s">
        <v>1745</v>
      </c>
    </row>
    <row r="18" spans="1:7">
      <c r="A18" s="36"/>
      <c r="B18" s="86">
        <f t="shared" si="1"/>
        <v>220861</v>
      </c>
      <c r="C18" s="740" t="str">
        <f>edging3</f>
        <v>Edg_DSS_00206_SM</v>
      </c>
      <c r="D18" s="60">
        <f t="shared" si="0"/>
        <v>0</v>
      </c>
      <c r="E18" s="61" t="s">
        <v>2209</v>
      </c>
      <c r="F18" s="36"/>
      <c r="G18" s="61" t="s">
        <v>1745</v>
      </c>
    </row>
    <row r="19" spans="1:7">
      <c r="A19" s="36"/>
      <c r="B19" s="86">
        <f t="shared" si="1"/>
        <v>221110</v>
      </c>
      <c r="C19" s="740" t="str">
        <f>edging4</f>
        <v>Edg_DSS_00206_SM(45X1)</v>
      </c>
      <c r="D19" s="60">
        <f t="shared" si="0"/>
        <v>0</v>
      </c>
      <c r="E19" s="61" t="s">
        <v>2209</v>
      </c>
      <c r="F19" s="36"/>
      <c r="G19" s="61" t="s">
        <v>1745</v>
      </c>
    </row>
    <row r="20" spans="1:7">
      <c r="A20" s="36"/>
      <c r="B20" s="86" t="str">
        <f t="shared" si="1"/>
        <v>…</v>
      </c>
      <c r="C20" s="740" t="str">
        <f>edging5</f>
        <v>Edg_EAP_1338_DO</v>
      </c>
      <c r="D20" s="60">
        <f t="shared" si="0"/>
        <v>9</v>
      </c>
      <c r="E20" s="61" t="s">
        <v>2209</v>
      </c>
      <c r="F20" s="36"/>
      <c r="G20" s="61" t="s">
        <v>1745</v>
      </c>
    </row>
    <row r="21" spans="1:7">
      <c r="A21" s="36"/>
      <c r="B21" s="86" t="str">
        <f t="shared" si="1"/>
        <v>…</v>
      </c>
      <c r="C21" s="740" t="str">
        <f>edging6</f>
        <v>Edg_Decor_2023_B</v>
      </c>
      <c r="D21" s="60">
        <f t="shared" si="0"/>
        <v>0</v>
      </c>
      <c r="E21" s="61" t="s">
        <v>2209</v>
      </c>
      <c r="F21" s="36"/>
      <c r="G21" s="61" t="s">
        <v>1745</v>
      </c>
    </row>
    <row r="22" spans="1:7">
      <c r="A22" s="36"/>
      <c r="B22" s="86">
        <f t="shared" si="1"/>
        <v>205356</v>
      </c>
      <c r="C22" s="740" t="str">
        <f>edging7</f>
        <v>Trim 21 S2/S4 Brown Doff ( Alm. 75181 ) P3</v>
      </c>
      <c r="D22" s="60">
        <f t="shared" si="0"/>
        <v>0</v>
      </c>
      <c r="E22" s="61" t="s">
        <v>2209</v>
      </c>
      <c r="F22" s="36"/>
      <c r="G22" s="61" t="s">
        <v>1745</v>
      </c>
    </row>
    <row r="23" spans="1:7">
      <c r="A23" s="36"/>
      <c r="B23" s="86">
        <f t="shared" si="1"/>
        <v>205345</v>
      </c>
      <c r="C23" s="740" t="str">
        <f>edging8</f>
        <v>Trim 22 S2/S4 Brown Doff ( Alm. 75270 ) P3</v>
      </c>
      <c r="D23" s="60">
        <f t="shared" si="0"/>
        <v>0</v>
      </c>
      <c r="E23" s="61" t="s">
        <v>2209</v>
      </c>
      <c r="F23" s="36"/>
      <c r="G23" s="61" t="s">
        <v>1745</v>
      </c>
    </row>
    <row r="24" spans="1:7">
      <c r="A24" s="36"/>
      <c r="B24" s="86">
        <f>IFERROR(INDEX((ID),MATCH(C24,BARANG,0)),"…")</f>
        <v>205406</v>
      </c>
      <c r="C24" s="740" t="str">
        <f>edging9</f>
        <v>ST-36 Brown Doff ( Alm. 2351 ) P3 P3</v>
      </c>
      <c r="D24" s="60">
        <f t="shared" si="0"/>
        <v>0</v>
      </c>
      <c r="E24" s="61" t="s">
        <v>2209</v>
      </c>
      <c r="F24" s="36"/>
      <c r="G24" s="61" t="s">
        <v>1745</v>
      </c>
    </row>
    <row r="25" spans="1:7">
      <c r="B25" s="701"/>
      <c r="C25" s="738"/>
      <c r="D25" s="737"/>
      <c r="E25" s="62"/>
      <c r="G25" s="62"/>
    </row>
    <row r="26" spans="1:7">
      <c r="B26" s="130" t="s">
        <v>4013</v>
      </c>
    </row>
    <row r="27" spans="1:7">
      <c r="A27" s="36"/>
      <c r="B27" s="86">
        <f t="shared" ref="B27:B38" si="2">IFERROR(INDEX((ID),MATCH(C27,BARANG,0)),"…")</f>
        <v>210481</v>
      </c>
      <c r="C27" s="740" t="str">
        <f>edgingkab1</f>
        <v>Edg_Décor_1723_B</v>
      </c>
      <c r="D27" s="60">
        <f t="shared" ref="D27:D38" si="3">ROUNDUP(SUMIFS(P,kode,$G27,PI,$C27)+SUMIFS(P,kode,$G27,PII,$C27)+SUMIFS(L,kode,$G27,LI,$C27)+SUMIFS(L,kode,$G27,LII,$C27),0)</f>
        <v>4</v>
      </c>
      <c r="E27" s="61" t="s">
        <v>2209</v>
      </c>
      <c r="F27" s="36"/>
      <c r="G27" s="61" t="s">
        <v>3238</v>
      </c>
    </row>
    <row r="28" spans="1:7">
      <c r="A28" s="36"/>
      <c r="B28" s="86" t="str">
        <f t="shared" si="2"/>
        <v>…</v>
      </c>
      <c r="C28" s="740" t="str">
        <f>edgingkab2</f>
        <v>Edg_Decor_1723_B_(55x1)</v>
      </c>
      <c r="D28" s="60">
        <f t="shared" si="3"/>
        <v>0</v>
      </c>
      <c r="E28" s="61" t="s">
        <v>2209</v>
      </c>
      <c r="F28" s="36"/>
      <c r="G28" s="61" t="s">
        <v>3238</v>
      </c>
    </row>
    <row r="29" spans="1:7">
      <c r="A29" s="36"/>
      <c r="B29" s="86">
        <f t="shared" si="2"/>
        <v>210017</v>
      </c>
      <c r="C29" s="740" t="str">
        <f>edging0</f>
        <v>Melanor</v>
      </c>
      <c r="D29" s="60">
        <f t="shared" si="3"/>
        <v>0</v>
      </c>
      <c r="E29" s="61" t="s">
        <v>2209</v>
      </c>
      <c r="F29" s="36"/>
      <c r="G29" s="61" t="s">
        <v>3238</v>
      </c>
    </row>
    <row r="30" spans="1:7">
      <c r="A30" s="36"/>
      <c r="B30" s="86" t="str">
        <f t="shared" si="2"/>
        <v>…</v>
      </c>
      <c r="C30" s="740" t="str">
        <f>edging1</f>
        <v>Edg_EAW_5216D1</v>
      </c>
      <c r="D30" s="60">
        <f t="shared" si="3"/>
        <v>16</v>
      </c>
      <c r="E30" s="61" t="s">
        <v>2209</v>
      </c>
      <c r="F30" s="36"/>
      <c r="G30" s="61" t="s">
        <v>3238</v>
      </c>
    </row>
    <row r="31" spans="1:7">
      <c r="A31" s="36"/>
      <c r="B31" s="86">
        <f t="shared" si="2"/>
        <v>220577</v>
      </c>
      <c r="C31" s="740" t="str">
        <f>edging2</f>
        <v>Edg_EAW_5216_D1(44x1)</v>
      </c>
      <c r="D31" s="60">
        <f t="shared" si="3"/>
        <v>0</v>
      </c>
      <c r="E31" s="61" t="s">
        <v>2209</v>
      </c>
      <c r="F31" s="36"/>
      <c r="G31" s="61" t="s">
        <v>3238</v>
      </c>
    </row>
    <row r="32" spans="1:7">
      <c r="A32" s="36"/>
      <c r="B32" s="86">
        <f t="shared" si="2"/>
        <v>220861</v>
      </c>
      <c r="C32" s="740" t="str">
        <f>edging3</f>
        <v>Edg_DSS_00206_SM</v>
      </c>
      <c r="D32" s="60">
        <f t="shared" si="3"/>
        <v>6</v>
      </c>
      <c r="E32" s="61" t="s">
        <v>2209</v>
      </c>
      <c r="F32" s="36"/>
      <c r="G32" s="61" t="s">
        <v>3238</v>
      </c>
    </row>
    <row r="33" spans="1:7">
      <c r="A33" s="36"/>
      <c r="B33" s="86">
        <f t="shared" si="2"/>
        <v>221110</v>
      </c>
      <c r="C33" s="740" t="str">
        <f>edging4</f>
        <v>Edg_DSS_00206_SM(45X1)</v>
      </c>
      <c r="D33" s="60">
        <f t="shared" si="3"/>
        <v>0</v>
      </c>
      <c r="E33" s="61" t="s">
        <v>2209</v>
      </c>
      <c r="F33" s="36"/>
      <c r="G33" s="61" t="s">
        <v>3238</v>
      </c>
    </row>
    <row r="34" spans="1:7">
      <c r="A34" s="36"/>
      <c r="B34" s="86" t="str">
        <f t="shared" si="2"/>
        <v>…</v>
      </c>
      <c r="C34" s="740" t="str">
        <f>edging5</f>
        <v>Edg_EAP_1338_DO</v>
      </c>
      <c r="D34" s="60">
        <f t="shared" si="3"/>
        <v>0</v>
      </c>
      <c r="E34" s="61" t="s">
        <v>2209</v>
      </c>
      <c r="F34" s="36"/>
      <c r="G34" s="61" t="s">
        <v>3238</v>
      </c>
    </row>
    <row r="35" spans="1:7">
      <c r="A35" s="36"/>
      <c r="B35" s="86" t="str">
        <f t="shared" si="2"/>
        <v>…</v>
      </c>
      <c r="C35" s="740" t="str">
        <f>edging6</f>
        <v>Edg_Decor_2023_B</v>
      </c>
      <c r="D35" s="60">
        <f t="shared" si="3"/>
        <v>0</v>
      </c>
      <c r="E35" s="61" t="s">
        <v>2209</v>
      </c>
      <c r="F35" s="36"/>
      <c r="G35" s="61" t="s">
        <v>3238</v>
      </c>
    </row>
    <row r="36" spans="1:7">
      <c r="A36" s="36"/>
      <c r="B36" s="86">
        <f t="shared" si="2"/>
        <v>205356</v>
      </c>
      <c r="C36" s="740" t="str">
        <f>edging7</f>
        <v>Trim 21 S2/S4 Brown Doff ( Alm. 75181 ) P3</v>
      </c>
      <c r="D36" s="60">
        <f t="shared" si="3"/>
        <v>0</v>
      </c>
      <c r="E36" s="61" t="s">
        <v>2209</v>
      </c>
      <c r="F36" s="36"/>
      <c r="G36" s="61" t="s">
        <v>3238</v>
      </c>
    </row>
    <row r="37" spans="1:7">
      <c r="A37" s="36"/>
      <c r="B37" s="86">
        <f t="shared" si="2"/>
        <v>205345</v>
      </c>
      <c r="C37" s="740" t="str">
        <f>edging8</f>
        <v>Trim 22 S2/S4 Brown Doff ( Alm. 75270 ) P3</v>
      </c>
      <c r="D37" s="60">
        <f t="shared" si="3"/>
        <v>0</v>
      </c>
      <c r="E37" s="61" t="s">
        <v>2209</v>
      </c>
      <c r="F37" s="36"/>
      <c r="G37" s="61" t="s">
        <v>3238</v>
      </c>
    </row>
    <row r="38" spans="1:7">
      <c r="A38" s="36"/>
      <c r="B38" s="86">
        <f t="shared" si="2"/>
        <v>205406</v>
      </c>
      <c r="C38" s="740" t="str">
        <f>edging9</f>
        <v>ST-36 Brown Doff ( Alm. 2351 ) P3 P3</v>
      </c>
      <c r="D38" s="60">
        <f t="shared" si="3"/>
        <v>0</v>
      </c>
      <c r="E38" s="61" t="s">
        <v>2209</v>
      </c>
      <c r="F38" s="36"/>
      <c r="G38" s="61" t="s">
        <v>3238</v>
      </c>
    </row>
    <row r="40" spans="1:7">
      <c r="A40" s="71" t="s">
        <v>2210</v>
      </c>
      <c r="B40" s="71"/>
    </row>
    <row r="41" spans="1:7">
      <c r="A41" s="71"/>
      <c r="B41" s="71"/>
    </row>
    <row r="42" spans="1:7">
      <c r="A42" s="71"/>
      <c r="B42" s="71"/>
    </row>
    <row r="43" spans="1:7">
      <c r="A43" s="71" t="s">
        <v>2211</v>
      </c>
      <c r="B43" s="71"/>
    </row>
    <row r="44" spans="1:7">
      <c r="A44" s="71"/>
      <c r="B44" s="71"/>
    </row>
    <row r="45" spans="1:7">
      <c r="A45" s="96" t="s">
        <v>2197</v>
      </c>
      <c r="B45" s="96"/>
    </row>
  </sheetData>
  <mergeCells count="3">
    <mergeCell ref="A10:B10"/>
    <mergeCell ref="D10:E10"/>
    <mergeCell ref="A2:F2"/>
  </mergeCells>
  <printOptions horizontalCentered="1"/>
  <pageMargins left="0.1" right="0.1" top="0.25" bottom="0.25" header="0.3" footer="0.3"/>
  <pageSetup orientation="portrait" horizontalDpi="180" verticalDpi="180" r:id="rId1"/>
  <drawing r:id="rId2"/>
  <legacyDrawing r:id="rId3"/>
  <oleObjects>
    <mc:AlternateContent xmlns:mc="http://schemas.openxmlformats.org/markup-compatibility/2006">
      <mc:Choice Requires="x14">
        <oleObject progId="MSPhotoEd.3" shapeId="666625" r:id="rId4">
          <objectPr defaultSize="0" autoPict="0" altText="" r:id="rId5">
            <anchor moveWithCells="1">
              <from>
                <xdr:col>0</xdr:col>
                <xdr:colOff>114300</xdr:colOff>
                <xdr:row>0</xdr:row>
                <xdr:rowOff>0</xdr:rowOff>
              </from>
              <to>
                <xdr:col>1</xdr:col>
                <xdr:colOff>787400</xdr:colOff>
                <xdr:row>4</xdr:row>
                <xdr:rowOff>177800</xdr:rowOff>
              </to>
            </anchor>
          </objectPr>
        </oleObject>
      </mc:Choice>
      <mc:Fallback>
        <oleObject progId="MSPhotoEd.3" shapeId="666625" r:id="rId4"/>
      </mc:Fallback>
    </mc:AlternateContent>
  </oleObjec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281"/>
  <sheetViews>
    <sheetView view="pageBreakPreview" topLeftCell="B1" zoomScale="85" zoomScaleNormal="100" zoomScaleSheetLayoutView="85" workbookViewId="0">
      <pane ySplit="12" topLeftCell="A13" activePane="bottomLeft" state="frozen"/>
      <selection pane="bottomLeft" activeCell="C14" sqref="C14"/>
    </sheetView>
  </sheetViews>
  <sheetFormatPr baseColWidth="10" defaultColWidth="7" defaultRowHeight="13"/>
  <cols>
    <col min="1" max="1" width="2.6640625" style="71" customWidth="1"/>
    <col min="2" max="2" width="10" style="71" customWidth="1"/>
    <col min="3" max="3" width="35.6640625" style="71" customWidth="1"/>
    <col min="4" max="4" width="4.33203125" style="71" customWidth="1"/>
    <col min="5" max="5" width="6.1640625" style="71" customWidth="1"/>
    <col min="6" max="6" width="25.33203125" style="71" customWidth="1"/>
    <col min="7" max="7" width="35.6640625" style="71" customWidth="1"/>
    <col min="8" max="8" width="0.6640625" style="73" customWidth="1"/>
    <col min="9" max="16384" width="7" style="71"/>
  </cols>
  <sheetData>
    <row r="1" spans="1:12" s="69" customFormat="1">
      <c r="A1" s="71"/>
      <c r="B1" s="71"/>
      <c r="C1" s="71"/>
      <c r="D1" s="71"/>
      <c r="E1" s="71"/>
      <c r="F1" s="71"/>
      <c r="H1" s="74"/>
    </row>
    <row r="2" spans="1:12" s="69" customFormat="1" ht="18">
      <c r="A2" s="906" t="s">
        <v>2198</v>
      </c>
      <c r="B2" s="906"/>
      <c r="C2" s="906"/>
      <c r="D2" s="906"/>
      <c r="E2" s="906"/>
      <c r="F2" s="906"/>
      <c r="H2" s="74"/>
    </row>
    <row r="3" spans="1:12" s="69" customFormat="1" ht="14.25" customHeight="1">
      <c r="A3" s="71"/>
      <c r="B3" s="71"/>
      <c r="C3" s="498"/>
      <c r="D3" s="71"/>
      <c r="E3" s="71"/>
      <c r="F3" s="71"/>
      <c r="H3" s="74"/>
    </row>
    <row r="4" spans="1:12" s="69" customFormat="1" ht="14.25" customHeight="1">
      <c r="A4" s="71"/>
      <c r="B4" s="71"/>
      <c r="C4" s="71"/>
      <c r="D4" s="75"/>
      <c r="E4" s="75" t="s">
        <v>2199</v>
      </c>
      <c r="F4" s="76" t="s">
        <v>3238</v>
      </c>
      <c r="H4" s="74"/>
    </row>
    <row r="5" spans="1:12" s="69" customFormat="1" ht="14.25" customHeight="1">
      <c r="A5" s="71"/>
      <c r="B5" s="71"/>
      <c r="C5" s="71"/>
      <c r="D5" s="71"/>
      <c r="E5" s="71"/>
      <c r="F5" s="71"/>
      <c r="H5" s="74"/>
      <c r="K5" s="71"/>
      <c r="L5" s="71"/>
    </row>
    <row r="6" spans="1:12" s="69" customFormat="1">
      <c r="A6" s="77" t="s">
        <v>2200</v>
      </c>
      <c r="B6" s="77"/>
      <c r="C6" s="71" t="s">
        <v>2201</v>
      </c>
      <c r="D6" s="71"/>
      <c r="E6" s="77" t="s">
        <v>2202</v>
      </c>
      <c r="F6" s="78" t="str">
        <f>No_proyek</f>
        <v>RZ0458</v>
      </c>
      <c r="H6" s="74"/>
      <c r="K6" s="71"/>
      <c r="L6" s="71"/>
    </row>
    <row r="7" spans="1:12" s="69" customFormat="1" ht="14">
      <c r="A7" s="77" t="s">
        <v>2203</v>
      </c>
      <c r="B7" s="77"/>
      <c r="C7" s="79" t="str">
        <f>no_kontrak</f>
        <v>127/RK-RL-PI/PAP-LL/XII/2025</v>
      </c>
      <c r="D7" s="71"/>
      <c r="E7" s="498" t="s">
        <v>3092</v>
      </c>
      <c r="F7" s="77"/>
      <c r="H7" s="74"/>
      <c r="K7" s="78"/>
      <c r="L7" s="78"/>
    </row>
    <row r="8" spans="1:12" s="69" customFormat="1" ht="14">
      <c r="A8" s="80" t="s">
        <v>1508</v>
      </c>
      <c r="B8" s="80"/>
      <c r="C8" s="81" t="str">
        <f>nip</f>
        <v>25LL017MPC</v>
      </c>
      <c r="D8" s="71"/>
      <c r="E8" s="71"/>
      <c r="F8" s="77"/>
      <c r="H8" s="74"/>
      <c r="K8" s="78"/>
      <c r="L8" s="78"/>
    </row>
    <row r="9" spans="1:12" s="69" customFormat="1" ht="14">
      <c r="A9" s="77" t="s">
        <v>2204</v>
      </c>
      <c r="B9" s="77"/>
      <c r="C9" s="8" t="str">
        <f>nama_proyek</f>
        <v>PT Malindo Feedmill Tbk-Dry Pantry</v>
      </c>
      <c r="D9" s="71"/>
      <c r="E9" s="75" t="s">
        <v>2205</v>
      </c>
      <c r="F9" s="19">
        <f>tgl</f>
        <v>46163</v>
      </c>
      <c r="G9" s="20"/>
      <c r="H9" s="19"/>
      <c r="K9" s="78"/>
      <c r="L9" s="78"/>
    </row>
    <row r="10" spans="1:12" s="69" customFormat="1" ht="15.75" customHeight="1">
      <c r="A10" s="907" t="s">
        <v>2206</v>
      </c>
      <c r="B10" s="907"/>
      <c r="C10" s="8" t="str">
        <f>Estimator</f>
        <v>Fahrudin</v>
      </c>
      <c r="D10" s="908" t="s">
        <v>2838</v>
      </c>
      <c r="E10" s="908"/>
      <c r="F10" s="71" t="s">
        <v>2895</v>
      </c>
      <c r="H10" s="74"/>
      <c r="K10" s="78"/>
      <c r="L10" s="78"/>
    </row>
    <row r="11" spans="1:12" s="69" customFormat="1" ht="6" customHeight="1">
      <c r="A11" s="71"/>
      <c r="B11" s="71"/>
      <c r="C11" s="71"/>
      <c r="D11" s="71"/>
      <c r="E11" s="71"/>
      <c r="F11" s="71"/>
      <c r="H11" s="74"/>
      <c r="K11" s="78"/>
      <c r="L11" s="78"/>
    </row>
    <row r="12" spans="1:12" s="69" customFormat="1" ht="30" customHeight="1">
      <c r="A12" s="412" t="s">
        <v>327</v>
      </c>
      <c r="B12" s="412" t="s">
        <v>329</v>
      </c>
      <c r="C12" s="412" t="s">
        <v>330</v>
      </c>
      <c r="D12" s="412" t="s">
        <v>331</v>
      </c>
      <c r="E12" s="412" t="s">
        <v>332</v>
      </c>
      <c r="F12" s="412" t="s">
        <v>333</v>
      </c>
      <c r="H12" s="74"/>
      <c r="K12" s="78"/>
      <c r="L12" s="78"/>
    </row>
    <row r="13" spans="1:12" s="69" customFormat="1" ht="14.25" customHeight="1">
      <c r="A13" s="86"/>
      <c r="B13" s="86"/>
      <c r="C13" s="95"/>
      <c r="D13" s="786"/>
      <c r="E13" s="511"/>
      <c r="F13" s="796"/>
      <c r="H13" s="74"/>
      <c r="K13" s="78"/>
      <c r="L13" s="78"/>
    </row>
    <row r="14" spans="1:12" s="69" customFormat="1" ht="14.25" customHeight="1">
      <c r="A14" s="86">
        <v>1</v>
      </c>
      <c r="B14" s="86">
        <f t="shared" ref="B14:B19" si="0">IFERROR(INDEX((ID),MATCH(C14,BARANG,0)),"…")</f>
        <v>101068</v>
      </c>
      <c r="C14" s="95" t="s">
        <v>100</v>
      </c>
      <c r="D14" s="786">
        <v>1</v>
      </c>
      <c r="E14" s="511" t="s">
        <v>3147</v>
      </c>
      <c r="F14" s="795"/>
      <c r="G14" s="69" t="s">
        <v>3183</v>
      </c>
      <c r="H14" s="74"/>
      <c r="K14" s="78"/>
      <c r="L14" s="78"/>
    </row>
    <row r="15" spans="1:12" s="69" customFormat="1" ht="14.25" customHeight="1">
      <c r="A15" s="86">
        <v>2</v>
      </c>
      <c r="B15" s="86">
        <f t="shared" si="0"/>
        <v>101075</v>
      </c>
      <c r="C15" s="95" t="s">
        <v>111</v>
      </c>
      <c r="D15" s="786">
        <v>1</v>
      </c>
      <c r="E15" s="511" t="s">
        <v>3147</v>
      </c>
      <c r="F15" s="795"/>
      <c r="G15" s="69" t="s">
        <v>3196</v>
      </c>
      <c r="H15" s="74"/>
      <c r="K15" s="78"/>
      <c r="L15" s="78"/>
    </row>
    <row r="16" spans="1:12" s="69" customFormat="1" ht="14.25" customHeight="1">
      <c r="A16" s="86">
        <v>3</v>
      </c>
      <c r="B16" s="86">
        <f t="shared" si="0"/>
        <v>1000162</v>
      </c>
      <c r="C16" s="95" t="s">
        <v>4087</v>
      </c>
      <c r="D16" s="786">
        <v>1</v>
      </c>
      <c r="E16" s="511" t="s">
        <v>3147</v>
      </c>
      <c r="F16" s="795"/>
      <c r="G16" s="69" t="s">
        <v>3196</v>
      </c>
      <c r="H16" s="74"/>
      <c r="K16" s="78"/>
      <c r="L16" s="78"/>
    </row>
    <row r="17" spans="1:12" s="69" customFormat="1" ht="14.25" customHeight="1">
      <c r="A17" s="86">
        <v>4</v>
      </c>
      <c r="B17" s="86">
        <f t="shared" si="0"/>
        <v>120125</v>
      </c>
      <c r="C17" s="95" t="s">
        <v>158</v>
      </c>
      <c r="D17" s="786">
        <v>1</v>
      </c>
      <c r="E17" s="511" t="s">
        <v>3147</v>
      </c>
      <c r="F17" s="795"/>
      <c r="G17" s="69" t="s">
        <v>3186</v>
      </c>
      <c r="H17" s="74"/>
      <c r="I17" s="103"/>
      <c r="J17" s="104"/>
      <c r="K17" s="71"/>
      <c r="L17" s="71"/>
    </row>
    <row r="18" spans="1:12" s="69" customFormat="1" ht="14.25" customHeight="1">
      <c r="A18" s="86">
        <v>5</v>
      </c>
      <c r="B18" s="86">
        <f t="shared" si="0"/>
        <v>110088</v>
      </c>
      <c r="C18" s="95" t="str">
        <f>lapisan1</f>
        <v>WY_5216_D(V)</v>
      </c>
      <c r="D18" s="786">
        <v>1</v>
      </c>
      <c r="E18" s="511" t="s">
        <v>3147</v>
      </c>
      <c r="F18" s="795"/>
      <c r="H18" s="74"/>
      <c r="I18" s="103"/>
      <c r="J18" s="104"/>
      <c r="K18" s="71"/>
      <c r="L18" s="71"/>
    </row>
    <row r="19" spans="1:12" s="69" customFormat="1" ht="14.25" hidden="1" customHeight="1">
      <c r="A19" s="86">
        <v>8</v>
      </c>
      <c r="B19" s="86">
        <f t="shared" si="0"/>
        <v>220861</v>
      </c>
      <c r="C19" s="95" t="str">
        <f>edging3</f>
        <v>Edg_DSS_00206_SM</v>
      </c>
      <c r="D19" s="786">
        <v>12</v>
      </c>
      <c r="E19" s="511" t="s">
        <v>2209</v>
      </c>
      <c r="F19" s="795" t="s">
        <v>4319</v>
      </c>
      <c r="H19" s="74"/>
      <c r="I19" s="103"/>
      <c r="J19" s="104"/>
      <c r="K19" s="71"/>
      <c r="L19" s="71"/>
    </row>
    <row r="20" spans="1:12" s="69" customFormat="1" ht="14.25" hidden="1" customHeight="1">
      <c r="A20" s="86"/>
      <c r="B20" s="86"/>
      <c r="C20" s="95"/>
      <c r="D20" s="786"/>
      <c r="E20" s="511"/>
      <c r="F20" s="796"/>
      <c r="H20" s="74"/>
      <c r="K20" s="78"/>
      <c r="L20" s="78"/>
    </row>
    <row r="21" spans="1:12" s="69" customFormat="1" ht="14.25" hidden="1" customHeight="1">
      <c r="A21" s="86">
        <v>9</v>
      </c>
      <c r="B21" s="86">
        <f t="shared" ref="B21:B27" si="1">IFERROR(INDEX((ID),MATCH(C21,BARANG,0)),"…")</f>
        <v>101065</v>
      </c>
      <c r="C21" s="95" t="s">
        <v>97</v>
      </c>
      <c r="D21" s="786">
        <v>1</v>
      </c>
      <c r="E21" s="511" t="s">
        <v>3147</v>
      </c>
      <c r="F21" s="795" t="s">
        <v>4320</v>
      </c>
      <c r="G21" s="69" t="s">
        <v>3196</v>
      </c>
      <c r="H21" s="74"/>
      <c r="K21" s="78"/>
      <c r="L21" s="78"/>
    </row>
    <row r="22" spans="1:12" s="69" customFormat="1" ht="14.25" hidden="1" customHeight="1">
      <c r="A22" s="86">
        <v>10</v>
      </c>
      <c r="B22" s="86">
        <f t="shared" si="1"/>
        <v>101068</v>
      </c>
      <c r="C22" s="95" t="s">
        <v>100</v>
      </c>
      <c r="D22" s="786">
        <v>1</v>
      </c>
      <c r="E22" s="511" t="s">
        <v>3147</v>
      </c>
      <c r="F22" s="795" t="s">
        <v>4320</v>
      </c>
      <c r="G22" s="69" t="s">
        <v>3196</v>
      </c>
      <c r="H22" s="74"/>
      <c r="K22" s="78"/>
      <c r="L22" s="78"/>
    </row>
    <row r="23" spans="1:12" s="69" customFormat="1" ht="14.25" hidden="1" customHeight="1">
      <c r="A23" s="86">
        <v>11</v>
      </c>
      <c r="B23" s="86">
        <f t="shared" si="1"/>
        <v>101118</v>
      </c>
      <c r="C23" s="95" t="s">
        <v>4321</v>
      </c>
      <c r="D23" s="786">
        <v>1</v>
      </c>
      <c r="E23" s="511" t="s">
        <v>3147</v>
      </c>
      <c r="F23" s="795" t="s">
        <v>4320</v>
      </c>
      <c r="G23" s="69" t="s">
        <v>3196</v>
      </c>
      <c r="H23" s="74"/>
      <c r="K23" s="78"/>
      <c r="L23" s="78"/>
    </row>
    <row r="24" spans="1:12" s="69" customFormat="1" ht="14.25" hidden="1" customHeight="1">
      <c r="A24" s="86">
        <v>12</v>
      </c>
      <c r="B24" s="86">
        <f t="shared" si="1"/>
        <v>120125</v>
      </c>
      <c r="C24" s="95" t="s">
        <v>158</v>
      </c>
      <c r="D24" s="786">
        <v>1</v>
      </c>
      <c r="E24" s="511" t="s">
        <v>3147</v>
      </c>
      <c r="F24" s="795" t="s">
        <v>4320</v>
      </c>
      <c r="G24" s="69" t="s">
        <v>3186</v>
      </c>
      <c r="H24" s="74"/>
      <c r="K24" s="78"/>
      <c r="L24" s="78"/>
    </row>
    <row r="25" spans="1:12" s="69" customFormat="1" ht="14.25" hidden="1" customHeight="1">
      <c r="A25" s="86">
        <v>13</v>
      </c>
      <c r="B25" s="86">
        <f t="shared" si="1"/>
        <v>110088</v>
      </c>
      <c r="C25" s="95" t="str">
        <f>lapisan1</f>
        <v>WY_5216_D(V)</v>
      </c>
      <c r="D25" s="786">
        <v>1</v>
      </c>
      <c r="E25" s="511" t="s">
        <v>3147</v>
      </c>
      <c r="F25" s="795" t="s">
        <v>4320</v>
      </c>
      <c r="H25" s="74"/>
      <c r="K25" s="78"/>
      <c r="L25" s="78"/>
    </row>
    <row r="26" spans="1:12" s="69" customFormat="1" ht="14.25" hidden="1" customHeight="1">
      <c r="A26" s="86">
        <v>14</v>
      </c>
      <c r="B26" s="86" t="str">
        <f t="shared" si="1"/>
        <v>…</v>
      </c>
      <c r="C26" s="95" t="str">
        <f>edging1</f>
        <v>Edg_EAW_5216D1</v>
      </c>
      <c r="D26" s="786">
        <v>12</v>
      </c>
      <c r="E26" s="511" t="s">
        <v>2209</v>
      </c>
      <c r="F26" s="795" t="s">
        <v>4320</v>
      </c>
      <c r="H26" s="74"/>
      <c r="K26" s="78"/>
      <c r="L26" s="78"/>
    </row>
    <row r="27" spans="1:12" s="69" customFormat="1" ht="14.25" hidden="1" customHeight="1">
      <c r="A27" s="86">
        <v>15</v>
      </c>
      <c r="B27" s="86">
        <f t="shared" si="1"/>
        <v>220577</v>
      </c>
      <c r="C27" s="95" t="str">
        <f>edging2</f>
        <v>Edg_EAW_5216_D1(44x1)</v>
      </c>
      <c r="D27" s="786">
        <v>3</v>
      </c>
      <c r="E27" s="511" t="s">
        <v>2209</v>
      </c>
      <c r="F27" s="795" t="s">
        <v>4320</v>
      </c>
      <c r="H27" s="74"/>
      <c r="K27" s="78"/>
      <c r="L27" s="78"/>
    </row>
    <row r="28" spans="1:12" s="69" customFormat="1" ht="14.25" hidden="1" customHeight="1">
      <c r="A28" s="86"/>
      <c r="B28" s="86"/>
      <c r="C28" s="95"/>
      <c r="D28" s="786"/>
      <c r="E28" s="511"/>
      <c r="F28" s="795"/>
      <c r="H28" s="74"/>
      <c r="K28" s="78"/>
      <c r="L28" s="78"/>
    </row>
    <row r="29" spans="1:12" s="69" customFormat="1" ht="14.25" hidden="1" customHeight="1">
      <c r="A29" s="86">
        <v>16</v>
      </c>
      <c r="B29" s="86">
        <f>IFERROR(INDEX((ID),MATCH(C29,BARANG,0)),"…")</f>
        <v>104054</v>
      </c>
      <c r="C29" s="95" t="s">
        <v>304</v>
      </c>
      <c r="D29" s="786">
        <v>2</v>
      </c>
      <c r="E29" s="511" t="s">
        <v>3147</v>
      </c>
      <c r="F29" s="795" t="s">
        <v>4322</v>
      </c>
      <c r="G29" s="69" t="s">
        <v>3179</v>
      </c>
      <c r="H29" s="74"/>
      <c r="K29" s="78"/>
      <c r="L29" s="78"/>
    </row>
    <row r="30" spans="1:12" s="69" customFormat="1" ht="14.25" hidden="1" customHeight="1">
      <c r="A30" s="86">
        <v>17</v>
      </c>
      <c r="B30" s="86">
        <f>IFERROR(INDEX((ID),MATCH(C30,BARANG,0)),"…")</f>
        <v>104079</v>
      </c>
      <c r="C30" s="95" t="s">
        <v>308</v>
      </c>
      <c r="D30" s="786">
        <v>2</v>
      </c>
      <c r="E30" s="511" t="s">
        <v>3147</v>
      </c>
      <c r="F30" s="795" t="s">
        <v>4322</v>
      </c>
      <c r="G30" s="69" t="s">
        <v>3179</v>
      </c>
      <c r="H30" s="74"/>
      <c r="K30" s="78"/>
      <c r="L30" s="78"/>
    </row>
    <row r="31" spans="1:12" s="69" customFormat="1" ht="14.25" hidden="1" customHeight="1">
      <c r="A31" s="86">
        <v>18</v>
      </c>
      <c r="B31" s="86">
        <f>IFERROR(INDEX((ID),MATCH(C31,BARANG,0)),"…")</f>
        <v>110088</v>
      </c>
      <c r="C31" s="95" t="str">
        <f>lapisan1</f>
        <v>WY_5216_D(V)</v>
      </c>
      <c r="D31" s="786">
        <v>3</v>
      </c>
      <c r="E31" s="511" t="s">
        <v>3147</v>
      </c>
      <c r="F31" s="795" t="s">
        <v>4322</v>
      </c>
      <c r="H31" s="74"/>
      <c r="K31" s="78"/>
      <c r="L31" s="78"/>
    </row>
    <row r="32" spans="1:12" s="69" customFormat="1" ht="14.25" hidden="1" customHeight="1">
      <c r="A32" s="86">
        <v>19</v>
      </c>
      <c r="B32" s="86">
        <f>IFERROR(INDEX((ID),MATCH(C32,BARANG,0)),"…")</f>
        <v>122655</v>
      </c>
      <c r="C32" s="95" t="str">
        <f>lapisan3</f>
        <v>L-FA_0206_AP</v>
      </c>
      <c r="D32" s="786">
        <v>1</v>
      </c>
      <c r="E32" s="511" t="s">
        <v>3147</v>
      </c>
      <c r="F32" s="795" t="s">
        <v>4322</v>
      </c>
      <c r="H32" s="74"/>
      <c r="K32" s="78"/>
      <c r="L32" s="78"/>
    </row>
    <row r="33" spans="1:12" s="69" customFormat="1" ht="14.25" hidden="1" customHeight="1">
      <c r="A33" s="86">
        <v>20</v>
      </c>
      <c r="B33" s="86" t="str">
        <f>IFERROR(INDEX((ID),MATCH(C33,BARANG,0)),"…")</f>
        <v>…</v>
      </c>
      <c r="C33" s="95" t="str">
        <f>edging1</f>
        <v>Edg_EAW_5216D1</v>
      </c>
      <c r="D33" s="786">
        <v>20</v>
      </c>
      <c r="E33" s="511" t="s">
        <v>2209</v>
      </c>
      <c r="F33" s="795" t="s">
        <v>4322</v>
      </c>
      <c r="H33" s="74"/>
      <c r="K33" s="78"/>
      <c r="L33" s="78"/>
    </row>
    <row r="34" spans="1:12" s="69" customFormat="1" ht="14.25" hidden="1" customHeight="1">
      <c r="A34" s="86"/>
      <c r="B34" s="86"/>
      <c r="C34" s="95"/>
      <c r="D34" s="786"/>
      <c r="E34" s="511"/>
      <c r="F34" s="795"/>
      <c r="H34" s="74"/>
      <c r="K34" s="78"/>
      <c r="L34" s="78"/>
    </row>
    <row r="35" spans="1:12" s="69" customFormat="1" ht="14.25" hidden="1" customHeight="1">
      <c r="A35" s="86"/>
      <c r="B35" s="86"/>
      <c r="C35" s="95"/>
      <c r="D35" s="786"/>
      <c r="E35" s="511"/>
      <c r="F35" s="795"/>
      <c r="H35" s="74"/>
      <c r="K35" s="78"/>
      <c r="L35" s="78"/>
    </row>
    <row r="36" spans="1:12" s="69" customFormat="1" ht="14.25" hidden="1" customHeight="1">
      <c r="A36" s="86">
        <v>1</v>
      </c>
      <c r="B36" s="86">
        <f>IFERROR(INDEX((ID),MATCH(C36,BARANG,0)),"…")</f>
        <v>104060</v>
      </c>
      <c r="C36" s="95" t="s">
        <v>309</v>
      </c>
      <c r="D36" s="786">
        <v>3</v>
      </c>
      <c r="E36" s="511" t="s">
        <v>3147</v>
      </c>
      <c r="F36" s="916" t="s">
        <v>4201</v>
      </c>
      <c r="G36" s="69" t="s">
        <v>3179</v>
      </c>
      <c r="H36" s="74"/>
      <c r="K36" s="78"/>
      <c r="L36" s="78"/>
    </row>
    <row r="37" spans="1:12" s="69" customFormat="1" ht="14.25" hidden="1" customHeight="1">
      <c r="A37" s="86">
        <v>2</v>
      </c>
      <c r="B37" s="86">
        <f>IFERROR(INDEX((ID),MATCH(C37,BARANG,0)),"…")</f>
        <v>101065</v>
      </c>
      <c r="C37" s="95" t="s">
        <v>97</v>
      </c>
      <c r="D37" s="786">
        <v>4</v>
      </c>
      <c r="E37" s="511" t="s">
        <v>3147</v>
      </c>
      <c r="F37" s="917"/>
      <c r="G37" s="69" t="s">
        <v>3196</v>
      </c>
      <c r="H37" s="74"/>
      <c r="K37" s="78"/>
      <c r="L37" s="78"/>
    </row>
    <row r="38" spans="1:12" s="69" customFormat="1" ht="14.25" hidden="1" customHeight="1">
      <c r="A38" s="86"/>
      <c r="B38" s="86"/>
      <c r="C38" s="95"/>
      <c r="D38" s="786"/>
      <c r="E38" s="511"/>
      <c r="F38" s="917"/>
      <c r="H38" s="74"/>
      <c r="K38" s="78"/>
      <c r="L38" s="78"/>
    </row>
    <row r="39" spans="1:12" s="69" customFormat="1" ht="14.25" hidden="1" customHeight="1">
      <c r="A39" s="86">
        <v>3</v>
      </c>
      <c r="B39" s="86">
        <f>IFERROR(INDEX((ID),MATCH(C39,BARANG,0)),"…")</f>
        <v>101075</v>
      </c>
      <c r="C39" s="95" t="s">
        <v>111</v>
      </c>
      <c r="D39" s="786">
        <v>2</v>
      </c>
      <c r="E39" s="511" t="s">
        <v>3147</v>
      </c>
      <c r="F39" s="917"/>
      <c r="G39" s="69" t="s">
        <v>3196</v>
      </c>
      <c r="H39" s="74"/>
      <c r="K39" s="78"/>
      <c r="L39" s="78"/>
    </row>
    <row r="40" spans="1:12" s="69" customFormat="1" ht="14.25" hidden="1" customHeight="1">
      <c r="A40" s="86"/>
      <c r="B40" s="86"/>
      <c r="C40" s="95"/>
      <c r="D40" s="786"/>
      <c r="E40" s="511"/>
      <c r="F40" s="917"/>
      <c r="H40" s="74"/>
      <c r="K40" s="78"/>
      <c r="L40" s="78"/>
    </row>
    <row r="41" spans="1:12" s="69" customFormat="1" ht="14.25" hidden="1" customHeight="1">
      <c r="A41" s="86">
        <v>4</v>
      </c>
      <c r="B41" s="86">
        <f>IFERROR(INDEX((ID),MATCH(C41,BARANG,0)),"…")</f>
        <v>101068</v>
      </c>
      <c r="C41" s="95" t="s">
        <v>100</v>
      </c>
      <c r="D41" s="786">
        <v>1</v>
      </c>
      <c r="E41" s="511" t="s">
        <v>3147</v>
      </c>
      <c r="F41" s="917"/>
      <c r="G41" s="69" t="s">
        <v>3196</v>
      </c>
      <c r="H41" s="74"/>
      <c r="K41" s="78"/>
      <c r="L41" s="78"/>
    </row>
    <row r="42" spans="1:12" s="69" customFormat="1" ht="14.25" hidden="1" customHeight="1">
      <c r="A42" s="86">
        <v>5</v>
      </c>
      <c r="B42" s="86">
        <f>IFERROR(INDEX((ID),MATCH(C42,BARANG,0)),"…")</f>
        <v>101118</v>
      </c>
      <c r="C42" s="95" t="s">
        <v>4321</v>
      </c>
      <c r="D42" s="786">
        <v>1</v>
      </c>
      <c r="E42" s="511" t="s">
        <v>3147</v>
      </c>
      <c r="F42" s="917"/>
      <c r="G42" s="69" t="s">
        <v>3196</v>
      </c>
      <c r="H42" s="74"/>
      <c r="K42" s="78"/>
      <c r="L42" s="78"/>
    </row>
    <row r="43" spans="1:12" s="69" customFormat="1" ht="14.25" hidden="1" customHeight="1">
      <c r="A43" s="86"/>
      <c r="B43" s="86"/>
      <c r="C43" s="95"/>
      <c r="D43" s="786"/>
      <c r="E43" s="511"/>
      <c r="F43" s="917"/>
      <c r="H43" s="74"/>
      <c r="K43" s="78"/>
      <c r="L43" s="78"/>
    </row>
    <row r="44" spans="1:12" s="69" customFormat="1" ht="14.25" hidden="1" customHeight="1">
      <c r="A44" s="86">
        <v>6</v>
      </c>
      <c r="B44" s="86">
        <f>IFERROR(INDEX((ID),MATCH(C44,BARANG,0)),"…")</f>
        <v>104054</v>
      </c>
      <c r="C44" s="95" t="s">
        <v>304</v>
      </c>
      <c r="D44" s="786">
        <v>2</v>
      </c>
      <c r="E44" s="511" t="s">
        <v>3147</v>
      </c>
      <c r="F44" s="917"/>
      <c r="G44" s="69" t="s">
        <v>3179</v>
      </c>
      <c r="H44" s="74"/>
      <c r="K44" s="78"/>
      <c r="L44" s="78"/>
    </row>
    <row r="45" spans="1:12" s="69" customFormat="1" ht="14.25" hidden="1" customHeight="1">
      <c r="A45" s="86">
        <v>7</v>
      </c>
      <c r="B45" s="86">
        <f>IFERROR(INDEX((ID),MATCH(C45,BARANG,0)),"…")</f>
        <v>104079</v>
      </c>
      <c r="C45" s="95" t="s">
        <v>308</v>
      </c>
      <c r="D45" s="786">
        <v>2</v>
      </c>
      <c r="E45" s="511" t="s">
        <v>3147</v>
      </c>
      <c r="F45" s="917"/>
      <c r="G45" s="69" t="s">
        <v>3179</v>
      </c>
      <c r="H45" s="74"/>
      <c r="K45" s="78"/>
      <c r="L45" s="78"/>
    </row>
    <row r="46" spans="1:12" s="69" customFormat="1" ht="14.25" hidden="1" customHeight="1">
      <c r="A46" s="86"/>
      <c r="B46" s="86"/>
      <c r="C46" s="95"/>
      <c r="D46" s="786"/>
      <c r="E46" s="511"/>
      <c r="F46" s="917"/>
      <c r="H46" s="74"/>
      <c r="K46" s="78"/>
      <c r="L46" s="78"/>
    </row>
    <row r="47" spans="1:12" s="69" customFormat="1" ht="14.25" hidden="1" customHeight="1">
      <c r="A47" s="86">
        <v>8</v>
      </c>
      <c r="B47" s="86">
        <f>IFERROR(INDEX((ID),MATCH(C47,BARANG,0)),"…")</f>
        <v>120125</v>
      </c>
      <c r="C47" s="95" t="s">
        <v>158</v>
      </c>
      <c r="D47" s="786">
        <v>4</v>
      </c>
      <c r="E47" s="511" t="s">
        <v>3147</v>
      </c>
      <c r="F47" s="917"/>
      <c r="G47" s="69" t="s">
        <v>3196</v>
      </c>
      <c r="H47" s="74"/>
      <c r="K47" s="78"/>
      <c r="L47" s="78"/>
    </row>
    <row r="48" spans="1:12" s="69" customFormat="1" ht="14.25" hidden="1" customHeight="1">
      <c r="A48" s="86">
        <v>9</v>
      </c>
      <c r="B48" s="86">
        <f>IFERROR(INDEX((ID),MATCH(C48,BARANG,0)),"…")</f>
        <v>122655</v>
      </c>
      <c r="C48" s="95" t="str">
        <f>lapisan3</f>
        <v>L-FA_0206_AP</v>
      </c>
      <c r="D48" s="786">
        <v>3</v>
      </c>
      <c r="E48" s="511" t="s">
        <v>3147</v>
      </c>
      <c r="F48" s="917"/>
      <c r="H48" s="74"/>
      <c r="I48" s="103"/>
      <c r="J48" s="104"/>
      <c r="K48" s="71"/>
      <c r="L48" s="71"/>
    </row>
    <row r="49" spans="1:12" s="69" customFormat="1" ht="14.25" hidden="1" customHeight="1">
      <c r="A49" s="86">
        <v>10</v>
      </c>
      <c r="B49" s="86">
        <f>IFERROR(INDEX((ID),MATCH(C49,BARANG,0)),"…")</f>
        <v>220861</v>
      </c>
      <c r="C49" s="95" t="str">
        <f>edging3</f>
        <v>Edg_DSS_00206_SM</v>
      </c>
      <c r="D49" s="786">
        <v>12</v>
      </c>
      <c r="E49" s="511" t="s">
        <v>2209</v>
      </c>
      <c r="F49" s="917"/>
      <c r="H49" s="74"/>
      <c r="I49" s="103"/>
      <c r="J49" s="104"/>
      <c r="K49" s="71"/>
      <c r="L49" s="71"/>
    </row>
    <row r="50" spans="1:12" s="69" customFormat="1" ht="14.25" hidden="1" customHeight="1">
      <c r="A50" s="86"/>
      <c r="B50" s="86"/>
      <c r="C50" s="95"/>
      <c r="D50" s="786"/>
      <c r="E50" s="511"/>
      <c r="F50" s="917"/>
      <c r="H50" s="74"/>
      <c r="I50" s="103"/>
      <c r="J50" s="104"/>
      <c r="K50" s="71"/>
      <c r="L50" s="71"/>
    </row>
    <row r="51" spans="1:12" s="69" customFormat="1" ht="14.25" hidden="1" customHeight="1">
      <c r="A51" s="86">
        <v>11</v>
      </c>
      <c r="B51" s="86">
        <f>IFERROR(INDEX((ID),MATCH(C51,BARANG,0)),"…")</f>
        <v>110088</v>
      </c>
      <c r="C51" s="95" t="str">
        <f>lapisan1</f>
        <v>WY_5216_D(V)</v>
      </c>
      <c r="D51" s="786">
        <v>4</v>
      </c>
      <c r="E51" s="511" t="s">
        <v>3147</v>
      </c>
      <c r="F51" s="917"/>
      <c r="H51" s="74"/>
      <c r="K51" s="78"/>
      <c r="L51" s="78"/>
    </row>
    <row r="52" spans="1:12" s="69" customFormat="1" ht="14.25" hidden="1" customHeight="1">
      <c r="A52" s="86">
        <v>12</v>
      </c>
      <c r="B52" s="86" t="str">
        <f>IFERROR(INDEX((ID),MATCH(C52,BARANG,0)),"…")</f>
        <v>…</v>
      </c>
      <c r="C52" s="95" t="str">
        <f>edging1</f>
        <v>Edg_EAW_5216D1</v>
      </c>
      <c r="D52" s="786">
        <f>12+20</f>
        <v>32</v>
      </c>
      <c r="E52" s="511" t="s">
        <v>2209</v>
      </c>
      <c r="F52" s="917"/>
      <c r="H52" s="74"/>
      <c r="K52" s="78"/>
      <c r="L52" s="78"/>
    </row>
    <row r="53" spans="1:12" s="69" customFormat="1" ht="14.25" hidden="1" customHeight="1">
      <c r="A53" s="86">
        <v>13</v>
      </c>
      <c r="B53" s="86">
        <f>IFERROR(INDEX((ID),MATCH(C53,BARANG,0)),"…")</f>
        <v>220577</v>
      </c>
      <c r="C53" s="95" t="str">
        <f>edging2</f>
        <v>Edg_EAW_5216_D1(44x1)</v>
      </c>
      <c r="D53" s="786">
        <v>3</v>
      </c>
      <c r="E53" s="511" t="s">
        <v>2209</v>
      </c>
      <c r="F53" s="918"/>
      <c r="H53" s="74"/>
      <c r="K53" s="78"/>
      <c r="L53" s="78"/>
    </row>
    <row r="54" spans="1:12" s="69" customFormat="1" ht="14.25" hidden="1" customHeight="1">
      <c r="A54" s="86"/>
      <c r="B54" s="86"/>
      <c r="C54" s="95"/>
      <c r="D54" s="786"/>
      <c r="E54" s="511"/>
      <c r="F54" s="795"/>
      <c r="H54" s="74"/>
      <c r="K54" s="78"/>
      <c r="L54" s="78"/>
    </row>
    <row r="55" spans="1:12" s="69" customFormat="1" ht="14.25" hidden="1" customHeight="1">
      <c r="A55" s="86"/>
      <c r="B55" s="86"/>
      <c r="C55" s="95"/>
      <c r="D55" s="786"/>
      <c r="E55" s="511"/>
      <c r="F55" s="795"/>
      <c r="H55" s="74"/>
      <c r="K55" s="78"/>
      <c r="L55" s="78"/>
    </row>
    <row r="56" spans="1:12" s="69" customFormat="1" ht="14.25" customHeight="1">
      <c r="A56" s="89"/>
      <c r="B56" s="86"/>
      <c r="C56" s="95"/>
      <c r="D56" s="89"/>
      <c r="E56" s="89"/>
      <c r="F56" s="90"/>
      <c r="H56" s="74"/>
      <c r="K56" s="78"/>
      <c r="L56" s="78"/>
    </row>
    <row r="57" spans="1:12" s="69" customFormat="1" ht="16" customHeight="1">
      <c r="A57" s="71" t="s">
        <v>2210</v>
      </c>
      <c r="B57" s="71"/>
      <c r="C57" s="71"/>
      <c r="D57" s="71"/>
      <c r="E57" s="71"/>
      <c r="F57" s="71"/>
      <c r="H57" s="74"/>
      <c r="I57" s="71"/>
      <c r="J57" s="71"/>
    </row>
    <row r="58" spans="1:12" s="69" customFormat="1" ht="16" customHeight="1">
      <c r="A58" s="71"/>
      <c r="B58" s="71"/>
      <c r="C58" s="71"/>
      <c r="D58" s="71"/>
      <c r="E58" s="71"/>
      <c r="F58" s="71"/>
      <c r="H58" s="74"/>
      <c r="I58" s="71"/>
      <c r="J58" s="71"/>
    </row>
    <row r="59" spans="1:12" s="69" customFormat="1" ht="16" customHeight="1">
      <c r="A59" s="71"/>
      <c r="B59" s="71"/>
      <c r="C59" s="71"/>
      <c r="D59" s="71"/>
      <c r="E59" s="71"/>
      <c r="F59" s="71"/>
      <c r="H59" s="74"/>
      <c r="I59" s="71"/>
      <c r="J59" s="71"/>
    </row>
    <row r="60" spans="1:12" s="69" customFormat="1" ht="16" customHeight="1">
      <c r="A60" s="71" t="s">
        <v>2211</v>
      </c>
      <c r="B60" s="71"/>
      <c r="C60" s="71"/>
      <c r="D60" s="71"/>
      <c r="E60" s="71"/>
      <c r="F60" s="71"/>
      <c r="H60" s="74"/>
      <c r="I60" s="102"/>
      <c r="J60" s="71"/>
    </row>
    <row r="61" spans="1:12" s="69" customFormat="1" ht="16" customHeight="1">
      <c r="A61" s="71"/>
      <c r="B61" s="71"/>
      <c r="C61" s="71"/>
      <c r="D61" s="71"/>
      <c r="E61" s="71"/>
      <c r="F61" s="71"/>
      <c r="H61" s="74"/>
    </row>
    <row r="62" spans="1:12" s="69" customFormat="1" ht="17" customHeight="1">
      <c r="A62" s="96" t="s">
        <v>2197</v>
      </c>
      <c r="B62" s="96"/>
      <c r="C62" s="96"/>
      <c r="D62" s="96"/>
      <c r="E62" s="96"/>
      <c r="F62" s="96"/>
      <c r="H62" s="74"/>
    </row>
    <row r="63" spans="1:12" s="69" customFormat="1" ht="17" customHeight="1">
      <c r="A63" s="96"/>
      <c r="B63" s="96"/>
      <c r="C63" s="96"/>
      <c r="D63" s="96"/>
      <c r="E63" s="96"/>
      <c r="F63" s="96"/>
      <c r="H63" s="74"/>
    </row>
    <row r="64" spans="1:12" s="69" customFormat="1" ht="17" customHeight="1">
      <c r="A64" s="96"/>
      <c r="B64" s="96"/>
      <c r="C64" s="96"/>
      <c r="D64" s="96"/>
      <c r="E64" s="96"/>
      <c r="F64" s="96"/>
      <c r="H64" s="74"/>
    </row>
    <row r="65" spans="1:8" s="69" customFormat="1" ht="17" customHeight="1">
      <c r="A65" s="71"/>
      <c r="B65" s="71"/>
      <c r="C65" s="71"/>
      <c r="D65" s="71"/>
      <c r="E65" s="71"/>
      <c r="F65" s="71"/>
      <c r="H65" s="74"/>
    </row>
    <row r="66" spans="1:8" s="69" customFormat="1" ht="18" customHeight="1">
      <c r="A66" s="906" t="s">
        <v>2198</v>
      </c>
      <c r="B66" s="906"/>
      <c r="C66" s="906"/>
      <c r="D66" s="906"/>
      <c r="E66" s="906"/>
      <c r="F66" s="906"/>
      <c r="H66" s="74"/>
    </row>
    <row r="67" spans="1:8" s="69" customFormat="1">
      <c r="A67" s="71"/>
      <c r="B67" s="71"/>
      <c r="C67" s="71"/>
      <c r="D67" s="71"/>
      <c r="E67" s="71"/>
      <c r="F67" s="71"/>
      <c r="H67" s="74"/>
    </row>
    <row r="68" spans="1:8" s="69" customFormat="1" ht="12" customHeight="1">
      <c r="A68" s="71"/>
      <c r="B68" s="71"/>
      <c r="C68" s="71"/>
      <c r="D68" s="71"/>
      <c r="E68" s="75" t="s">
        <v>2199</v>
      </c>
      <c r="F68" s="76" t="e">
        <f>jumlah_komponen</f>
        <v>#REF!</v>
      </c>
      <c r="H68" s="98" t="s">
        <v>2213</v>
      </c>
    </row>
    <row r="69" spans="1:8" s="69" customFormat="1" ht="12" customHeight="1">
      <c r="A69" s="71"/>
      <c r="B69" s="71"/>
      <c r="C69" s="71"/>
      <c r="D69" s="71"/>
      <c r="E69" s="71"/>
      <c r="F69" s="71"/>
      <c r="H69" s="98" t="s">
        <v>2214</v>
      </c>
    </row>
    <row r="70" spans="1:8" s="69" customFormat="1" ht="12" customHeight="1">
      <c r="A70" s="77" t="s">
        <v>2200</v>
      </c>
      <c r="B70" s="77"/>
      <c r="C70" s="71" t="s">
        <v>2201</v>
      </c>
      <c r="D70" s="71"/>
      <c r="E70" s="77" t="s">
        <v>2202</v>
      </c>
      <c r="F70" s="78" t="str">
        <f>F6&amp;"B"</f>
        <v>RZ0458B</v>
      </c>
      <c r="H70" s="98" t="s">
        <v>2215</v>
      </c>
    </row>
    <row r="71" spans="1:8" s="69" customFormat="1" ht="12" customHeight="1">
      <c r="A71" s="77" t="s">
        <v>2203</v>
      </c>
      <c r="B71" s="77"/>
      <c r="C71" s="79" t="str">
        <f>C7</f>
        <v>127/RK-RL-PI/PAP-LL/XII/2025</v>
      </c>
      <c r="D71" s="71"/>
      <c r="E71" s="71"/>
      <c r="F71" s="77"/>
      <c r="H71" s="74"/>
    </row>
    <row r="72" spans="1:8" s="69" customFormat="1" ht="12" customHeight="1">
      <c r="A72" s="77" t="s">
        <v>1508</v>
      </c>
      <c r="B72" s="77"/>
      <c r="C72" s="79" t="str">
        <f>C8</f>
        <v>25LL017MPC</v>
      </c>
      <c r="D72" s="71"/>
      <c r="E72" s="71"/>
      <c r="F72" s="77"/>
      <c r="H72" s="74"/>
    </row>
    <row r="73" spans="1:8" s="69" customFormat="1" ht="12" customHeight="1">
      <c r="A73" s="77" t="s">
        <v>2204</v>
      </c>
      <c r="B73" s="77"/>
      <c r="C73" s="79" t="str">
        <f>C9</f>
        <v>PT Malindo Feedmill Tbk-Dry Pantry</v>
      </c>
      <c r="D73" s="71"/>
      <c r="E73" s="75" t="s">
        <v>2205</v>
      </c>
      <c r="F73" s="881">
        <f ca="1">NOW()</f>
        <v>46178.657870601855</v>
      </c>
      <c r="G73" s="882"/>
      <c r="H73" s="881"/>
    </row>
    <row r="74" spans="1:8" s="69" customFormat="1" ht="12" customHeight="1">
      <c r="A74" s="885" t="s">
        <v>2206</v>
      </c>
      <c r="B74" s="885"/>
      <c r="C74" s="30" t="str">
        <f>C10</f>
        <v>Fahrudin</v>
      </c>
      <c r="D74" s="908" t="s">
        <v>2838</v>
      </c>
      <c r="E74" s="908"/>
      <c r="F74" s="71" t="s">
        <v>2895</v>
      </c>
      <c r="H74" s="74"/>
    </row>
    <row r="75" spans="1:8" s="69" customFormat="1" ht="12" customHeight="1" thickBot="1">
      <c r="A75" s="71"/>
      <c r="B75" s="71"/>
      <c r="C75" s="71"/>
      <c r="D75" s="71"/>
      <c r="E75" s="71"/>
      <c r="F75" s="71"/>
      <c r="H75" s="74"/>
    </row>
    <row r="76" spans="1:8" s="69" customFormat="1" ht="30" customHeight="1" thickBot="1">
      <c r="A76" s="82" t="s">
        <v>327</v>
      </c>
      <c r="B76" s="82" t="s">
        <v>329</v>
      </c>
      <c r="C76" s="82" t="s">
        <v>330</v>
      </c>
      <c r="D76" s="82" t="s">
        <v>331</v>
      </c>
      <c r="E76" s="82" t="s">
        <v>332</v>
      </c>
      <c r="F76" s="82" t="s">
        <v>333</v>
      </c>
      <c r="H76" s="98" t="s">
        <v>2213</v>
      </c>
    </row>
    <row r="77" spans="1:8" s="69" customFormat="1" ht="14.25" customHeight="1" thickTop="1">
      <c r="A77" s="89"/>
      <c r="B77" s="89"/>
      <c r="C77" s="95"/>
      <c r="D77" s="89"/>
      <c r="E77" s="89"/>
      <c r="F77" s="90"/>
      <c r="H77" s="98" t="s">
        <v>2216</v>
      </c>
    </row>
    <row r="78" spans="1:8" s="69" customFormat="1" ht="14.25" customHeight="1">
      <c r="A78" s="89"/>
      <c r="B78" s="89"/>
      <c r="C78" s="95"/>
      <c r="D78" s="89"/>
      <c r="E78" s="89"/>
      <c r="F78" s="90"/>
      <c r="H78" s="74"/>
    </row>
    <row r="79" spans="1:8" s="69" customFormat="1" ht="14.25" customHeight="1">
      <c r="A79" s="89"/>
      <c r="B79" s="89"/>
      <c r="C79" s="95"/>
      <c r="D79" s="89"/>
      <c r="E79" s="89"/>
      <c r="F79" s="90"/>
      <c r="H79" s="74"/>
    </row>
    <row r="80" spans="1:8" s="69" customFormat="1" ht="14.25" customHeight="1">
      <c r="A80" s="89"/>
      <c r="B80" s="89"/>
      <c r="C80" s="95"/>
      <c r="D80" s="89"/>
      <c r="E80" s="89"/>
      <c r="F80" s="437"/>
      <c r="H80" s="74"/>
    </row>
    <row r="81" spans="1:8" s="69" customFormat="1" ht="14.25" customHeight="1">
      <c r="A81" s="89"/>
      <c r="B81" s="89"/>
      <c r="C81" s="95"/>
      <c r="D81" s="89"/>
      <c r="E81" s="436"/>
      <c r="F81" s="90"/>
      <c r="H81" s="98" t="s">
        <v>2213</v>
      </c>
    </row>
    <row r="82" spans="1:8" s="69" customFormat="1" ht="14.25" customHeight="1">
      <c r="A82" s="89"/>
      <c r="B82" s="89"/>
      <c r="C82" s="95"/>
      <c r="D82" s="89"/>
      <c r="E82" s="436"/>
      <c r="F82" s="90"/>
      <c r="H82" s="98" t="s">
        <v>2217</v>
      </c>
    </row>
    <row r="83" spans="1:8" s="69" customFormat="1" ht="14.25" customHeight="1">
      <c r="A83" s="89"/>
      <c r="B83" s="89"/>
      <c r="C83" s="95"/>
      <c r="D83" s="89"/>
      <c r="E83" s="436"/>
      <c r="F83" s="90"/>
      <c r="H83" s="74"/>
    </row>
    <row r="84" spans="1:8" s="69" customFormat="1" ht="14.25" customHeight="1">
      <c r="A84" s="89"/>
      <c r="B84" s="89"/>
      <c r="C84" s="95"/>
      <c r="D84" s="89"/>
      <c r="E84" s="436"/>
      <c r="F84" s="90"/>
      <c r="H84" s="74"/>
    </row>
    <row r="85" spans="1:8" s="69" customFormat="1" ht="14.25" customHeight="1">
      <c r="A85" s="89"/>
      <c r="B85" s="89"/>
      <c r="C85" s="95"/>
      <c r="D85" s="89"/>
      <c r="E85" s="436"/>
      <c r="F85" s="90"/>
      <c r="H85" s="74"/>
    </row>
    <row r="86" spans="1:8" s="69" customFormat="1" ht="14.25" customHeight="1">
      <c r="A86" s="89"/>
      <c r="B86" s="89"/>
      <c r="C86" s="95"/>
      <c r="D86" s="89"/>
      <c r="E86" s="436"/>
      <c r="F86" s="90"/>
      <c r="H86" s="74"/>
    </row>
    <row r="87" spans="1:8" s="69" customFormat="1" ht="14.25" customHeight="1">
      <c r="A87" s="89"/>
      <c r="B87" s="89"/>
      <c r="C87" s="95"/>
      <c r="D87" s="89"/>
      <c r="E87" s="436"/>
      <c r="F87" s="90"/>
      <c r="H87" s="74"/>
    </row>
    <row r="88" spans="1:8" s="69" customFormat="1" ht="14.25" customHeight="1">
      <c r="A88" s="89"/>
      <c r="B88" s="89"/>
      <c r="C88" s="95"/>
      <c r="D88" s="89"/>
      <c r="E88" s="436"/>
      <c r="F88" s="90"/>
      <c r="H88" s="74"/>
    </row>
    <row r="89" spans="1:8" s="69" customFormat="1" ht="14.25" customHeight="1">
      <c r="A89" s="89"/>
      <c r="B89" s="89"/>
      <c r="C89" s="95"/>
      <c r="D89" s="89"/>
      <c r="E89" s="436"/>
      <c r="F89" s="90"/>
      <c r="H89" s="74"/>
    </row>
    <row r="90" spans="1:8" s="69" customFormat="1" ht="14.25" customHeight="1">
      <c r="A90" s="89"/>
      <c r="B90" s="89"/>
      <c r="C90" s="95"/>
      <c r="D90" s="89"/>
      <c r="E90" s="436"/>
      <c r="F90" s="90"/>
      <c r="H90" s="74"/>
    </row>
    <row r="91" spans="1:8" s="69" customFormat="1" ht="14.25" customHeight="1">
      <c r="A91" s="89"/>
      <c r="B91" s="89"/>
      <c r="C91" s="95"/>
      <c r="D91" s="89"/>
      <c r="E91" s="436"/>
      <c r="F91" s="90"/>
      <c r="H91" s="74"/>
    </row>
    <row r="92" spans="1:8" s="69" customFormat="1" ht="14.25" customHeight="1">
      <c r="A92" s="89"/>
      <c r="B92" s="89"/>
      <c r="C92" s="95"/>
      <c r="D92" s="89"/>
      <c r="E92" s="436"/>
      <c r="F92" s="90"/>
      <c r="H92" s="74"/>
    </row>
    <row r="93" spans="1:8" s="69" customFormat="1" ht="14.25" customHeight="1">
      <c r="A93" s="89"/>
      <c r="B93" s="89"/>
      <c r="C93" s="95"/>
      <c r="D93" s="89"/>
      <c r="E93" s="436"/>
      <c r="F93" s="90"/>
      <c r="H93" s="74"/>
    </row>
    <row r="94" spans="1:8" s="69" customFormat="1" ht="14.25" customHeight="1">
      <c r="A94" s="89"/>
      <c r="B94" s="89"/>
      <c r="C94" s="95"/>
      <c r="D94" s="89"/>
      <c r="E94" s="436"/>
      <c r="F94" s="90"/>
      <c r="H94" s="74"/>
    </row>
    <row r="95" spans="1:8" s="69" customFormat="1" ht="14.25" customHeight="1">
      <c r="A95" s="89"/>
      <c r="B95" s="89"/>
      <c r="C95" s="95"/>
      <c r="D95" s="89"/>
      <c r="E95" s="436"/>
      <c r="F95" s="90"/>
      <c r="H95" s="74"/>
    </row>
    <row r="96" spans="1:8" s="69" customFormat="1" ht="14.25" customHeight="1">
      <c r="A96" s="89"/>
      <c r="B96" s="89"/>
      <c r="C96" s="95"/>
      <c r="D96" s="89"/>
      <c r="E96" s="436"/>
      <c r="F96" s="90"/>
      <c r="H96" s="74"/>
    </row>
    <row r="97" spans="1:9" s="69" customFormat="1" ht="14.25" customHeight="1">
      <c r="A97" s="89"/>
      <c r="B97" s="89"/>
      <c r="C97" s="95"/>
      <c r="D97" s="89"/>
      <c r="E97" s="436"/>
      <c r="F97" s="90"/>
      <c r="H97" s="74"/>
      <c r="I97" s="69" t="s">
        <v>511</v>
      </c>
    </row>
    <row r="98" spans="1:9" s="69" customFormat="1" ht="14.25" customHeight="1">
      <c r="A98" s="89"/>
      <c r="B98" s="89"/>
      <c r="C98" s="95"/>
      <c r="D98" s="89"/>
      <c r="E98" s="436"/>
      <c r="F98" s="90"/>
      <c r="H98" s="74"/>
    </row>
    <row r="99" spans="1:9" s="69" customFormat="1" ht="14.25" customHeight="1">
      <c r="A99" s="89"/>
      <c r="B99" s="89"/>
      <c r="C99" s="95"/>
      <c r="D99" s="89"/>
      <c r="E99" s="436"/>
      <c r="F99" s="90"/>
      <c r="H99" s="74"/>
    </row>
    <row r="100" spans="1:9" s="69" customFormat="1" ht="14.25" customHeight="1">
      <c r="A100" s="89"/>
      <c r="B100" s="89"/>
      <c r="C100" s="95"/>
      <c r="D100" s="89"/>
      <c r="E100" s="436"/>
      <c r="F100" s="90"/>
      <c r="H100" s="74"/>
    </row>
    <row r="101" spans="1:9" s="69" customFormat="1" ht="14.25" customHeight="1">
      <c r="A101" s="89"/>
      <c r="B101" s="89"/>
      <c r="C101" s="95"/>
      <c r="D101" s="89"/>
      <c r="E101" s="436"/>
      <c r="F101" s="90"/>
      <c r="H101" s="74"/>
    </row>
    <row r="102" spans="1:9" s="69" customFormat="1" ht="14.25" customHeight="1">
      <c r="A102" s="89"/>
      <c r="B102" s="89"/>
      <c r="C102" s="95"/>
      <c r="D102" s="89"/>
      <c r="E102" s="436"/>
      <c r="F102" s="90"/>
      <c r="H102" s="74"/>
    </row>
    <row r="103" spans="1:9" s="69" customFormat="1" ht="14.25" customHeight="1">
      <c r="A103" s="89"/>
      <c r="B103" s="89"/>
      <c r="C103" s="95"/>
      <c r="D103" s="89"/>
      <c r="E103" s="436"/>
      <c r="F103" s="90"/>
      <c r="H103" s="74"/>
    </row>
    <row r="104" spans="1:9" s="69" customFormat="1" ht="14.25" customHeight="1">
      <c r="A104" s="89"/>
      <c r="B104" s="89"/>
      <c r="C104" s="95"/>
      <c r="D104" s="89"/>
      <c r="E104" s="436"/>
      <c r="F104" s="90"/>
      <c r="H104" s="74"/>
    </row>
    <row r="105" spans="1:9" s="69" customFormat="1" ht="14.25" customHeight="1">
      <c r="A105" s="89"/>
      <c r="B105" s="89"/>
      <c r="C105" s="95"/>
      <c r="D105" s="89"/>
      <c r="E105" s="436"/>
      <c r="F105" s="90"/>
      <c r="H105" s="74"/>
    </row>
    <row r="106" spans="1:9" s="69" customFormat="1" ht="14.25" customHeight="1">
      <c r="A106" s="89"/>
      <c r="B106" s="89"/>
      <c r="C106" s="95"/>
      <c r="D106" s="89"/>
      <c r="E106" s="436"/>
      <c r="F106" s="90"/>
      <c r="H106" s="74"/>
    </row>
    <row r="107" spans="1:9" s="69" customFormat="1" ht="14.25" customHeight="1">
      <c r="A107" s="89"/>
      <c r="B107" s="89"/>
      <c r="C107" s="95"/>
      <c r="D107" s="89"/>
      <c r="E107" s="436"/>
      <c r="F107" s="90"/>
      <c r="H107" s="74"/>
    </row>
    <row r="108" spans="1:9" s="69" customFormat="1" ht="14.25" customHeight="1">
      <c r="A108" s="89"/>
      <c r="B108" s="89"/>
      <c r="C108" s="95"/>
      <c r="D108" s="89"/>
      <c r="E108" s="436"/>
      <c r="F108" s="90"/>
      <c r="H108" s="74"/>
    </row>
    <row r="109" spans="1:9" s="69" customFormat="1" ht="14.25" customHeight="1">
      <c r="A109" s="89"/>
      <c r="B109" s="89"/>
      <c r="C109" s="95"/>
      <c r="D109" s="89"/>
      <c r="E109" s="436"/>
      <c r="F109" s="90"/>
      <c r="H109" s="74"/>
    </row>
    <row r="110" spans="1:9" s="69" customFormat="1" ht="14.25" customHeight="1">
      <c r="A110" s="89"/>
      <c r="B110" s="89"/>
      <c r="C110" s="95"/>
      <c r="D110" s="89"/>
      <c r="E110" s="436"/>
      <c r="F110" s="90"/>
      <c r="G110" s="111"/>
      <c r="H110" s="112"/>
    </row>
    <row r="111" spans="1:9" s="69" customFormat="1" ht="16" customHeight="1">
      <c r="A111" s="71" t="s">
        <v>2210</v>
      </c>
      <c r="B111" s="71"/>
      <c r="C111" s="71"/>
      <c r="D111" s="71"/>
      <c r="E111" s="71"/>
      <c r="F111" s="71"/>
      <c r="H111" s="74"/>
    </row>
    <row r="112" spans="1:9" s="69" customFormat="1" ht="16" customHeight="1">
      <c r="A112" s="71"/>
      <c r="B112" s="71"/>
      <c r="C112" s="71"/>
      <c r="D112" s="71"/>
      <c r="E112" s="71"/>
      <c r="F112" s="71"/>
      <c r="H112" s="74"/>
    </row>
    <row r="113" spans="1:8" s="69" customFormat="1" ht="16" customHeight="1">
      <c r="A113" s="71"/>
      <c r="B113" s="71"/>
      <c r="C113" s="71"/>
      <c r="D113" s="71"/>
      <c r="E113" s="71"/>
      <c r="F113" s="71"/>
      <c r="H113" s="74"/>
    </row>
    <row r="114" spans="1:8" s="69" customFormat="1" ht="16" customHeight="1">
      <c r="A114" s="71" t="s">
        <v>2211</v>
      </c>
      <c r="B114" s="71"/>
      <c r="C114" s="71"/>
      <c r="D114" s="71"/>
      <c r="E114" s="71"/>
      <c r="F114" s="71"/>
      <c r="H114" s="74"/>
    </row>
    <row r="115" spans="1:8" s="69" customFormat="1" ht="16" customHeight="1">
      <c r="A115" s="71"/>
      <c r="B115" s="71"/>
      <c r="C115" s="71"/>
      <c r="D115" s="71"/>
      <c r="E115" s="71"/>
      <c r="F115" s="71"/>
      <c r="H115" s="74"/>
    </row>
    <row r="116" spans="1:8" s="69" customFormat="1" ht="17" customHeight="1">
      <c r="A116" s="96" t="s">
        <v>2197</v>
      </c>
      <c r="B116" s="96"/>
      <c r="C116" s="96"/>
      <c r="D116" s="96"/>
      <c r="E116" s="96"/>
      <c r="F116" s="96"/>
      <c r="H116" s="74"/>
    </row>
    <row r="117" spans="1:8" s="69" customFormat="1" ht="12" customHeight="1">
      <c r="A117" s="71"/>
      <c r="B117" s="71"/>
      <c r="C117" s="71"/>
      <c r="D117" s="71"/>
      <c r="E117" s="71"/>
      <c r="F117" s="71"/>
      <c r="H117" s="74"/>
    </row>
    <row r="118" spans="1:8" s="69" customFormat="1" ht="12" customHeight="1">
      <c r="A118" s="71"/>
      <c r="B118" s="71"/>
      <c r="C118" s="71"/>
      <c r="D118" s="71"/>
      <c r="E118" s="71"/>
      <c r="F118" s="71"/>
      <c r="H118" s="74"/>
    </row>
    <row r="119" spans="1:8" s="69" customFormat="1" ht="12" customHeight="1">
      <c r="A119" s="96"/>
      <c r="B119" s="96"/>
      <c r="C119" s="96"/>
      <c r="D119" s="96"/>
      <c r="E119" s="96"/>
      <c r="F119" s="96"/>
      <c r="H119" s="74"/>
    </row>
    <row r="120" spans="1:8" s="69" customFormat="1" ht="12" customHeight="1">
      <c r="A120" s="71"/>
      <c r="B120" s="71"/>
      <c r="C120" s="71"/>
      <c r="D120" s="71"/>
      <c r="E120" s="71"/>
      <c r="F120" s="71"/>
      <c r="H120" s="74"/>
    </row>
    <row r="121" spans="1:8" s="69" customFormat="1" ht="18" customHeight="1">
      <c r="A121" s="906" t="s">
        <v>2198</v>
      </c>
      <c r="B121" s="906"/>
      <c r="C121" s="906"/>
      <c r="D121" s="906"/>
      <c r="E121" s="906"/>
      <c r="F121" s="906"/>
      <c r="H121" s="74"/>
    </row>
    <row r="122" spans="1:8" s="69" customFormat="1" ht="12" customHeight="1">
      <c r="A122" s="71"/>
      <c r="B122" s="71"/>
      <c r="C122" s="71"/>
      <c r="D122" s="71"/>
      <c r="E122" s="71"/>
      <c r="F122" s="71"/>
      <c r="H122" s="74"/>
    </row>
    <row r="123" spans="1:8" s="69" customFormat="1" ht="18" customHeight="1">
      <c r="A123" s="71"/>
      <c r="B123" s="71"/>
      <c r="C123" s="71"/>
      <c r="D123" s="71"/>
      <c r="E123" s="77" t="s">
        <v>2212</v>
      </c>
      <c r="F123" s="71"/>
      <c r="H123" s="74"/>
    </row>
    <row r="124" spans="1:8" s="69" customFormat="1" ht="12" customHeight="1">
      <c r="A124" s="71"/>
      <c r="B124" s="71"/>
      <c r="C124" s="71"/>
      <c r="D124" s="71"/>
      <c r="E124" s="71"/>
      <c r="F124" s="71"/>
      <c r="H124" s="98" t="s">
        <v>2213</v>
      </c>
    </row>
    <row r="125" spans="1:8" s="69" customFormat="1" ht="12" customHeight="1">
      <c r="A125" s="77" t="s">
        <v>2200</v>
      </c>
      <c r="B125" s="77"/>
      <c r="C125" s="71" t="s">
        <v>2201</v>
      </c>
      <c r="D125" s="71"/>
      <c r="E125" s="77" t="s">
        <v>2202</v>
      </c>
      <c r="F125" s="78" t="str">
        <f>F70</f>
        <v>RZ0458B</v>
      </c>
      <c r="H125" s="98" t="s">
        <v>2214</v>
      </c>
    </row>
    <row r="126" spans="1:8" s="69" customFormat="1" ht="12" customHeight="1">
      <c r="A126" s="77" t="s">
        <v>2203</v>
      </c>
      <c r="B126" s="77"/>
      <c r="C126" s="79" t="str">
        <f>C71</f>
        <v>127/RK-RL-PI/PAP-LL/XII/2025</v>
      </c>
      <c r="D126" s="71"/>
      <c r="E126" s="71"/>
      <c r="F126" s="77"/>
      <c r="H126" s="98" t="s">
        <v>2215</v>
      </c>
    </row>
    <row r="127" spans="1:8" s="69" customFormat="1" ht="12" customHeight="1">
      <c r="A127" s="99" t="s">
        <v>1508</v>
      </c>
      <c r="B127" s="99"/>
      <c r="C127" s="100" t="str">
        <f>C72</f>
        <v>25LL017MPC</v>
      </c>
      <c r="D127" s="71"/>
      <c r="E127" s="71"/>
      <c r="F127" s="77"/>
      <c r="H127" s="74"/>
    </row>
    <row r="128" spans="1:8" s="69" customFormat="1" ht="12" customHeight="1">
      <c r="A128" s="77" t="s">
        <v>2204</v>
      </c>
      <c r="B128" s="77"/>
      <c r="C128" s="79" t="str">
        <f>C73</f>
        <v>PT Malindo Feedmill Tbk-Dry Pantry</v>
      </c>
      <c r="D128" s="71"/>
      <c r="E128" s="75" t="s">
        <v>2205</v>
      </c>
      <c r="F128" s="71"/>
      <c r="H128" s="74"/>
    </row>
    <row r="129" spans="1:8" s="69" customFormat="1" ht="12" customHeight="1">
      <c r="A129" s="905" t="s">
        <v>2180</v>
      </c>
      <c r="B129" s="905"/>
      <c r="C129" s="101" t="str">
        <f>C74</f>
        <v>Fahrudin</v>
      </c>
      <c r="D129" s="908" t="s">
        <v>2838</v>
      </c>
      <c r="E129" s="908"/>
      <c r="F129" s="71" t="s">
        <v>2895</v>
      </c>
      <c r="H129" s="74"/>
    </row>
    <row r="130" spans="1:8" s="69" customFormat="1" ht="12" customHeight="1">
      <c r="A130" s="71"/>
      <c r="B130" s="71"/>
      <c r="C130" s="71"/>
      <c r="D130" s="71"/>
      <c r="E130" s="71"/>
      <c r="F130" s="71"/>
      <c r="H130" s="74"/>
    </row>
    <row r="131" spans="1:8" s="69" customFormat="1" ht="12" customHeight="1" thickBot="1">
      <c r="A131" s="71"/>
      <c r="B131" s="71"/>
      <c r="C131" s="71"/>
      <c r="D131" s="71"/>
      <c r="E131" s="71"/>
      <c r="F131" s="71"/>
      <c r="H131" s="74"/>
    </row>
    <row r="132" spans="1:8" s="69" customFormat="1" ht="30" customHeight="1" thickBot="1">
      <c r="A132" s="82" t="s">
        <v>327</v>
      </c>
      <c r="B132" s="82" t="s">
        <v>329</v>
      </c>
      <c r="C132" s="82" t="s">
        <v>330</v>
      </c>
      <c r="D132" s="82" t="s">
        <v>331</v>
      </c>
      <c r="E132" s="82" t="s">
        <v>332</v>
      </c>
      <c r="F132" s="82" t="s">
        <v>333</v>
      </c>
      <c r="H132" s="98" t="s">
        <v>2213</v>
      </c>
    </row>
    <row r="133" spans="1:8" s="69" customFormat="1" ht="12" customHeight="1" thickTop="1">
      <c r="A133" s="113"/>
      <c r="B133" s="113"/>
      <c r="C133" s="114"/>
      <c r="D133" s="113"/>
      <c r="E133" s="113"/>
      <c r="F133" s="116"/>
      <c r="H133" s="98" t="s">
        <v>2216</v>
      </c>
    </row>
    <row r="134" spans="1:8" s="69" customFormat="1" ht="12" customHeight="1">
      <c r="A134" s="89"/>
      <c r="B134" s="89"/>
      <c r="C134" s="95"/>
      <c r="D134" s="89"/>
      <c r="E134" s="89"/>
      <c r="F134" s="110"/>
      <c r="H134" s="74"/>
    </row>
    <row r="135" spans="1:8" s="69" customFormat="1" ht="12" customHeight="1">
      <c r="A135" s="89"/>
      <c r="B135" s="89"/>
      <c r="C135" s="95"/>
      <c r="D135" s="89"/>
      <c r="E135" s="89"/>
      <c r="F135" s="110"/>
      <c r="H135" s="74"/>
    </row>
    <row r="136" spans="1:8" s="69" customFormat="1" ht="12" customHeight="1">
      <c r="A136" s="89"/>
      <c r="B136" s="89"/>
      <c r="C136" s="95"/>
      <c r="D136" s="89"/>
      <c r="E136" s="89"/>
      <c r="F136" s="110"/>
      <c r="H136" s="74"/>
    </row>
    <row r="137" spans="1:8" s="69" customFormat="1" ht="12" customHeight="1">
      <c r="A137" s="89"/>
      <c r="B137" s="89"/>
      <c r="C137" s="95"/>
      <c r="D137" s="89"/>
      <c r="E137" s="89"/>
      <c r="F137" s="110"/>
      <c r="H137" s="98" t="s">
        <v>2213</v>
      </c>
    </row>
    <row r="138" spans="1:8" s="69" customFormat="1" ht="12" customHeight="1">
      <c r="A138" s="89"/>
      <c r="B138" s="89"/>
      <c r="C138" s="95"/>
      <c r="D138" s="89"/>
      <c r="E138" s="89"/>
      <c r="F138" s="110"/>
      <c r="H138" s="98" t="s">
        <v>2217</v>
      </c>
    </row>
    <row r="139" spans="1:8" s="69" customFormat="1" ht="12" customHeight="1">
      <c r="A139" s="89"/>
      <c r="B139" s="89"/>
      <c r="C139" s="95"/>
      <c r="D139" s="89"/>
      <c r="E139" s="89"/>
      <c r="F139" s="110"/>
      <c r="H139" s="74"/>
    </row>
    <row r="140" spans="1:8" s="69" customFormat="1" ht="12" customHeight="1">
      <c r="A140" s="89"/>
      <c r="B140" s="89"/>
      <c r="C140" s="95"/>
      <c r="D140" s="89"/>
      <c r="E140" s="89"/>
      <c r="F140" s="110"/>
      <c r="H140" s="74"/>
    </row>
    <row r="141" spans="1:8" s="69" customFormat="1" ht="12" customHeight="1">
      <c r="A141" s="89"/>
      <c r="B141" s="89"/>
      <c r="C141" s="95"/>
      <c r="D141" s="89"/>
      <c r="E141" s="89"/>
      <c r="F141" s="110"/>
      <c r="H141" s="74"/>
    </row>
    <row r="142" spans="1:8" s="69" customFormat="1" ht="12" customHeight="1">
      <c r="A142" s="89"/>
      <c r="B142" s="89"/>
      <c r="C142" s="95"/>
      <c r="D142" s="89"/>
      <c r="E142" s="89"/>
      <c r="F142" s="110"/>
      <c r="H142" s="74"/>
    </row>
    <row r="143" spans="1:8" s="69" customFormat="1" ht="12" customHeight="1">
      <c r="A143" s="89"/>
      <c r="B143" s="89"/>
      <c r="C143" s="95"/>
      <c r="D143" s="89"/>
      <c r="E143" s="89"/>
      <c r="F143" s="110"/>
      <c r="H143" s="74"/>
    </row>
    <row r="144" spans="1:8" s="69" customFormat="1" ht="12" customHeight="1">
      <c r="A144" s="89"/>
      <c r="B144" s="89"/>
      <c r="C144" s="95"/>
      <c r="D144" s="89"/>
      <c r="E144" s="89"/>
      <c r="F144" s="110"/>
      <c r="H144" s="74"/>
    </row>
    <row r="145" spans="1:8" s="69" customFormat="1" ht="12" customHeight="1">
      <c r="A145" s="89"/>
      <c r="B145" s="89"/>
      <c r="C145" s="95"/>
      <c r="D145" s="89"/>
      <c r="E145" s="89"/>
      <c r="F145" s="110"/>
      <c r="H145" s="74"/>
    </row>
    <row r="146" spans="1:8" s="69" customFormat="1" ht="12" customHeight="1">
      <c r="A146" s="89"/>
      <c r="B146" s="89"/>
      <c r="C146" s="95"/>
      <c r="D146" s="89"/>
      <c r="E146" s="89"/>
      <c r="F146" s="110"/>
      <c r="H146" s="74"/>
    </row>
    <row r="147" spans="1:8" s="69" customFormat="1" ht="12" customHeight="1">
      <c r="A147" s="89"/>
      <c r="B147" s="89"/>
      <c r="C147" s="95"/>
      <c r="D147" s="89"/>
      <c r="E147" s="89"/>
      <c r="F147" s="110"/>
      <c r="H147" s="74"/>
    </row>
    <row r="148" spans="1:8" s="69" customFormat="1" ht="12" customHeight="1">
      <c r="A148" s="89"/>
      <c r="B148" s="89"/>
      <c r="C148" s="95"/>
      <c r="D148" s="89"/>
      <c r="E148" s="89"/>
      <c r="F148" s="110"/>
      <c r="H148" s="74"/>
    </row>
    <row r="149" spans="1:8" s="69" customFormat="1" ht="12" customHeight="1">
      <c r="A149" s="89"/>
      <c r="B149" s="89"/>
      <c r="C149" s="95"/>
      <c r="D149" s="89"/>
      <c r="E149" s="89"/>
      <c r="F149" s="110"/>
      <c r="H149" s="74"/>
    </row>
    <row r="150" spans="1:8" s="69" customFormat="1" ht="12" customHeight="1">
      <c r="A150" s="89"/>
      <c r="B150" s="89"/>
      <c r="C150" s="95"/>
      <c r="D150" s="89"/>
      <c r="E150" s="89"/>
      <c r="F150" s="110"/>
      <c r="H150" s="74"/>
    </row>
    <row r="151" spans="1:8" s="69" customFormat="1" ht="12" customHeight="1">
      <c r="A151" s="89"/>
      <c r="B151" s="89"/>
      <c r="C151" s="95"/>
      <c r="D151" s="89"/>
      <c r="E151" s="89"/>
      <c r="F151" s="110"/>
      <c r="H151" s="74"/>
    </row>
    <row r="152" spans="1:8" s="69" customFormat="1" ht="12" customHeight="1">
      <c r="A152" s="89"/>
      <c r="B152" s="89"/>
      <c r="C152" s="95"/>
      <c r="D152" s="89"/>
      <c r="E152" s="89"/>
      <c r="F152" s="110"/>
      <c r="H152" s="74"/>
    </row>
    <row r="153" spans="1:8" s="69" customFormat="1" ht="12" customHeight="1">
      <c r="A153" s="89"/>
      <c r="B153" s="89"/>
      <c r="C153" s="95"/>
      <c r="D153" s="89"/>
      <c r="E153" s="89"/>
      <c r="F153" s="110"/>
      <c r="H153" s="74"/>
    </row>
    <row r="154" spans="1:8" s="69" customFormat="1" ht="12" customHeight="1">
      <c r="A154" s="89"/>
      <c r="B154" s="89"/>
      <c r="C154" s="95"/>
      <c r="D154" s="89"/>
      <c r="E154" s="89"/>
      <c r="F154" s="110"/>
      <c r="H154" s="74"/>
    </row>
    <row r="155" spans="1:8" s="69" customFormat="1" ht="12" customHeight="1">
      <c r="A155" s="89"/>
      <c r="B155" s="89"/>
      <c r="C155" s="95"/>
      <c r="D155" s="89"/>
      <c r="E155" s="89"/>
      <c r="F155" s="110"/>
      <c r="H155" s="74"/>
    </row>
    <row r="156" spans="1:8" s="69" customFormat="1" ht="12" customHeight="1">
      <c r="A156" s="89"/>
      <c r="B156" s="89"/>
      <c r="C156" s="95"/>
      <c r="D156" s="89"/>
      <c r="E156" s="89"/>
      <c r="F156" s="110"/>
      <c r="H156" s="74"/>
    </row>
    <row r="157" spans="1:8" s="69" customFormat="1" ht="12" customHeight="1">
      <c r="A157" s="89"/>
      <c r="B157" s="89"/>
      <c r="C157" s="95"/>
      <c r="D157" s="89"/>
      <c r="E157" s="89"/>
      <c r="F157" s="110"/>
      <c r="H157" s="74"/>
    </row>
    <row r="158" spans="1:8" s="69" customFormat="1" ht="12" customHeight="1">
      <c r="A158" s="89"/>
      <c r="B158" s="89"/>
      <c r="C158" s="95"/>
      <c r="D158" s="89"/>
      <c r="E158" s="89"/>
      <c r="F158" s="110"/>
      <c r="H158" s="74"/>
    </row>
    <row r="159" spans="1:8" s="69" customFormat="1" ht="12" customHeight="1">
      <c r="A159" s="89"/>
      <c r="B159" s="89"/>
      <c r="C159" s="95"/>
      <c r="D159" s="89"/>
      <c r="E159" s="89"/>
      <c r="F159" s="110"/>
      <c r="H159" s="74"/>
    </row>
    <row r="160" spans="1:8" s="69" customFormat="1" ht="12" customHeight="1">
      <c r="A160" s="89"/>
      <c r="B160" s="89"/>
      <c r="C160" s="95"/>
      <c r="D160" s="89"/>
      <c r="E160" s="89"/>
      <c r="F160" s="110"/>
      <c r="H160" s="74"/>
    </row>
    <row r="161" spans="1:8" s="69" customFormat="1" ht="12" customHeight="1">
      <c r="A161" s="89"/>
      <c r="B161" s="89"/>
      <c r="C161" s="95"/>
      <c r="D161" s="89"/>
      <c r="E161" s="89"/>
      <c r="F161" s="110"/>
      <c r="H161" s="74"/>
    </row>
    <row r="162" spans="1:8" s="69" customFormat="1" ht="12" customHeight="1">
      <c r="A162" s="89"/>
      <c r="B162" s="89"/>
      <c r="C162" s="95"/>
      <c r="D162" s="89"/>
      <c r="E162" s="89"/>
      <c r="F162" s="110"/>
      <c r="H162" s="74"/>
    </row>
    <row r="163" spans="1:8" s="69" customFormat="1" ht="12" customHeight="1">
      <c r="A163" s="89"/>
      <c r="B163" s="89"/>
      <c r="C163" s="95"/>
      <c r="D163" s="89"/>
      <c r="E163" s="89"/>
      <c r="F163" s="110"/>
      <c r="H163" s="74"/>
    </row>
    <row r="164" spans="1:8" s="69" customFormat="1" ht="12" customHeight="1">
      <c r="A164" s="89"/>
      <c r="B164" s="89"/>
      <c r="C164" s="95"/>
      <c r="D164" s="89"/>
      <c r="E164" s="89"/>
      <c r="F164" s="110"/>
      <c r="H164" s="74"/>
    </row>
    <row r="165" spans="1:8" s="69" customFormat="1" ht="12" customHeight="1">
      <c r="A165" s="89"/>
      <c r="B165" s="89"/>
      <c r="C165" s="95"/>
      <c r="D165" s="89"/>
      <c r="E165" s="89"/>
      <c r="F165" s="110"/>
      <c r="H165" s="74"/>
    </row>
    <row r="166" spans="1:8" s="69" customFormat="1" ht="12" customHeight="1">
      <c r="A166" s="89"/>
      <c r="B166" s="89"/>
      <c r="C166" s="95"/>
      <c r="D166" s="89"/>
      <c r="E166" s="89"/>
      <c r="F166" s="110"/>
      <c r="H166" s="74"/>
    </row>
    <row r="167" spans="1:8" s="69" customFormat="1" ht="12" customHeight="1">
      <c r="A167" s="89"/>
      <c r="B167" s="89"/>
      <c r="C167" s="95"/>
      <c r="D167" s="89"/>
      <c r="E167" s="89"/>
      <c r="F167" s="110"/>
      <c r="H167" s="74"/>
    </row>
    <row r="168" spans="1:8" s="69" customFormat="1" ht="12" customHeight="1">
      <c r="A168" s="89"/>
      <c r="B168" s="89"/>
      <c r="C168" s="95"/>
      <c r="D168" s="89"/>
      <c r="E168" s="89"/>
      <c r="F168" s="110"/>
      <c r="H168" s="74"/>
    </row>
    <row r="169" spans="1:8" s="69" customFormat="1" ht="12" customHeight="1">
      <c r="A169" s="71" t="s">
        <v>2210</v>
      </c>
      <c r="B169" s="71"/>
      <c r="C169" s="71"/>
      <c r="D169" s="71"/>
      <c r="E169" s="71"/>
      <c r="F169" s="71"/>
      <c r="H169" s="74"/>
    </row>
    <row r="170" spans="1:8" s="69" customFormat="1" ht="12" customHeight="1">
      <c r="A170" s="71"/>
      <c r="B170" s="71"/>
      <c r="C170" s="71"/>
      <c r="D170" s="71"/>
      <c r="E170" s="71"/>
      <c r="F170" s="71"/>
      <c r="G170" s="117"/>
      <c r="H170" s="118"/>
    </row>
    <row r="171" spans="1:8" s="69" customFormat="1" ht="12" customHeight="1">
      <c r="A171" s="71"/>
      <c r="B171" s="71"/>
      <c r="C171" s="71"/>
      <c r="D171" s="71"/>
      <c r="E171" s="71"/>
      <c r="F171" s="71"/>
      <c r="H171" s="74"/>
    </row>
    <row r="172" spans="1:8" s="69" customFormat="1" ht="12" customHeight="1">
      <c r="A172" s="71"/>
      <c r="B172" s="71"/>
      <c r="C172" s="71"/>
      <c r="D172" s="71"/>
      <c r="E172" s="71"/>
      <c r="F172" s="71"/>
      <c r="H172" s="74"/>
    </row>
    <row r="173" spans="1:8" s="69" customFormat="1" ht="16" customHeight="1">
      <c r="A173" s="71" t="s">
        <v>2211</v>
      </c>
      <c r="B173" s="71"/>
      <c r="C173" s="71"/>
      <c r="D173" s="71"/>
      <c r="E173" s="71"/>
      <c r="F173" s="71"/>
      <c r="H173" s="74"/>
    </row>
    <row r="174" spans="1:8" s="69" customFormat="1" ht="16" customHeight="1">
      <c r="A174" s="71"/>
      <c r="B174" s="71"/>
      <c r="C174" s="71"/>
      <c r="D174" s="71"/>
      <c r="E174" s="71"/>
      <c r="F174" s="71"/>
      <c r="H174" s="74"/>
    </row>
    <row r="175" spans="1:8" s="69" customFormat="1" ht="16" customHeight="1">
      <c r="A175" s="96" t="s">
        <v>2197</v>
      </c>
      <c r="B175" s="96"/>
      <c r="C175" s="96"/>
      <c r="D175" s="96"/>
      <c r="E175" s="96"/>
      <c r="F175" s="96"/>
      <c r="H175" s="74"/>
    </row>
    <row r="176" spans="1:8" s="69" customFormat="1" ht="16" customHeight="1">
      <c r="A176" s="71"/>
      <c r="B176" s="71"/>
      <c r="C176" s="71"/>
      <c r="D176" s="71"/>
      <c r="E176" s="71"/>
      <c r="F176" s="71"/>
      <c r="H176" s="74"/>
    </row>
    <row r="177" spans="1:12" s="69" customFormat="1" ht="16" customHeight="1">
      <c r="A177" s="71"/>
      <c r="B177" s="71"/>
      <c r="C177" s="71"/>
      <c r="D177" s="71"/>
      <c r="E177" s="71"/>
      <c r="F177" s="71"/>
      <c r="H177" s="74"/>
    </row>
    <row r="178" spans="1:12" s="69" customFormat="1" ht="17" customHeight="1">
      <c r="A178" s="96"/>
      <c r="B178" s="96"/>
      <c r="C178" s="96"/>
      <c r="D178" s="96"/>
      <c r="E178" s="96"/>
      <c r="F178" s="96"/>
      <c r="H178" s="74"/>
    </row>
    <row r="179" spans="1:12" ht="12.75" customHeight="1">
      <c r="I179" s="69"/>
      <c r="J179" s="69"/>
      <c r="K179" s="69"/>
      <c r="L179" s="69"/>
    </row>
    <row r="180" spans="1:12" ht="12.75" customHeight="1">
      <c r="I180" s="69"/>
      <c r="J180" s="69"/>
      <c r="K180" s="69"/>
      <c r="L180" s="69"/>
    </row>
    <row r="181" spans="1:12" ht="12.75" customHeight="1">
      <c r="I181" s="69"/>
      <c r="J181" s="69"/>
      <c r="K181" s="69"/>
      <c r="L181" s="69"/>
    </row>
    <row r="182" spans="1:12" ht="12.75" customHeight="1">
      <c r="I182" s="69"/>
      <c r="J182" s="69"/>
      <c r="K182" s="69"/>
      <c r="L182" s="69"/>
    </row>
    <row r="183" spans="1:12" ht="12.75" customHeight="1">
      <c r="I183" s="69"/>
      <c r="J183" s="69"/>
      <c r="K183" s="69"/>
      <c r="L183" s="69"/>
    </row>
    <row r="184" spans="1:12" ht="12.75" customHeight="1">
      <c r="I184" s="69"/>
      <c r="J184" s="69"/>
      <c r="K184" s="69"/>
      <c r="L184" s="69"/>
    </row>
    <row r="185" spans="1:12" ht="12.75" customHeight="1">
      <c r="I185" s="69"/>
      <c r="J185" s="69"/>
      <c r="K185" s="69"/>
      <c r="L185" s="69"/>
    </row>
    <row r="186" spans="1:12" ht="12.75" customHeight="1">
      <c r="I186" s="69"/>
      <c r="J186" s="69"/>
      <c r="K186" s="69"/>
      <c r="L186" s="69"/>
    </row>
    <row r="187" spans="1:12" ht="12.75" customHeight="1">
      <c r="I187" s="69"/>
      <c r="J187" s="69"/>
      <c r="K187" s="69"/>
      <c r="L187" s="69"/>
    </row>
    <row r="188" spans="1:12" ht="12.75" customHeight="1">
      <c r="I188" s="69"/>
      <c r="J188" s="69"/>
      <c r="K188" s="69"/>
      <c r="L188" s="69"/>
    </row>
    <row r="189" spans="1:12" ht="12.75" customHeight="1">
      <c r="I189" s="69"/>
      <c r="J189" s="69"/>
      <c r="K189" s="69"/>
      <c r="L189" s="69"/>
    </row>
    <row r="190" spans="1:12" ht="12.75" customHeight="1">
      <c r="I190" s="69"/>
      <c r="J190" s="69"/>
      <c r="K190" s="69"/>
      <c r="L190" s="69"/>
    </row>
    <row r="191" spans="1:12" ht="12.75" customHeight="1">
      <c r="I191" s="69"/>
      <c r="J191" s="69"/>
      <c r="K191" s="69"/>
      <c r="L191" s="69"/>
    </row>
    <row r="192" spans="1:12" ht="12.75" customHeight="1">
      <c r="I192" s="69"/>
      <c r="J192" s="69"/>
      <c r="K192" s="69"/>
      <c r="L192" s="69"/>
    </row>
    <row r="193" spans="9:12" ht="12.75" customHeight="1">
      <c r="I193" s="69"/>
      <c r="J193" s="69"/>
      <c r="K193" s="69"/>
      <c r="L193" s="69"/>
    </row>
    <row r="194" spans="9:12" ht="12.75" customHeight="1">
      <c r="I194" s="69"/>
      <c r="J194" s="69"/>
      <c r="K194" s="69"/>
      <c r="L194" s="69"/>
    </row>
    <row r="195" spans="9:12" ht="12.75" customHeight="1">
      <c r="I195" s="69"/>
      <c r="J195" s="69"/>
      <c r="K195" s="69"/>
      <c r="L195" s="69"/>
    </row>
    <row r="196" spans="9:12" ht="12.75" customHeight="1">
      <c r="I196" s="69"/>
      <c r="J196" s="69"/>
      <c r="K196" s="69"/>
      <c r="L196" s="69"/>
    </row>
    <row r="197" spans="9:12" ht="12.75" customHeight="1">
      <c r="I197" s="69"/>
      <c r="J197" s="69"/>
      <c r="K197" s="69"/>
      <c r="L197" s="69"/>
    </row>
    <row r="198" spans="9:12" ht="12.75" customHeight="1">
      <c r="I198" s="69"/>
      <c r="J198" s="69"/>
      <c r="K198" s="69"/>
      <c r="L198" s="69"/>
    </row>
    <row r="199" spans="9:12" ht="12.75" customHeight="1">
      <c r="I199" s="69"/>
      <c r="J199" s="69"/>
      <c r="K199" s="69"/>
      <c r="L199" s="69"/>
    </row>
    <row r="200" spans="9:12" ht="12.75" customHeight="1">
      <c r="I200" s="69"/>
      <c r="J200" s="69"/>
      <c r="K200" s="69"/>
      <c r="L200" s="69"/>
    </row>
    <row r="201" spans="9:12" ht="12.75" customHeight="1">
      <c r="I201" s="69"/>
      <c r="J201" s="69"/>
      <c r="K201" s="69"/>
      <c r="L201" s="69"/>
    </row>
    <row r="202" spans="9:12" ht="12.75" customHeight="1">
      <c r="I202" s="69"/>
      <c r="J202" s="69"/>
      <c r="K202" s="69"/>
      <c r="L202" s="69"/>
    </row>
    <row r="203" spans="9:12" ht="12.75" customHeight="1">
      <c r="I203" s="69"/>
      <c r="J203" s="69"/>
      <c r="K203" s="69"/>
      <c r="L203" s="69"/>
    </row>
    <row r="204" spans="9:12" ht="12.75" customHeight="1">
      <c r="I204" s="69"/>
      <c r="J204" s="69"/>
      <c r="K204" s="69"/>
      <c r="L204" s="69"/>
    </row>
    <row r="205" spans="9:12" ht="12.75" customHeight="1">
      <c r="I205" s="69"/>
      <c r="J205" s="69"/>
      <c r="K205" s="69"/>
      <c r="L205" s="69"/>
    </row>
    <row r="206" spans="9:12" ht="12.75" customHeight="1">
      <c r="I206" s="69"/>
      <c r="J206" s="69"/>
      <c r="K206" s="69"/>
      <c r="L206" s="69"/>
    </row>
    <row r="207" spans="9:12" ht="12.75" customHeight="1">
      <c r="I207" s="69"/>
      <c r="J207" s="69"/>
      <c r="K207" s="69"/>
      <c r="L207" s="69"/>
    </row>
    <row r="208" spans="9:12" ht="12.75" customHeight="1">
      <c r="I208" s="69"/>
      <c r="J208" s="69"/>
      <c r="K208" s="69"/>
      <c r="L208" s="69"/>
    </row>
    <row r="209" spans="9:12" ht="12.75" customHeight="1">
      <c r="I209" s="69"/>
      <c r="J209" s="69"/>
      <c r="K209" s="69"/>
      <c r="L209" s="69"/>
    </row>
    <row r="210" spans="9:12" ht="12.75" customHeight="1">
      <c r="I210" s="69"/>
      <c r="J210" s="69"/>
      <c r="K210" s="69"/>
      <c r="L210" s="69"/>
    </row>
    <row r="211" spans="9:12" ht="12.75" customHeight="1">
      <c r="I211" s="69"/>
      <c r="J211" s="69"/>
      <c r="K211" s="119"/>
      <c r="L211" s="69"/>
    </row>
    <row r="212" spans="9:12" ht="12.75" customHeight="1">
      <c r="I212" s="69"/>
      <c r="J212" s="69"/>
      <c r="K212" s="69"/>
      <c r="L212" s="69"/>
    </row>
    <row r="213" spans="9:12" ht="12.75" customHeight="1">
      <c r="I213" s="69"/>
      <c r="J213" s="69"/>
      <c r="K213" s="69"/>
      <c r="L213" s="69"/>
    </row>
    <row r="214" spans="9:12" ht="12.75" customHeight="1">
      <c r="I214" s="69"/>
      <c r="J214" s="69"/>
      <c r="K214" s="69"/>
      <c r="L214" s="69"/>
    </row>
    <row r="215" spans="9:12" ht="12.75" customHeight="1">
      <c r="I215" s="69"/>
      <c r="J215" s="69"/>
      <c r="K215" s="69"/>
      <c r="L215" s="69"/>
    </row>
    <row r="216" spans="9:12" ht="12.75" customHeight="1">
      <c r="I216" s="69"/>
      <c r="J216" s="69"/>
      <c r="K216" s="69"/>
      <c r="L216" s="69"/>
    </row>
    <row r="217" spans="9:12" ht="12.75" customHeight="1">
      <c r="I217" s="69"/>
      <c r="J217" s="69"/>
      <c r="K217" s="69"/>
      <c r="L217" s="69"/>
    </row>
    <row r="218" spans="9:12" ht="12.75" customHeight="1">
      <c r="I218" s="69"/>
      <c r="J218" s="69"/>
      <c r="K218" s="69"/>
      <c r="L218" s="69"/>
    </row>
    <row r="219" spans="9:12" ht="12.75" customHeight="1">
      <c r="I219" s="69"/>
      <c r="J219" s="69"/>
      <c r="K219" s="69"/>
      <c r="L219" s="69"/>
    </row>
    <row r="220" spans="9:12" ht="12.75" customHeight="1">
      <c r="I220" s="119"/>
      <c r="J220" s="119"/>
      <c r="K220" s="69"/>
      <c r="L220" s="69"/>
    </row>
    <row r="221" spans="9:12" ht="12.75" customHeight="1">
      <c r="I221" s="69"/>
      <c r="J221" s="69"/>
      <c r="K221" s="69"/>
      <c r="L221" s="69"/>
    </row>
    <row r="222" spans="9:12" ht="12.75" customHeight="1">
      <c r="I222" s="69"/>
      <c r="J222" s="69"/>
      <c r="K222" s="69"/>
      <c r="L222" s="69"/>
    </row>
    <row r="223" spans="9:12" ht="12.75" customHeight="1">
      <c r="I223" s="69"/>
      <c r="J223" s="69"/>
      <c r="K223" s="69"/>
      <c r="L223" s="69"/>
    </row>
    <row r="224" spans="9:12" ht="12.75" customHeight="1">
      <c r="I224" s="69"/>
      <c r="J224" s="69"/>
      <c r="K224" s="69"/>
      <c r="L224" s="69"/>
    </row>
    <row r="225" spans="9:12" ht="12.75" customHeight="1">
      <c r="I225" s="69"/>
      <c r="J225" s="69"/>
      <c r="K225" s="69"/>
      <c r="L225" s="69"/>
    </row>
    <row r="226" spans="9:12" ht="12.75" customHeight="1">
      <c r="I226" s="69"/>
      <c r="J226" s="69"/>
      <c r="K226" s="69"/>
      <c r="L226" s="69"/>
    </row>
    <row r="227" spans="9:12" ht="12.75" customHeight="1">
      <c r="I227" s="69"/>
      <c r="J227" s="69"/>
      <c r="K227" s="69"/>
      <c r="L227" s="69"/>
    </row>
    <row r="228" spans="9:12" ht="12.75" customHeight="1">
      <c r="I228" s="69"/>
      <c r="J228" s="69"/>
      <c r="K228" s="69"/>
      <c r="L228" s="69"/>
    </row>
    <row r="229" spans="9:12" ht="12.75" customHeight="1">
      <c r="I229" s="69"/>
      <c r="J229" s="69"/>
      <c r="K229" s="69"/>
      <c r="L229" s="69"/>
    </row>
    <row r="230" spans="9:12" ht="12.75" customHeight="1">
      <c r="I230" s="69"/>
      <c r="J230" s="69"/>
      <c r="K230" s="69"/>
      <c r="L230" s="69"/>
    </row>
    <row r="231" spans="9:12" ht="12.75" customHeight="1">
      <c r="I231" s="69"/>
      <c r="J231" s="69"/>
      <c r="K231" s="69"/>
      <c r="L231" s="69"/>
    </row>
    <row r="232" spans="9:12" ht="12.75" customHeight="1">
      <c r="I232" s="69"/>
      <c r="J232" s="69"/>
      <c r="K232" s="69"/>
      <c r="L232" s="69"/>
    </row>
    <row r="233" spans="9:12" ht="12.75" customHeight="1">
      <c r="I233" s="69"/>
      <c r="J233" s="69"/>
      <c r="K233" s="69"/>
      <c r="L233" s="69"/>
    </row>
    <row r="234" spans="9:12" ht="12.75" customHeight="1">
      <c r="I234" s="69"/>
      <c r="J234" s="69"/>
      <c r="K234" s="69"/>
      <c r="L234" s="69"/>
    </row>
    <row r="235" spans="9:12" ht="12.75" customHeight="1">
      <c r="I235" s="69"/>
      <c r="J235" s="69"/>
      <c r="K235" s="69"/>
      <c r="L235" s="69"/>
    </row>
    <row r="236" spans="9:12" ht="12.75" customHeight="1">
      <c r="I236" s="69"/>
      <c r="J236" s="69"/>
      <c r="K236" s="69"/>
      <c r="L236" s="69"/>
    </row>
    <row r="237" spans="9:12" ht="12.75" customHeight="1">
      <c r="I237" s="69"/>
      <c r="J237" s="69"/>
      <c r="K237" s="69"/>
      <c r="L237" s="69"/>
    </row>
    <row r="238" spans="9:12" ht="12.75" customHeight="1">
      <c r="I238" s="69"/>
      <c r="J238" s="69"/>
      <c r="K238" s="69"/>
      <c r="L238" s="69"/>
    </row>
    <row r="239" spans="9:12" ht="12.75" customHeight="1">
      <c r="I239" s="69"/>
      <c r="J239" s="69"/>
      <c r="K239" s="69"/>
      <c r="L239" s="69"/>
    </row>
    <row r="240" spans="9:12" ht="12.75" customHeight="1">
      <c r="I240" s="69"/>
      <c r="J240" s="69"/>
      <c r="K240" s="69"/>
      <c r="L240" s="69"/>
    </row>
    <row r="241" spans="9:12" ht="12.75" customHeight="1">
      <c r="I241" s="69"/>
      <c r="J241" s="69"/>
      <c r="K241" s="69"/>
      <c r="L241" s="69"/>
    </row>
    <row r="242" spans="9:12" ht="12.75" customHeight="1">
      <c r="I242" s="69"/>
      <c r="J242" s="69"/>
      <c r="K242" s="69"/>
      <c r="L242" s="69"/>
    </row>
    <row r="243" spans="9:12" ht="12.75" customHeight="1">
      <c r="I243" s="69"/>
      <c r="J243" s="69"/>
      <c r="K243" s="69"/>
      <c r="L243" s="69"/>
    </row>
    <row r="244" spans="9:12" ht="12.75" customHeight="1">
      <c r="I244" s="69"/>
      <c r="J244" s="69"/>
      <c r="K244" s="69"/>
      <c r="L244" s="69"/>
    </row>
    <row r="245" spans="9:12" ht="12.75" customHeight="1">
      <c r="I245" s="69"/>
      <c r="J245" s="69"/>
      <c r="K245" s="69"/>
      <c r="L245" s="69"/>
    </row>
    <row r="246" spans="9:12" ht="12.75" customHeight="1">
      <c r="I246" s="69"/>
      <c r="J246" s="69"/>
      <c r="K246" s="69"/>
      <c r="L246" s="69"/>
    </row>
    <row r="247" spans="9:12" ht="12.75" customHeight="1">
      <c r="I247" s="69"/>
      <c r="J247" s="69"/>
      <c r="K247" s="69"/>
      <c r="L247" s="69"/>
    </row>
    <row r="248" spans="9:12" ht="12.75" customHeight="1">
      <c r="I248" s="69"/>
      <c r="J248" s="69"/>
      <c r="K248" s="69"/>
      <c r="L248" s="69"/>
    </row>
    <row r="249" spans="9:12" ht="12.75" customHeight="1">
      <c r="I249" s="69"/>
      <c r="J249" s="69"/>
      <c r="K249" s="69"/>
      <c r="L249" s="69"/>
    </row>
    <row r="250" spans="9:12" ht="12.75" customHeight="1">
      <c r="I250" s="69"/>
      <c r="J250" s="69"/>
      <c r="K250" s="120"/>
      <c r="L250" s="69"/>
    </row>
    <row r="251" spans="9:12" ht="12.75" customHeight="1">
      <c r="I251" s="69"/>
      <c r="J251" s="69"/>
      <c r="K251" s="69"/>
      <c r="L251" s="69"/>
    </row>
    <row r="252" spans="9:12" ht="12.75" customHeight="1">
      <c r="I252" s="69"/>
      <c r="J252" s="69"/>
      <c r="K252" s="69"/>
      <c r="L252" s="69"/>
    </row>
    <row r="253" spans="9:12" ht="12.75" customHeight="1">
      <c r="I253" s="69"/>
      <c r="J253" s="69"/>
      <c r="K253" s="119"/>
      <c r="L253" s="69"/>
    </row>
    <row r="254" spans="9:12" ht="12.75" customHeight="1">
      <c r="I254" s="69"/>
      <c r="J254" s="69"/>
      <c r="K254" s="69"/>
      <c r="L254" s="69"/>
    </row>
    <row r="255" spans="9:12" ht="12.75" customHeight="1">
      <c r="I255" s="69"/>
      <c r="J255" s="69"/>
      <c r="K255" s="69"/>
      <c r="L255" s="69"/>
    </row>
    <row r="256" spans="9:12" ht="12.75" customHeight="1">
      <c r="I256" s="69"/>
      <c r="J256" s="69"/>
      <c r="K256" s="69"/>
      <c r="L256" s="69"/>
    </row>
    <row r="257" spans="9:12" ht="12.75" customHeight="1">
      <c r="I257" s="69"/>
      <c r="J257" s="69"/>
      <c r="K257" s="69"/>
      <c r="L257" s="69"/>
    </row>
    <row r="258" spans="9:12" ht="12.75" customHeight="1">
      <c r="I258" s="69"/>
      <c r="J258" s="69"/>
      <c r="K258" s="69"/>
      <c r="L258" s="69"/>
    </row>
    <row r="259" spans="9:12" ht="12.75" customHeight="1">
      <c r="I259" s="120"/>
      <c r="J259" s="120"/>
    </row>
    <row r="260" spans="9:12" ht="12.75" customHeight="1">
      <c r="I260" s="69"/>
      <c r="J260" s="69"/>
    </row>
    <row r="261" spans="9:12" ht="12.75" customHeight="1">
      <c r="I261" s="69"/>
      <c r="J261" s="69"/>
    </row>
    <row r="262" spans="9:12" ht="12.75" customHeight="1">
      <c r="I262" s="119"/>
      <c r="J262" s="119"/>
    </row>
    <row r="263" spans="9:12" ht="12.75" customHeight="1">
      <c r="I263" s="69"/>
      <c r="J263" s="69"/>
    </row>
    <row r="264" spans="9:12" ht="12.75" customHeight="1">
      <c r="I264" s="69"/>
      <c r="J264" s="69"/>
    </row>
    <row r="265" spans="9:12" ht="12.75" customHeight="1">
      <c r="I265" s="69"/>
      <c r="J265" s="69"/>
    </row>
    <row r="266" spans="9:12" ht="12.75" customHeight="1">
      <c r="I266" s="69"/>
      <c r="J266" s="69"/>
    </row>
    <row r="267" spans="9:12" ht="12.75" customHeight="1">
      <c r="I267" s="69"/>
      <c r="J267" s="69"/>
    </row>
    <row r="268" spans="9:12" ht="12.75" customHeight="1"/>
    <row r="269" spans="9:12" ht="12.75" customHeight="1"/>
    <row r="270" spans="9:12" ht="12.75" customHeight="1"/>
    <row r="271" spans="9:12" ht="12.75" customHeight="1"/>
    <row r="272" spans="9:1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sheetData>
  <mergeCells count="11">
    <mergeCell ref="F73:H73"/>
    <mergeCell ref="A2:F2"/>
    <mergeCell ref="A10:B10"/>
    <mergeCell ref="D10:E10"/>
    <mergeCell ref="A66:F66"/>
    <mergeCell ref="F36:F53"/>
    <mergeCell ref="A74:B74"/>
    <mergeCell ref="D74:E74"/>
    <mergeCell ref="A121:F121"/>
    <mergeCell ref="A129:B129"/>
    <mergeCell ref="D129:E129"/>
  </mergeCells>
  <dataValidations count="2">
    <dataValidation type="list" allowBlank="1" showInputMessage="1" showErrorMessage="1" sqref="G13:G55" xr:uid="{00000000-0002-0000-1D00-000000000000}">
      <formula1>menu</formula1>
    </dataValidation>
    <dataValidation type="list" allowBlank="1" showInputMessage="1" showErrorMessage="1" sqref="C13:C55" xr:uid="{00000000-0002-0000-1D00-000001000000}">
      <formula1>INDIRECT($G13)</formula1>
    </dataValidation>
  </dataValidations>
  <pageMargins left="0.7" right="0.7" top="0.1" bottom="0.75" header="0.5" footer="0.3"/>
  <pageSetup orientation="portrait" verticalDpi="180" r:id="rId1"/>
  <drawing r:id="rId2"/>
  <legacyDrawing r:id="rId3"/>
  <oleObjects>
    <mc:AlternateContent xmlns:mc="http://schemas.openxmlformats.org/markup-compatibility/2006">
      <mc:Choice Requires="x14">
        <oleObject progId="MSPhotoEd.3" shapeId="403457" r:id="rId4">
          <objectPr defaultSize="0" autoPict="0" altText="" r:id="rId5">
            <anchor moveWithCells="1">
              <from>
                <xdr:col>0</xdr:col>
                <xdr:colOff>114300</xdr:colOff>
                <xdr:row>0</xdr:row>
                <xdr:rowOff>0</xdr:rowOff>
              </from>
              <to>
                <xdr:col>1</xdr:col>
                <xdr:colOff>787400</xdr:colOff>
                <xdr:row>4</xdr:row>
                <xdr:rowOff>12700</xdr:rowOff>
              </to>
            </anchor>
          </objectPr>
        </oleObject>
      </mc:Choice>
      <mc:Fallback>
        <oleObject progId="MSPhotoEd.3" shapeId="403457" r:id="rId4"/>
      </mc:Fallback>
    </mc:AlternateContent>
    <mc:AlternateContent xmlns:mc="http://schemas.openxmlformats.org/markup-compatibility/2006">
      <mc:Choice Requires="x14">
        <oleObject progId="MSPhotoEd.3" shapeId="403458" r:id="rId6">
          <objectPr defaultSize="0" autoPict="0" altText="" r:id="rId5">
            <anchor moveWithCells="1">
              <from>
                <xdr:col>0</xdr:col>
                <xdr:colOff>114300</xdr:colOff>
                <xdr:row>63</xdr:row>
                <xdr:rowOff>266700</xdr:rowOff>
              </from>
              <to>
                <xdr:col>1</xdr:col>
                <xdr:colOff>787400</xdr:colOff>
                <xdr:row>67</xdr:row>
                <xdr:rowOff>127000</xdr:rowOff>
              </to>
            </anchor>
          </objectPr>
        </oleObject>
      </mc:Choice>
      <mc:Fallback>
        <oleObject progId="MSPhotoEd.3" shapeId="403458" r:id="rId6"/>
      </mc:Fallback>
    </mc:AlternateContent>
    <mc:AlternateContent xmlns:mc="http://schemas.openxmlformats.org/markup-compatibility/2006">
      <mc:Choice Requires="x14">
        <oleObject progId="MSPhotoEd.3" shapeId="403459" r:id="rId7">
          <objectPr defaultSize="0" autoPict="0" altText="" r:id="rId5">
            <anchor moveWithCells="1">
              <from>
                <xdr:col>0</xdr:col>
                <xdr:colOff>114300</xdr:colOff>
                <xdr:row>118</xdr:row>
                <xdr:rowOff>177800</xdr:rowOff>
              </from>
              <to>
                <xdr:col>1</xdr:col>
                <xdr:colOff>787400</xdr:colOff>
                <xdr:row>123</xdr:row>
                <xdr:rowOff>0</xdr:rowOff>
              </to>
            </anchor>
          </objectPr>
        </oleObject>
      </mc:Choice>
      <mc:Fallback>
        <oleObject progId="MSPhotoEd.3" shapeId="403459" r:id="rId7"/>
      </mc:Fallback>
    </mc:AlternateContent>
  </oleObjec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0"/>
  <dimension ref="A11:A41"/>
  <sheetViews>
    <sheetView workbookViewId="0">
      <selection activeCell="A14" sqref="A14"/>
    </sheetView>
  </sheetViews>
  <sheetFormatPr baseColWidth="10" defaultColWidth="9" defaultRowHeight="14.25" customHeight="1"/>
  <cols>
    <col min="1" max="1" width="36" style="42" customWidth="1"/>
  </cols>
  <sheetData>
    <row r="11" spans="1:1" ht="14.25" customHeight="1">
      <c r="A11" s="45" t="s">
        <v>2233</v>
      </c>
    </row>
    <row r="12" spans="1:1" ht="14.25" customHeight="1">
      <c r="A12" s="46" t="s">
        <v>2234</v>
      </c>
    </row>
    <row r="13" spans="1:1" ht="14.25" customHeight="1">
      <c r="A13" s="47"/>
    </row>
    <row r="14" spans="1:1" ht="14.25" customHeight="1">
      <c r="A14" s="48" t="s">
        <v>2235</v>
      </c>
    </row>
    <row r="15" spans="1:1" ht="14.25" customHeight="1">
      <c r="A15" s="49" t="s">
        <v>2236</v>
      </c>
    </row>
    <row r="16" spans="1:1" ht="14.25" customHeight="1">
      <c r="A16" s="49" t="s">
        <v>2237</v>
      </c>
    </row>
    <row r="17" spans="1:1" ht="14.25" customHeight="1">
      <c r="A17" s="49" t="s">
        <v>2238</v>
      </c>
    </row>
    <row r="18" spans="1:1" ht="14.25" customHeight="1">
      <c r="A18" s="49" t="s">
        <v>2239</v>
      </c>
    </row>
    <row r="19" spans="1:1" ht="14.25" customHeight="1">
      <c r="A19" s="49" t="s">
        <v>2240</v>
      </c>
    </row>
    <row r="20" spans="1:1" ht="14.25" customHeight="1">
      <c r="A20" s="49" t="s">
        <v>2241</v>
      </c>
    </row>
    <row r="21" spans="1:1" ht="14.25" customHeight="1">
      <c r="A21" s="49" t="s">
        <v>2242</v>
      </c>
    </row>
    <row r="22" spans="1:1" ht="14.25" customHeight="1">
      <c r="A22" s="49" t="s">
        <v>2243</v>
      </c>
    </row>
    <row r="23" spans="1:1" ht="14.25" customHeight="1">
      <c r="A23" s="50"/>
    </row>
    <row r="24" spans="1:1" ht="14.25" customHeight="1">
      <c r="A24" s="48" t="s">
        <v>2244</v>
      </c>
    </row>
    <row r="25" spans="1:1" ht="14.25" customHeight="1">
      <c r="A25" s="49" t="s">
        <v>2245</v>
      </c>
    </row>
    <row r="26" spans="1:1" ht="14.25" customHeight="1">
      <c r="A26" s="49" t="s">
        <v>2246</v>
      </c>
    </row>
    <row r="27" spans="1:1" ht="14.25" customHeight="1">
      <c r="A27" s="49" t="s">
        <v>2247</v>
      </c>
    </row>
    <row r="28" spans="1:1" ht="14.25" customHeight="1">
      <c r="A28" s="49" t="s">
        <v>2248</v>
      </c>
    </row>
    <row r="29" spans="1:1" ht="14.25" customHeight="1">
      <c r="A29" s="49" t="s">
        <v>2249</v>
      </c>
    </row>
    <row r="30" spans="1:1" ht="14.25" customHeight="1">
      <c r="A30" s="49" t="s">
        <v>2250</v>
      </c>
    </row>
    <row r="31" spans="1:1" ht="14.25" customHeight="1">
      <c r="A31" s="51" t="s">
        <v>2251</v>
      </c>
    </row>
    <row r="32" spans="1:1" ht="14.25" customHeight="1">
      <c r="A32" s="52"/>
    </row>
    <row r="33" spans="1:1" ht="14.25" customHeight="1">
      <c r="A33" s="48" t="s">
        <v>2252</v>
      </c>
    </row>
    <row r="34" spans="1:1" ht="14.25" customHeight="1">
      <c r="A34" s="49" t="s">
        <v>2253</v>
      </c>
    </row>
    <row r="35" spans="1:1" ht="14.25" customHeight="1">
      <c r="A35" s="49" t="s">
        <v>2254</v>
      </c>
    </row>
    <row r="36" spans="1:1" ht="14.25" customHeight="1">
      <c r="A36" s="49"/>
    </row>
    <row r="37" spans="1:1" ht="14.25" customHeight="1">
      <c r="A37" s="47"/>
    </row>
    <row r="38" spans="1:1" ht="14.25" customHeight="1">
      <c r="A38" s="48" t="s">
        <v>2255</v>
      </c>
    </row>
    <row r="39" spans="1:1" ht="14.25" customHeight="1">
      <c r="A39" s="49" t="s">
        <v>2256</v>
      </c>
    </row>
    <row r="40" spans="1:1" ht="14.25" customHeight="1">
      <c r="A40" s="49" t="s">
        <v>2257</v>
      </c>
    </row>
    <row r="41" spans="1:1" ht="14.25" customHeight="1">
      <c r="A41" s="49" t="s">
        <v>2258</v>
      </c>
    </row>
  </sheetData>
  <sortState xmlns:xlrd2="http://schemas.microsoft.com/office/spreadsheetml/2017/richdata2" ref="B45:B52">
    <sortCondition ref="B52"/>
  </sortState>
  <pageMargins left="0.75" right="0.75" top="1" bottom="1" header="0.51111111111111107" footer="0.51111111111111107"/>
  <pageSetup paperSize="9" orientation="portrait" horizontalDpi="4294967293" verticalDpi="4294967293" r:id="rId1"/>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31</vt:i4>
      </vt:variant>
      <vt:variant>
        <vt:lpstr>Named Ranges</vt:lpstr>
      </vt:variant>
      <vt:variant>
        <vt:i4>582</vt:i4>
      </vt:variant>
    </vt:vector>
  </HeadingPairs>
  <TitlesOfParts>
    <vt:vector size="613" baseType="lpstr">
      <vt:lpstr>stock</vt:lpstr>
      <vt:lpstr>Spek</vt:lpstr>
      <vt:lpstr>Data Validation</vt:lpstr>
      <vt:lpstr>Breakdown</vt:lpstr>
      <vt:lpstr>rekap full</vt:lpstr>
      <vt:lpstr>KS</vt:lpstr>
      <vt:lpstr>non KS</vt:lpstr>
      <vt:lpstr>K+Eris</vt:lpstr>
      <vt:lpstr>√flatpack iD</vt:lpstr>
      <vt:lpstr>√+</vt:lpstr>
      <vt:lpstr>Kaca</vt:lpstr>
      <vt:lpstr>Kaca proses Supplier</vt:lpstr>
      <vt:lpstr>Kerja+ Kaca</vt:lpstr>
      <vt:lpstr>Rework Kaca</vt:lpstr>
      <vt:lpstr>Frame Alu.Yn</vt:lpstr>
      <vt:lpstr>SJ</vt:lpstr>
      <vt:lpstr>Frame Alu.Ad</vt:lpstr>
      <vt:lpstr>BPB Setting</vt:lpstr>
      <vt:lpstr>BPB Setting frame dll</vt:lpstr>
      <vt:lpstr>Retur</vt:lpstr>
      <vt:lpstr>Kerja+</vt:lpstr>
      <vt:lpstr>Rework</vt:lpstr>
      <vt:lpstr>Handle</vt:lpstr>
      <vt:lpstr>Handle+</vt:lpstr>
      <vt:lpstr>Cutting Bom</vt:lpstr>
      <vt:lpstr>Bom</vt:lpstr>
      <vt:lpstr>Cutting KS</vt:lpstr>
      <vt:lpstr>Cutting NonKS</vt:lpstr>
      <vt:lpstr>Raw Material</vt:lpstr>
      <vt:lpstr>BPB Raw Material (man.)</vt:lpstr>
      <vt:lpstr>fitting lap.</vt:lpstr>
      <vt:lpstr>_1L</vt:lpstr>
      <vt:lpstr>_1P</vt:lpstr>
      <vt:lpstr>_2L</vt:lpstr>
      <vt:lpstr>_2P</vt:lpstr>
      <vt:lpstr>_2PL</vt:lpstr>
      <vt:lpstr>_Prf1</vt:lpstr>
      <vt:lpstr>_pxl</vt:lpstr>
      <vt:lpstr>_ram1</vt:lpstr>
      <vt:lpstr>_ram2</vt:lpstr>
      <vt:lpstr>_rel1</vt:lpstr>
      <vt:lpstr>_rel10</vt:lpstr>
      <vt:lpstr>_rel11</vt:lpstr>
      <vt:lpstr>_rel12</vt:lpstr>
      <vt:lpstr>_rel13</vt:lpstr>
      <vt:lpstr>_rel14</vt:lpstr>
      <vt:lpstr>_rel2</vt:lpstr>
      <vt:lpstr>_rel3</vt:lpstr>
      <vt:lpstr>_rel4</vt:lpstr>
      <vt:lpstr>_rel5</vt:lpstr>
      <vt:lpstr>_rel6</vt:lpstr>
      <vt:lpstr>_rel7</vt:lpstr>
      <vt:lpstr>_rel8</vt:lpstr>
      <vt:lpstr>_rel9</vt:lpstr>
      <vt:lpstr>acrylic_mled</vt:lpstr>
      <vt:lpstr>amfcptr</vt:lpstr>
      <vt:lpstr>amhcptr</vt:lpstr>
      <vt:lpstr>amhcptrFlap</vt:lpstr>
      <vt:lpstr>amled9</vt:lpstr>
      <vt:lpstr>amwrd</vt:lpstr>
      <vt:lpstr>amwrddlm</vt:lpstr>
      <vt:lpstr>anodize</vt:lpstr>
      <vt:lpstr>anodizeh</vt:lpstr>
      <vt:lpstr>anodizev</vt:lpstr>
      <vt:lpstr>anodizev2</vt:lpstr>
      <vt:lpstr>AR_20</vt:lpstr>
      <vt:lpstr>ar_52</vt:lpstr>
      <vt:lpstr>avantech</vt:lpstr>
      <vt:lpstr>avantech_dasar</vt:lpstr>
      <vt:lpstr>avantech_palang</vt:lpstr>
      <vt:lpstr>aventos</vt:lpstr>
      <vt:lpstr>bahan1</vt:lpstr>
      <vt:lpstr>bahan2</vt:lpstr>
      <vt:lpstr>bahan3</vt:lpstr>
      <vt:lpstr>bahan4</vt:lpstr>
      <vt:lpstr>bahan5</vt:lpstr>
      <vt:lpstr>bahan6</vt:lpstr>
      <vt:lpstr>bahan7</vt:lpstr>
      <vt:lpstr>bahan8</vt:lpstr>
      <vt:lpstr>ball_bearing</vt:lpstr>
      <vt:lpstr>BARANG</vt:lpstr>
      <vt:lpstr>braket_hc</vt:lpstr>
      <vt:lpstr>breakdown</vt:lpstr>
      <vt:lpstr>camar_807</vt:lpstr>
      <vt:lpstr>cekbox</vt:lpstr>
      <vt:lpstr>centrallock_samping</vt:lpstr>
      <vt:lpstr>Cermin</vt:lpstr>
      <vt:lpstr>cfr</vt:lpstr>
      <vt:lpstr>CL_02</vt:lpstr>
      <vt:lpstr>Cov_plinth_dalam</vt:lpstr>
      <vt:lpstr>Cov_plinth_luar</vt:lpstr>
      <vt:lpstr>cprt</vt:lpstr>
      <vt:lpstr>csv_format</vt:lpstr>
      <vt:lpstr>cte</vt:lpstr>
      <vt:lpstr>ctf</vt:lpstr>
      <vt:lpstr>D_Mtx_25</vt:lpstr>
      <vt:lpstr>D_Mtx_27</vt:lpstr>
      <vt:lpstr>D_Mtx_30</vt:lpstr>
      <vt:lpstr>D_Mtx_35</vt:lpstr>
      <vt:lpstr>D_Mtx_40</vt:lpstr>
      <vt:lpstr>D_Mtx_45</vt:lpstr>
      <vt:lpstr>D_Mtx_50</vt:lpstr>
      <vt:lpstr>D_Qdr_25</vt:lpstr>
      <vt:lpstr>D_Qdr_30</vt:lpstr>
      <vt:lpstr>D_Qdr_35</vt:lpstr>
      <vt:lpstr>D_Qdr_40</vt:lpstr>
      <vt:lpstr>D_Qdr_45</vt:lpstr>
      <vt:lpstr>D_Qdr_50</vt:lpstr>
      <vt:lpstr>D_tdm_27</vt:lpstr>
      <vt:lpstr>D_tdm_30</vt:lpstr>
      <vt:lpstr>D_tdm_35</vt:lpstr>
      <vt:lpstr>D_tdm_40</vt:lpstr>
      <vt:lpstr>D_tdm_45</vt:lpstr>
      <vt:lpstr>D_tdm_50</vt:lpstr>
      <vt:lpstr>desce</vt:lpstr>
      <vt:lpstr>descf</vt:lpstr>
      <vt:lpstr>descfr</vt:lpstr>
      <vt:lpstr>df</vt:lpstr>
      <vt:lpstr>dormec</vt:lpstr>
      <vt:lpstr>dormec1</vt:lpstr>
      <vt:lpstr>dormec2</vt:lpstr>
      <vt:lpstr>dormec3</vt:lpstr>
      <vt:lpstr>dormec4</vt:lpstr>
      <vt:lpstr>dormecc</vt:lpstr>
      <vt:lpstr>dormecha</vt:lpstr>
      <vt:lpstr>dowel</vt:lpstr>
      <vt:lpstr>dowelØ8</vt:lpstr>
      <vt:lpstr>ds</vt:lpstr>
      <vt:lpstr>E</vt:lpstr>
      <vt:lpstr>Edg</vt:lpstr>
      <vt:lpstr>edg_blk_ptr</vt:lpstr>
      <vt:lpstr>edg_psg_hb411</vt:lpstr>
      <vt:lpstr>edg_psg_hb411_lbr</vt:lpstr>
      <vt:lpstr>edg_psg_m411</vt:lpstr>
      <vt:lpstr>edg_psg_m411_lbr</vt:lpstr>
      <vt:lpstr>edging0</vt:lpstr>
      <vt:lpstr>edging1</vt:lpstr>
      <vt:lpstr>edging2</vt:lpstr>
      <vt:lpstr>edging3</vt:lpstr>
      <vt:lpstr>edging4</vt:lpstr>
      <vt:lpstr>edging5</vt:lpstr>
      <vt:lpstr>edging6</vt:lpstr>
      <vt:lpstr>edging7</vt:lpstr>
      <vt:lpstr>edging8</vt:lpstr>
      <vt:lpstr>edging9</vt:lpstr>
      <vt:lpstr>edgingkab1</vt:lpstr>
      <vt:lpstr>edgingkab2</vt:lpstr>
      <vt:lpstr>edgingkab3</vt:lpstr>
      <vt:lpstr>EI</vt:lpstr>
      <vt:lpstr>El</vt:lpstr>
      <vt:lpstr>Eng</vt:lpstr>
      <vt:lpstr>engsel_pantry</vt:lpstr>
      <vt:lpstr>engsel_profil</vt:lpstr>
      <vt:lpstr>engsel_tengah_fold_formwell</vt:lpstr>
      <vt:lpstr>engsel_wrd</vt:lpstr>
      <vt:lpstr>engsel1</vt:lpstr>
      <vt:lpstr>engsel10</vt:lpstr>
      <vt:lpstr>engsel2</vt:lpstr>
      <vt:lpstr>engsel3</vt:lpstr>
      <vt:lpstr>engsel4</vt:lpstr>
      <vt:lpstr>engsel5</vt:lpstr>
      <vt:lpstr>engsel6</vt:lpstr>
      <vt:lpstr>engsel7</vt:lpstr>
      <vt:lpstr>engsel8</vt:lpstr>
      <vt:lpstr>engsel9</vt:lpstr>
      <vt:lpstr>est</vt:lpstr>
      <vt:lpstr>Estimator</vt:lpstr>
      <vt:lpstr>fd</vt:lpstr>
      <vt:lpstr>fm</vt:lpstr>
      <vt:lpstr>footer_koord</vt:lpstr>
      <vt:lpstr>fp</vt:lpstr>
      <vt:lpstr>Fr</vt:lpstr>
      <vt:lpstr>fr_0</vt:lpstr>
      <vt:lpstr>fr_1</vt:lpstr>
      <vt:lpstr>fr_10</vt:lpstr>
      <vt:lpstr>fr_11</vt:lpstr>
      <vt:lpstr>fr_12</vt:lpstr>
      <vt:lpstr>fr_13</vt:lpstr>
      <vt:lpstr>fr_14</vt:lpstr>
      <vt:lpstr>fr_2</vt:lpstr>
      <vt:lpstr>fr_3</vt:lpstr>
      <vt:lpstr>fr_4</vt:lpstr>
      <vt:lpstr>fr_5</vt:lpstr>
      <vt:lpstr>fr_6</vt:lpstr>
      <vt:lpstr>fr_7</vt:lpstr>
      <vt:lpstr>fr_8</vt:lpstr>
      <vt:lpstr>fr_9</vt:lpstr>
      <vt:lpstr>Hand1</vt:lpstr>
      <vt:lpstr>hand10</vt:lpstr>
      <vt:lpstr>Hand2</vt:lpstr>
      <vt:lpstr>hand3</vt:lpstr>
      <vt:lpstr>hand4</vt:lpstr>
      <vt:lpstr>hand5</vt:lpstr>
      <vt:lpstr>hand6</vt:lpstr>
      <vt:lpstr>hand7</vt:lpstr>
      <vt:lpstr>hand8</vt:lpstr>
      <vt:lpstr>hand9</vt:lpstr>
      <vt:lpstr>Haned</vt:lpstr>
      <vt:lpstr>Hankab</vt:lpstr>
      <vt:lpstr>Hantar</vt:lpstr>
      <vt:lpstr>HPL</vt:lpstr>
      <vt:lpstr>ID</vt:lpstr>
      <vt:lpstr>jt</vt:lpstr>
      <vt:lpstr>jumlah_dowel</vt:lpstr>
      <vt:lpstr>jumlah_minifix</vt:lpstr>
      <vt:lpstr>jumlah_mled</vt:lpstr>
      <vt:lpstr>jumlah_mled_manual</vt:lpstr>
      <vt:lpstr>Retur!jumlah_mlt</vt:lpstr>
      <vt:lpstr>jumlah_mlt</vt:lpstr>
      <vt:lpstr>jumlah_pemakaian</vt:lpstr>
      <vt:lpstr>Retur!jumlah_ram_depan</vt:lpstr>
      <vt:lpstr>jumlah_ram_depan</vt:lpstr>
      <vt:lpstr>ka_expedisi</vt:lpstr>
      <vt:lpstr>ka_kaca</vt:lpstr>
      <vt:lpstr>ka_panel</vt:lpstr>
      <vt:lpstr>ka_QC</vt:lpstr>
      <vt:lpstr>ka_rakit</vt:lpstr>
      <vt:lpstr>kab</vt:lpstr>
      <vt:lpstr>kabinet1</vt:lpstr>
      <vt:lpstr>kabinet2</vt:lpstr>
      <vt:lpstr>kabinet3</vt:lpstr>
      <vt:lpstr>kaca</vt:lpstr>
      <vt:lpstr>kaca1</vt:lpstr>
      <vt:lpstr>kaca10</vt:lpstr>
      <vt:lpstr>kaca11</vt:lpstr>
      <vt:lpstr>kaca2</vt:lpstr>
      <vt:lpstr>kaca3</vt:lpstr>
      <vt:lpstr>kaca4</vt:lpstr>
      <vt:lpstr>kaca5</vt:lpstr>
      <vt:lpstr>kaca6</vt:lpstr>
      <vt:lpstr>kaca7</vt:lpstr>
      <vt:lpstr>kaca8</vt:lpstr>
      <vt:lpstr>kaca9</vt:lpstr>
      <vt:lpstr>kc</vt:lpstr>
      <vt:lpstr>kll</vt:lpstr>
      <vt:lpstr>kode</vt:lpstr>
      <vt:lpstr>koord</vt:lpstr>
      <vt:lpstr>koordinator</vt:lpstr>
      <vt:lpstr>KS</vt:lpstr>
      <vt:lpstr>KS_Set</vt:lpstr>
      <vt:lpstr>L</vt:lpstr>
      <vt:lpstr>lapisan_luar_hb</vt:lpstr>
      <vt:lpstr>lapisan_luar_paper</vt:lpstr>
      <vt:lpstr>lapisan0</vt:lpstr>
      <vt:lpstr>lapisan1</vt:lpstr>
      <vt:lpstr>lapisan2</vt:lpstr>
      <vt:lpstr>lapisan3</vt:lpstr>
      <vt:lpstr>lapisan4</vt:lpstr>
      <vt:lpstr>lapisan5</vt:lpstr>
      <vt:lpstr>lapisan6</vt:lpstr>
      <vt:lpstr>lapisan7</vt:lpstr>
      <vt:lpstr>Lbr_dasar_Avantech_40</vt:lpstr>
      <vt:lpstr>Lbr_dasar_Avantech_45</vt:lpstr>
      <vt:lpstr>Lbr_dasar_Avantech_50</vt:lpstr>
      <vt:lpstr>Lbr_dasar_legrabox</vt:lpstr>
      <vt:lpstr>Lbr_dasar_merivobox</vt:lpstr>
      <vt:lpstr>Lbr_dasar_tandembox</vt:lpstr>
      <vt:lpstr>lbr_frm_07</vt:lpstr>
      <vt:lpstr>Lbr_palang_blk_Av1</vt:lpstr>
      <vt:lpstr>Lbr_palang_blk_Av3</vt:lpstr>
      <vt:lpstr>Lbr_palang_blk_Av4</vt:lpstr>
      <vt:lpstr>Lbr_palang_blk_B1I3</vt:lpstr>
      <vt:lpstr>Lbr_palang_blk_B1I4</vt:lpstr>
      <vt:lpstr>Lbr_palang_blk_B1I5</vt:lpstr>
      <vt:lpstr>Lbr_palang_blk_B1I6</vt:lpstr>
      <vt:lpstr>Lbr_palang_blk_B1S1</vt:lpstr>
      <vt:lpstr>Lbr_palang_blk_B1S2</vt:lpstr>
      <vt:lpstr>Lbr_palang_blk_B1S3</vt:lpstr>
      <vt:lpstr>Lbr_palang_blk_B1S4</vt:lpstr>
      <vt:lpstr>Lbr_palang_blk_INS1</vt:lpstr>
      <vt:lpstr>Lbr_palang_blk_INS3</vt:lpstr>
      <vt:lpstr>Lbr_palang_blk_INS5</vt:lpstr>
      <vt:lpstr>Lbr_palang_blk_legra_I3</vt:lpstr>
      <vt:lpstr>Lbr_palang_blk_legra_I6</vt:lpstr>
      <vt:lpstr>Lbr_palang_blk_legra_S1</vt:lpstr>
      <vt:lpstr>Lbr_palang_blk_legra_S4</vt:lpstr>
      <vt:lpstr>Lbr_palang_blk_legra_S4XL</vt:lpstr>
      <vt:lpstr>Lbr_palang_blk_merivo_I3</vt:lpstr>
      <vt:lpstr>Lbr_palang_blk_merivo_I6</vt:lpstr>
      <vt:lpstr>Lbr_palang_blk_merivo_S1</vt:lpstr>
      <vt:lpstr>Lbr_palang_blk_merivo_S2</vt:lpstr>
      <vt:lpstr>Lbr_palang_blk_merivo_S4</vt:lpstr>
      <vt:lpstr>Lbr_palang_blk_merivo_S4XL</vt:lpstr>
      <vt:lpstr>legadj100</vt:lpstr>
      <vt:lpstr>legrabox</vt:lpstr>
      <vt:lpstr>legrabox_dasar</vt:lpstr>
      <vt:lpstr>legrabox_palang</vt:lpstr>
      <vt:lpstr>LI</vt:lpstr>
      <vt:lpstr>libra_Ch</vt:lpstr>
      <vt:lpstr>libra_h6</vt:lpstr>
      <vt:lpstr>LII</vt:lpstr>
      <vt:lpstr>lis_kaca</vt:lpstr>
      <vt:lpstr>liskaca</vt:lpstr>
      <vt:lpstr>LS_01</vt:lpstr>
      <vt:lpstr>LS_02</vt:lpstr>
      <vt:lpstr>m_frm</vt:lpstr>
      <vt:lpstr>m_frm_02</vt:lpstr>
      <vt:lpstr>m_frm_03</vt:lpstr>
      <vt:lpstr>m_frm_04</vt:lpstr>
      <vt:lpstr>m_frm_05</vt:lpstr>
      <vt:lpstr>m_frm_06</vt:lpstr>
      <vt:lpstr>m_frm_07</vt:lpstr>
      <vt:lpstr>m_frm_ttp_blk</vt:lpstr>
      <vt:lpstr>m_grill</vt:lpstr>
      <vt:lpstr>m_grill_01</vt:lpstr>
      <vt:lpstr>M_PLT_01</vt:lpstr>
      <vt:lpstr>M_PLT_02</vt:lpstr>
      <vt:lpstr>MDF</vt:lpstr>
      <vt:lpstr>MDFH1</vt:lpstr>
      <vt:lpstr>MDFH2</vt:lpstr>
      <vt:lpstr>menu</vt:lpstr>
      <vt:lpstr>mepla</vt:lpstr>
      <vt:lpstr>merivo_dasar</vt:lpstr>
      <vt:lpstr>merivo_palang</vt:lpstr>
      <vt:lpstr>merivobox</vt:lpstr>
      <vt:lpstr>MG</vt:lpstr>
      <vt:lpstr>MH</vt:lpstr>
      <vt:lpstr>MH_01</vt:lpstr>
      <vt:lpstr>MH_02</vt:lpstr>
      <vt:lpstr>MH_03</vt:lpstr>
      <vt:lpstr>MH_04</vt:lpstr>
      <vt:lpstr>MH_05</vt:lpstr>
      <vt:lpstr>MH_06</vt:lpstr>
      <vt:lpstr>MH_07</vt:lpstr>
      <vt:lpstr>MH_08</vt:lpstr>
      <vt:lpstr>MH_09</vt:lpstr>
      <vt:lpstr>minifix</vt:lpstr>
      <vt:lpstr>minifix_hettich</vt:lpstr>
      <vt:lpstr>ministrip</vt:lpstr>
      <vt:lpstr>mled_02</vt:lpstr>
      <vt:lpstr>mled02</vt:lpstr>
      <vt:lpstr>Mlis_01</vt:lpstr>
      <vt:lpstr>mlis1</vt:lpstr>
      <vt:lpstr>MLP_01</vt:lpstr>
      <vt:lpstr>MLP_02</vt:lpstr>
      <vt:lpstr>MLP_04</vt:lpstr>
      <vt:lpstr>MLP_06</vt:lpstr>
      <vt:lpstr>MLT_01</vt:lpstr>
      <vt:lpstr>MLT_04</vt:lpstr>
      <vt:lpstr>MLT_05</vt:lpstr>
      <vt:lpstr>modes</vt:lpstr>
      <vt:lpstr>modesscr</vt:lpstr>
      <vt:lpstr>mplt1</vt:lpstr>
      <vt:lpstr>mplt2</vt:lpstr>
      <vt:lpstr>MPP_01</vt:lpstr>
      <vt:lpstr>MPP_02</vt:lpstr>
      <vt:lpstr>MPP_03</vt:lpstr>
      <vt:lpstr>MPP_04</vt:lpstr>
      <vt:lpstr>Mprf_01</vt:lpstr>
      <vt:lpstr>mprf1</vt:lpstr>
      <vt:lpstr>MR_01</vt:lpstr>
      <vt:lpstr>MR_02</vt:lpstr>
      <vt:lpstr>MR_03</vt:lpstr>
      <vt:lpstr>Mshf_0102</vt:lpstr>
      <vt:lpstr>Mtx</vt:lpstr>
      <vt:lpstr>mulion_dalam</vt:lpstr>
      <vt:lpstr>mulion_luar</vt:lpstr>
      <vt:lpstr>mulion_m_frm_07</vt:lpstr>
      <vt:lpstr>multiclip</vt:lpstr>
      <vt:lpstr>nama_proyek</vt:lpstr>
      <vt:lpstr>nat</vt:lpstr>
      <vt:lpstr>Nat_atas</vt:lpstr>
      <vt:lpstr>Nat_CP</vt:lpstr>
      <vt:lpstr>Nat_FC</vt:lpstr>
      <vt:lpstr>nip</vt:lpstr>
      <vt:lpstr>no_kontrak</vt:lpstr>
      <vt:lpstr>No_proyek</vt:lpstr>
      <vt:lpstr>no_ref</vt:lpstr>
      <vt:lpstr>no√</vt:lpstr>
      <vt:lpstr>opt</vt:lpstr>
      <vt:lpstr>ORNAMEN_BUNGA</vt:lpstr>
      <vt:lpstr>ova</vt:lpstr>
      <vt:lpstr>ovb</vt:lpstr>
      <vt:lpstr>P</vt:lpstr>
      <vt:lpstr>P_Dinding_samping</vt:lpstr>
      <vt:lpstr>paket_al01</vt:lpstr>
      <vt:lpstr>paket_hmr_polos</vt:lpstr>
      <vt:lpstr>paket_mdf_hb41130</vt:lpstr>
      <vt:lpstr>paket_mdf_polos</vt:lpstr>
      <vt:lpstr>paket_mfs203</vt:lpstr>
      <vt:lpstr>paket_mm002</vt:lpstr>
      <vt:lpstr>paket_mww003</vt:lpstr>
      <vt:lpstr>paket_mww004</vt:lpstr>
      <vt:lpstr>paket_ply_aica</vt:lpstr>
      <vt:lpstr>paket_ply_C001</vt:lpstr>
      <vt:lpstr>paket_ply_duco</vt:lpstr>
      <vt:lpstr>paket_ply_hb41130</vt:lpstr>
      <vt:lpstr>paket_ply_lantrex_C001</vt:lpstr>
      <vt:lpstr>paket_ply_lantrex_hb41130</vt:lpstr>
      <vt:lpstr>paket_ply_lantrex_M41130</vt:lpstr>
      <vt:lpstr>paket_ply_lantrex_polos</vt:lpstr>
      <vt:lpstr>paket_ply_lantrex_polos_duco</vt:lpstr>
      <vt:lpstr>paket_ply_m41130</vt:lpstr>
      <vt:lpstr>paket_ply_polos</vt:lpstr>
      <vt:lpstr>paket_ply_polos_duco</vt:lpstr>
      <vt:lpstr>paket_plyhmr_1mk</vt:lpstr>
      <vt:lpstr>paket_plyhmr_2mk</vt:lpstr>
      <vt:lpstr>paket_UPVC_polos</vt:lpstr>
      <vt:lpstr>paket_UPVC_polos_duco</vt:lpstr>
      <vt:lpstr>paper</vt:lpstr>
      <vt:lpstr>PB_15</vt:lpstr>
      <vt:lpstr>PB_25</vt:lpstr>
      <vt:lpstr>PB_A</vt:lpstr>
      <vt:lpstr>PD_blum_45</vt:lpstr>
      <vt:lpstr>PD_blum_50</vt:lpstr>
      <vt:lpstr>PD_blum_55</vt:lpstr>
      <vt:lpstr>pelmet</vt:lpstr>
      <vt:lpstr>pengganti_AL01</vt:lpstr>
      <vt:lpstr>pengganti_MM_002</vt:lpstr>
      <vt:lpstr>pengganti_MWW_003</vt:lpstr>
      <vt:lpstr>pengganti_MWW_004</vt:lpstr>
      <vt:lpstr>PI</vt:lpstr>
      <vt:lpstr>PII</vt:lpstr>
      <vt:lpstr>pipa_ss_½</vt:lpstr>
      <vt:lpstr>PIRAMID</vt:lpstr>
      <vt:lpstr>pk</vt:lpstr>
      <vt:lpstr>pl_masuk</vt:lpstr>
      <vt:lpstr>plat_join</vt:lpstr>
      <vt:lpstr>Ply</vt:lpstr>
      <vt:lpstr>PlyH2</vt:lpstr>
      <vt:lpstr>polos</vt:lpstr>
      <vt:lpstr>'√+'!Print_Area</vt:lpstr>
      <vt:lpstr>'√flatpack iD'!Print_Area</vt:lpstr>
      <vt:lpstr>Bom!Print_Area</vt:lpstr>
      <vt:lpstr>'BPB Raw Material (man.)'!Print_Area</vt:lpstr>
      <vt:lpstr>'BPB Setting'!Print_Area</vt:lpstr>
      <vt:lpstr>'BPB Setting frame dll'!Print_Area</vt:lpstr>
      <vt:lpstr>'Cutting Bom'!Print_Area</vt:lpstr>
      <vt:lpstr>'Cutting KS'!Print_Area</vt:lpstr>
      <vt:lpstr>'Cutting NonKS'!Print_Area</vt:lpstr>
      <vt:lpstr>'Frame Alu.Ad'!Print_Area</vt:lpstr>
      <vt:lpstr>'Frame Alu.Yn'!Print_Area</vt:lpstr>
      <vt:lpstr>Handle!Print_Area</vt:lpstr>
      <vt:lpstr>'Handle+'!Print_Area</vt:lpstr>
      <vt:lpstr>'K+Eris'!Print_Area</vt:lpstr>
      <vt:lpstr>Kaca!Print_Area</vt:lpstr>
      <vt:lpstr>'Kaca proses Supplier'!Print_Area</vt:lpstr>
      <vt:lpstr>'Kerja+'!Print_Area</vt:lpstr>
      <vt:lpstr>'Kerja+ Kaca'!Print_Area</vt:lpstr>
      <vt:lpstr>KS!Print_Area</vt:lpstr>
      <vt:lpstr>'non KS'!Print_Area</vt:lpstr>
      <vt:lpstr>'Raw Material'!Print_Area</vt:lpstr>
      <vt:lpstr>'rekap full'!Print_Area</vt:lpstr>
      <vt:lpstr>Retur!Print_Area</vt:lpstr>
      <vt:lpstr>Rework!Print_Area</vt:lpstr>
      <vt:lpstr>'Rework Kaca'!Print_Area</vt:lpstr>
      <vt:lpstr>SJ!Print_Area</vt:lpstr>
      <vt:lpstr>'√+'!Print_Titles</vt:lpstr>
      <vt:lpstr>'√flatpack iD'!Print_Titles</vt:lpstr>
      <vt:lpstr>'Cutting Bom'!Print_Titles</vt:lpstr>
      <vt:lpstr>'Cutting KS'!Print_Titles</vt:lpstr>
      <vt:lpstr>'Cutting NonKS'!Print_Titles</vt:lpstr>
      <vt:lpstr>'Frame Alu.Ad'!Print_Titles</vt:lpstr>
      <vt:lpstr>'Frame Alu.Yn'!Print_Titles</vt:lpstr>
      <vt:lpstr>Handle!Print_Titles</vt:lpstr>
      <vt:lpstr>'K+Eris'!Print_Titles</vt:lpstr>
      <vt:lpstr>Kaca!Print_Titles</vt:lpstr>
      <vt:lpstr>KS!Print_Titles</vt:lpstr>
      <vt:lpstr>'non KS'!Print_Titles</vt:lpstr>
      <vt:lpstr>'rekap full'!Print_Titles</vt:lpstr>
      <vt:lpstr>prof</vt:lpstr>
      <vt:lpstr>prof_cor_1</vt:lpstr>
      <vt:lpstr>prof_cor_2</vt:lpstr>
      <vt:lpstr>prof_cor_3</vt:lpstr>
      <vt:lpstr>prof_panel_1</vt:lpstr>
      <vt:lpstr>prof_panel_2</vt:lpstr>
      <vt:lpstr>prof_panel_3</vt:lpstr>
      <vt:lpstr>prof_pb15</vt:lpstr>
      <vt:lpstr>prof_pintu_1</vt:lpstr>
      <vt:lpstr>prof_pintu_2</vt:lpstr>
      <vt:lpstr>Prof_pintu_3</vt:lpstr>
      <vt:lpstr>prof_pl_1</vt:lpstr>
      <vt:lpstr>prof_pl_2</vt:lpstr>
      <vt:lpstr>prof_pl_3</vt:lpstr>
      <vt:lpstr>profil</vt:lpstr>
      <vt:lpstr>profil_2</vt:lpstr>
      <vt:lpstr>profil_3</vt:lpstr>
      <vt:lpstr>Profil_Top</vt:lpstr>
      <vt:lpstr>profil_top_table</vt:lpstr>
      <vt:lpstr>proses_k</vt:lpstr>
      <vt:lpstr>Prt</vt:lpstr>
      <vt:lpstr>PT_04</vt:lpstr>
      <vt:lpstr>PT_08</vt:lpstr>
      <vt:lpstr>Qdr</vt:lpstr>
      <vt:lpstr>Qty_screw_Jf</vt:lpstr>
      <vt:lpstr>Qty_siku_fr</vt:lpstr>
      <vt:lpstr>ref</vt:lpstr>
      <vt:lpstr>Rel</vt:lpstr>
      <vt:lpstr>rel_atas_fold_formwell</vt:lpstr>
      <vt:lpstr>rel_pantry</vt:lpstr>
      <vt:lpstr>rel_wrd</vt:lpstr>
      <vt:lpstr>RelI</vt:lpstr>
      <vt:lpstr>RELLC</vt:lpstr>
      <vt:lpstr>roda_atas_fold_formwell</vt:lpstr>
      <vt:lpstr>scr_fr</vt:lpstr>
      <vt:lpstr>scr_fr05</vt:lpstr>
      <vt:lpstr>scr_ls01</vt:lpstr>
      <vt:lpstr>scr_ls02</vt:lpstr>
      <vt:lpstr>scr_mshf04</vt:lpstr>
      <vt:lpstr>screw_jf</vt:lpstr>
      <vt:lpstr>Screw_Join_fr</vt:lpstr>
      <vt:lpstr>se</vt:lpstr>
      <vt:lpstr>seal_clear</vt:lpstr>
      <vt:lpstr>seal_maxbond</vt:lpstr>
      <vt:lpstr>seal_putih</vt:lpstr>
      <vt:lpstr>Set_prt</vt:lpstr>
      <vt:lpstr>set_up</vt:lpstr>
      <vt:lpstr>sf</vt:lpstr>
      <vt:lpstr>siku_fr</vt:lpstr>
      <vt:lpstr>siku_fr05</vt:lpstr>
      <vt:lpstr>siku_joint</vt:lpstr>
      <vt:lpstr>siku_ls01</vt:lpstr>
      <vt:lpstr>siku_ls02</vt:lpstr>
      <vt:lpstr>siku_mshf04</vt:lpstr>
      <vt:lpstr>sikubr</vt:lpstr>
      <vt:lpstr>sl_56_kit</vt:lpstr>
      <vt:lpstr>sl_56_track</vt:lpstr>
      <vt:lpstr>sl_tbl</vt:lpstr>
      <vt:lpstr>soket_ministrip</vt:lpstr>
      <vt:lpstr>std_anodize_per_ukuran</vt:lpstr>
      <vt:lpstr>std_anodizeh_proses</vt:lpstr>
      <vt:lpstr>std_anodizev_proses</vt:lpstr>
      <vt:lpstr>std_anodizev2_proses</vt:lpstr>
      <vt:lpstr>std_bhn_prt</vt:lpstr>
      <vt:lpstr>std_dowel_prt</vt:lpstr>
      <vt:lpstr>std_edg_L1_prt</vt:lpstr>
      <vt:lpstr>std_edg_L2_prt</vt:lpstr>
      <vt:lpstr>std_edg_P1_prt</vt:lpstr>
      <vt:lpstr>std_edg_P2_prt</vt:lpstr>
      <vt:lpstr>std_engsel_prt</vt:lpstr>
      <vt:lpstr>std_j_screwjf_prt</vt:lpstr>
      <vt:lpstr>std_j_sikufr_prt</vt:lpstr>
      <vt:lpstr>std_jml_anodize_per_uk</vt:lpstr>
      <vt:lpstr>std_lapisan_dalam_prt</vt:lpstr>
      <vt:lpstr>std_lapisan_luar_prt</vt:lpstr>
      <vt:lpstr>std_minifix_prt</vt:lpstr>
      <vt:lpstr>std_profil_prt</vt:lpstr>
      <vt:lpstr>std_profil2_prt</vt:lpstr>
      <vt:lpstr>std_profil3_prt</vt:lpstr>
      <vt:lpstr>std_rel_prt</vt:lpstr>
      <vt:lpstr>std_screw_prt</vt:lpstr>
      <vt:lpstr>std_siku_prt</vt:lpstr>
      <vt:lpstr>std_sub_prt</vt:lpstr>
      <vt:lpstr>std_Tbahan_prt</vt:lpstr>
      <vt:lpstr>T_gola</vt:lpstr>
      <vt:lpstr>T_hkayu</vt:lpstr>
      <vt:lpstr>T_MH02</vt:lpstr>
      <vt:lpstr>T_MH08</vt:lpstr>
      <vt:lpstr>T_min_Av1</vt:lpstr>
      <vt:lpstr>T_min_Av2</vt:lpstr>
      <vt:lpstr>T_min_Av3</vt:lpstr>
      <vt:lpstr>T_min_Av4</vt:lpstr>
      <vt:lpstr>T_min_B1S1</vt:lpstr>
      <vt:lpstr>T_min_B1S2</vt:lpstr>
      <vt:lpstr>T_min_B1S4</vt:lpstr>
      <vt:lpstr>T_min_Legra_S1</vt:lpstr>
      <vt:lpstr>T_min_Legra_S4</vt:lpstr>
      <vt:lpstr>T_min_Legra_S4XL</vt:lpstr>
      <vt:lpstr>T_min_merivo_S1</vt:lpstr>
      <vt:lpstr>T_min_merivo_S2</vt:lpstr>
      <vt:lpstr>T_min_merivo_S4</vt:lpstr>
      <vt:lpstr>T_min_merivo_S4XL</vt:lpstr>
      <vt:lpstr>tabdf</vt:lpstr>
      <vt:lpstr>tabfr</vt:lpstr>
      <vt:lpstr>tabkab</vt:lpstr>
      <vt:lpstr>tabprt</vt:lpstr>
      <vt:lpstr>tabprtKS√</vt:lpstr>
      <vt:lpstr>tabse</vt:lpstr>
      <vt:lpstr>tabsf</vt:lpstr>
      <vt:lpstr>tabte</vt:lpstr>
      <vt:lpstr>tabtf</vt:lpstr>
      <vt:lpstr>tabtft</vt:lpstr>
      <vt:lpstr>tabthm</vt:lpstr>
      <vt:lpstr>tabtpm</vt:lpstr>
      <vt:lpstr>tandembox</vt:lpstr>
      <vt:lpstr>tandembox_dasar</vt:lpstr>
      <vt:lpstr>tandembox_palang</vt:lpstr>
      <vt:lpstr>tbl_edg</vt:lpstr>
      <vt:lpstr>tbl_hpl</vt:lpstr>
      <vt:lpstr>tbl_komp_laci</vt:lpstr>
      <vt:lpstr>tbl_paper</vt:lpstr>
      <vt:lpstr>Tdm</vt:lpstr>
      <vt:lpstr>te</vt:lpstr>
      <vt:lpstr>tebal_lapisan</vt:lpstr>
      <vt:lpstr>tf</vt:lpstr>
      <vt:lpstr>tgl</vt:lpstr>
      <vt:lpstr>thm</vt:lpstr>
      <vt:lpstr>tip_on_1</vt:lpstr>
      <vt:lpstr>tip_on_2</vt:lpstr>
      <vt:lpstr>tip_on_3</vt:lpstr>
      <vt:lpstr>tol</vt:lpstr>
      <vt:lpstr>tol_p</vt:lpstr>
      <vt:lpstr>tol_R</vt:lpstr>
      <vt:lpstr>topline22_2pintu</vt:lpstr>
      <vt:lpstr>topline22_2pintu_TA36</vt:lpstr>
      <vt:lpstr>total_screw</vt:lpstr>
      <vt:lpstr>total_siku</vt:lpstr>
      <vt:lpstr>tpm</vt:lpstr>
      <vt:lpstr>trim</vt:lpstr>
      <vt:lpstr>trim_21</vt:lpstr>
      <vt:lpstr>trim_22</vt:lpstr>
      <vt:lpstr>trim_38</vt:lpstr>
      <vt:lpstr>trim_miring</vt:lpstr>
      <vt:lpstr>tube_meter</vt:lpstr>
      <vt:lpstr>type_komponen</vt:lpstr>
      <vt:lpstr>type_room</vt:lpstr>
      <vt:lpstr>val_prt</vt:lpstr>
      <vt:lpstr>wl230_4pintu</vt:lpstr>
      <vt:lpstr>wl230_ra</vt:lpstr>
      <vt:lpstr>wl26_2pintu</vt:lpstr>
      <vt:lpstr>wl77_2pintu</vt:lpstr>
      <vt:lpstr>wl77_ra</vt:lpstr>
      <vt:lpstr>wl77_rb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reza</dc:creator>
  <cp:lastModifiedBy>arenga18</cp:lastModifiedBy>
  <cp:revision>1</cp:revision>
  <cp:lastPrinted>2026-01-19T04:46:56Z</cp:lastPrinted>
  <dcterms:created xsi:type="dcterms:W3CDTF">2020-08-25T01:44:00Z</dcterms:created>
  <dcterms:modified xsi:type="dcterms:W3CDTF">2026-06-06T01:09:08Z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1033-11.2.0.8893</vt:lpwstr>
  </property>
  <property fmtid="{D5CDD505-2E9C-101B-9397-08002B2CF9AE}" pid="3" name="ICV">
    <vt:lpwstr>0E6DA8B3731C4403AD1FD60CA3717D96</vt:lpwstr>
  </property>
</Properties>
</file>